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inícius\Desktop\"/>
    </mc:Choice>
  </mc:AlternateContent>
  <xr:revisionPtr revIDLastSave="0" documentId="8_{E2E800EF-EF8C-4855-9BFD-1387A776BDD0}" xr6:coauthVersionLast="45" xr6:coauthVersionMax="45" xr10:uidLastSave="{00000000-0000-0000-0000-000000000000}"/>
  <bookViews>
    <workbookView xWindow="1140" yWindow="345" windowWidth="17850" windowHeight="15750" firstSheet="7" activeTab="15" xr2:uid="{00000000-000D-0000-FFFF-FFFF00000000}"/>
  </bookViews>
  <sheets>
    <sheet name="Table 5" sheetId="5" state="hidden" r:id="rId1"/>
    <sheet name="01" sheetId="11" state="hidden" r:id="rId2"/>
    <sheet name="02" sheetId="12" state="hidden" r:id="rId3"/>
    <sheet name="03" sheetId="14" state="hidden" r:id="rId4"/>
    <sheet name="AD" sheetId="15" state="hidden" r:id="rId5"/>
    <sheet name="04 CORRIGIDA" sheetId="10" state="hidden" r:id="rId6"/>
    <sheet name="05" sheetId="8" state="hidden" r:id="rId7"/>
    <sheet name="1" sheetId="16" r:id="rId8"/>
    <sheet name="2" sheetId="19" r:id="rId9"/>
    <sheet name="3" sheetId="20" r:id="rId10"/>
    <sheet name="4" sheetId="21" r:id="rId11"/>
    <sheet name="5" sheetId="22" r:id="rId12"/>
    <sheet name="6" sheetId="23" r:id="rId13"/>
    <sheet name="7" sheetId="24" r:id="rId14"/>
    <sheet name="8" sheetId="25" r:id="rId15"/>
    <sheet name="9" sheetId="26" r:id="rId16"/>
    <sheet name="05 NOVA" sheetId="18" state="hidden" r:id="rId17"/>
    <sheet name="Memoria de calculo" sheetId="9" state="hidden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nm._FilterDatabase" localSheetId="5" hidden="1">'04 CORRIGIDA'!$A$12:$Q$283</definedName>
    <definedName name="_xlnm._FilterDatabase" localSheetId="12" hidden="1">'6'!$C$13:$P$284</definedName>
    <definedName name="_xlnm._FilterDatabase" localSheetId="13" hidden="1">'7'!$A$15:$P$285</definedName>
    <definedName name="_xlnm._FilterDatabase" localSheetId="14" hidden="1">'8'!$A$12:$P$285</definedName>
    <definedName name="_xlnm._FilterDatabase" localSheetId="15" hidden="1">'9'!$A$13:$P$285</definedName>
    <definedName name="_xlnm.Print_Area" localSheetId="5">'04 CORRIGIDA'!$A$1:$Q$293</definedName>
    <definedName name="_xlnm.Print_Area" localSheetId="6">'05'!$A$1:$P$294</definedName>
    <definedName name="_xlnm.Print_Area" localSheetId="16">'05 NOVA'!$A$1:$P$294</definedName>
    <definedName name="_xlnm.Print_Area" localSheetId="7">'1'!$A$1:$P$294</definedName>
    <definedName name="_xlnm.Print_Area" localSheetId="8">'2'!$A$1:$P$294</definedName>
    <definedName name="_xlnm.Print_Area" localSheetId="9">'3'!$A$1:$P$294</definedName>
    <definedName name="_xlnm.Print_Area" localSheetId="10">'4'!$A$1:$P$294</definedName>
    <definedName name="_xlnm.Print_Area" localSheetId="11">'5'!$A$1:$P$294</definedName>
    <definedName name="_xlnm.Print_Area" localSheetId="12">'6'!$A$1:$P$284</definedName>
    <definedName name="_xlnm.Print_Area" localSheetId="13">'7'!$A$1:$P$285</definedName>
    <definedName name="_xlnm.Print_Area" localSheetId="14">'8'!$A$1:$P$285</definedName>
    <definedName name="_xlnm.Print_Area" localSheetId="15">'9'!$A$1:$P$285</definedName>
    <definedName name="BGDGOEDPRX" localSheetId="5" hidden="1">'[1]CRONOGRAMA FÍSICO-FINANCEIRO'!#REF!</definedName>
    <definedName name="BGDGOEDPRX" localSheetId="16" hidden="1">'[2]CRONOGRAMA FÍSICO-FINANCEIRO'!#REF!</definedName>
    <definedName name="BGDGOEDPRX" localSheetId="7" hidden="1">'[2]CRONOGRAMA FÍSICO-FINANCEIRO'!#REF!</definedName>
    <definedName name="BGDGOEDPRX" localSheetId="8" hidden="1">'[2]CRONOGRAMA FÍSICO-FINANCEIRO'!#REF!</definedName>
    <definedName name="BGDGOEDPRX" localSheetId="9" hidden="1">'[2]CRONOGRAMA FÍSICO-FINANCEIRO'!#REF!</definedName>
    <definedName name="BGDGOEDPRX" localSheetId="10" hidden="1">'[2]CRONOGRAMA FÍSICO-FINANCEIRO'!#REF!</definedName>
    <definedName name="BGDGOEDPRX" localSheetId="11" hidden="1">'[2]CRONOGRAMA FÍSICO-FINANCEIRO'!#REF!</definedName>
    <definedName name="BGDGOEDPRX" localSheetId="12" hidden="1">'[2]CRONOGRAMA FÍSICO-FINANCEIRO'!#REF!</definedName>
    <definedName name="BGDGOEDPRX" localSheetId="13" hidden="1">'[2]CRONOGRAMA FÍSICO-FINANCEIRO'!#REF!</definedName>
    <definedName name="BGDGOEDPRX" localSheetId="14" hidden="1">'[2]CRONOGRAMA FÍSICO-FINANCEIRO'!#REF!</definedName>
    <definedName name="BGDGOEDPRX" localSheetId="15" hidden="1">'[2]CRONOGRAMA FÍSICO-FINANCEIRO'!#REF!</definedName>
    <definedName name="BGDGOEDPRX" hidden="1">'[2]CRONOGRAMA FÍSICO-FINANCEIRO'!#REF!</definedName>
    <definedName name="EMDEOYHYVO" localSheetId="5" hidden="1">'[3]03'!#REF!</definedName>
    <definedName name="EMDEOYHYVO" localSheetId="16" hidden="1">#REF!</definedName>
    <definedName name="EMDEOYHYVO" localSheetId="7" hidden="1">#REF!</definedName>
    <definedName name="EMDEOYHYVO" localSheetId="8" hidden="1">#REF!</definedName>
    <definedName name="EMDEOYHYVO" localSheetId="9" hidden="1">#REF!</definedName>
    <definedName name="EMDEOYHYVO" localSheetId="10" hidden="1">#REF!</definedName>
    <definedName name="EMDEOYHYVO" localSheetId="11" hidden="1">#REF!</definedName>
    <definedName name="EMDEOYHYVO" localSheetId="12" hidden="1">#REF!</definedName>
    <definedName name="EMDEOYHYVO" localSheetId="13" hidden="1">#REF!</definedName>
    <definedName name="EMDEOYHYVO" localSheetId="14" hidden="1">#REF!</definedName>
    <definedName name="EMDEOYHYVO" localSheetId="15" hidden="1">#REF!</definedName>
    <definedName name="EMDEOYHYVO" hidden="1">#REF!</definedName>
    <definedName name="GACSCXBIAI" localSheetId="5" hidden="1">'[3]03'!#REF!</definedName>
    <definedName name="GACSCXBIAI" localSheetId="16" hidden="1">#REF!</definedName>
    <definedName name="GACSCXBIAI" localSheetId="7" hidden="1">#REF!</definedName>
    <definedName name="GACSCXBIAI" localSheetId="8" hidden="1">#REF!</definedName>
    <definedName name="GACSCXBIAI" localSheetId="9" hidden="1">#REF!</definedName>
    <definedName name="GACSCXBIAI" localSheetId="10" hidden="1">#REF!</definedName>
    <definedName name="GACSCXBIAI" localSheetId="11" hidden="1">#REF!</definedName>
    <definedName name="GACSCXBIAI" localSheetId="12" hidden="1">#REF!</definedName>
    <definedName name="GACSCXBIAI" localSheetId="13" hidden="1">#REF!</definedName>
    <definedName name="GACSCXBIAI" localSheetId="14" hidden="1">#REF!</definedName>
    <definedName name="GACSCXBIAI" localSheetId="15" hidden="1">#REF!</definedName>
    <definedName name="GACSCXBIAI" hidden="1">#REF!</definedName>
    <definedName name="IOAFBQWKRV" localSheetId="12" hidden="1">#REF!</definedName>
    <definedName name="IOAFBQWKRV" localSheetId="13" hidden="1">#REF!</definedName>
    <definedName name="IOAFBQWKRV" localSheetId="14" hidden="1">#REF!</definedName>
    <definedName name="IOAFBQWKRV" localSheetId="15" hidden="1">#REF!</definedName>
    <definedName name="IOAFBQWKRV" hidden="1">#REF!</definedName>
    <definedName name="KEFQKQKDNL" localSheetId="5" hidden="1">'[3]03'!#REF!</definedName>
    <definedName name="KEFQKQKDNL" localSheetId="16" hidden="1">#REF!</definedName>
    <definedName name="KEFQKQKDNL" localSheetId="7" hidden="1">#REF!</definedName>
    <definedName name="KEFQKQKDNL" localSheetId="8" hidden="1">#REF!</definedName>
    <definedName name="KEFQKQKDNL" localSheetId="9" hidden="1">#REF!</definedName>
    <definedName name="KEFQKQKDNL" localSheetId="10" hidden="1">#REF!</definedName>
    <definedName name="KEFQKQKDNL" localSheetId="11" hidden="1">#REF!</definedName>
    <definedName name="KEFQKQKDNL" localSheetId="12" hidden="1">#REF!</definedName>
    <definedName name="KEFQKQKDNL" localSheetId="13" hidden="1">#REF!</definedName>
    <definedName name="KEFQKQKDNL" localSheetId="14" hidden="1">#REF!</definedName>
    <definedName name="KEFQKQKDNL" localSheetId="15" hidden="1">#REF!</definedName>
    <definedName name="KEFQKQKDNL" hidden="1">#REF!</definedName>
    <definedName name="LZHQTEIPRU" localSheetId="5" hidden="1">'[1]CRONOGRAMA FÍSICO-FINANCEIRO'!#REF!</definedName>
    <definedName name="LZHQTEIPRU" localSheetId="16" hidden="1">'[2]CRONOGRAMA FÍSICO-FINANCEIRO'!#REF!</definedName>
    <definedName name="LZHQTEIPRU" localSheetId="7" hidden="1">'[2]CRONOGRAMA FÍSICO-FINANCEIRO'!#REF!</definedName>
    <definedName name="LZHQTEIPRU" localSheetId="8" hidden="1">'[2]CRONOGRAMA FÍSICO-FINANCEIRO'!#REF!</definedName>
    <definedName name="LZHQTEIPRU" localSheetId="9" hidden="1">'[2]CRONOGRAMA FÍSICO-FINANCEIRO'!#REF!</definedName>
    <definedName name="LZHQTEIPRU" localSheetId="10" hidden="1">'[2]CRONOGRAMA FÍSICO-FINANCEIRO'!#REF!</definedName>
    <definedName name="LZHQTEIPRU" localSheetId="11" hidden="1">'[2]CRONOGRAMA FÍSICO-FINANCEIRO'!#REF!</definedName>
    <definedName name="LZHQTEIPRU" localSheetId="12" hidden="1">'[2]CRONOGRAMA FÍSICO-FINANCEIRO'!#REF!</definedName>
    <definedName name="LZHQTEIPRU" localSheetId="13" hidden="1">'[2]CRONOGRAMA FÍSICO-FINANCEIRO'!#REF!</definedName>
    <definedName name="LZHQTEIPRU" localSheetId="14" hidden="1">'[2]CRONOGRAMA FÍSICO-FINANCEIRO'!#REF!</definedName>
    <definedName name="LZHQTEIPRU" localSheetId="15" hidden="1">'[2]CRONOGRAMA FÍSICO-FINANCEIRO'!#REF!</definedName>
    <definedName name="LZHQTEIPRU" hidden="1">'[2]CRONOGRAMA FÍSICO-FINANCEIRO'!#REF!</definedName>
    <definedName name="ORMKNDBAML" localSheetId="12" hidden="1">#REF!</definedName>
    <definedName name="ORMKNDBAML" localSheetId="13" hidden="1">#REF!</definedName>
    <definedName name="ORMKNDBAML" localSheetId="14" hidden="1">#REF!</definedName>
    <definedName name="ORMKNDBAML" localSheetId="15" hidden="1">#REF!</definedName>
    <definedName name="ORMKNDBAML" hidden="1">#REF!</definedName>
    <definedName name="_xlnm.Print_Titles" localSheetId="5">'04 CORRIGIDA'!$1:$11</definedName>
    <definedName name="_xlnm.Print_Titles" localSheetId="6">'05'!$1:$11</definedName>
    <definedName name="_xlnm.Print_Titles" localSheetId="16">'05 NOVA'!$1:$11</definedName>
    <definedName name="_xlnm.Print_Titles" localSheetId="7">'1'!$1:$11</definedName>
    <definedName name="_xlnm.Print_Titles" localSheetId="8">'2'!$1:$11</definedName>
    <definedName name="_xlnm.Print_Titles" localSheetId="9">'3'!$1:$11</definedName>
    <definedName name="_xlnm.Print_Titles" localSheetId="10">'4'!$1:$11</definedName>
    <definedName name="_xlnm.Print_Titles" localSheetId="11">'5'!$1:$13</definedName>
    <definedName name="_xlnm.Print_Titles" localSheetId="12">'6'!$1:$13</definedName>
    <definedName name="_xlnm.Print_Titles" localSheetId="13">'7'!$1:$13</definedName>
    <definedName name="_xlnm.Print_Titles" localSheetId="14">'8'!$1:$13</definedName>
    <definedName name="_xlnm.Print_Titles" localSheetId="15">'9'!$1:$14</definedName>
    <definedName name="UGBJDTJUHS" localSheetId="5" hidden="1">'[1]CRONOGRAMA FÍSICO'!#REF!</definedName>
    <definedName name="UGBJDTJUHS" localSheetId="16" hidden="1">'[2]CRONOGRAMA FÍSICO'!#REF!</definedName>
    <definedName name="UGBJDTJUHS" localSheetId="7" hidden="1">'[2]CRONOGRAMA FÍSICO'!#REF!</definedName>
    <definedName name="UGBJDTJUHS" localSheetId="8" hidden="1">'[2]CRONOGRAMA FÍSICO'!#REF!</definedName>
    <definedName name="UGBJDTJUHS" localSheetId="9" hidden="1">'[2]CRONOGRAMA FÍSICO'!#REF!</definedName>
    <definedName name="UGBJDTJUHS" localSheetId="10" hidden="1">'[2]CRONOGRAMA FÍSICO'!#REF!</definedName>
    <definedName name="UGBJDTJUHS" localSheetId="11" hidden="1">'[2]CRONOGRAMA FÍSICO'!#REF!</definedName>
    <definedName name="UGBJDTJUHS" localSheetId="12" hidden="1">'[2]CRONOGRAMA FÍSICO'!#REF!</definedName>
    <definedName name="UGBJDTJUHS" localSheetId="13" hidden="1">'[2]CRONOGRAMA FÍSICO'!#REF!</definedName>
    <definedName name="UGBJDTJUHS" localSheetId="14" hidden="1">'[2]CRONOGRAMA FÍSICO'!#REF!</definedName>
    <definedName name="UGBJDTJUHS" localSheetId="15" hidden="1">'[2]CRONOGRAMA FÍSICO'!#REF!</definedName>
    <definedName name="UGBJDTJUHS" hidden="1">'[2]CRONOGRAMA FÍSICO'!#REF!</definedName>
    <definedName name="ZVOEJQRGKE" localSheetId="5" hidden="1">'[1]CRONOGRAMA FÍSICO'!#REF!</definedName>
    <definedName name="ZVOEJQRGKE" localSheetId="16" hidden="1">'[2]CRONOGRAMA FÍSICO'!#REF!</definedName>
    <definedName name="ZVOEJQRGKE" localSheetId="7" hidden="1">'[2]CRONOGRAMA FÍSICO'!#REF!</definedName>
    <definedName name="ZVOEJQRGKE" localSheetId="8" hidden="1">'[2]CRONOGRAMA FÍSICO'!#REF!</definedName>
    <definedName name="ZVOEJQRGKE" localSheetId="9" hidden="1">'[2]CRONOGRAMA FÍSICO'!#REF!</definedName>
    <definedName name="ZVOEJQRGKE" localSheetId="10" hidden="1">'[2]CRONOGRAMA FÍSICO'!#REF!</definedName>
    <definedName name="ZVOEJQRGKE" localSheetId="11" hidden="1">'[2]CRONOGRAMA FÍSICO'!#REF!</definedName>
    <definedName name="ZVOEJQRGKE" localSheetId="12" hidden="1">'[2]CRONOGRAMA FÍSICO'!#REF!</definedName>
    <definedName name="ZVOEJQRGKE" localSheetId="13" hidden="1">'[2]CRONOGRAMA FÍSICO'!#REF!</definedName>
    <definedName name="ZVOEJQRGKE" localSheetId="14" hidden="1">'[2]CRONOGRAMA FÍSICO'!#REF!</definedName>
    <definedName name="ZVOEJQRGKE" localSheetId="15" hidden="1">'[2]CRONOGRAMA FÍSICO'!#REF!</definedName>
    <definedName name="ZVOEJQRGKE" hidden="1">'[2]CRONOGRAMA FÍSICO'!#REF!</definedName>
  </definedNames>
  <calcPr calcId="181029"/>
</workbook>
</file>

<file path=xl/calcChain.xml><?xml version="1.0" encoding="utf-8"?>
<calcChain xmlns="http://schemas.openxmlformats.org/spreadsheetml/2006/main">
  <c r="I16" i="26" l="1"/>
  <c r="CI285" i="26"/>
  <c r="J285" i="26" s="1"/>
  <c r="Q285" i="26"/>
  <c r="I285" i="26"/>
  <c r="CI284" i="26"/>
  <c r="J284" i="26" s="1"/>
  <c r="K284" i="26" s="1"/>
  <c r="O284" i="26" s="1"/>
  <c r="L284" i="26"/>
  <c r="I284" i="26"/>
  <c r="Q284" i="26" s="1"/>
  <c r="CI283" i="26"/>
  <c r="J283" i="26" s="1"/>
  <c r="K283" i="26" s="1"/>
  <c r="O283" i="26" s="1"/>
  <c r="L283" i="26"/>
  <c r="I283" i="26"/>
  <c r="Q283" i="26" s="1"/>
  <c r="CI282" i="26"/>
  <c r="J282" i="26" s="1"/>
  <c r="K282" i="26" s="1"/>
  <c r="O282" i="26" s="1"/>
  <c r="L282" i="26"/>
  <c r="I282" i="26"/>
  <c r="Q282" i="26" s="1"/>
  <c r="CI281" i="26"/>
  <c r="J281" i="26" s="1"/>
  <c r="K281" i="26" s="1"/>
  <c r="O281" i="26" s="1"/>
  <c r="L281" i="26"/>
  <c r="I281" i="26"/>
  <c r="Q281" i="26" s="1"/>
  <c r="CI280" i="26"/>
  <c r="J280" i="26" s="1"/>
  <c r="L280" i="26"/>
  <c r="I280" i="26"/>
  <c r="Q280" i="26" s="1"/>
  <c r="CI279" i="26"/>
  <c r="Q279" i="26"/>
  <c r="L279" i="26"/>
  <c r="CI278" i="26"/>
  <c r="J278" i="26" s="1"/>
  <c r="L278" i="26"/>
  <c r="I278" i="26"/>
  <c r="Q278" i="26" s="1"/>
  <c r="CI277" i="26"/>
  <c r="J277" i="26" s="1"/>
  <c r="N277" i="26" s="1"/>
  <c r="L277" i="26"/>
  <c r="I277" i="26"/>
  <c r="M277" i="26" s="1"/>
  <c r="CI276" i="26"/>
  <c r="Q276" i="26"/>
  <c r="CI275" i="26"/>
  <c r="J275" i="26" s="1"/>
  <c r="K275" i="26" s="1"/>
  <c r="O275" i="26" s="1"/>
  <c r="L275" i="26"/>
  <c r="I275" i="26"/>
  <c r="Q275" i="26" s="1"/>
  <c r="CI274" i="26"/>
  <c r="J274" i="26" s="1"/>
  <c r="K274" i="26" s="1"/>
  <c r="O274" i="26" s="1"/>
  <c r="L274" i="26"/>
  <c r="I274" i="26"/>
  <c r="Q274" i="26" s="1"/>
  <c r="CI273" i="26"/>
  <c r="J273" i="26" s="1"/>
  <c r="L273" i="26"/>
  <c r="I273" i="26"/>
  <c r="Q273" i="26" s="1"/>
  <c r="CI272" i="26"/>
  <c r="J272" i="26" s="1"/>
  <c r="K272" i="26" s="1"/>
  <c r="O272" i="26" s="1"/>
  <c r="L272" i="26"/>
  <c r="I272" i="26"/>
  <c r="Q272" i="26" s="1"/>
  <c r="CI271" i="26"/>
  <c r="J271" i="26" s="1"/>
  <c r="K271" i="26" s="1"/>
  <c r="O271" i="26" s="1"/>
  <c r="L271" i="26"/>
  <c r="I271" i="26"/>
  <c r="Q271" i="26" s="1"/>
  <c r="CI270" i="26"/>
  <c r="Q270" i="26"/>
  <c r="CI269" i="26"/>
  <c r="Q269" i="26"/>
  <c r="CI268" i="26"/>
  <c r="J268" i="26" s="1"/>
  <c r="K268" i="26" s="1"/>
  <c r="O268" i="26" s="1"/>
  <c r="L268" i="26"/>
  <c r="I268" i="26"/>
  <c r="Q268" i="26" s="1"/>
  <c r="CI267" i="26"/>
  <c r="J267" i="26" s="1"/>
  <c r="K267" i="26" s="1"/>
  <c r="O267" i="26" s="1"/>
  <c r="L267" i="26"/>
  <c r="I267" i="26"/>
  <c r="Q267" i="26" s="1"/>
  <c r="CI266" i="26"/>
  <c r="J266" i="26" s="1"/>
  <c r="L266" i="26"/>
  <c r="I266" i="26"/>
  <c r="Q266" i="26" s="1"/>
  <c r="CI265" i="26"/>
  <c r="J265" i="26" s="1"/>
  <c r="K265" i="26" s="1"/>
  <c r="O265" i="26" s="1"/>
  <c r="L265" i="26"/>
  <c r="I265" i="26"/>
  <c r="Q265" i="26" s="1"/>
  <c r="CI264" i="26"/>
  <c r="J264" i="26" s="1"/>
  <c r="K264" i="26" s="1"/>
  <c r="O264" i="26" s="1"/>
  <c r="L264" i="26"/>
  <c r="I264" i="26"/>
  <c r="Q264" i="26" s="1"/>
  <c r="CI263" i="26"/>
  <c r="J263" i="26" s="1"/>
  <c r="K263" i="26" s="1"/>
  <c r="O263" i="26" s="1"/>
  <c r="L263" i="26"/>
  <c r="I263" i="26"/>
  <c r="Q263" i="26" s="1"/>
  <c r="CI262" i="26"/>
  <c r="J262" i="26" s="1"/>
  <c r="L262" i="26"/>
  <c r="I262" i="26"/>
  <c r="Q262" i="26" s="1"/>
  <c r="CI261" i="26"/>
  <c r="J261" i="26" s="1"/>
  <c r="K261" i="26" s="1"/>
  <c r="O261" i="26" s="1"/>
  <c r="L261" i="26"/>
  <c r="I261" i="26"/>
  <c r="Q261" i="26" s="1"/>
  <c r="CI260" i="26"/>
  <c r="Q260" i="26"/>
  <c r="CI259" i="26"/>
  <c r="J259" i="26" s="1"/>
  <c r="N259" i="26" s="1"/>
  <c r="L259" i="26"/>
  <c r="I259" i="26"/>
  <c r="M259" i="26" s="1"/>
  <c r="CI258" i="26"/>
  <c r="J258" i="26" s="1"/>
  <c r="N258" i="26" s="1"/>
  <c r="L258" i="26"/>
  <c r="I258" i="26"/>
  <c r="Q258" i="26" s="1"/>
  <c r="CI257" i="26"/>
  <c r="J257" i="26" s="1"/>
  <c r="N257" i="26" s="1"/>
  <c r="L257" i="26"/>
  <c r="I257" i="26"/>
  <c r="Q257" i="26" s="1"/>
  <c r="CI256" i="26"/>
  <c r="J256" i="26" s="1"/>
  <c r="L256" i="26"/>
  <c r="I256" i="26"/>
  <c r="Q256" i="26" s="1"/>
  <c r="CI255" i="26"/>
  <c r="J255" i="26" s="1"/>
  <c r="L255" i="26"/>
  <c r="I255" i="26"/>
  <c r="Q255" i="26" s="1"/>
  <c r="CI254" i="26"/>
  <c r="J254" i="26" s="1"/>
  <c r="L254" i="26"/>
  <c r="I254" i="26"/>
  <c r="Q254" i="26" s="1"/>
  <c r="CI253" i="26"/>
  <c r="Q253" i="26"/>
  <c r="CI252" i="26"/>
  <c r="J252" i="26" s="1"/>
  <c r="K252" i="26" s="1"/>
  <c r="O252" i="26" s="1"/>
  <c r="L252" i="26"/>
  <c r="I252" i="26"/>
  <c r="Q252" i="26" s="1"/>
  <c r="CI251" i="26"/>
  <c r="J251" i="26" s="1"/>
  <c r="L251" i="26"/>
  <c r="I251" i="26"/>
  <c r="Q251" i="26" s="1"/>
  <c r="CI250" i="26"/>
  <c r="J250" i="26" s="1"/>
  <c r="K250" i="26" s="1"/>
  <c r="O250" i="26" s="1"/>
  <c r="L250" i="26"/>
  <c r="I250" i="26"/>
  <c r="Q250" i="26" s="1"/>
  <c r="CI249" i="26"/>
  <c r="J249" i="26" s="1"/>
  <c r="L249" i="26"/>
  <c r="I249" i="26"/>
  <c r="Q249" i="26" s="1"/>
  <c r="CI248" i="26"/>
  <c r="Q248" i="26"/>
  <c r="CI247" i="26"/>
  <c r="J247" i="26" s="1"/>
  <c r="L247" i="26"/>
  <c r="I247" i="26"/>
  <c r="Q247" i="26" s="1"/>
  <c r="CI246" i="26"/>
  <c r="J246" i="26" s="1"/>
  <c r="L246" i="26"/>
  <c r="I246" i="26"/>
  <c r="Q246" i="26" s="1"/>
  <c r="CI245" i="26"/>
  <c r="J245" i="26" s="1"/>
  <c r="N245" i="26" s="1"/>
  <c r="L245" i="26"/>
  <c r="I245" i="26"/>
  <c r="Q245" i="26" s="1"/>
  <c r="CI244" i="26"/>
  <c r="J244" i="26" s="1"/>
  <c r="L244" i="26"/>
  <c r="I244" i="26"/>
  <c r="Q244" i="26" s="1"/>
  <c r="CI243" i="26"/>
  <c r="J243" i="26" s="1"/>
  <c r="L243" i="26"/>
  <c r="I243" i="26"/>
  <c r="Q243" i="26" s="1"/>
  <c r="CI242" i="26"/>
  <c r="J242" i="26" s="1"/>
  <c r="N242" i="26" s="1"/>
  <c r="L242" i="26"/>
  <c r="I242" i="26"/>
  <c r="M242" i="26" s="1"/>
  <c r="CI241" i="26"/>
  <c r="J241" i="26" s="1"/>
  <c r="N241" i="26" s="1"/>
  <c r="L241" i="26"/>
  <c r="I241" i="26"/>
  <c r="Q241" i="26" s="1"/>
  <c r="CI240" i="26"/>
  <c r="J240" i="26" s="1"/>
  <c r="N240" i="26" s="1"/>
  <c r="L240" i="26"/>
  <c r="I240" i="26"/>
  <c r="Q240" i="26" s="1"/>
  <c r="CI239" i="26"/>
  <c r="J239" i="26" s="1"/>
  <c r="N239" i="26" s="1"/>
  <c r="P239" i="26" s="1"/>
  <c r="L239" i="26"/>
  <c r="I239" i="26"/>
  <c r="Q239" i="26" s="1"/>
  <c r="CI238" i="26"/>
  <c r="J238" i="26" s="1"/>
  <c r="N238" i="26" s="1"/>
  <c r="L238" i="26"/>
  <c r="I238" i="26"/>
  <c r="Q238" i="26" s="1"/>
  <c r="CI237" i="26"/>
  <c r="J237" i="26" s="1"/>
  <c r="N237" i="26" s="1"/>
  <c r="L237" i="26"/>
  <c r="I237" i="26"/>
  <c r="Q237" i="26" s="1"/>
  <c r="CI236" i="26"/>
  <c r="J236" i="26" s="1"/>
  <c r="N236" i="26" s="1"/>
  <c r="L236" i="26"/>
  <c r="I236" i="26"/>
  <c r="Q236" i="26" s="1"/>
  <c r="CI235" i="26"/>
  <c r="J235" i="26" s="1"/>
  <c r="L235" i="26"/>
  <c r="I235" i="26"/>
  <c r="Q235" i="26" s="1"/>
  <c r="CI234" i="26"/>
  <c r="J234" i="26" s="1"/>
  <c r="N234" i="26" s="1"/>
  <c r="L234" i="26"/>
  <c r="I234" i="26"/>
  <c r="Q234" i="26" s="1"/>
  <c r="CI233" i="26"/>
  <c r="J233" i="26" s="1"/>
  <c r="N233" i="26" s="1"/>
  <c r="L233" i="26"/>
  <c r="I233" i="26"/>
  <c r="Q233" i="26" s="1"/>
  <c r="CI232" i="26"/>
  <c r="J232" i="26" s="1"/>
  <c r="N232" i="26" s="1"/>
  <c r="L232" i="26"/>
  <c r="I232" i="26"/>
  <c r="Q232" i="26" s="1"/>
  <c r="CI231" i="26"/>
  <c r="J231" i="26" s="1"/>
  <c r="N231" i="26" s="1"/>
  <c r="P231" i="26" s="1"/>
  <c r="L231" i="26"/>
  <c r="I231" i="26"/>
  <c r="Q231" i="26" s="1"/>
  <c r="CI230" i="26"/>
  <c r="J230" i="26" s="1"/>
  <c r="N230" i="26" s="1"/>
  <c r="L230" i="26"/>
  <c r="I230" i="26"/>
  <c r="Q230" i="26" s="1"/>
  <c r="CI229" i="26"/>
  <c r="J229" i="26" s="1"/>
  <c r="N229" i="26" s="1"/>
  <c r="L229" i="26"/>
  <c r="I229" i="26"/>
  <c r="Q229" i="26" s="1"/>
  <c r="CI228" i="26"/>
  <c r="J228" i="26" s="1"/>
  <c r="L228" i="26"/>
  <c r="I228" i="26"/>
  <c r="Q228" i="26" s="1"/>
  <c r="CI227" i="26"/>
  <c r="J227" i="26" s="1"/>
  <c r="L227" i="26"/>
  <c r="I227" i="26"/>
  <c r="Q227" i="26" s="1"/>
  <c r="CI226" i="26"/>
  <c r="J226" i="26" s="1"/>
  <c r="K226" i="26" s="1"/>
  <c r="L226" i="26"/>
  <c r="I226" i="26"/>
  <c r="Q226" i="26" s="1"/>
  <c r="F226" i="26"/>
  <c r="CI225" i="26"/>
  <c r="J225" i="26" s="1"/>
  <c r="N225" i="26" s="1"/>
  <c r="L225" i="26"/>
  <c r="I225" i="26"/>
  <c r="Q225" i="26" s="1"/>
  <c r="CI224" i="26"/>
  <c r="J224" i="26" s="1"/>
  <c r="N224" i="26" s="1"/>
  <c r="L224" i="26"/>
  <c r="I224" i="26"/>
  <c r="Q224" i="26" s="1"/>
  <c r="CI223" i="26"/>
  <c r="J223" i="26" s="1"/>
  <c r="K223" i="26" s="1"/>
  <c r="O223" i="26" s="1"/>
  <c r="L223" i="26"/>
  <c r="I223" i="26"/>
  <c r="Q223" i="26" s="1"/>
  <c r="CI222" i="26"/>
  <c r="J222" i="26" s="1"/>
  <c r="L222" i="26"/>
  <c r="I222" i="26"/>
  <c r="Q222" i="26" s="1"/>
  <c r="CI221" i="26"/>
  <c r="J221" i="26" s="1"/>
  <c r="K221" i="26" s="1"/>
  <c r="O221" i="26" s="1"/>
  <c r="L221" i="26"/>
  <c r="I221" i="26"/>
  <c r="Q221" i="26" s="1"/>
  <c r="CI220" i="26"/>
  <c r="J220" i="26" s="1"/>
  <c r="L220" i="26"/>
  <c r="I220" i="26"/>
  <c r="Q220" i="26" s="1"/>
  <c r="CI219" i="26"/>
  <c r="J219" i="26" s="1"/>
  <c r="K219" i="26" s="1"/>
  <c r="O219" i="26" s="1"/>
  <c r="L219" i="26"/>
  <c r="I219" i="26"/>
  <c r="Q219" i="26" s="1"/>
  <c r="CI218" i="26"/>
  <c r="J218" i="26" s="1"/>
  <c r="L218" i="26"/>
  <c r="I218" i="26"/>
  <c r="Q218" i="26" s="1"/>
  <c r="CI217" i="26"/>
  <c r="J217" i="26" s="1"/>
  <c r="K217" i="26" s="1"/>
  <c r="O217" i="26" s="1"/>
  <c r="L217" i="26"/>
  <c r="L216" i="26" s="1"/>
  <c r="I217" i="26"/>
  <c r="Q217" i="26" s="1"/>
  <c r="CI216" i="26"/>
  <c r="Q216" i="26"/>
  <c r="CI215" i="26"/>
  <c r="Q215" i="26"/>
  <c r="CI214" i="26"/>
  <c r="J214" i="26" s="1"/>
  <c r="K214" i="26" s="1"/>
  <c r="O214" i="26" s="1"/>
  <c r="L214" i="26"/>
  <c r="I214" i="26"/>
  <c r="Q214" i="26" s="1"/>
  <c r="CI213" i="26"/>
  <c r="J213" i="26" s="1"/>
  <c r="L213" i="26"/>
  <c r="I213" i="26"/>
  <c r="Q213" i="26" s="1"/>
  <c r="CI212" i="26"/>
  <c r="J212" i="26" s="1"/>
  <c r="K212" i="26" s="1"/>
  <c r="O212" i="26" s="1"/>
  <c r="L212" i="26"/>
  <c r="I212" i="26"/>
  <c r="Q212" i="26" s="1"/>
  <c r="CI211" i="26"/>
  <c r="J211" i="26" s="1"/>
  <c r="N211" i="26" s="1"/>
  <c r="L211" i="26"/>
  <c r="I211" i="26"/>
  <c r="Q211" i="26" s="1"/>
  <c r="CI210" i="26"/>
  <c r="J210" i="26" s="1"/>
  <c r="K210" i="26" s="1"/>
  <c r="O210" i="26" s="1"/>
  <c r="L210" i="26"/>
  <c r="I210" i="26"/>
  <c r="Q210" i="26" s="1"/>
  <c r="CI209" i="26"/>
  <c r="Q209" i="26"/>
  <c r="CI208" i="26"/>
  <c r="J208" i="26" s="1"/>
  <c r="L208" i="26"/>
  <c r="I208" i="26"/>
  <c r="Q208" i="26" s="1"/>
  <c r="CI207" i="26"/>
  <c r="J207" i="26" s="1"/>
  <c r="L207" i="26"/>
  <c r="I207" i="26"/>
  <c r="Q207" i="26" s="1"/>
  <c r="CI206" i="26"/>
  <c r="J206" i="26" s="1"/>
  <c r="L206" i="26"/>
  <c r="I206" i="26"/>
  <c r="Q206" i="26" s="1"/>
  <c r="CI205" i="26"/>
  <c r="J205" i="26" s="1"/>
  <c r="N205" i="26" s="1"/>
  <c r="P205" i="26" s="1"/>
  <c r="L205" i="26"/>
  <c r="I205" i="26"/>
  <c r="Q205" i="26" s="1"/>
  <c r="CI204" i="26"/>
  <c r="J204" i="26" s="1"/>
  <c r="L204" i="26"/>
  <c r="I204" i="26"/>
  <c r="Q204" i="26" s="1"/>
  <c r="CI203" i="26"/>
  <c r="J203" i="26" s="1"/>
  <c r="L203" i="26"/>
  <c r="I203" i="26"/>
  <c r="Q203" i="26" s="1"/>
  <c r="CI202" i="26"/>
  <c r="J202" i="26" s="1"/>
  <c r="L202" i="26"/>
  <c r="I202" i="26"/>
  <c r="Q202" i="26" s="1"/>
  <c r="CI201" i="26"/>
  <c r="J201" i="26" s="1"/>
  <c r="N201" i="26" s="1"/>
  <c r="L201" i="26"/>
  <c r="I201" i="26"/>
  <c r="Q201" i="26" s="1"/>
  <c r="CI200" i="26"/>
  <c r="J200" i="26" s="1"/>
  <c r="L200" i="26"/>
  <c r="I200" i="26"/>
  <c r="Q200" i="26" s="1"/>
  <c r="CI199" i="26"/>
  <c r="J199" i="26" s="1"/>
  <c r="L199" i="26"/>
  <c r="I199" i="26"/>
  <c r="Q199" i="26" s="1"/>
  <c r="CI198" i="26"/>
  <c r="J198" i="26" s="1"/>
  <c r="K198" i="26" s="1"/>
  <c r="O198" i="26" s="1"/>
  <c r="L198" i="26"/>
  <c r="I198" i="26"/>
  <c r="Q198" i="26" s="1"/>
  <c r="CI197" i="26"/>
  <c r="J197" i="26" s="1"/>
  <c r="L197" i="26"/>
  <c r="I197" i="26"/>
  <c r="Q197" i="26" s="1"/>
  <c r="CI196" i="26"/>
  <c r="J196" i="26" s="1"/>
  <c r="K196" i="26" s="1"/>
  <c r="O196" i="26" s="1"/>
  <c r="L196" i="26"/>
  <c r="I196" i="26"/>
  <c r="Q196" i="26" s="1"/>
  <c r="CI195" i="26"/>
  <c r="Q195" i="26"/>
  <c r="CI194" i="26"/>
  <c r="J194" i="26" s="1"/>
  <c r="L194" i="26"/>
  <c r="I194" i="26"/>
  <c r="Q194" i="26" s="1"/>
  <c r="CI193" i="26"/>
  <c r="J193" i="26" s="1"/>
  <c r="L193" i="26"/>
  <c r="I193" i="26"/>
  <c r="Q193" i="26" s="1"/>
  <c r="CI192" i="26"/>
  <c r="J192" i="26" s="1"/>
  <c r="L192" i="26"/>
  <c r="I192" i="26"/>
  <c r="Q192" i="26" s="1"/>
  <c r="CI191" i="26"/>
  <c r="Q191" i="26"/>
  <c r="CI190" i="26"/>
  <c r="J190" i="26" s="1"/>
  <c r="L190" i="26"/>
  <c r="I190" i="26"/>
  <c r="M190" i="26" s="1"/>
  <c r="CI189" i="26"/>
  <c r="J189" i="26" s="1"/>
  <c r="K189" i="26" s="1"/>
  <c r="O189" i="26" s="1"/>
  <c r="L189" i="26"/>
  <c r="I189" i="26"/>
  <c r="M189" i="26" s="1"/>
  <c r="CI188" i="26"/>
  <c r="J188" i="26" s="1"/>
  <c r="L188" i="26"/>
  <c r="I188" i="26"/>
  <c r="M188" i="26" s="1"/>
  <c r="CI187" i="26"/>
  <c r="J187" i="26" s="1"/>
  <c r="N187" i="26" s="1"/>
  <c r="P187" i="26" s="1"/>
  <c r="L187" i="26"/>
  <c r="I187" i="26"/>
  <c r="M187" i="26" s="1"/>
  <c r="CI186" i="26"/>
  <c r="J186" i="26" s="1"/>
  <c r="L186" i="26"/>
  <c r="I186" i="26"/>
  <c r="M186" i="26" s="1"/>
  <c r="CI185" i="26"/>
  <c r="J185" i="26" s="1"/>
  <c r="L185" i="26"/>
  <c r="I185" i="26"/>
  <c r="Q185" i="26" s="1"/>
  <c r="CI184" i="26"/>
  <c r="J184" i="26" s="1"/>
  <c r="L184" i="26"/>
  <c r="I184" i="26"/>
  <c r="Q184" i="26" s="1"/>
  <c r="CI183" i="26"/>
  <c r="J183" i="26" s="1"/>
  <c r="L183" i="26"/>
  <c r="I183" i="26"/>
  <c r="Q183" i="26" s="1"/>
  <c r="CI182" i="26"/>
  <c r="Q182" i="26"/>
  <c r="CI181" i="26"/>
  <c r="J181" i="26" s="1"/>
  <c r="N181" i="26" s="1"/>
  <c r="L181" i="26"/>
  <c r="I181" i="26"/>
  <c r="Q181" i="26" s="1"/>
  <c r="CI180" i="26"/>
  <c r="J180" i="26" s="1"/>
  <c r="L180" i="26"/>
  <c r="I180" i="26"/>
  <c r="Q180" i="26" s="1"/>
  <c r="CI179" i="26"/>
  <c r="J179" i="26" s="1"/>
  <c r="N179" i="26" s="1"/>
  <c r="P179" i="26" s="1"/>
  <c r="L179" i="26"/>
  <c r="I179" i="26"/>
  <c r="Q179" i="26" s="1"/>
  <c r="CI178" i="26"/>
  <c r="J178" i="26" s="1"/>
  <c r="L178" i="26"/>
  <c r="I178" i="26"/>
  <c r="Q178" i="26" s="1"/>
  <c r="CI177" i="26"/>
  <c r="J177" i="26" s="1"/>
  <c r="N177" i="26" s="1"/>
  <c r="L177" i="26"/>
  <c r="I177" i="26"/>
  <c r="Q177" i="26" s="1"/>
  <c r="CI176" i="26"/>
  <c r="J176" i="26" s="1"/>
  <c r="N176" i="26" s="1"/>
  <c r="P176" i="26" s="1"/>
  <c r="L176" i="26"/>
  <c r="I176" i="26"/>
  <c r="Q176" i="26" s="1"/>
  <c r="CI175" i="26"/>
  <c r="J175" i="26" s="1"/>
  <c r="N175" i="26" s="1"/>
  <c r="P175" i="26" s="1"/>
  <c r="L175" i="26"/>
  <c r="I175" i="26"/>
  <c r="Q175" i="26" s="1"/>
  <c r="CI174" i="26"/>
  <c r="J174" i="26" s="1"/>
  <c r="K174" i="26" s="1"/>
  <c r="O174" i="26" s="1"/>
  <c r="L174" i="26"/>
  <c r="I174" i="26"/>
  <c r="Q174" i="26" s="1"/>
  <c r="CI173" i="26"/>
  <c r="J173" i="26" s="1"/>
  <c r="N173" i="26" s="1"/>
  <c r="L173" i="26"/>
  <c r="I173" i="26"/>
  <c r="Q173" i="26" s="1"/>
  <c r="CI172" i="26"/>
  <c r="J172" i="26" s="1"/>
  <c r="K172" i="26" s="1"/>
  <c r="O172" i="26" s="1"/>
  <c r="L172" i="26"/>
  <c r="I172" i="26"/>
  <c r="Q172" i="26" s="1"/>
  <c r="CI171" i="26"/>
  <c r="J171" i="26" s="1"/>
  <c r="L171" i="26"/>
  <c r="I171" i="26"/>
  <c r="M171" i="26" s="1"/>
  <c r="CI170" i="26"/>
  <c r="Q170" i="26"/>
  <c r="CI169" i="26"/>
  <c r="Q169" i="26"/>
  <c r="CI168" i="26"/>
  <c r="J168" i="26" s="1"/>
  <c r="N168" i="26" s="1"/>
  <c r="L168" i="26"/>
  <c r="I168" i="26"/>
  <c r="Q168" i="26" s="1"/>
  <c r="CI167" i="26"/>
  <c r="J167" i="26" s="1"/>
  <c r="L167" i="26"/>
  <c r="I167" i="26"/>
  <c r="Q167" i="26" s="1"/>
  <c r="CI166" i="26"/>
  <c r="J166" i="26" s="1"/>
  <c r="L166" i="26"/>
  <c r="I166" i="26"/>
  <c r="Q166" i="26" s="1"/>
  <c r="CI165" i="26"/>
  <c r="J165" i="26" s="1"/>
  <c r="L165" i="26"/>
  <c r="I165" i="26"/>
  <c r="Q165" i="26" s="1"/>
  <c r="CI164" i="26"/>
  <c r="J164" i="26" s="1"/>
  <c r="N164" i="26" s="1"/>
  <c r="L164" i="26"/>
  <c r="I164" i="26"/>
  <c r="Q164" i="26" s="1"/>
  <c r="CI163" i="26"/>
  <c r="J163" i="26" s="1"/>
  <c r="L163" i="26"/>
  <c r="I163" i="26"/>
  <c r="Q163" i="26" s="1"/>
  <c r="CI162" i="26"/>
  <c r="J162" i="26" s="1"/>
  <c r="L162" i="26"/>
  <c r="I162" i="26"/>
  <c r="Q162" i="26" s="1"/>
  <c r="CI161" i="26"/>
  <c r="J161" i="26" s="1"/>
  <c r="L161" i="26"/>
  <c r="I161" i="26"/>
  <c r="Q161" i="26" s="1"/>
  <c r="CI160" i="26"/>
  <c r="J160" i="26" s="1"/>
  <c r="N160" i="26" s="1"/>
  <c r="L160" i="26"/>
  <c r="I160" i="26"/>
  <c r="Q160" i="26" s="1"/>
  <c r="CI159" i="26"/>
  <c r="J159" i="26" s="1"/>
  <c r="L159" i="26"/>
  <c r="I159" i="26"/>
  <c r="Q159" i="26" s="1"/>
  <c r="CI158" i="26"/>
  <c r="J158" i="26" s="1"/>
  <c r="L158" i="26"/>
  <c r="I158" i="26"/>
  <c r="Q158" i="26" s="1"/>
  <c r="CI157" i="26"/>
  <c r="J157" i="26" s="1"/>
  <c r="L157" i="26"/>
  <c r="I157" i="26"/>
  <c r="Q157" i="26" s="1"/>
  <c r="CI156" i="26"/>
  <c r="J156" i="26" s="1"/>
  <c r="N156" i="26" s="1"/>
  <c r="L156" i="26"/>
  <c r="I156" i="26"/>
  <c r="Q156" i="26" s="1"/>
  <c r="CI155" i="26"/>
  <c r="J155" i="26" s="1"/>
  <c r="L155" i="26"/>
  <c r="I155" i="26"/>
  <c r="Q155" i="26" s="1"/>
  <c r="CI154" i="26"/>
  <c r="J154" i="26" s="1"/>
  <c r="L154" i="26"/>
  <c r="I154" i="26"/>
  <c r="Q154" i="26" s="1"/>
  <c r="CI153" i="26"/>
  <c r="Q153" i="26"/>
  <c r="CI152" i="26"/>
  <c r="J152" i="26" s="1"/>
  <c r="N152" i="26" s="1"/>
  <c r="L152" i="26"/>
  <c r="I152" i="26"/>
  <c r="Q152" i="26" s="1"/>
  <c r="CI151" i="26"/>
  <c r="J151" i="26" s="1"/>
  <c r="L151" i="26"/>
  <c r="I151" i="26"/>
  <c r="Q151" i="26" s="1"/>
  <c r="CI150" i="26"/>
  <c r="J150" i="26" s="1"/>
  <c r="N150" i="26" s="1"/>
  <c r="P150" i="26" s="1"/>
  <c r="L150" i="26"/>
  <c r="I150" i="26"/>
  <c r="Q150" i="26" s="1"/>
  <c r="CI149" i="26"/>
  <c r="J149" i="26" s="1"/>
  <c r="L149" i="26"/>
  <c r="I149" i="26"/>
  <c r="Q149" i="26" s="1"/>
  <c r="CI148" i="26"/>
  <c r="J148" i="26" s="1"/>
  <c r="N148" i="26" s="1"/>
  <c r="L148" i="26"/>
  <c r="I148" i="26"/>
  <c r="Q148" i="26" s="1"/>
  <c r="CI147" i="26"/>
  <c r="J147" i="26" s="1"/>
  <c r="K147" i="26" s="1"/>
  <c r="O147" i="26" s="1"/>
  <c r="L147" i="26"/>
  <c r="I147" i="26"/>
  <c r="Q147" i="26" s="1"/>
  <c r="CI146" i="26"/>
  <c r="J146" i="26" s="1"/>
  <c r="N146" i="26" s="1"/>
  <c r="P146" i="26" s="1"/>
  <c r="L146" i="26"/>
  <c r="I146" i="26"/>
  <c r="Q146" i="26" s="1"/>
  <c r="CI145" i="26"/>
  <c r="J145" i="26" s="1"/>
  <c r="K145" i="26" s="1"/>
  <c r="O145" i="26" s="1"/>
  <c r="L145" i="26"/>
  <c r="I145" i="26"/>
  <c r="Q145" i="26" s="1"/>
  <c r="CI144" i="26"/>
  <c r="J144" i="26" s="1"/>
  <c r="N144" i="26" s="1"/>
  <c r="L144" i="26"/>
  <c r="I144" i="26"/>
  <c r="Q144" i="26" s="1"/>
  <c r="CI143" i="26"/>
  <c r="J143" i="26" s="1"/>
  <c r="K143" i="26" s="1"/>
  <c r="O143" i="26" s="1"/>
  <c r="L143" i="26"/>
  <c r="I143" i="26"/>
  <c r="Q143" i="26" s="1"/>
  <c r="CI142" i="26"/>
  <c r="J142" i="26" s="1"/>
  <c r="N142" i="26" s="1"/>
  <c r="P142" i="26" s="1"/>
  <c r="L142" i="26"/>
  <c r="I142" i="26"/>
  <c r="Q142" i="26" s="1"/>
  <c r="CI141" i="26"/>
  <c r="J141" i="26" s="1"/>
  <c r="N141" i="26" s="1"/>
  <c r="L141" i="26"/>
  <c r="I141" i="26"/>
  <c r="M141" i="26" s="1"/>
  <c r="CI140" i="26"/>
  <c r="J140" i="26" s="1"/>
  <c r="N140" i="26" s="1"/>
  <c r="L140" i="26"/>
  <c r="I140" i="26"/>
  <c r="M140" i="26" s="1"/>
  <c r="CI139" i="26"/>
  <c r="J139" i="26" s="1"/>
  <c r="L139" i="26"/>
  <c r="I139" i="26"/>
  <c r="Q139" i="26" s="1"/>
  <c r="CI138" i="26"/>
  <c r="J138" i="26" s="1"/>
  <c r="N138" i="26" s="1"/>
  <c r="L138" i="26"/>
  <c r="I138" i="26"/>
  <c r="Q138" i="26" s="1"/>
  <c r="CI137" i="26"/>
  <c r="J137" i="26" s="1"/>
  <c r="L137" i="26"/>
  <c r="I137" i="26"/>
  <c r="Q137" i="26" s="1"/>
  <c r="CI136" i="26"/>
  <c r="J136" i="26" s="1"/>
  <c r="L136" i="26"/>
  <c r="I136" i="26"/>
  <c r="Q136" i="26" s="1"/>
  <c r="CI135" i="26"/>
  <c r="J135" i="26" s="1"/>
  <c r="N135" i="26" s="1"/>
  <c r="L135" i="26"/>
  <c r="I135" i="26"/>
  <c r="Q135" i="26" s="1"/>
  <c r="CI134" i="26"/>
  <c r="J134" i="26" s="1"/>
  <c r="L134" i="26"/>
  <c r="I134" i="26"/>
  <c r="M134" i="26" s="1"/>
  <c r="CI133" i="26"/>
  <c r="J133" i="26" s="1"/>
  <c r="N133" i="26" s="1"/>
  <c r="L133" i="26"/>
  <c r="I133" i="26"/>
  <c r="Q133" i="26" s="1"/>
  <c r="CI132" i="26"/>
  <c r="J132" i="26" s="1"/>
  <c r="N132" i="26" s="1"/>
  <c r="L132" i="26"/>
  <c r="I132" i="26"/>
  <c r="M132" i="26" s="1"/>
  <c r="CI131" i="26"/>
  <c r="Q131" i="26"/>
  <c r="CI130" i="26"/>
  <c r="Q130" i="26"/>
  <c r="CI129" i="26"/>
  <c r="J129" i="26" s="1"/>
  <c r="L129" i="26"/>
  <c r="I129" i="26"/>
  <c r="Q129" i="26" s="1"/>
  <c r="CI128" i="26"/>
  <c r="J128" i="26" s="1"/>
  <c r="L128" i="26"/>
  <c r="I128" i="26"/>
  <c r="Q128" i="26" s="1"/>
  <c r="CI127" i="26"/>
  <c r="J127" i="26" s="1"/>
  <c r="N127" i="26" s="1"/>
  <c r="L127" i="26"/>
  <c r="I127" i="26"/>
  <c r="Q127" i="26" s="1"/>
  <c r="CI126" i="26"/>
  <c r="J126" i="26" s="1"/>
  <c r="L126" i="26"/>
  <c r="I126" i="26"/>
  <c r="Q126" i="26" s="1"/>
  <c r="CI125" i="26"/>
  <c r="J125" i="26" s="1"/>
  <c r="N125" i="26" s="1"/>
  <c r="L125" i="26"/>
  <c r="I125" i="26"/>
  <c r="M125" i="26" s="1"/>
  <c r="CI124" i="26"/>
  <c r="J124" i="26" s="1"/>
  <c r="N124" i="26" s="1"/>
  <c r="P124" i="26" s="1"/>
  <c r="L124" i="26"/>
  <c r="I124" i="26"/>
  <c r="M124" i="26" s="1"/>
  <c r="CI123" i="26"/>
  <c r="J123" i="26" s="1"/>
  <c r="N123" i="26" s="1"/>
  <c r="L123" i="26"/>
  <c r="I123" i="26"/>
  <c r="M123" i="26" s="1"/>
  <c r="CI122" i="26"/>
  <c r="J122" i="26" s="1"/>
  <c r="L122" i="26"/>
  <c r="I122" i="26"/>
  <c r="M122" i="26" s="1"/>
  <c r="CI121" i="26"/>
  <c r="Q121" i="26"/>
  <c r="CI120" i="26"/>
  <c r="J120" i="26" s="1"/>
  <c r="N120" i="26" s="1"/>
  <c r="L120" i="26"/>
  <c r="I120" i="26"/>
  <c r="Q120" i="26" s="1"/>
  <c r="CI119" i="26"/>
  <c r="J119" i="26" s="1"/>
  <c r="K119" i="26" s="1"/>
  <c r="O119" i="26" s="1"/>
  <c r="L119" i="26"/>
  <c r="I119" i="26"/>
  <c r="Q119" i="26" s="1"/>
  <c r="CI118" i="26"/>
  <c r="J118" i="26" s="1"/>
  <c r="N118" i="26" s="1"/>
  <c r="L118" i="26"/>
  <c r="I118" i="26"/>
  <c r="Q118" i="26" s="1"/>
  <c r="CI117" i="26"/>
  <c r="Q117" i="26"/>
  <c r="CI116" i="26"/>
  <c r="J116" i="26" s="1"/>
  <c r="L116" i="26"/>
  <c r="I116" i="26"/>
  <c r="M116" i="26" s="1"/>
  <c r="CI115" i="26"/>
  <c r="J115" i="26" s="1"/>
  <c r="N115" i="26" s="1"/>
  <c r="L115" i="26"/>
  <c r="I115" i="26"/>
  <c r="M115" i="26" s="1"/>
  <c r="CI114" i="26"/>
  <c r="J114" i="26" s="1"/>
  <c r="K114" i="26" s="1"/>
  <c r="O114" i="26" s="1"/>
  <c r="L114" i="26"/>
  <c r="I114" i="26"/>
  <c r="Q114" i="26" s="1"/>
  <c r="CI113" i="26"/>
  <c r="J113" i="26" s="1"/>
  <c r="N113" i="26" s="1"/>
  <c r="L113" i="26"/>
  <c r="I113" i="26"/>
  <c r="Q113" i="26" s="1"/>
  <c r="CI112" i="26"/>
  <c r="J112" i="26" s="1"/>
  <c r="K112" i="26" s="1"/>
  <c r="O112" i="26" s="1"/>
  <c r="L112" i="26"/>
  <c r="I112" i="26"/>
  <c r="Q112" i="26" s="1"/>
  <c r="CI111" i="26"/>
  <c r="Q111" i="26"/>
  <c r="CI110" i="26"/>
  <c r="Q110" i="26"/>
  <c r="CI109" i="26"/>
  <c r="J109" i="26" s="1"/>
  <c r="L109" i="26"/>
  <c r="I109" i="26"/>
  <c r="Q109" i="26" s="1"/>
  <c r="CI108" i="26"/>
  <c r="J108" i="26" s="1"/>
  <c r="L108" i="26"/>
  <c r="I108" i="26"/>
  <c r="Q108" i="26" s="1"/>
  <c r="CI107" i="26"/>
  <c r="J107" i="26" s="1"/>
  <c r="K107" i="26" s="1"/>
  <c r="O107" i="26" s="1"/>
  <c r="L107" i="26"/>
  <c r="I107" i="26"/>
  <c r="Q107" i="26" s="1"/>
  <c r="CI106" i="26"/>
  <c r="J106" i="26" s="1"/>
  <c r="N106" i="26" s="1"/>
  <c r="L106" i="26"/>
  <c r="I106" i="26"/>
  <c r="Q106" i="26" s="1"/>
  <c r="CI105" i="26"/>
  <c r="J105" i="26" s="1"/>
  <c r="K105" i="26" s="1"/>
  <c r="O105" i="26" s="1"/>
  <c r="L105" i="26"/>
  <c r="I105" i="26"/>
  <c r="Q105" i="26" s="1"/>
  <c r="CI104" i="26"/>
  <c r="J104" i="26" s="1"/>
  <c r="L104" i="26"/>
  <c r="I104" i="26"/>
  <c r="Q104" i="26" s="1"/>
  <c r="CI103" i="26"/>
  <c r="J103" i="26" s="1"/>
  <c r="K103" i="26" s="1"/>
  <c r="O103" i="26" s="1"/>
  <c r="L103" i="26"/>
  <c r="I103" i="26"/>
  <c r="Q103" i="26" s="1"/>
  <c r="CI102" i="26"/>
  <c r="J102" i="26" s="1"/>
  <c r="N102" i="26" s="1"/>
  <c r="L102" i="26"/>
  <c r="I102" i="26"/>
  <c r="Q102" i="26" s="1"/>
  <c r="CI101" i="26"/>
  <c r="J101" i="26" s="1"/>
  <c r="K101" i="26" s="1"/>
  <c r="O101" i="26" s="1"/>
  <c r="L101" i="26"/>
  <c r="I101" i="26"/>
  <c r="Q101" i="26" s="1"/>
  <c r="CI100" i="26"/>
  <c r="J100" i="26" s="1"/>
  <c r="L100" i="26"/>
  <c r="I100" i="26"/>
  <c r="Q100" i="26" s="1"/>
  <c r="CI99" i="26"/>
  <c r="Q99" i="26"/>
  <c r="CI98" i="26"/>
  <c r="J98" i="26" s="1"/>
  <c r="N98" i="26" s="1"/>
  <c r="L98" i="26"/>
  <c r="I98" i="26"/>
  <c r="Q98" i="26" s="1"/>
  <c r="CI97" i="26"/>
  <c r="J97" i="26" s="1"/>
  <c r="N97" i="26" s="1"/>
  <c r="L97" i="26"/>
  <c r="I97" i="26"/>
  <c r="Q97" i="26" s="1"/>
  <c r="CI96" i="26"/>
  <c r="Q96" i="26"/>
  <c r="CI95" i="26"/>
  <c r="J95" i="26" s="1"/>
  <c r="N95" i="26" s="1"/>
  <c r="L95" i="26"/>
  <c r="I95" i="26"/>
  <c r="Q95" i="26" s="1"/>
  <c r="CI94" i="26"/>
  <c r="J94" i="26" s="1"/>
  <c r="K94" i="26" s="1"/>
  <c r="O94" i="26" s="1"/>
  <c r="L94" i="26"/>
  <c r="L93" i="26" s="1"/>
  <c r="I94" i="26"/>
  <c r="Q94" i="26" s="1"/>
  <c r="CI93" i="26"/>
  <c r="Q93" i="26"/>
  <c r="CI92" i="26"/>
  <c r="J92" i="26" s="1"/>
  <c r="N92" i="26" s="1"/>
  <c r="L92" i="26"/>
  <c r="L91" i="26" s="1"/>
  <c r="I92" i="26"/>
  <c r="Q92" i="26" s="1"/>
  <c r="CI91" i="26"/>
  <c r="Q91" i="26"/>
  <c r="CI90" i="26"/>
  <c r="J90" i="26" s="1"/>
  <c r="L90" i="26"/>
  <c r="L88" i="26" s="1"/>
  <c r="I90" i="26"/>
  <c r="Q90" i="26" s="1"/>
  <c r="CI89" i="26"/>
  <c r="J89" i="26" s="1"/>
  <c r="L89" i="26"/>
  <c r="I89" i="26"/>
  <c r="M89" i="26" s="1"/>
  <c r="CI88" i="26"/>
  <c r="Q88" i="26"/>
  <c r="CI87" i="26"/>
  <c r="J87" i="26" s="1"/>
  <c r="K87" i="26" s="1"/>
  <c r="O87" i="26" s="1"/>
  <c r="L87" i="26"/>
  <c r="L84" i="26" s="1"/>
  <c r="I87" i="26"/>
  <c r="Q87" i="26" s="1"/>
  <c r="CI86" i="26"/>
  <c r="J86" i="26" s="1"/>
  <c r="L86" i="26"/>
  <c r="I86" i="26"/>
  <c r="Q86" i="26" s="1"/>
  <c r="CI85" i="26"/>
  <c r="J85" i="26" s="1"/>
  <c r="K85" i="26" s="1"/>
  <c r="O85" i="26" s="1"/>
  <c r="L85" i="26"/>
  <c r="I85" i="26"/>
  <c r="Q85" i="26" s="1"/>
  <c r="CI84" i="26"/>
  <c r="Q84" i="26"/>
  <c r="CI83" i="26"/>
  <c r="J83" i="26" s="1"/>
  <c r="N83" i="26" s="1"/>
  <c r="L83" i="26"/>
  <c r="I83" i="26"/>
  <c r="Q83" i="26" s="1"/>
  <c r="CI82" i="26"/>
  <c r="J82" i="26" s="1"/>
  <c r="L82" i="26"/>
  <c r="I82" i="26"/>
  <c r="Q82" i="26" s="1"/>
  <c r="CI81" i="26"/>
  <c r="J81" i="26" s="1"/>
  <c r="N81" i="26" s="1"/>
  <c r="L81" i="26"/>
  <c r="I81" i="26"/>
  <c r="Q81" i="26" s="1"/>
  <c r="CI80" i="26"/>
  <c r="J80" i="26" s="1"/>
  <c r="K80" i="26" s="1"/>
  <c r="O80" i="26" s="1"/>
  <c r="L80" i="26"/>
  <c r="I80" i="26"/>
  <c r="Q80" i="26" s="1"/>
  <c r="CI79" i="26"/>
  <c r="Q79" i="26"/>
  <c r="CI78" i="26"/>
  <c r="Q78" i="26"/>
  <c r="CI77" i="26"/>
  <c r="J77" i="26" s="1"/>
  <c r="K77" i="26" s="1"/>
  <c r="O77" i="26" s="1"/>
  <c r="O76" i="26" s="1"/>
  <c r="L77" i="26"/>
  <c r="L76" i="26" s="1"/>
  <c r="I77" i="26"/>
  <c r="Q77" i="26" s="1"/>
  <c r="CI76" i="26"/>
  <c r="Q76" i="26"/>
  <c r="CI75" i="26"/>
  <c r="J75" i="26" s="1"/>
  <c r="N75" i="26" s="1"/>
  <c r="L75" i="26"/>
  <c r="L73" i="26" s="1"/>
  <c r="I75" i="26"/>
  <c r="Q75" i="26" s="1"/>
  <c r="CI74" i="26"/>
  <c r="J74" i="26" s="1"/>
  <c r="L74" i="26"/>
  <c r="I74" i="26"/>
  <c r="Q74" i="26" s="1"/>
  <c r="CI73" i="26"/>
  <c r="Q73" i="26"/>
  <c r="CI72" i="26"/>
  <c r="J72" i="26" s="1"/>
  <c r="L72" i="26"/>
  <c r="L71" i="26" s="1"/>
  <c r="I72" i="26"/>
  <c r="Q72" i="26" s="1"/>
  <c r="CI71" i="26"/>
  <c r="Q71" i="26"/>
  <c r="CI70" i="26"/>
  <c r="Q70" i="26"/>
  <c r="CI69" i="26"/>
  <c r="J69" i="26" s="1"/>
  <c r="L69" i="26"/>
  <c r="L68" i="26" s="1"/>
  <c r="I69" i="26"/>
  <c r="Q69" i="26" s="1"/>
  <c r="CI68" i="26"/>
  <c r="Q68" i="26"/>
  <c r="CI67" i="26"/>
  <c r="J67" i="26" s="1"/>
  <c r="L67" i="26"/>
  <c r="I67" i="26"/>
  <c r="Q67" i="26" s="1"/>
  <c r="CI66" i="26"/>
  <c r="J66" i="26" s="1"/>
  <c r="K66" i="26" s="1"/>
  <c r="O66" i="26" s="1"/>
  <c r="L66" i="26"/>
  <c r="I66" i="26"/>
  <c r="Q66" i="26" s="1"/>
  <c r="CI65" i="26"/>
  <c r="J65" i="26" s="1"/>
  <c r="K65" i="26" s="1"/>
  <c r="O65" i="26" s="1"/>
  <c r="L65" i="26"/>
  <c r="I65" i="26"/>
  <c r="Q65" i="26" s="1"/>
  <c r="CI64" i="26"/>
  <c r="J64" i="26" s="1"/>
  <c r="L64" i="26"/>
  <c r="I64" i="26"/>
  <c r="Q64" i="26" s="1"/>
  <c r="CI63" i="26"/>
  <c r="Q63" i="26"/>
  <c r="CI62" i="26"/>
  <c r="J62" i="26" s="1"/>
  <c r="L62" i="26"/>
  <c r="I62" i="26"/>
  <c r="Q62" i="26" s="1"/>
  <c r="CI61" i="26"/>
  <c r="J61" i="26" s="1"/>
  <c r="N61" i="26" s="1"/>
  <c r="L61" i="26"/>
  <c r="I61" i="26"/>
  <c r="Q61" i="26" s="1"/>
  <c r="CI60" i="26"/>
  <c r="J60" i="26" s="1"/>
  <c r="N60" i="26" s="1"/>
  <c r="L60" i="26"/>
  <c r="I60" i="26"/>
  <c r="Q60" i="26" s="1"/>
  <c r="CI59" i="26"/>
  <c r="J59" i="26" s="1"/>
  <c r="N59" i="26" s="1"/>
  <c r="L59" i="26"/>
  <c r="I59" i="26"/>
  <c r="Q59" i="26" s="1"/>
  <c r="CI58" i="26"/>
  <c r="Q58" i="26"/>
  <c r="CI57" i="26"/>
  <c r="J57" i="26" s="1"/>
  <c r="L57" i="26"/>
  <c r="I57" i="26"/>
  <c r="Q57" i="26" s="1"/>
  <c r="CI56" i="26"/>
  <c r="J56" i="26" s="1"/>
  <c r="K56" i="26" s="1"/>
  <c r="O56" i="26" s="1"/>
  <c r="L56" i="26"/>
  <c r="I56" i="26"/>
  <c r="Q56" i="26" s="1"/>
  <c r="CI55" i="26"/>
  <c r="J55" i="26" s="1"/>
  <c r="N55" i="26" s="1"/>
  <c r="L55" i="26"/>
  <c r="I55" i="26"/>
  <c r="Q55" i="26" s="1"/>
  <c r="CI54" i="26"/>
  <c r="J54" i="26" s="1"/>
  <c r="K54" i="26" s="1"/>
  <c r="O54" i="26" s="1"/>
  <c r="L54" i="26"/>
  <c r="I54" i="26"/>
  <c r="M54" i="26" s="1"/>
  <c r="CI53" i="26"/>
  <c r="J53" i="26" s="1"/>
  <c r="L53" i="26"/>
  <c r="I53" i="26"/>
  <c r="Q53" i="26" s="1"/>
  <c r="CI52" i="26"/>
  <c r="Q52" i="26"/>
  <c r="CI51" i="26"/>
  <c r="J51" i="26" s="1"/>
  <c r="L51" i="26"/>
  <c r="I51" i="26"/>
  <c r="Q51" i="26" s="1"/>
  <c r="CI50" i="26"/>
  <c r="J50" i="26" s="1"/>
  <c r="L50" i="26"/>
  <c r="I50" i="26"/>
  <c r="Q50" i="26" s="1"/>
  <c r="CI49" i="26"/>
  <c r="J49" i="26" s="1"/>
  <c r="L49" i="26"/>
  <c r="I49" i="26"/>
  <c r="Q49" i="26" s="1"/>
  <c r="CI48" i="26"/>
  <c r="J48" i="26" s="1"/>
  <c r="L48" i="26"/>
  <c r="I48" i="26"/>
  <c r="M48" i="26" s="1"/>
  <c r="CI47" i="26"/>
  <c r="I47" i="26"/>
  <c r="Q47" i="26" s="1"/>
  <c r="F47" i="26"/>
  <c r="CI46" i="26"/>
  <c r="I46" i="26"/>
  <c r="Q46" i="26" s="1"/>
  <c r="CI45" i="26"/>
  <c r="J45" i="26" s="1"/>
  <c r="N45" i="26" s="1"/>
  <c r="L45" i="26"/>
  <c r="I45" i="26"/>
  <c r="Q45" i="26" s="1"/>
  <c r="CI44" i="26"/>
  <c r="J44" i="26" s="1"/>
  <c r="L44" i="26"/>
  <c r="I44" i="26"/>
  <c r="Q44" i="26" s="1"/>
  <c r="CI43" i="26"/>
  <c r="J43" i="26" s="1"/>
  <c r="L43" i="26"/>
  <c r="I43" i="26"/>
  <c r="M43" i="26" s="1"/>
  <c r="CI42" i="26"/>
  <c r="J42" i="26" s="1"/>
  <c r="L42" i="26"/>
  <c r="I42" i="26"/>
  <c r="Q42" i="26" s="1"/>
  <c r="CI41" i="26"/>
  <c r="J41" i="26" s="1"/>
  <c r="K41" i="26" s="1"/>
  <c r="O41" i="26" s="1"/>
  <c r="L41" i="26"/>
  <c r="I41" i="26"/>
  <c r="M41" i="26" s="1"/>
  <c r="CI40" i="26"/>
  <c r="I40" i="26"/>
  <c r="Q40" i="26" s="1"/>
  <c r="CI39" i="26"/>
  <c r="J39" i="26" s="1"/>
  <c r="L39" i="26"/>
  <c r="I39" i="26"/>
  <c r="Q39" i="26" s="1"/>
  <c r="CI38" i="26"/>
  <c r="J38" i="26" s="1"/>
  <c r="L38" i="26"/>
  <c r="I38" i="26"/>
  <c r="M38" i="26" s="1"/>
  <c r="CI37" i="26"/>
  <c r="J37" i="26" s="1"/>
  <c r="L37" i="26"/>
  <c r="I37" i="26"/>
  <c r="Q37" i="26" s="1"/>
  <c r="CI36" i="26"/>
  <c r="J36" i="26" s="1"/>
  <c r="L36" i="26"/>
  <c r="I36" i="26"/>
  <c r="M36" i="26" s="1"/>
  <c r="CI35" i="26"/>
  <c r="J35" i="26" s="1"/>
  <c r="L35" i="26"/>
  <c r="I35" i="26"/>
  <c r="Q35" i="26" s="1"/>
  <c r="CI34" i="26"/>
  <c r="Q34" i="26"/>
  <c r="CI33" i="26"/>
  <c r="Q33" i="26"/>
  <c r="CI32" i="26"/>
  <c r="J32" i="26" s="1"/>
  <c r="L32" i="26"/>
  <c r="I32" i="26"/>
  <c r="Q32" i="26" s="1"/>
  <c r="CI31" i="26"/>
  <c r="J31" i="26" s="1"/>
  <c r="L31" i="26"/>
  <c r="I31" i="26"/>
  <c r="M31" i="26" s="1"/>
  <c r="CI30" i="26"/>
  <c r="J30" i="26" s="1"/>
  <c r="L30" i="26"/>
  <c r="I30" i="26"/>
  <c r="Q30" i="26" s="1"/>
  <c r="CI29" i="26"/>
  <c r="J29" i="26" s="1"/>
  <c r="L29" i="26"/>
  <c r="I29" i="26"/>
  <c r="M29" i="26" s="1"/>
  <c r="CI28" i="26"/>
  <c r="J28" i="26" s="1"/>
  <c r="L28" i="26"/>
  <c r="I28" i="26"/>
  <c r="Q28" i="26" s="1"/>
  <c r="CI27" i="26"/>
  <c r="Q27" i="26"/>
  <c r="CI26" i="26"/>
  <c r="J26" i="26" s="1"/>
  <c r="N26" i="26" s="1"/>
  <c r="L26" i="26"/>
  <c r="I26" i="26"/>
  <c r="M26" i="26" s="1"/>
  <c r="CI25" i="26"/>
  <c r="J25" i="26" s="1"/>
  <c r="L25" i="26"/>
  <c r="I25" i="26"/>
  <c r="Q25" i="26" s="1"/>
  <c r="CI24" i="26"/>
  <c r="J24" i="26" s="1"/>
  <c r="L24" i="26"/>
  <c r="I24" i="26"/>
  <c r="Q24" i="26" s="1"/>
  <c r="CI23" i="26"/>
  <c r="J23" i="26" s="1"/>
  <c r="L23" i="26"/>
  <c r="I23" i="26"/>
  <c r="Q23" i="26" s="1"/>
  <c r="CI22" i="26"/>
  <c r="J22" i="26" s="1"/>
  <c r="N22" i="26" s="1"/>
  <c r="L22" i="26"/>
  <c r="I22" i="26"/>
  <c r="Q22" i="26" s="1"/>
  <c r="CI21" i="26"/>
  <c r="J21" i="26" s="1"/>
  <c r="L21" i="26"/>
  <c r="I21" i="26"/>
  <c r="Q21" i="26" s="1"/>
  <c r="CI20" i="26"/>
  <c r="J20" i="26" s="1"/>
  <c r="L20" i="26"/>
  <c r="I20" i="26"/>
  <c r="Q20" i="26" s="1"/>
  <c r="CI19" i="26"/>
  <c r="J19" i="26" s="1"/>
  <c r="L19" i="26"/>
  <c r="I19" i="26"/>
  <c r="Q19" i="26" s="1"/>
  <c r="CI18" i="26"/>
  <c r="J18" i="26" s="1"/>
  <c r="N18" i="26" s="1"/>
  <c r="L18" i="26"/>
  <c r="I18" i="26"/>
  <c r="Q18" i="26" s="1"/>
  <c r="CI17" i="26"/>
  <c r="J17" i="26" s="1"/>
  <c r="N17" i="26" s="1"/>
  <c r="L17" i="26"/>
  <c r="I17" i="26"/>
  <c r="Q17" i="26" s="1"/>
  <c r="CI16" i="26"/>
  <c r="J16" i="26" s="1"/>
  <c r="L16" i="26"/>
  <c r="M16" i="26"/>
  <c r="CI15" i="26"/>
  <c r="Q15" i="26"/>
  <c r="H8" i="26"/>
  <c r="AE8" i="26" s="1"/>
  <c r="AF6" i="26"/>
  <c r="P258" i="26" l="1"/>
  <c r="L58" i="26"/>
  <c r="P22" i="26"/>
  <c r="L47" i="26"/>
  <c r="P83" i="26"/>
  <c r="P233" i="26"/>
  <c r="P241" i="26"/>
  <c r="P60" i="26"/>
  <c r="P18" i="26"/>
  <c r="P26" i="26"/>
  <c r="P144" i="26"/>
  <c r="P177" i="26"/>
  <c r="P224" i="26"/>
  <c r="P229" i="26"/>
  <c r="P237" i="26"/>
  <c r="L70" i="26"/>
  <c r="P75" i="26"/>
  <c r="P113" i="26"/>
  <c r="L117" i="26"/>
  <c r="P127" i="26"/>
  <c r="P133" i="26"/>
  <c r="P160" i="26"/>
  <c r="P168" i="26"/>
  <c r="L96" i="26"/>
  <c r="L253" i="26"/>
  <c r="P236" i="26"/>
  <c r="L52" i="26"/>
  <c r="L209" i="26"/>
  <c r="M61" i="26"/>
  <c r="P102" i="26"/>
  <c r="L195" i="26"/>
  <c r="L99" i="26"/>
  <c r="P152" i="26"/>
  <c r="L182" i="26"/>
  <c r="P245" i="26"/>
  <c r="L276" i="26"/>
  <c r="P225" i="26"/>
  <c r="P230" i="26"/>
  <c r="P55" i="26"/>
  <c r="P81" i="26"/>
  <c r="P125" i="26"/>
  <c r="P234" i="26"/>
  <c r="P242" i="26"/>
  <c r="L111" i="26"/>
  <c r="L110" i="26" s="1"/>
  <c r="L121" i="26"/>
  <c r="P17" i="26"/>
  <c r="P95" i="26"/>
  <c r="P106" i="26"/>
  <c r="P120" i="26"/>
  <c r="P123" i="26"/>
  <c r="L131" i="26"/>
  <c r="P156" i="26"/>
  <c r="P164" i="26"/>
  <c r="P232" i="26"/>
  <c r="P240" i="26"/>
  <c r="P259" i="26"/>
  <c r="P45" i="26"/>
  <c r="P61" i="26"/>
  <c r="P98" i="26"/>
  <c r="P115" i="26"/>
  <c r="P140" i="26"/>
  <c r="P148" i="26"/>
  <c r="L153" i="26"/>
  <c r="P173" i="26"/>
  <c r="P181" i="26"/>
  <c r="P211" i="26"/>
  <c r="L270" i="26"/>
  <c r="L27" i="26"/>
  <c r="L34" i="26"/>
  <c r="L79" i="26"/>
  <c r="L78" i="26" s="1"/>
  <c r="P135" i="26"/>
  <c r="L170" i="26"/>
  <c r="L169" i="26" s="1"/>
  <c r="P238" i="26"/>
  <c r="P257" i="26"/>
  <c r="L215" i="26"/>
  <c r="L40" i="26"/>
  <c r="L63" i="26"/>
  <c r="P138" i="26"/>
  <c r="P201" i="26"/>
  <c r="L15" i="26"/>
  <c r="L248" i="26"/>
  <c r="M59" i="26"/>
  <c r="M119" i="26"/>
  <c r="Q41" i="26"/>
  <c r="Q122" i="26"/>
  <c r="K277" i="26"/>
  <c r="O277" i="26" s="1"/>
  <c r="Q259" i="26"/>
  <c r="M228" i="26"/>
  <c r="Q242" i="26"/>
  <c r="K259" i="26"/>
  <c r="O259" i="26" s="1"/>
  <c r="Q277" i="26"/>
  <c r="M50" i="26"/>
  <c r="M56" i="26"/>
  <c r="Q43" i="26"/>
  <c r="Q89" i="26"/>
  <c r="Q115" i="26"/>
  <c r="Q124" i="26"/>
  <c r="Q132" i="26"/>
  <c r="Q140" i="26"/>
  <c r="Q189" i="26"/>
  <c r="K140" i="26"/>
  <c r="O140" i="26" s="1"/>
  <c r="N43" i="26"/>
  <c r="P43" i="26" s="1"/>
  <c r="K43" i="26"/>
  <c r="O43" i="26" s="1"/>
  <c r="N16" i="26"/>
  <c r="P16" i="26" s="1"/>
  <c r="K16" i="26"/>
  <c r="O16" i="26" s="1"/>
  <c r="N128" i="26"/>
  <c r="P128" i="26" s="1"/>
  <c r="K128" i="26"/>
  <c r="O128" i="26" s="1"/>
  <c r="N256" i="26"/>
  <c r="P256" i="26" s="1"/>
  <c r="K256" i="26"/>
  <c r="O256" i="26" s="1"/>
  <c r="N21" i="26"/>
  <c r="P21" i="26" s="1"/>
  <c r="K21" i="26"/>
  <c r="O21" i="26" s="1"/>
  <c r="N25" i="26"/>
  <c r="P25" i="26" s="1"/>
  <c r="K25" i="26"/>
  <c r="O25" i="26" s="1"/>
  <c r="N49" i="26"/>
  <c r="P49" i="26" s="1"/>
  <c r="K49" i="26"/>
  <c r="O49" i="26" s="1"/>
  <c r="N139" i="26"/>
  <c r="P139" i="26" s="1"/>
  <c r="K139" i="26"/>
  <c r="O139" i="26" s="1"/>
  <c r="N247" i="26"/>
  <c r="P247" i="26" s="1"/>
  <c r="K247" i="26"/>
  <c r="O247" i="26" s="1"/>
  <c r="K123" i="26"/>
  <c r="O123" i="26" s="1"/>
  <c r="N19" i="26"/>
  <c r="P19" i="26" s="1"/>
  <c r="K19" i="26"/>
  <c r="O19" i="26" s="1"/>
  <c r="N72" i="26"/>
  <c r="N71" i="26" s="1"/>
  <c r="K72" i="26"/>
  <c r="O72" i="26" s="1"/>
  <c r="O71" i="26" s="1"/>
  <c r="N82" i="26"/>
  <c r="P82" i="26" s="1"/>
  <c r="K82" i="26"/>
  <c r="O82" i="26" s="1"/>
  <c r="N129" i="26"/>
  <c r="P129" i="26" s="1"/>
  <c r="K129" i="26"/>
  <c r="O129" i="26" s="1"/>
  <c r="N149" i="26"/>
  <c r="P149" i="26" s="1"/>
  <c r="K149" i="26"/>
  <c r="O149" i="26" s="1"/>
  <c r="N158" i="26"/>
  <c r="P158" i="26" s="1"/>
  <c r="K158" i="26"/>
  <c r="O158" i="26" s="1"/>
  <c r="N163" i="26"/>
  <c r="P163" i="26" s="1"/>
  <c r="K163" i="26"/>
  <c r="O163" i="26" s="1"/>
  <c r="N184" i="26"/>
  <c r="P184" i="26" s="1"/>
  <c r="K184" i="26"/>
  <c r="O184" i="26" s="1"/>
  <c r="N188" i="26"/>
  <c r="P188" i="26" s="1"/>
  <c r="K188" i="26"/>
  <c r="O188" i="26" s="1"/>
  <c r="N220" i="26"/>
  <c r="P220" i="26" s="1"/>
  <c r="K220" i="26"/>
  <c r="O220" i="26" s="1"/>
  <c r="K249" i="26"/>
  <c r="O249" i="26" s="1"/>
  <c r="N249" i="26"/>
  <c r="P249" i="26" s="1"/>
  <c r="N278" i="26"/>
  <c r="P278" i="26" s="1"/>
  <c r="K278" i="26"/>
  <c r="O278" i="26" s="1"/>
  <c r="N51" i="26"/>
  <c r="P51" i="26" s="1"/>
  <c r="K51" i="26"/>
  <c r="O51" i="26" s="1"/>
  <c r="N69" i="26"/>
  <c r="N68" i="26" s="1"/>
  <c r="P68" i="26" s="1"/>
  <c r="K69" i="26"/>
  <c r="O69" i="26" s="1"/>
  <c r="O68" i="26" s="1"/>
  <c r="N86" i="26"/>
  <c r="P86" i="26" s="1"/>
  <c r="K86" i="26"/>
  <c r="O86" i="26" s="1"/>
  <c r="O84" i="26" s="1"/>
  <c r="N104" i="26"/>
  <c r="P104" i="26" s="1"/>
  <c r="K104" i="26"/>
  <c r="O104" i="26" s="1"/>
  <c r="N157" i="26"/>
  <c r="P157" i="26" s="1"/>
  <c r="K157" i="26"/>
  <c r="O157" i="26" s="1"/>
  <c r="N162" i="26"/>
  <c r="P162" i="26" s="1"/>
  <c r="K162" i="26"/>
  <c r="O162" i="26" s="1"/>
  <c r="N167" i="26"/>
  <c r="P167" i="26" s="1"/>
  <c r="K167" i="26"/>
  <c r="O167" i="26" s="1"/>
  <c r="N180" i="26"/>
  <c r="P180" i="26" s="1"/>
  <c r="K180" i="26"/>
  <c r="O180" i="26" s="1"/>
  <c r="N183" i="26"/>
  <c r="P183" i="26" s="1"/>
  <c r="K183" i="26"/>
  <c r="O183" i="26" s="1"/>
  <c r="N200" i="26"/>
  <c r="P200" i="26" s="1"/>
  <c r="K200" i="26"/>
  <c r="O200" i="26" s="1"/>
  <c r="N206" i="26"/>
  <c r="P206" i="26" s="1"/>
  <c r="K206" i="26"/>
  <c r="O206" i="26" s="1"/>
  <c r="N235" i="26"/>
  <c r="P235" i="26" s="1"/>
  <c r="K235" i="26"/>
  <c r="O235" i="26" s="1"/>
  <c r="N246" i="26"/>
  <c r="P246" i="26" s="1"/>
  <c r="K246" i="26"/>
  <c r="O246" i="26" s="1"/>
  <c r="N62" i="26"/>
  <c r="P62" i="26" s="1"/>
  <c r="K62" i="26"/>
  <c r="O62" i="26" s="1"/>
  <c r="N116" i="26"/>
  <c r="P116" i="26" s="1"/>
  <c r="K116" i="26"/>
  <c r="O116" i="26" s="1"/>
  <c r="N134" i="26"/>
  <c r="P134" i="26" s="1"/>
  <c r="K134" i="26"/>
  <c r="O134" i="26" s="1"/>
  <c r="N192" i="26"/>
  <c r="P192" i="26" s="1"/>
  <c r="K192" i="26"/>
  <c r="O192" i="26" s="1"/>
  <c r="N197" i="26"/>
  <c r="P197" i="26" s="1"/>
  <c r="K197" i="26"/>
  <c r="O197" i="26" s="1"/>
  <c r="N207" i="26"/>
  <c r="P207" i="26" s="1"/>
  <c r="K207" i="26"/>
  <c r="O207" i="26" s="1"/>
  <c r="N74" i="26"/>
  <c r="P74" i="26" s="1"/>
  <c r="K74" i="26"/>
  <c r="O74" i="26" s="1"/>
  <c r="N137" i="26"/>
  <c r="P137" i="26" s="1"/>
  <c r="K137" i="26"/>
  <c r="O137" i="26" s="1"/>
  <c r="N151" i="26"/>
  <c r="P151" i="26" s="1"/>
  <c r="K151" i="26"/>
  <c r="O151" i="26" s="1"/>
  <c r="N155" i="26"/>
  <c r="P155" i="26" s="1"/>
  <c r="K155" i="26"/>
  <c r="O155" i="26" s="1"/>
  <c r="N161" i="26"/>
  <c r="P161" i="26" s="1"/>
  <c r="K161" i="26"/>
  <c r="O161" i="26" s="1"/>
  <c r="N166" i="26"/>
  <c r="P166" i="26" s="1"/>
  <c r="K166" i="26"/>
  <c r="O166" i="26" s="1"/>
  <c r="N186" i="26"/>
  <c r="P186" i="26" s="1"/>
  <c r="K186" i="26"/>
  <c r="O186" i="26" s="1"/>
  <c r="N194" i="26"/>
  <c r="P194" i="26" s="1"/>
  <c r="K194" i="26"/>
  <c r="O194" i="26" s="1"/>
  <c r="N199" i="26"/>
  <c r="P199" i="26" s="1"/>
  <c r="K199" i="26"/>
  <c r="O199" i="26" s="1"/>
  <c r="N204" i="26"/>
  <c r="P204" i="26" s="1"/>
  <c r="K204" i="26"/>
  <c r="O204" i="26" s="1"/>
  <c r="N213" i="26"/>
  <c r="P213" i="26" s="1"/>
  <c r="K213" i="26"/>
  <c r="O213" i="26" s="1"/>
  <c r="N218" i="26"/>
  <c r="P218" i="26" s="1"/>
  <c r="K218" i="26"/>
  <c r="O218" i="26" s="1"/>
  <c r="N222" i="26"/>
  <c r="P222" i="26" s="1"/>
  <c r="K222" i="26"/>
  <c r="O222" i="26" s="1"/>
  <c r="N244" i="26"/>
  <c r="P244" i="26" s="1"/>
  <c r="K244" i="26"/>
  <c r="O244" i="26" s="1"/>
  <c r="N255" i="26"/>
  <c r="P255" i="26" s="1"/>
  <c r="K255" i="26"/>
  <c r="O255" i="26" s="1"/>
  <c r="N67" i="26"/>
  <c r="P67" i="26" s="1"/>
  <c r="K67" i="26"/>
  <c r="O67" i="26" s="1"/>
  <c r="N202" i="26"/>
  <c r="P202" i="26" s="1"/>
  <c r="K202" i="26"/>
  <c r="O202" i="26" s="1"/>
  <c r="N24" i="26"/>
  <c r="P24" i="26" s="1"/>
  <c r="K24" i="26"/>
  <c r="O24" i="26" s="1"/>
  <c r="N20" i="26"/>
  <c r="P20" i="26" s="1"/>
  <c r="K20" i="26"/>
  <c r="O20" i="26" s="1"/>
  <c r="N23" i="26"/>
  <c r="P23" i="26" s="1"/>
  <c r="K23" i="26"/>
  <c r="O23" i="26" s="1"/>
  <c r="N90" i="26"/>
  <c r="N88" i="26" s="1"/>
  <c r="P88" i="26" s="1"/>
  <c r="K90" i="26"/>
  <c r="O90" i="26" s="1"/>
  <c r="O88" i="26" s="1"/>
  <c r="N100" i="26"/>
  <c r="P100" i="26" s="1"/>
  <c r="K100" i="26"/>
  <c r="O100" i="26" s="1"/>
  <c r="N108" i="26"/>
  <c r="P108" i="26" s="1"/>
  <c r="K108" i="26"/>
  <c r="O108" i="26" s="1"/>
  <c r="N136" i="26"/>
  <c r="P136" i="26" s="1"/>
  <c r="K136" i="26"/>
  <c r="O136" i="26" s="1"/>
  <c r="N154" i="26"/>
  <c r="P154" i="26" s="1"/>
  <c r="K154" i="26"/>
  <c r="O154" i="26" s="1"/>
  <c r="N159" i="26"/>
  <c r="P159" i="26" s="1"/>
  <c r="K159" i="26"/>
  <c r="O159" i="26" s="1"/>
  <c r="N165" i="26"/>
  <c r="P165" i="26" s="1"/>
  <c r="K165" i="26"/>
  <c r="O165" i="26" s="1"/>
  <c r="N178" i="26"/>
  <c r="P178" i="26" s="1"/>
  <c r="K178" i="26"/>
  <c r="O178" i="26" s="1"/>
  <c r="N185" i="26"/>
  <c r="P185" i="26" s="1"/>
  <c r="K185" i="26"/>
  <c r="O185" i="26" s="1"/>
  <c r="N190" i="26"/>
  <c r="P190" i="26" s="1"/>
  <c r="K190" i="26"/>
  <c r="O190" i="26" s="1"/>
  <c r="N203" i="26"/>
  <c r="P203" i="26" s="1"/>
  <c r="K203" i="26"/>
  <c r="O203" i="26" s="1"/>
  <c r="N208" i="26"/>
  <c r="P208" i="26" s="1"/>
  <c r="K208" i="26"/>
  <c r="O208" i="26" s="1"/>
  <c r="N243" i="26"/>
  <c r="P243" i="26" s="1"/>
  <c r="K243" i="26"/>
  <c r="O243" i="26" s="1"/>
  <c r="N254" i="26"/>
  <c r="P254" i="26" s="1"/>
  <c r="K254" i="26"/>
  <c r="O254" i="26" s="1"/>
  <c r="K18" i="26"/>
  <c r="O18" i="26" s="1"/>
  <c r="K22" i="26"/>
  <c r="O22" i="26" s="1"/>
  <c r="K26" i="26"/>
  <c r="O26" i="26" s="1"/>
  <c r="K45" i="26"/>
  <c r="O45" i="26" s="1"/>
  <c r="K75" i="26"/>
  <c r="O75" i="26" s="1"/>
  <c r="K106" i="26"/>
  <c r="O106" i="26" s="1"/>
  <c r="K133" i="26"/>
  <c r="O133" i="26" s="1"/>
  <c r="K156" i="26"/>
  <c r="O156" i="26" s="1"/>
  <c r="K160" i="26"/>
  <c r="O160" i="26" s="1"/>
  <c r="K164" i="26"/>
  <c r="O164" i="26" s="1"/>
  <c r="K168" i="26"/>
  <c r="O168" i="26" s="1"/>
  <c r="K176" i="26"/>
  <c r="O176" i="26" s="1"/>
  <c r="K201" i="26"/>
  <c r="O201" i="26" s="1"/>
  <c r="K205" i="26"/>
  <c r="O205" i="26" s="1"/>
  <c r="K224" i="26"/>
  <c r="O224" i="26" s="1"/>
  <c r="K231" i="26"/>
  <c r="O231" i="26" s="1"/>
  <c r="K239" i="26"/>
  <c r="O239" i="26" s="1"/>
  <c r="K242" i="26"/>
  <c r="O242" i="26" s="1"/>
  <c r="K245" i="26"/>
  <c r="O245" i="26" s="1"/>
  <c r="K257" i="26"/>
  <c r="O257" i="26" s="1"/>
  <c r="K60" i="26"/>
  <c r="O60" i="26" s="1"/>
  <c r="K258" i="26"/>
  <c r="O258" i="26" s="1"/>
  <c r="K95" i="26"/>
  <c r="O95" i="26" s="1"/>
  <c r="O93" i="26" s="1"/>
  <c r="K98" i="26"/>
  <c r="O98" i="26" s="1"/>
  <c r="K102" i="26"/>
  <c r="O102" i="26" s="1"/>
  <c r="K125" i="26"/>
  <c r="O125" i="26" s="1"/>
  <c r="K127" i="26"/>
  <c r="O127" i="26" s="1"/>
  <c r="K132" i="26"/>
  <c r="O132" i="26" s="1"/>
  <c r="K135" i="26"/>
  <c r="O135" i="26" s="1"/>
  <c r="K138" i="26"/>
  <c r="O138" i="26" s="1"/>
  <c r="K229" i="26"/>
  <c r="O229" i="26" s="1"/>
  <c r="K233" i="26"/>
  <c r="O233" i="26" s="1"/>
  <c r="K237" i="26"/>
  <c r="O237" i="26" s="1"/>
  <c r="K241" i="26"/>
  <c r="O241" i="26" s="1"/>
  <c r="K29" i="26"/>
  <c r="O29" i="26" s="1"/>
  <c r="N29" i="26"/>
  <c r="P29" i="26" s="1"/>
  <c r="K35" i="26"/>
  <c r="O35" i="26" s="1"/>
  <c r="N35" i="26"/>
  <c r="K39" i="26"/>
  <c r="O39" i="26" s="1"/>
  <c r="N39" i="26"/>
  <c r="P39" i="26" s="1"/>
  <c r="K53" i="26"/>
  <c r="O53" i="26" s="1"/>
  <c r="N53" i="26"/>
  <c r="K57" i="26"/>
  <c r="O57" i="26" s="1"/>
  <c r="N57" i="26"/>
  <c r="P57" i="26" s="1"/>
  <c r="K28" i="26"/>
  <c r="O28" i="26" s="1"/>
  <c r="N28" i="26"/>
  <c r="K32" i="26"/>
  <c r="O32" i="26" s="1"/>
  <c r="N32" i="26"/>
  <c r="P32" i="26" s="1"/>
  <c r="K38" i="26"/>
  <c r="O38" i="26" s="1"/>
  <c r="N38" i="26"/>
  <c r="P38" i="26" s="1"/>
  <c r="K50" i="26"/>
  <c r="O50" i="26" s="1"/>
  <c r="N50" i="26"/>
  <c r="P50" i="26" s="1"/>
  <c r="K31" i="26"/>
  <c r="O31" i="26" s="1"/>
  <c r="N31" i="26"/>
  <c r="P31" i="26" s="1"/>
  <c r="K37" i="26"/>
  <c r="O37" i="26" s="1"/>
  <c r="N37" i="26"/>
  <c r="P37" i="26" s="1"/>
  <c r="N42" i="26"/>
  <c r="P42" i="26" s="1"/>
  <c r="K42" i="26"/>
  <c r="O42" i="26" s="1"/>
  <c r="K48" i="26"/>
  <c r="O48" i="26" s="1"/>
  <c r="N48" i="26"/>
  <c r="K64" i="26"/>
  <c r="O64" i="26" s="1"/>
  <c r="N64" i="26"/>
  <c r="K30" i="26"/>
  <c r="O30" i="26" s="1"/>
  <c r="N30" i="26"/>
  <c r="P30" i="26" s="1"/>
  <c r="K36" i="26"/>
  <c r="O36" i="26" s="1"/>
  <c r="N36" i="26"/>
  <c r="P36" i="26" s="1"/>
  <c r="K44" i="26"/>
  <c r="O44" i="26" s="1"/>
  <c r="N44" i="26"/>
  <c r="P44" i="26" s="1"/>
  <c r="Q16" i="26"/>
  <c r="M18" i="26"/>
  <c r="M20" i="26"/>
  <c r="M22" i="26"/>
  <c r="M24" i="26"/>
  <c r="Q26" i="26"/>
  <c r="P92" i="26"/>
  <c r="N91" i="26"/>
  <c r="P91" i="26" s="1"/>
  <c r="Q48" i="26"/>
  <c r="Q54" i="26"/>
  <c r="K55" i="26"/>
  <c r="O55" i="26" s="1"/>
  <c r="K109" i="26"/>
  <c r="O109" i="26" s="1"/>
  <c r="N109" i="26"/>
  <c r="P109" i="26" s="1"/>
  <c r="K126" i="26"/>
  <c r="O126" i="26" s="1"/>
  <c r="N126" i="26"/>
  <c r="P126" i="26" s="1"/>
  <c r="K17" i="26"/>
  <c r="O17" i="26" s="1"/>
  <c r="M45" i="26"/>
  <c r="P118" i="26"/>
  <c r="M17" i="26"/>
  <c r="M19" i="26"/>
  <c r="M21" i="26"/>
  <c r="M23" i="26"/>
  <c r="M25" i="26"/>
  <c r="Q29" i="26"/>
  <c r="Q31" i="26"/>
  <c r="Q36" i="26"/>
  <c r="Q38" i="26"/>
  <c r="N41" i="26"/>
  <c r="P59" i="26"/>
  <c r="K89" i="26"/>
  <c r="O89" i="26" s="1"/>
  <c r="N89" i="26"/>
  <c r="K122" i="26"/>
  <c r="O122" i="26" s="1"/>
  <c r="N122" i="26"/>
  <c r="P97" i="26"/>
  <c r="N96" i="26"/>
  <c r="M49" i="26"/>
  <c r="M51" i="26"/>
  <c r="N54" i="26"/>
  <c r="P54" i="26" s="1"/>
  <c r="N56" i="26"/>
  <c r="P56" i="26" s="1"/>
  <c r="K59" i="26"/>
  <c r="O59" i="26" s="1"/>
  <c r="M60" i="26"/>
  <c r="K61" i="26"/>
  <c r="O61" i="26" s="1"/>
  <c r="M62" i="26"/>
  <c r="N65" i="26"/>
  <c r="P65" i="26" s="1"/>
  <c r="M69" i="26"/>
  <c r="M68" i="26" s="1"/>
  <c r="M72" i="26"/>
  <c r="M71" i="26" s="1"/>
  <c r="M77" i="26"/>
  <c r="M76" i="26" s="1"/>
  <c r="M80" i="26"/>
  <c r="K81" i="26"/>
  <c r="O81" i="26" s="1"/>
  <c r="M82" i="26"/>
  <c r="K83" i="26"/>
  <c r="O83" i="26" s="1"/>
  <c r="N85" i="26"/>
  <c r="N87" i="26"/>
  <c r="P87" i="26" s="1"/>
  <c r="K92" i="26"/>
  <c r="O92" i="26" s="1"/>
  <c r="O91" i="26" s="1"/>
  <c r="N94" i="26"/>
  <c r="K97" i="26"/>
  <c r="O97" i="26" s="1"/>
  <c r="M98" i="26"/>
  <c r="N101" i="26"/>
  <c r="P101" i="26" s="1"/>
  <c r="N103" i="26"/>
  <c r="P103" i="26" s="1"/>
  <c r="N105" i="26"/>
  <c r="P105" i="26" s="1"/>
  <c r="N107" i="26"/>
  <c r="P107" i="26" s="1"/>
  <c r="M112" i="26"/>
  <c r="K113" i="26"/>
  <c r="O113" i="26" s="1"/>
  <c r="M114" i="26"/>
  <c r="K115" i="26"/>
  <c r="O115" i="26" s="1"/>
  <c r="K118" i="26"/>
  <c r="O118" i="26" s="1"/>
  <c r="K120" i="26"/>
  <c r="O120" i="26" s="1"/>
  <c r="Q123" i="26"/>
  <c r="K124" i="26"/>
  <c r="O124" i="26" s="1"/>
  <c r="M126" i="26"/>
  <c r="M127" i="26"/>
  <c r="Q134" i="26"/>
  <c r="M136" i="26"/>
  <c r="K193" i="26"/>
  <c r="O193" i="26" s="1"/>
  <c r="N193" i="26"/>
  <c r="M28" i="26"/>
  <c r="M30" i="26"/>
  <c r="M32" i="26"/>
  <c r="M35" i="26"/>
  <c r="M37" i="26"/>
  <c r="M39" i="26"/>
  <c r="M42" i="26"/>
  <c r="M44" i="26"/>
  <c r="M53" i="26"/>
  <c r="M55" i="26"/>
  <c r="M57" i="26"/>
  <c r="M64" i="26"/>
  <c r="M66" i="26"/>
  <c r="M74" i="26"/>
  <c r="N77" i="26"/>
  <c r="N80" i="26"/>
  <c r="M86" i="26"/>
  <c r="M90" i="26"/>
  <c r="M88" i="26" s="1"/>
  <c r="M95" i="26"/>
  <c r="M100" i="26"/>
  <c r="M102" i="26"/>
  <c r="M104" i="26"/>
  <c r="M106" i="26"/>
  <c r="M108" i="26"/>
  <c r="N112" i="26"/>
  <c r="N114" i="26"/>
  <c r="P114" i="26" s="1"/>
  <c r="M129" i="26"/>
  <c r="M138" i="26"/>
  <c r="N66" i="26"/>
  <c r="P66" i="26" s="1"/>
  <c r="M81" i="26"/>
  <c r="M83" i="26"/>
  <c r="M92" i="26"/>
  <c r="M91" i="26" s="1"/>
  <c r="M97" i="26"/>
  <c r="M113" i="26"/>
  <c r="Q116" i="26"/>
  <c r="N119" i="26"/>
  <c r="P119" i="26" s="1"/>
  <c r="Q125" i="26"/>
  <c r="K141" i="26"/>
  <c r="O141" i="26" s="1"/>
  <c r="M65" i="26"/>
  <c r="M67" i="26"/>
  <c r="M75" i="26"/>
  <c r="M85" i="26"/>
  <c r="M87" i="26"/>
  <c r="M94" i="26"/>
  <c r="M101" i="26"/>
  <c r="M103" i="26"/>
  <c r="M105" i="26"/>
  <c r="M107" i="26"/>
  <c r="M109" i="26"/>
  <c r="P132" i="26"/>
  <c r="K171" i="26"/>
  <c r="O171" i="26" s="1"/>
  <c r="N171" i="26"/>
  <c r="M118" i="26"/>
  <c r="M120" i="26"/>
  <c r="Q141" i="26"/>
  <c r="K142" i="26"/>
  <c r="O142" i="26" s="1"/>
  <c r="M143" i="26"/>
  <c r="K144" i="26"/>
  <c r="O144" i="26" s="1"/>
  <c r="M145" i="26"/>
  <c r="K146" i="26"/>
  <c r="O146" i="26" s="1"/>
  <c r="M147" i="26"/>
  <c r="K148" i="26"/>
  <c r="O148" i="26" s="1"/>
  <c r="M149" i="26"/>
  <c r="K150" i="26"/>
  <c r="O150" i="26" s="1"/>
  <c r="M151" i="26"/>
  <c r="K152" i="26"/>
  <c r="O152" i="26" s="1"/>
  <c r="M172" i="26"/>
  <c r="K173" i="26"/>
  <c r="O173" i="26" s="1"/>
  <c r="M174" i="26"/>
  <c r="K175" i="26"/>
  <c r="O175" i="26" s="1"/>
  <c r="M176" i="26"/>
  <c r="K177" i="26"/>
  <c r="O177" i="26" s="1"/>
  <c r="M178" i="26"/>
  <c r="K179" i="26"/>
  <c r="O179" i="26" s="1"/>
  <c r="M180" i="26"/>
  <c r="K181" i="26"/>
  <c r="O181" i="26" s="1"/>
  <c r="Q186" i="26"/>
  <c r="K187" i="26"/>
  <c r="O187" i="26" s="1"/>
  <c r="Q190" i="26"/>
  <c r="M193" i="26"/>
  <c r="N227" i="26"/>
  <c r="K227" i="26"/>
  <c r="O227" i="26" s="1"/>
  <c r="K266" i="26"/>
  <c r="O266" i="26" s="1"/>
  <c r="N266" i="26"/>
  <c r="P266" i="26" s="1"/>
  <c r="M128" i="26"/>
  <c r="M133" i="26"/>
  <c r="M135" i="26"/>
  <c r="M137" i="26"/>
  <c r="M139" i="26"/>
  <c r="N143" i="26"/>
  <c r="P143" i="26" s="1"/>
  <c r="N145" i="26"/>
  <c r="P145" i="26" s="1"/>
  <c r="N147" i="26"/>
  <c r="P147" i="26" s="1"/>
  <c r="M155" i="26"/>
  <c r="M157" i="26"/>
  <c r="M159" i="26"/>
  <c r="M161" i="26"/>
  <c r="M163" i="26"/>
  <c r="M165" i="26"/>
  <c r="M167" i="26"/>
  <c r="N172" i="26"/>
  <c r="P172" i="26" s="1"/>
  <c r="N174" i="26"/>
  <c r="P174" i="26" s="1"/>
  <c r="M184" i="26"/>
  <c r="Q187" i="26"/>
  <c r="N189" i="26"/>
  <c r="P189" i="26" s="1"/>
  <c r="L191" i="26"/>
  <c r="K228" i="26"/>
  <c r="O228" i="26" s="1"/>
  <c r="N228" i="26"/>
  <c r="P228" i="26" s="1"/>
  <c r="K251" i="26"/>
  <c r="O251" i="26" s="1"/>
  <c r="N251" i="26"/>
  <c r="P251" i="26" s="1"/>
  <c r="K262" i="26"/>
  <c r="O262" i="26" s="1"/>
  <c r="N262" i="26"/>
  <c r="P262" i="26" s="1"/>
  <c r="M142" i="26"/>
  <c r="M144" i="26"/>
  <c r="M146" i="26"/>
  <c r="M148" i="26"/>
  <c r="M150" i="26"/>
  <c r="M152" i="26"/>
  <c r="Q171" i="26"/>
  <c r="M173" i="26"/>
  <c r="M175" i="26"/>
  <c r="M177" i="26"/>
  <c r="M179" i="26"/>
  <c r="M181" i="26"/>
  <c r="Q188" i="26"/>
  <c r="M154" i="26"/>
  <c r="M156" i="26"/>
  <c r="M158" i="26"/>
  <c r="M160" i="26"/>
  <c r="M162" i="26"/>
  <c r="M164" i="26"/>
  <c r="M166" i="26"/>
  <c r="M168" i="26"/>
  <c r="M183" i="26"/>
  <c r="M185" i="26"/>
  <c r="K273" i="26"/>
  <c r="O273" i="26" s="1"/>
  <c r="O270" i="26" s="1"/>
  <c r="N273" i="26"/>
  <c r="P273" i="26" s="1"/>
  <c r="K280" i="26"/>
  <c r="O280" i="26" s="1"/>
  <c r="O279" i="26" s="1"/>
  <c r="N280" i="26"/>
  <c r="N196" i="26"/>
  <c r="N198" i="26"/>
  <c r="P198" i="26" s="1"/>
  <c r="M210" i="26"/>
  <c r="K211" i="26"/>
  <c r="O211" i="26" s="1"/>
  <c r="M212" i="26"/>
  <c r="M214" i="26"/>
  <c r="M217" i="26"/>
  <c r="M219" i="26"/>
  <c r="M221" i="26"/>
  <c r="M223" i="26"/>
  <c r="M225" i="26"/>
  <c r="M244" i="26"/>
  <c r="M255" i="26"/>
  <c r="M197" i="26"/>
  <c r="M199" i="26"/>
  <c r="M201" i="26"/>
  <c r="M203" i="26"/>
  <c r="M205" i="26"/>
  <c r="M207" i="26"/>
  <c r="N210" i="26"/>
  <c r="N212" i="26"/>
  <c r="P212" i="26" s="1"/>
  <c r="N214" i="26"/>
  <c r="P214" i="26" s="1"/>
  <c r="N217" i="26"/>
  <c r="N219" i="26"/>
  <c r="P219" i="26" s="1"/>
  <c r="N221" i="26"/>
  <c r="P221" i="26" s="1"/>
  <c r="N223" i="26"/>
  <c r="P223" i="26" s="1"/>
  <c r="M246" i="26"/>
  <c r="M257" i="26"/>
  <c r="P277" i="26"/>
  <c r="M192" i="26"/>
  <c r="M194" i="26"/>
  <c r="M211" i="26"/>
  <c r="M213" i="26"/>
  <c r="M218" i="26"/>
  <c r="M220" i="26"/>
  <c r="M222" i="26"/>
  <c r="M224" i="26"/>
  <c r="K225" i="26"/>
  <c r="O225" i="26" s="1"/>
  <c r="M230" i="26"/>
  <c r="M232" i="26"/>
  <c r="M234" i="26"/>
  <c r="M236" i="26"/>
  <c r="M238" i="26"/>
  <c r="M240" i="26"/>
  <c r="L260" i="26"/>
  <c r="N264" i="26"/>
  <c r="P264" i="26" s="1"/>
  <c r="N268" i="26"/>
  <c r="P268" i="26" s="1"/>
  <c r="N271" i="26"/>
  <c r="N275" i="26"/>
  <c r="P275" i="26" s="1"/>
  <c r="N282" i="26"/>
  <c r="P282" i="26" s="1"/>
  <c r="M196" i="26"/>
  <c r="M198" i="26"/>
  <c r="M200" i="26"/>
  <c r="M202" i="26"/>
  <c r="M204" i="26"/>
  <c r="M206" i="26"/>
  <c r="M208" i="26"/>
  <c r="M227" i="26"/>
  <c r="M229" i="26"/>
  <c r="K230" i="26"/>
  <c r="O230" i="26" s="1"/>
  <c r="M231" i="26"/>
  <c r="K232" i="26"/>
  <c r="O232" i="26" s="1"/>
  <c r="M233" i="26"/>
  <c r="K234" i="26"/>
  <c r="O234" i="26" s="1"/>
  <c r="M235" i="26"/>
  <c r="K236" i="26"/>
  <c r="O236" i="26" s="1"/>
  <c r="M237" i="26"/>
  <c r="K238" i="26"/>
  <c r="O238" i="26" s="1"/>
  <c r="M239" i="26"/>
  <c r="K240" i="26"/>
  <c r="O240" i="26" s="1"/>
  <c r="M241" i="26"/>
  <c r="M243" i="26"/>
  <c r="M245" i="26"/>
  <c r="M247" i="26"/>
  <c r="N250" i="26"/>
  <c r="P250" i="26" s="1"/>
  <c r="N252" i="26"/>
  <c r="P252" i="26" s="1"/>
  <c r="M254" i="26"/>
  <c r="M256" i="26"/>
  <c r="M258" i="26"/>
  <c r="N261" i="26"/>
  <c r="N263" i="26"/>
  <c r="P263" i="26" s="1"/>
  <c r="N265" i="26"/>
  <c r="P265" i="26" s="1"/>
  <c r="N267" i="26"/>
  <c r="P267" i="26" s="1"/>
  <c r="N272" i="26"/>
  <c r="P272" i="26" s="1"/>
  <c r="N274" i="26"/>
  <c r="P274" i="26" s="1"/>
  <c r="M278" i="26"/>
  <c r="M276" i="26" s="1"/>
  <c r="N281" i="26"/>
  <c r="P281" i="26" s="1"/>
  <c r="N283" i="26"/>
  <c r="P283" i="26" s="1"/>
  <c r="M249" i="26"/>
  <c r="M251" i="26"/>
  <c r="M262" i="26"/>
  <c r="M264" i="26"/>
  <c r="M266" i="26"/>
  <c r="M268" i="26"/>
  <c r="M271" i="26"/>
  <c r="M273" i="26"/>
  <c r="M275" i="26"/>
  <c r="M280" i="26"/>
  <c r="M282" i="26"/>
  <c r="M284" i="26"/>
  <c r="N284" i="26"/>
  <c r="P284" i="26" s="1"/>
  <c r="M250" i="26"/>
  <c r="M252" i="26"/>
  <c r="M261" i="26"/>
  <c r="M263" i="26"/>
  <c r="M265" i="26"/>
  <c r="M267" i="26"/>
  <c r="M272" i="26"/>
  <c r="M274" i="26"/>
  <c r="M281" i="26"/>
  <c r="M283" i="26"/>
  <c r="Q27" i="25"/>
  <c r="Q33" i="25"/>
  <c r="Q34" i="25"/>
  <c r="Q52" i="25"/>
  <c r="Q58" i="25"/>
  <c r="Q63" i="25"/>
  <c r="Q68" i="25"/>
  <c r="Q70" i="25"/>
  <c r="Q71" i="25"/>
  <c r="Q73" i="25"/>
  <c r="Q76" i="25"/>
  <c r="Q78" i="25"/>
  <c r="Q79" i="25"/>
  <c r="Q84" i="25"/>
  <c r="Q88" i="25"/>
  <c r="Q91" i="25"/>
  <c r="Q93" i="25"/>
  <c r="Q96" i="25"/>
  <c r="Q99" i="25"/>
  <c r="Q110" i="25"/>
  <c r="Q111" i="25"/>
  <c r="Q117" i="25"/>
  <c r="Q121" i="25"/>
  <c r="Q130" i="25"/>
  <c r="Q131" i="25"/>
  <c r="Q153" i="25"/>
  <c r="Q169" i="25"/>
  <c r="Q170" i="25"/>
  <c r="Q182" i="25"/>
  <c r="Q191" i="25"/>
  <c r="Q195" i="25"/>
  <c r="Q209" i="25"/>
  <c r="Q215" i="25"/>
  <c r="Q216" i="25"/>
  <c r="Q248" i="25"/>
  <c r="Q253" i="25"/>
  <c r="Q260" i="25"/>
  <c r="Q269" i="25"/>
  <c r="Q270" i="25"/>
  <c r="Q276" i="25"/>
  <c r="Q279" i="25"/>
  <c r="Q15" i="25"/>
  <c r="Q285" i="25"/>
  <c r="L269" i="26" l="1"/>
  <c r="N276" i="26"/>
  <c r="P276" i="26" s="1"/>
  <c r="P96" i="26"/>
  <c r="N73" i="26"/>
  <c r="P73" i="26" s="1"/>
  <c r="P72" i="26"/>
  <c r="L46" i="26"/>
  <c r="O276" i="26"/>
  <c r="O269" i="26" s="1"/>
  <c r="O63" i="26"/>
  <c r="L130" i="26"/>
  <c r="L33" i="26"/>
  <c r="L285" i="26" s="1"/>
  <c r="M96" i="26"/>
  <c r="P69" i="26"/>
  <c r="N58" i="26"/>
  <c r="P58" i="26" s="1"/>
  <c r="M40" i="26"/>
  <c r="M58" i="26"/>
  <c r="M182" i="26"/>
  <c r="M47" i="26"/>
  <c r="O73" i="26"/>
  <c r="O70" i="26" s="1"/>
  <c r="O209" i="26"/>
  <c r="O260" i="26"/>
  <c r="O191" i="26"/>
  <c r="M260" i="26"/>
  <c r="M170" i="26"/>
  <c r="M121" i="26"/>
  <c r="M15" i="26"/>
  <c r="M131" i="26"/>
  <c r="M84" i="26"/>
  <c r="O79" i="26"/>
  <c r="O78" i="26" s="1"/>
  <c r="O15" i="26"/>
  <c r="M52" i="26"/>
  <c r="M27" i="26"/>
  <c r="M93" i="26"/>
  <c r="O248" i="26"/>
  <c r="N15" i="26"/>
  <c r="P15" i="26" s="1"/>
  <c r="O182" i="26"/>
  <c r="N153" i="26"/>
  <c r="P153" i="26" s="1"/>
  <c r="O153" i="26"/>
  <c r="O195" i="26"/>
  <c r="O99" i="26"/>
  <c r="O216" i="26"/>
  <c r="O96" i="26"/>
  <c r="O58" i="26"/>
  <c r="O253" i="26"/>
  <c r="N253" i="26"/>
  <c r="P253" i="26" s="1"/>
  <c r="O111" i="26"/>
  <c r="P90" i="26"/>
  <c r="O131" i="26"/>
  <c r="M248" i="26"/>
  <c r="M253" i="26"/>
  <c r="P271" i="26"/>
  <c r="N270" i="26"/>
  <c r="P210" i="26"/>
  <c r="N209" i="26"/>
  <c r="P209" i="26" s="1"/>
  <c r="P196" i="26"/>
  <c r="N195" i="26"/>
  <c r="P195" i="26" s="1"/>
  <c r="M117" i="26"/>
  <c r="M99" i="26"/>
  <c r="P80" i="26"/>
  <c r="N79" i="26"/>
  <c r="M63" i="26"/>
  <c r="M34" i="26"/>
  <c r="M33" i="26" s="1"/>
  <c r="P193" i="26"/>
  <c r="N191" i="26"/>
  <c r="P191" i="26" s="1"/>
  <c r="P85" i="26"/>
  <c r="N84" i="26"/>
  <c r="P84" i="26" s="1"/>
  <c r="M79" i="26"/>
  <c r="M78" i="26" s="1"/>
  <c r="O121" i="26"/>
  <c r="P48" i="26"/>
  <c r="N47" i="26"/>
  <c r="P28" i="26"/>
  <c r="N27" i="26"/>
  <c r="P27" i="26" s="1"/>
  <c r="P261" i="26"/>
  <c r="N260" i="26"/>
  <c r="P260" i="26" s="1"/>
  <c r="M195" i="26"/>
  <c r="P217" i="26"/>
  <c r="N216" i="26"/>
  <c r="P280" i="26"/>
  <c r="N279" i="26"/>
  <c r="P77" i="26"/>
  <c r="N76" i="26"/>
  <c r="P76" i="26" s="1"/>
  <c r="P94" i="26"/>
  <c r="N93" i="26"/>
  <c r="P93" i="26" s="1"/>
  <c r="N99" i="26"/>
  <c r="P99" i="26" s="1"/>
  <c r="O47" i="26"/>
  <c r="O27" i="26"/>
  <c r="P53" i="26"/>
  <c r="N52" i="26"/>
  <c r="P52" i="26" s="1"/>
  <c r="M270" i="26"/>
  <c r="M269" i="26" s="1"/>
  <c r="M191" i="26"/>
  <c r="M216" i="26"/>
  <c r="M209" i="26"/>
  <c r="O226" i="26"/>
  <c r="N170" i="26"/>
  <c r="N131" i="26"/>
  <c r="M73" i="26"/>
  <c r="M70" i="26" s="1"/>
  <c r="O117" i="26"/>
  <c r="M111" i="26"/>
  <c r="N117" i="26"/>
  <c r="P117" i="26" s="1"/>
  <c r="P71" i="26"/>
  <c r="P64" i="26"/>
  <c r="N63" i="26"/>
  <c r="P63" i="26" s="1"/>
  <c r="O40" i="26"/>
  <c r="O52" i="26"/>
  <c r="P35" i="26"/>
  <c r="N34" i="26"/>
  <c r="M279" i="26"/>
  <c r="M226" i="26"/>
  <c r="N248" i="26"/>
  <c r="P248" i="26" s="1"/>
  <c r="M153" i="26"/>
  <c r="N226" i="26"/>
  <c r="P226" i="26" s="1"/>
  <c r="P227" i="26"/>
  <c r="O170" i="26"/>
  <c r="N182" i="26"/>
  <c r="P182" i="26" s="1"/>
  <c r="P112" i="26"/>
  <c r="N111" i="26"/>
  <c r="P122" i="26"/>
  <c r="N121" i="26"/>
  <c r="P121" i="26" s="1"/>
  <c r="P41" i="26"/>
  <c r="N40" i="26"/>
  <c r="P40" i="26" s="1"/>
  <c r="O34" i="26"/>
  <c r="BU109" i="25"/>
  <c r="I109" i="25" s="1"/>
  <c r="I16" i="25"/>
  <c r="Q16" i="25" s="1"/>
  <c r="CI105" i="25"/>
  <c r="J105" i="25" s="1"/>
  <c r="N105" i="25" s="1"/>
  <c r="CI285" i="25"/>
  <c r="J285" i="25" s="1"/>
  <c r="I285" i="25"/>
  <c r="CI284" i="25"/>
  <c r="J284" i="25" s="1"/>
  <c r="L284" i="25"/>
  <c r="I284" i="25"/>
  <c r="CI283" i="25"/>
  <c r="J283" i="25" s="1"/>
  <c r="N283" i="25" s="1"/>
  <c r="L283" i="25"/>
  <c r="I283" i="25"/>
  <c r="CI282" i="25"/>
  <c r="J282" i="25" s="1"/>
  <c r="L282" i="25"/>
  <c r="I282" i="25"/>
  <c r="CI281" i="25"/>
  <c r="J281" i="25" s="1"/>
  <c r="K281" i="25" s="1"/>
  <c r="O281" i="25" s="1"/>
  <c r="L281" i="25"/>
  <c r="I281" i="25"/>
  <c r="CI280" i="25"/>
  <c r="J280" i="25" s="1"/>
  <c r="L280" i="25"/>
  <c r="I280" i="25"/>
  <c r="CI279" i="25"/>
  <c r="CI278" i="25"/>
  <c r="J278" i="25" s="1"/>
  <c r="L278" i="25"/>
  <c r="I278" i="25"/>
  <c r="CI277" i="25"/>
  <c r="J277" i="25" s="1"/>
  <c r="N277" i="25" s="1"/>
  <c r="L277" i="25"/>
  <c r="I277" i="25"/>
  <c r="CI276" i="25"/>
  <c r="CI275" i="25"/>
  <c r="J275" i="25" s="1"/>
  <c r="K275" i="25" s="1"/>
  <c r="O275" i="25" s="1"/>
  <c r="L275" i="25"/>
  <c r="I275" i="25"/>
  <c r="CI274" i="25"/>
  <c r="J274" i="25" s="1"/>
  <c r="L274" i="25"/>
  <c r="I274" i="25"/>
  <c r="CI273" i="25"/>
  <c r="J273" i="25" s="1"/>
  <c r="N273" i="25" s="1"/>
  <c r="L273" i="25"/>
  <c r="I273" i="25"/>
  <c r="CI272" i="25"/>
  <c r="J272" i="25" s="1"/>
  <c r="L272" i="25"/>
  <c r="I272" i="25"/>
  <c r="CI271" i="25"/>
  <c r="J271" i="25" s="1"/>
  <c r="L271" i="25"/>
  <c r="I271" i="25"/>
  <c r="CI270" i="25"/>
  <c r="CI269" i="25"/>
  <c r="CI268" i="25"/>
  <c r="J268" i="25" s="1"/>
  <c r="L268" i="25"/>
  <c r="I268" i="25"/>
  <c r="CI267" i="25"/>
  <c r="J267" i="25" s="1"/>
  <c r="L267" i="25"/>
  <c r="I267" i="25"/>
  <c r="CI266" i="25"/>
  <c r="J266" i="25" s="1"/>
  <c r="L266" i="25"/>
  <c r="I266" i="25"/>
  <c r="CI265" i="25"/>
  <c r="J265" i="25" s="1"/>
  <c r="L265" i="25"/>
  <c r="I265" i="25"/>
  <c r="CI264" i="25"/>
  <c r="J264" i="25" s="1"/>
  <c r="N264" i="25" s="1"/>
  <c r="L264" i="25"/>
  <c r="I264" i="25"/>
  <c r="CI263" i="25"/>
  <c r="J263" i="25" s="1"/>
  <c r="N263" i="25" s="1"/>
  <c r="L263" i="25"/>
  <c r="I263" i="25"/>
  <c r="CI262" i="25"/>
  <c r="J262" i="25" s="1"/>
  <c r="L262" i="25"/>
  <c r="I262" i="25"/>
  <c r="CI261" i="25"/>
  <c r="J261" i="25" s="1"/>
  <c r="K261" i="25" s="1"/>
  <c r="O261" i="25" s="1"/>
  <c r="L261" i="25"/>
  <c r="I261" i="25"/>
  <c r="CI260" i="25"/>
  <c r="CI259" i="25"/>
  <c r="J259" i="25" s="1"/>
  <c r="L259" i="25"/>
  <c r="I259" i="25"/>
  <c r="CI258" i="25"/>
  <c r="J258" i="25" s="1"/>
  <c r="L258" i="25"/>
  <c r="I258" i="25"/>
  <c r="CI257" i="25"/>
  <c r="J257" i="25" s="1"/>
  <c r="L257" i="25"/>
  <c r="I257" i="25"/>
  <c r="CI256" i="25"/>
  <c r="J256" i="25" s="1"/>
  <c r="L256" i="25"/>
  <c r="I256" i="25"/>
  <c r="CI255" i="25"/>
  <c r="J255" i="25" s="1"/>
  <c r="L255" i="25"/>
  <c r="I255" i="25"/>
  <c r="CI254" i="25"/>
  <c r="J254" i="25" s="1"/>
  <c r="L254" i="25"/>
  <c r="I254" i="25"/>
  <c r="CI253" i="25"/>
  <c r="CI252" i="25"/>
  <c r="J252" i="25" s="1"/>
  <c r="L252" i="25"/>
  <c r="I252" i="25"/>
  <c r="CI251" i="25"/>
  <c r="J251" i="25" s="1"/>
  <c r="K251" i="25" s="1"/>
  <c r="O251" i="25" s="1"/>
  <c r="L251" i="25"/>
  <c r="I251" i="25"/>
  <c r="CI250" i="25"/>
  <c r="J250" i="25" s="1"/>
  <c r="N250" i="25" s="1"/>
  <c r="L250" i="25"/>
  <c r="I250" i="25"/>
  <c r="CI249" i="25"/>
  <c r="J249" i="25" s="1"/>
  <c r="N249" i="25" s="1"/>
  <c r="L249" i="25"/>
  <c r="I249" i="25"/>
  <c r="CI248" i="25"/>
  <c r="CI247" i="25"/>
  <c r="J247" i="25" s="1"/>
  <c r="N247" i="25" s="1"/>
  <c r="L247" i="25"/>
  <c r="I247" i="25"/>
  <c r="CI246" i="25"/>
  <c r="J246" i="25" s="1"/>
  <c r="N246" i="25" s="1"/>
  <c r="L246" i="25"/>
  <c r="I246" i="25"/>
  <c r="CI245" i="25"/>
  <c r="J245" i="25" s="1"/>
  <c r="L245" i="25"/>
  <c r="I245" i="25"/>
  <c r="CI244" i="25"/>
  <c r="J244" i="25" s="1"/>
  <c r="L244" i="25"/>
  <c r="I244" i="25"/>
  <c r="CI243" i="25"/>
  <c r="J243" i="25" s="1"/>
  <c r="K243" i="25" s="1"/>
  <c r="O243" i="25" s="1"/>
  <c r="L243" i="25"/>
  <c r="I243" i="25"/>
  <c r="CI242" i="25"/>
  <c r="J242" i="25" s="1"/>
  <c r="N242" i="25" s="1"/>
  <c r="L242" i="25"/>
  <c r="I242" i="25"/>
  <c r="CI241" i="25"/>
  <c r="J241" i="25" s="1"/>
  <c r="L241" i="25"/>
  <c r="I241" i="25"/>
  <c r="CI240" i="25"/>
  <c r="J240" i="25" s="1"/>
  <c r="L240" i="25"/>
  <c r="I240" i="25"/>
  <c r="CI239" i="25"/>
  <c r="J239" i="25" s="1"/>
  <c r="K239" i="25" s="1"/>
  <c r="O239" i="25" s="1"/>
  <c r="L239" i="25"/>
  <c r="I239" i="25"/>
  <c r="CI238" i="25"/>
  <c r="J238" i="25" s="1"/>
  <c r="N238" i="25" s="1"/>
  <c r="L238" i="25"/>
  <c r="I238" i="25"/>
  <c r="CI237" i="25"/>
  <c r="J237" i="25" s="1"/>
  <c r="L237" i="25"/>
  <c r="I237" i="25"/>
  <c r="CI236" i="25"/>
  <c r="J236" i="25" s="1"/>
  <c r="L236" i="25"/>
  <c r="I236" i="25"/>
  <c r="CI235" i="25"/>
  <c r="J235" i="25" s="1"/>
  <c r="K235" i="25" s="1"/>
  <c r="O235" i="25" s="1"/>
  <c r="L235" i="25"/>
  <c r="I235" i="25"/>
  <c r="CI234" i="25"/>
  <c r="J234" i="25" s="1"/>
  <c r="N234" i="25" s="1"/>
  <c r="L234" i="25"/>
  <c r="I234" i="25"/>
  <c r="CI233" i="25"/>
  <c r="J233" i="25" s="1"/>
  <c r="L233" i="25"/>
  <c r="I233" i="25"/>
  <c r="CI232" i="25"/>
  <c r="J232" i="25" s="1"/>
  <c r="L232" i="25"/>
  <c r="I232" i="25"/>
  <c r="CI231" i="25"/>
  <c r="J231" i="25" s="1"/>
  <c r="L231" i="25"/>
  <c r="I231" i="25"/>
  <c r="CI230" i="25"/>
  <c r="J230" i="25" s="1"/>
  <c r="N230" i="25" s="1"/>
  <c r="L230" i="25"/>
  <c r="I230" i="25"/>
  <c r="CI229" i="25"/>
  <c r="J229" i="25" s="1"/>
  <c r="L229" i="25"/>
  <c r="I229" i="25"/>
  <c r="CI228" i="25"/>
  <c r="J228" i="25" s="1"/>
  <c r="K228" i="25" s="1"/>
  <c r="O228" i="25" s="1"/>
  <c r="L228" i="25"/>
  <c r="I228" i="25"/>
  <c r="CI227" i="25"/>
  <c r="J227" i="25" s="1"/>
  <c r="K227" i="25" s="1"/>
  <c r="O227" i="25" s="1"/>
  <c r="L227" i="25"/>
  <c r="I227" i="25"/>
  <c r="CI226" i="25"/>
  <c r="J226" i="25" s="1"/>
  <c r="K226" i="25" s="1"/>
  <c r="I226" i="25"/>
  <c r="Q226" i="25" s="1"/>
  <c r="F226" i="25"/>
  <c r="CI225" i="25"/>
  <c r="J225" i="25" s="1"/>
  <c r="K225" i="25" s="1"/>
  <c r="O225" i="25" s="1"/>
  <c r="L225" i="25"/>
  <c r="I225" i="25"/>
  <c r="CI224" i="25"/>
  <c r="J224" i="25" s="1"/>
  <c r="L224" i="25"/>
  <c r="I224" i="25"/>
  <c r="CI223" i="25"/>
  <c r="J223" i="25" s="1"/>
  <c r="L223" i="25"/>
  <c r="I223" i="25"/>
  <c r="CI222" i="25"/>
  <c r="J222" i="25" s="1"/>
  <c r="L222" i="25"/>
  <c r="I222" i="25"/>
  <c r="CI221" i="25"/>
  <c r="J221" i="25" s="1"/>
  <c r="N221" i="25" s="1"/>
  <c r="L221" i="25"/>
  <c r="I221" i="25"/>
  <c r="CI220" i="25"/>
  <c r="J220" i="25" s="1"/>
  <c r="N220" i="25" s="1"/>
  <c r="L220" i="25"/>
  <c r="I220" i="25"/>
  <c r="CI219" i="25"/>
  <c r="J219" i="25" s="1"/>
  <c r="N219" i="25" s="1"/>
  <c r="L219" i="25"/>
  <c r="I219" i="25"/>
  <c r="CI218" i="25"/>
  <c r="J218" i="25" s="1"/>
  <c r="K218" i="25" s="1"/>
  <c r="O218" i="25" s="1"/>
  <c r="L218" i="25"/>
  <c r="I218" i="25"/>
  <c r="CI217" i="25"/>
  <c r="J217" i="25" s="1"/>
  <c r="K217" i="25" s="1"/>
  <c r="O217" i="25" s="1"/>
  <c r="L217" i="25"/>
  <c r="I217" i="25"/>
  <c r="CI216" i="25"/>
  <c r="CI215" i="25"/>
  <c r="CI214" i="25"/>
  <c r="J214" i="25" s="1"/>
  <c r="N214" i="25" s="1"/>
  <c r="L214" i="25"/>
  <c r="I214" i="25"/>
  <c r="CI213" i="25"/>
  <c r="J213" i="25" s="1"/>
  <c r="N213" i="25" s="1"/>
  <c r="L213" i="25"/>
  <c r="I213" i="25"/>
  <c r="CI212" i="25"/>
  <c r="J212" i="25" s="1"/>
  <c r="K212" i="25" s="1"/>
  <c r="O212" i="25" s="1"/>
  <c r="L212" i="25"/>
  <c r="I212" i="25"/>
  <c r="CI211" i="25"/>
  <c r="J211" i="25" s="1"/>
  <c r="K211" i="25" s="1"/>
  <c r="O211" i="25" s="1"/>
  <c r="L211" i="25"/>
  <c r="I211" i="25"/>
  <c r="CI210" i="25"/>
  <c r="J210" i="25" s="1"/>
  <c r="L210" i="25"/>
  <c r="I210" i="25"/>
  <c r="CI209" i="25"/>
  <c r="CI208" i="25"/>
  <c r="J208" i="25" s="1"/>
  <c r="K208" i="25" s="1"/>
  <c r="O208" i="25" s="1"/>
  <c r="L208" i="25"/>
  <c r="I208" i="25"/>
  <c r="CI207" i="25"/>
  <c r="J207" i="25" s="1"/>
  <c r="K207" i="25" s="1"/>
  <c r="O207" i="25" s="1"/>
  <c r="L207" i="25"/>
  <c r="I207" i="25"/>
  <c r="CI206" i="25"/>
  <c r="J206" i="25" s="1"/>
  <c r="N206" i="25" s="1"/>
  <c r="L206" i="25"/>
  <c r="I206" i="25"/>
  <c r="CI205" i="25"/>
  <c r="J205" i="25" s="1"/>
  <c r="L205" i="25"/>
  <c r="I205" i="25"/>
  <c r="CI204" i="25"/>
  <c r="J204" i="25" s="1"/>
  <c r="N204" i="25" s="1"/>
  <c r="L204" i="25"/>
  <c r="I204" i="25"/>
  <c r="CI203" i="25"/>
  <c r="J203" i="25" s="1"/>
  <c r="L203" i="25"/>
  <c r="I203" i="25"/>
  <c r="CI202" i="25"/>
  <c r="J202" i="25" s="1"/>
  <c r="N202" i="25" s="1"/>
  <c r="L202" i="25"/>
  <c r="I202" i="25"/>
  <c r="CI201" i="25"/>
  <c r="J201" i="25" s="1"/>
  <c r="L201" i="25"/>
  <c r="I201" i="25"/>
  <c r="CI200" i="25"/>
  <c r="J200" i="25" s="1"/>
  <c r="L200" i="25"/>
  <c r="I200" i="25"/>
  <c r="CI199" i="25"/>
  <c r="J199" i="25" s="1"/>
  <c r="L199" i="25"/>
  <c r="I199" i="25"/>
  <c r="CI198" i="25"/>
  <c r="J198" i="25" s="1"/>
  <c r="N198" i="25" s="1"/>
  <c r="L198" i="25"/>
  <c r="I198" i="25"/>
  <c r="CI197" i="25"/>
  <c r="J197" i="25" s="1"/>
  <c r="K197" i="25" s="1"/>
  <c r="O197" i="25" s="1"/>
  <c r="L197" i="25"/>
  <c r="I197" i="25"/>
  <c r="CI196" i="25"/>
  <c r="J196" i="25" s="1"/>
  <c r="N196" i="25" s="1"/>
  <c r="L196" i="25"/>
  <c r="I196" i="25"/>
  <c r="CI195" i="25"/>
  <c r="CI194" i="25"/>
  <c r="J194" i="25" s="1"/>
  <c r="L194" i="25"/>
  <c r="I194" i="25"/>
  <c r="CI193" i="25"/>
  <c r="J193" i="25" s="1"/>
  <c r="N193" i="25" s="1"/>
  <c r="L193" i="25"/>
  <c r="I193" i="25"/>
  <c r="CI192" i="25"/>
  <c r="J192" i="25" s="1"/>
  <c r="N192" i="25" s="1"/>
  <c r="L192" i="25"/>
  <c r="I192" i="25"/>
  <c r="CI191" i="25"/>
  <c r="CI190" i="25"/>
  <c r="J190" i="25" s="1"/>
  <c r="L190" i="25"/>
  <c r="I190" i="25"/>
  <c r="CI189" i="25"/>
  <c r="J189" i="25" s="1"/>
  <c r="L189" i="25"/>
  <c r="I189" i="25"/>
  <c r="CI188" i="25"/>
  <c r="J188" i="25" s="1"/>
  <c r="N188" i="25" s="1"/>
  <c r="L188" i="25"/>
  <c r="I188" i="25"/>
  <c r="CI187" i="25"/>
  <c r="J187" i="25" s="1"/>
  <c r="K187" i="25" s="1"/>
  <c r="O187" i="25" s="1"/>
  <c r="L187" i="25"/>
  <c r="I187" i="25"/>
  <c r="CI186" i="25"/>
  <c r="J186" i="25" s="1"/>
  <c r="L186" i="25"/>
  <c r="I186" i="25"/>
  <c r="CI185" i="25"/>
  <c r="J185" i="25" s="1"/>
  <c r="K185" i="25" s="1"/>
  <c r="O185" i="25" s="1"/>
  <c r="L185" i="25"/>
  <c r="I185" i="25"/>
  <c r="CI184" i="25"/>
  <c r="J184" i="25" s="1"/>
  <c r="L184" i="25"/>
  <c r="I184" i="25"/>
  <c r="CI183" i="25"/>
  <c r="J183" i="25" s="1"/>
  <c r="L183" i="25"/>
  <c r="I183" i="25"/>
  <c r="CI182" i="25"/>
  <c r="CI181" i="25"/>
  <c r="J181" i="25" s="1"/>
  <c r="N181" i="25" s="1"/>
  <c r="L181" i="25"/>
  <c r="I181" i="25"/>
  <c r="CI180" i="25"/>
  <c r="J180" i="25" s="1"/>
  <c r="K180" i="25" s="1"/>
  <c r="O180" i="25" s="1"/>
  <c r="L180" i="25"/>
  <c r="I180" i="25"/>
  <c r="CI179" i="25"/>
  <c r="J179" i="25" s="1"/>
  <c r="L179" i="25"/>
  <c r="I179" i="25"/>
  <c r="CI178" i="25"/>
  <c r="J178" i="25" s="1"/>
  <c r="L178" i="25"/>
  <c r="I178" i="25"/>
  <c r="CI177" i="25"/>
  <c r="J177" i="25" s="1"/>
  <c r="L177" i="25"/>
  <c r="I177" i="25"/>
  <c r="CI176" i="25"/>
  <c r="J176" i="25" s="1"/>
  <c r="L176" i="25"/>
  <c r="I176" i="25"/>
  <c r="CI175" i="25"/>
  <c r="J175" i="25" s="1"/>
  <c r="L175" i="25"/>
  <c r="I175" i="25"/>
  <c r="CI174" i="25"/>
  <c r="J174" i="25" s="1"/>
  <c r="N174" i="25" s="1"/>
  <c r="L174" i="25"/>
  <c r="I174" i="25"/>
  <c r="CI173" i="25"/>
  <c r="J173" i="25" s="1"/>
  <c r="N173" i="25" s="1"/>
  <c r="L173" i="25"/>
  <c r="I173" i="25"/>
  <c r="CI172" i="25"/>
  <c r="J172" i="25" s="1"/>
  <c r="K172" i="25" s="1"/>
  <c r="O172" i="25" s="1"/>
  <c r="L172" i="25"/>
  <c r="I172" i="25"/>
  <c r="CI171" i="25"/>
  <c r="J171" i="25" s="1"/>
  <c r="L171" i="25"/>
  <c r="I171" i="25"/>
  <c r="CI170" i="25"/>
  <c r="CI169" i="25"/>
  <c r="CI168" i="25"/>
  <c r="J168" i="25" s="1"/>
  <c r="L168" i="25"/>
  <c r="I168" i="25"/>
  <c r="CI167" i="25"/>
  <c r="J167" i="25" s="1"/>
  <c r="L167" i="25"/>
  <c r="I167" i="25"/>
  <c r="CI166" i="25"/>
  <c r="J166" i="25" s="1"/>
  <c r="N166" i="25" s="1"/>
  <c r="L166" i="25"/>
  <c r="I166" i="25"/>
  <c r="CI165" i="25"/>
  <c r="J165" i="25" s="1"/>
  <c r="L165" i="25"/>
  <c r="I165" i="25"/>
  <c r="CI164" i="25"/>
  <c r="J164" i="25" s="1"/>
  <c r="L164" i="25"/>
  <c r="I164" i="25"/>
  <c r="CI163" i="25"/>
  <c r="J163" i="25" s="1"/>
  <c r="L163" i="25"/>
  <c r="I163" i="25"/>
  <c r="CI162" i="25"/>
  <c r="J162" i="25" s="1"/>
  <c r="N162" i="25" s="1"/>
  <c r="L162" i="25"/>
  <c r="I162" i="25"/>
  <c r="CI161" i="25"/>
  <c r="J161" i="25" s="1"/>
  <c r="L161" i="25"/>
  <c r="I161" i="25"/>
  <c r="CI160" i="25"/>
  <c r="J160" i="25" s="1"/>
  <c r="N160" i="25" s="1"/>
  <c r="L160" i="25"/>
  <c r="I160" i="25"/>
  <c r="CI159" i="25"/>
  <c r="J159" i="25" s="1"/>
  <c r="L159" i="25"/>
  <c r="I159" i="25"/>
  <c r="CI158" i="25"/>
  <c r="J158" i="25" s="1"/>
  <c r="N158" i="25" s="1"/>
  <c r="L158" i="25"/>
  <c r="I158" i="25"/>
  <c r="CI157" i="25"/>
  <c r="J157" i="25" s="1"/>
  <c r="K157" i="25" s="1"/>
  <c r="O157" i="25" s="1"/>
  <c r="L157" i="25"/>
  <c r="I157" i="25"/>
  <c r="CI156" i="25"/>
  <c r="J156" i="25" s="1"/>
  <c r="K156" i="25" s="1"/>
  <c r="O156" i="25" s="1"/>
  <c r="L156" i="25"/>
  <c r="I156" i="25"/>
  <c r="CI155" i="25"/>
  <c r="J155" i="25" s="1"/>
  <c r="K155" i="25" s="1"/>
  <c r="O155" i="25" s="1"/>
  <c r="L155" i="25"/>
  <c r="I155" i="25"/>
  <c r="CI154" i="25"/>
  <c r="J154" i="25" s="1"/>
  <c r="N154" i="25" s="1"/>
  <c r="L154" i="25"/>
  <c r="I154" i="25"/>
  <c r="CI153" i="25"/>
  <c r="CI152" i="25"/>
  <c r="J152" i="25" s="1"/>
  <c r="K152" i="25" s="1"/>
  <c r="O152" i="25" s="1"/>
  <c r="L152" i="25"/>
  <c r="I152" i="25"/>
  <c r="CI151" i="25"/>
  <c r="J151" i="25" s="1"/>
  <c r="N151" i="25" s="1"/>
  <c r="L151" i="25"/>
  <c r="I151" i="25"/>
  <c r="CI150" i="25"/>
  <c r="J150" i="25" s="1"/>
  <c r="L150" i="25"/>
  <c r="I150" i="25"/>
  <c r="CI149" i="25"/>
  <c r="J149" i="25" s="1"/>
  <c r="N149" i="25" s="1"/>
  <c r="L149" i="25"/>
  <c r="I149" i="25"/>
  <c r="CI148" i="25"/>
  <c r="J148" i="25" s="1"/>
  <c r="N148" i="25" s="1"/>
  <c r="L148" i="25"/>
  <c r="I148" i="25"/>
  <c r="CI147" i="25"/>
  <c r="J147" i="25" s="1"/>
  <c r="N147" i="25" s="1"/>
  <c r="L147" i="25"/>
  <c r="I147" i="25"/>
  <c r="Q147" i="25" s="1"/>
  <c r="CI146" i="25"/>
  <c r="J146" i="25" s="1"/>
  <c r="L146" i="25"/>
  <c r="I146" i="25"/>
  <c r="CI145" i="25"/>
  <c r="J145" i="25" s="1"/>
  <c r="K145" i="25" s="1"/>
  <c r="O145" i="25" s="1"/>
  <c r="L145" i="25"/>
  <c r="I145" i="25"/>
  <c r="CI144" i="25"/>
  <c r="J144" i="25" s="1"/>
  <c r="L144" i="25"/>
  <c r="I144" i="25"/>
  <c r="CI143" i="25"/>
  <c r="J143" i="25" s="1"/>
  <c r="N143" i="25" s="1"/>
  <c r="L143" i="25"/>
  <c r="I143" i="25"/>
  <c r="CI142" i="25"/>
  <c r="J142" i="25" s="1"/>
  <c r="L142" i="25"/>
  <c r="I142" i="25"/>
  <c r="CI141" i="25"/>
  <c r="J141" i="25" s="1"/>
  <c r="L141" i="25"/>
  <c r="I141" i="25"/>
  <c r="CI140" i="25"/>
  <c r="J140" i="25" s="1"/>
  <c r="L140" i="25"/>
  <c r="I140" i="25"/>
  <c r="CI139" i="25"/>
  <c r="J139" i="25" s="1"/>
  <c r="L139" i="25"/>
  <c r="I139" i="25"/>
  <c r="CI138" i="25"/>
  <c r="J138" i="25" s="1"/>
  <c r="N138" i="25" s="1"/>
  <c r="L138" i="25"/>
  <c r="I138" i="25"/>
  <c r="CI137" i="25"/>
  <c r="J137" i="25" s="1"/>
  <c r="L137" i="25"/>
  <c r="I137" i="25"/>
  <c r="CI136" i="25"/>
  <c r="J136" i="25" s="1"/>
  <c r="N136" i="25" s="1"/>
  <c r="L136" i="25"/>
  <c r="I136" i="25"/>
  <c r="CI135" i="25"/>
  <c r="J135" i="25" s="1"/>
  <c r="L135" i="25"/>
  <c r="I135" i="25"/>
  <c r="CI134" i="25"/>
  <c r="J134" i="25" s="1"/>
  <c r="N134" i="25" s="1"/>
  <c r="L134" i="25"/>
  <c r="I134" i="25"/>
  <c r="CI133" i="25"/>
  <c r="J133" i="25" s="1"/>
  <c r="K133" i="25" s="1"/>
  <c r="O133" i="25" s="1"/>
  <c r="L133" i="25"/>
  <c r="I133" i="25"/>
  <c r="CI132" i="25"/>
  <c r="J132" i="25" s="1"/>
  <c r="K132" i="25" s="1"/>
  <c r="O132" i="25" s="1"/>
  <c r="L132" i="25"/>
  <c r="I132" i="25"/>
  <c r="CI131" i="25"/>
  <c r="CI130" i="25"/>
  <c r="CI129" i="25"/>
  <c r="J129" i="25" s="1"/>
  <c r="N129" i="25" s="1"/>
  <c r="L129" i="25"/>
  <c r="I129" i="25"/>
  <c r="CI128" i="25"/>
  <c r="J128" i="25" s="1"/>
  <c r="N128" i="25" s="1"/>
  <c r="L128" i="25"/>
  <c r="I128" i="25"/>
  <c r="CI127" i="25"/>
  <c r="J127" i="25" s="1"/>
  <c r="L127" i="25"/>
  <c r="I127" i="25"/>
  <c r="CI126" i="25"/>
  <c r="J126" i="25" s="1"/>
  <c r="L126" i="25"/>
  <c r="I126" i="25"/>
  <c r="CI125" i="25"/>
  <c r="J125" i="25" s="1"/>
  <c r="L125" i="25"/>
  <c r="I125" i="25"/>
  <c r="CI124" i="25"/>
  <c r="J124" i="25" s="1"/>
  <c r="N124" i="25" s="1"/>
  <c r="L124" i="25"/>
  <c r="I124" i="25"/>
  <c r="CI123" i="25"/>
  <c r="J123" i="25" s="1"/>
  <c r="L123" i="25"/>
  <c r="I123" i="25"/>
  <c r="CI122" i="25"/>
  <c r="J122" i="25" s="1"/>
  <c r="K122" i="25" s="1"/>
  <c r="O122" i="25" s="1"/>
  <c r="L122" i="25"/>
  <c r="I122" i="25"/>
  <c r="CI121" i="25"/>
  <c r="CI120" i="25"/>
  <c r="J120" i="25" s="1"/>
  <c r="L120" i="25"/>
  <c r="I120" i="25"/>
  <c r="CI119" i="25"/>
  <c r="J119" i="25" s="1"/>
  <c r="L119" i="25"/>
  <c r="I119" i="25"/>
  <c r="CI118" i="25"/>
  <c r="J118" i="25" s="1"/>
  <c r="N118" i="25" s="1"/>
  <c r="L118" i="25"/>
  <c r="I118" i="25"/>
  <c r="CI117" i="25"/>
  <c r="CI116" i="25"/>
  <c r="J116" i="25" s="1"/>
  <c r="L116" i="25"/>
  <c r="I116" i="25"/>
  <c r="CI115" i="25"/>
  <c r="J115" i="25" s="1"/>
  <c r="N115" i="25" s="1"/>
  <c r="L115" i="25"/>
  <c r="I115" i="25"/>
  <c r="CI114" i="25"/>
  <c r="J114" i="25" s="1"/>
  <c r="L114" i="25"/>
  <c r="I114" i="25"/>
  <c r="CI113" i="25"/>
  <c r="J113" i="25" s="1"/>
  <c r="L113" i="25"/>
  <c r="I113" i="25"/>
  <c r="CI112" i="25"/>
  <c r="J112" i="25" s="1"/>
  <c r="K112" i="25" s="1"/>
  <c r="O112" i="25" s="1"/>
  <c r="L112" i="25"/>
  <c r="I112" i="25"/>
  <c r="CI111" i="25"/>
  <c r="CI110" i="25"/>
  <c r="CI109" i="25"/>
  <c r="J109" i="25" s="1"/>
  <c r="N109" i="25" s="1"/>
  <c r="L109" i="25"/>
  <c r="CI108" i="25"/>
  <c r="J108" i="25" s="1"/>
  <c r="L108" i="25"/>
  <c r="I108" i="25"/>
  <c r="CI107" i="25"/>
  <c r="J107" i="25" s="1"/>
  <c r="L107" i="25"/>
  <c r="I107" i="25"/>
  <c r="CI106" i="25"/>
  <c r="J106" i="25" s="1"/>
  <c r="L106" i="25"/>
  <c r="I106" i="25"/>
  <c r="L105" i="25"/>
  <c r="I105" i="25"/>
  <c r="CI104" i="25"/>
  <c r="J104" i="25" s="1"/>
  <c r="N104" i="25" s="1"/>
  <c r="L104" i="25"/>
  <c r="I104" i="25"/>
  <c r="CI103" i="25"/>
  <c r="J103" i="25" s="1"/>
  <c r="L103" i="25"/>
  <c r="I103" i="25"/>
  <c r="CI102" i="25"/>
  <c r="J102" i="25" s="1"/>
  <c r="K102" i="25" s="1"/>
  <c r="O102" i="25" s="1"/>
  <c r="L102" i="25"/>
  <c r="I102" i="25"/>
  <c r="CI101" i="25"/>
  <c r="J101" i="25" s="1"/>
  <c r="L101" i="25"/>
  <c r="I101" i="25"/>
  <c r="CI100" i="25"/>
  <c r="J100" i="25" s="1"/>
  <c r="N100" i="25" s="1"/>
  <c r="L100" i="25"/>
  <c r="I100" i="25"/>
  <c r="CI99" i="25"/>
  <c r="CI98" i="25"/>
  <c r="J98" i="25" s="1"/>
  <c r="L98" i="25"/>
  <c r="I98" i="25"/>
  <c r="CI97" i="25"/>
  <c r="J97" i="25" s="1"/>
  <c r="N97" i="25" s="1"/>
  <c r="L97" i="25"/>
  <c r="I97" i="25"/>
  <c r="CI96" i="25"/>
  <c r="CI95" i="25"/>
  <c r="J95" i="25" s="1"/>
  <c r="L95" i="25"/>
  <c r="I95" i="25"/>
  <c r="CI94" i="25"/>
  <c r="J94" i="25" s="1"/>
  <c r="N94" i="25" s="1"/>
  <c r="L94" i="25"/>
  <c r="I94" i="25"/>
  <c r="CI93" i="25"/>
  <c r="CI92" i="25"/>
  <c r="J92" i="25" s="1"/>
  <c r="L92" i="25"/>
  <c r="L91" i="25" s="1"/>
  <c r="I92" i="25"/>
  <c r="CI91" i="25"/>
  <c r="CI90" i="25"/>
  <c r="J90" i="25" s="1"/>
  <c r="L90" i="25"/>
  <c r="L88" i="25" s="1"/>
  <c r="I90" i="25"/>
  <c r="CI89" i="25"/>
  <c r="J89" i="25" s="1"/>
  <c r="L89" i="25"/>
  <c r="I89" i="25"/>
  <c r="CI88" i="25"/>
  <c r="CI87" i="25"/>
  <c r="J87" i="25" s="1"/>
  <c r="L87" i="25"/>
  <c r="I87" i="25"/>
  <c r="CI86" i="25"/>
  <c r="J86" i="25" s="1"/>
  <c r="K86" i="25" s="1"/>
  <c r="O86" i="25" s="1"/>
  <c r="L86" i="25"/>
  <c r="I86" i="25"/>
  <c r="CI85" i="25"/>
  <c r="J85" i="25" s="1"/>
  <c r="L85" i="25"/>
  <c r="I85" i="25"/>
  <c r="CI84" i="25"/>
  <c r="CI83" i="25"/>
  <c r="J83" i="25" s="1"/>
  <c r="L83" i="25"/>
  <c r="I83" i="25"/>
  <c r="CI82" i="25"/>
  <c r="J82" i="25" s="1"/>
  <c r="L82" i="25"/>
  <c r="I82" i="25"/>
  <c r="CI81" i="25"/>
  <c r="J81" i="25" s="1"/>
  <c r="N81" i="25" s="1"/>
  <c r="L81" i="25"/>
  <c r="I81" i="25"/>
  <c r="CI80" i="25"/>
  <c r="J80" i="25" s="1"/>
  <c r="L80" i="25"/>
  <c r="I80" i="25"/>
  <c r="CI79" i="25"/>
  <c r="CI78" i="25"/>
  <c r="CI77" i="25"/>
  <c r="J77" i="25" s="1"/>
  <c r="N77" i="25" s="1"/>
  <c r="L77" i="25"/>
  <c r="L76" i="25" s="1"/>
  <c r="I77" i="25"/>
  <c r="CI76" i="25"/>
  <c r="CI75" i="25"/>
  <c r="J75" i="25" s="1"/>
  <c r="K75" i="25" s="1"/>
  <c r="O75" i="25" s="1"/>
  <c r="L75" i="25"/>
  <c r="I75" i="25"/>
  <c r="CI74" i="25"/>
  <c r="J74" i="25" s="1"/>
  <c r="L74" i="25"/>
  <c r="I74" i="25"/>
  <c r="CI73" i="25"/>
  <c r="CI72" i="25"/>
  <c r="J72" i="25" s="1"/>
  <c r="L72" i="25"/>
  <c r="L71" i="25" s="1"/>
  <c r="I72" i="25"/>
  <c r="CI71" i="25"/>
  <c r="CI70" i="25"/>
  <c r="CI69" i="25"/>
  <c r="J69" i="25" s="1"/>
  <c r="N69" i="25" s="1"/>
  <c r="N68" i="25" s="1"/>
  <c r="L69" i="25"/>
  <c r="L68" i="25" s="1"/>
  <c r="I69" i="25"/>
  <c r="CI68" i="25"/>
  <c r="CI67" i="25"/>
  <c r="J67" i="25" s="1"/>
  <c r="L67" i="25"/>
  <c r="I67" i="25"/>
  <c r="CI66" i="25"/>
  <c r="J66" i="25" s="1"/>
  <c r="N66" i="25" s="1"/>
  <c r="L66" i="25"/>
  <c r="I66" i="25"/>
  <c r="CI65" i="25"/>
  <c r="J65" i="25" s="1"/>
  <c r="L65" i="25"/>
  <c r="I65" i="25"/>
  <c r="CI64" i="25"/>
  <c r="J64" i="25" s="1"/>
  <c r="K64" i="25" s="1"/>
  <c r="O64" i="25" s="1"/>
  <c r="L64" i="25"/>
  <c r="I64" i="25"/>
  <c r="CI63" i="25"/>
  <c r="CI62" i="25"/>
  <c r="J62" i="25" s="1"/>
  <c r="L62" i="25"/>
  <c r="I62" i="25"/>
  <c r="CI61" i="25"/>
  <c r="J61" i="25" s="1"/>
  <c r="N61" i="25" s="1"/>
  <c r="L61" i="25"/>
  <c r="I61" i="25"/>
  <c r="CI60" i="25"/>
  <c r="J60" i="25" s="1"/>
  <c r="L60" i="25"/>
  <c r="I60" i="25"/>
  <c r="CI59" i="25"/>
  <c r="J59" i="25" s="1"/>
  <c r="N59" i="25" s="1"/>
  <c r="L59" i="25"/>
  <c r="I59" i="25"/>
  <c r="CI58" i="25"/>
  <c r="CI57" i="25"/>
  <c r="J57" i="25" s="1"/>
  <c r="L57" i="25"/>
  <c r="I57" i="25"/>
  <c r="CI56" i="25"/>
  <c r="J56" i="25" s="1"/>
  <c r="N56" i="25" s="1"/>
  <c r="L56" i="25"/>
  <c r="I56" i="25"/>
  <c r="CI55" i="25"/>
  <c r="J55" i="25" s="1"/>
  <c r="L55" i="25"/>
  <c r="I55" i="25"/>
  <c r="CI54" i="25"/>
  <c r="J54" i="25" s="1"/>
  <c r="N54" i="25" s="1"/>
  <c r="L54" i="25"/>
  <c r="I54" i="25"/>
  <c r="CI53" i="25"/>
  <c r="J53" i="25" s="1"/>
  <c r="K53" i="25" s="1"/>
  <c r="O53" i="25" s="1"/>
  <c r="L53" i="25"/>
  <c r="I53" i="25"/>
  <c r="CI52" i="25"/>
  <c r="CI51" i="25"/>
  <c r="J51" i="25" s="1"/>
  <c r="L51" i="25"/>
  <c r="I51" i="25"/>
  <c r="CI50" i="25"/>
  <c r="J50" i="25" s="1"/>
  <c r="L50" i="25"/>
  <c r="I50" i="25"/>
  <c r="CI49" i="25"/>
  <c r="J49" i="25" s="1"/>
  <c r="L49" i="25"/>
  <c r="I49" i="25"/>
  <c r="CI48" i="25"/>
  <c r="J48" i="25" s="1"/>
  <c r="L48" i="25"/>
  <c r="I48" i="25"/>
  <c r="CI47" i="25"/>
  <c r="I47" i="25"/>
  <c r="Q47" i="25" s="1"/>
  <c r="F47" i="25"/>
  <c r="CI46" i="25"/>
  <c r="I46" i="25"/>
  <c r="Q46" i="25" s="1"/>
  <c r="CI45" i="25"/>
  <c r="J45" i="25" s="1"/>
  <c r="K45" i="25" s="1"/>
  <c r="O45" i="25" s="1"/>
  <c r="L45" i="25"/>
  <c r="I45" i="25"/>
  <c r="CI44" i="25"/>
  <c r="J44" i="25" s="1"/>
  <c r="L44" i="25"/>
  <c r="I44" i="25"/>
  <c r="CI43" i="25"/>
  <c r="J43" i="25" s="1"/>
  <c r="L43" i="25"/>
  <c r="I43" i="25"/>
  <c r="CI42" i="25"/>
  <c r="J42" i="25" s="1"/>
  <c r="L42" i="25"/>
  <c r="I42" i="25"/>
  <c r="CI41" i="25"/>
  <c r="J41" i="25" s="1"/>
  <c r="N41" i="25" s="1"/>
  <c r="L41" i="25"/>
  <c r="I41" i="25"/>
  <c r="CI40" i="25"/>
  <c r="I40" i="25"/>
  <c r="Q40" i="25" s="1"/>
  <c r="CI39" i="25"/>
  <c r="J39" i="25" s="1"/>
  <c r="N39" i="25" s="1"/>
  <c r="L39" i="25"/>
  <c r="I39" i="25"/>
  <c r="CI38" i="25"/>
  <c r="J38" i="25" s="1"/>
  <c r="L38" i="25"/>
  <c r="I38" i="25"/>
  <c r="CI37" i="25"/>
  <c r="J37" i="25" s="1"/>
  <c r="L37" i="25"/>
  <c r="I37" i="25"/>
  <c r="CI36" i="25"/>
  <c r="J36" i="25" s="1"/>
  <c r="K36" i="25" s="1"/>
  <c r="O36" i="25" s="1"/>
  <c r="L36" i="25"/>
  <c r="I36" i="25"/>
  <c r="CI35" i="25"/>
  <c r="J35" i="25" s="1"/>
  <c r="N35" i="25" s="1"/>
  <c r="L35" i="25"/>
  <c r="I35" i="25"/>
  <c r="CI34" i="25"/>
  <c r="CI33" i="25"/>
  <c r="CI32" i="25"/>
  <c r="J32" i="25" s="1"/>
  <c r="L32" i="25"/>
  <c r="I32" i="25"/>
  <c r="CI31" i="25"/>
  <c r="J31" i="25" s="1"/>
  <c r="K31" i="25" s="1"/>
  <c r="O31" i="25" s="1"/>
  <c r="L31" i="25"/>
  <c r="I31" i="25"/>
  <c r="CI30" i="25"/>
  <c r="J30" i="25" s="1"/>
  <c r="N30" i="25" s="1"/>
  <c r="L30" i="25"/>
  <c r="I30" i="25"/>
  <c r="CI29" i="25"/>
  <c r="J29" i="25" s="1"/>
  <c r="L29" i="25"/>
  <c r="I29" i="25"/>
  <c r="CI28" i="25"/>
  <c r="J28" i="25" s="1"/>
  <c r="L28" i="25"/>
  <c r="I28" i="25"/>
  <c r="CI27" i="25"/>
  <c r="CI26" i="25"/>
  <c r="J26" i="25" s="1"/>
  <c r="L26" i="25"/>
  <c r="I26" i="25"/>
  <c r="CI25" i="25"/>
  <c r="J25" i="25" s="1"/>
  <c r="L25" i="25"/>
  <c r="I25" i="25"/>
  <c r="CI24" i="25"/>
  <c r="J24" i="25" s="1"/>
  <c r="K24" i="25" s="1"/>
  <c r="O24" i="25" s="1"/>
  <c r="L24" i="25"/>
  <c r="I24" i="25"/>
  <c r="CI23" i="25"/>
  <c r="J23" i="25" s="1"/>
  <c r="N23" i="25" s="1"/>
  <c r="L23" i="25"/>
  <c r="I23" i="25"/>
  <c r="CI22" i="25"/>
  <c r="J22" i="25" s="1"/>
  <c r="L22" i="25"/>
  <c r="I22" i="25"/>
  <c r="CI21" i="25"/>
  <c r="J21" i="25" s="1"/>
  <c r="L21" i="25"/>
  <c r="I21" i="25"/>
  <c r="CI20" i="25"/>
  <c r="J20" i="25" s="1"/>
  <c r="L20" i="25"/>
  <c r="I20" i="25"/>
  <c r="CI19" i="25"/>
  <c r="J19" i="25" s="1"/>
  <c r="N19" i="25" s="1"/>
  <c r="L19" i="25"/>
  <c r="I19" i="25"/>
  <c r="CI18" i="25"/>
  <c r="J18" i="25" s="1"/>
  <c r="L18" i="25"/>
  <c r="I18" i="25"/>
  <c r="CI17" i="25"/>
  <c r="J17" i="25" s="1"/>
  <c r="L17" i="25"/>
  <c r="I17" i="25"/>
  <c r="CI16" i="25"/>
  <c r="L16" i="25"/>
  <c r="M16" i="25"/>
  <c r="CI15" i="25"/>
  <c r="H8" i="25"/>
  <c r="AE8" i="25" s="1"/>
  <c r="AF6" i="25"/>
  <c r="O169" i="26" l="1"/>
  <c r="O110" i="26"/>
  <c r="L14" i="26"/>
  <c r="M46" i="26"/>
  <c r="N70" i="26"/>
  <c r="P70" i="26" s="1"/>
  <c r="M169" i="26"/>
  <c r="M130" i="26"/>
  <c r="O130" i="26"/>
  <c r="M110" i="26"/>
  <c r="O215" i="26"/>
  <c r="O33" i="26"/>
  <c r="P111" i="26"/>
  <c r="N110" i="26"/>
  <c r="P110" i="26" s="1"/>
  <c r="N33" i="26"/>
  <c r="P34" i="26"/>
  <c r="O46" i="26"/>
  <c r="P216" i="26"/>
  <c r="N215" i="26"/>
  <c r="P215" i="26" s="1"/>
  <c r="N46" i="26"/>
  <c r="P46" i="26" s="1"/>
  <c r="P47" i="26"/>
  <c r="P131" i="26"/>
  <c r="N130" i="26"/>
  <c r="P130" i="26" s="1"/>
  <c r="N169" i="26"/>
  <c r="P169" i="26" s="1"/>
  <c r="P170" i="26"/>
  <c r="M215" i="26"/>
  <c r="P279" i="26"/>
  <c r="P79" i="26"/>
  <c r="N78" i="26"/>
  <c r="P78" i="26" s="1"/>
  <c r="N269" i="26"/>
  <c r="P269" i="26" s="1"/>
  <c r="P270" i="26"/>
  <c r="M147" i="25"/>
  <c r="M19" i="25"/>
  <c r="Q19" i="25"/>
  <c r="M37" i="25"/>
  <c r="Q37" i="25"/>
  <c r="M44" i="25"/>
  <c r="Q44" i="25"/>
  <c r="M57" i="25"/>
  <c r="Q57" i="25"/>
  <c r="M83" i="25"/>
  <c r="Q83" i="25"/>
  <c r="M97" i="25"/>
  <c r="Q97" i="25"/>
  <c r="M129" i="25"/>
  <c r="Q129" i="25"/>
  <c r="M133" i="25"/>
  <c r="Q133" i="25"/>
  <c r="M145" i="25"/>
  <c r="Q145" i="25"/>
  <c r="M150" i="25"/>
  <c r="Q150" i="25"/>
  <c r="M160" i="25"/>
  <c r="Q160" i="25"/>
  <c r="M176" i="25"/>
  <c r="Q176" i="25"/>
  <c r="M180" i="25"/>
  <c r="Q180" i="25"/>
  <c r="M186" i="25"/>
  <c r="Q186" i="25"/>
  <c r="M192" i="25"/>
  <c r="M191" i="25" s="1"/>
  <c r="Q192" i="25"/>
  <c r="M229" i="25"/>
  <c r="Q229" i="25"/>
  <c r="M237" i="25"/>
  <c r="Q237" i="25"/>
  <c r="M245" i="25"/>
  <c r="Q245" i="25"/>
  <c r="M257" i="25"/>
  <c r="Q257" i="25"/>
  <c r="M263" i="25"/>
  <c r="Q263" i="25"/>
  <c r="M267" i="25"/>
  <c r="Q267" i="25"/>
  <c r="M283" i="25"/>
  <c r="Q283" i="25"/>
  <c r="M17" i="25"/>
  <c r="Q17" i="25"/>
  <c r="M20" i="25"/>
  <c r="Q20" i="25"/>
  <c r="M24" i="25"/>
  <c r="Q24" i="25"/>
  <c r="M30" i="25"/>
  <c r="Q30" i="25"/>
  <c r="M38" i="25"/>
  <c r="Q38" i="25"/>
  <c r="M41" i="25"/>
  <c r="Q41" i="25"/>
  <c r="M45" i="25"/>
  <c r="Q45" i="25"/>
  <c r="M48" i="25"/>
  <c r="Q48" i="25"/>
  <c r="M54" i="25"/>
  <c r="Q54" i="25"/>
  <c r="M60" i="25"/>
  <c r="Q60" i="25"/>
  <c r="M66" i="25"/>
  <c r="Q66" i="25"/>
  <c r="M72" i="25"/>
  <c r="M71" i="25" s="1"/>
  <c r="Q72" i="25"/>
  <c r="M74" i="25"/>
  <c r="Q74" i="25"/>
  <c r="L73" i="25"/>
  <c r="M80" i="25"/>
  <c r="Q80" i="25"/>
  <c r="P81" i="25"/>
  <c r="M86" i="25"/>
  <c r="Q86" i="25"/>
  <c r="M98" i="25"/>
  <c r="M96" i="25" s="1"/>
  <c r="Q98" i="25"/>
  <c r="M100" i="25"/>
  <c r="Q100" i="25"/>
  <c r="M104" i="25"/>
  <c r="Q104" i="25"/>
  <c r="M107" i="25"/>
  <c r="Q107" i="25"/>
  <c r="M114" i="25"/>
  <c r="Q114" i="25"/>
  <c r="M120" i="25"/>
  <c r="Q120" i="25"/>
  <c r="M122" i="25"/>
  <c r="Q122" i="25"/>
  <c r="M126" i="25"/>
  <c r="Q126" i="25"/>
  <c r="M134" i="25"/>
  <c r="Q134" i="25"/>
  <c r="M138" i="25"/>
  <c r="Q138" i="25"/>
  <c r="M142" i="25"/>
  <c r="Q142" i="25"/>
  <c r="M146" i="25"/>
  <c r="Q146" i="25"/>
  <c r="P149" i="25"/>
  <c r="M151" i="25"/>
  <c r="Q151" i="25"/>
  <c r="M157" i="25"/>
  <c r="Q157" i="25"/>
  <c r="M161" i="25"/>
  <c r="Q161" i="25"/>
  <c r="M165" i="25"/>
  <c r="Q165" i="25"/>
  <c r="M173" i="25"/>
  <c r="Q173" i="25"/>
  <c r="M177" i="25"/>
  <c r="Q177" i="25"/>
  <c r="M181" i="25"/>
  <c r="Q181" i="25"/>
  <c r="M183" i="25"/>
  <c r="Q183" i="25"/>
  <c r="M187" i="25"/>
  <c r="Q187" i="25"/>
  <c r="M193" i="25"/>
  <c r="Q193" i="25"/>
  <c r="M199" i="25"/>
  <c r="Q199" i="25"/>
  <c r="M203" i="25"/>
  <c r="Q203" i="25"/>
  <c r="M207" i="25"/>
  <c r="Q207" i="25"/>
  <c r="M214" i="25"/>
  <c r="Q214" i="25"/>
  <c r="M218" i="25"/>
  <c r="Q218" i="25"/>
  <c r="M222" i="25"/>
  <c r="Q222" i="25"/>
  <c r="M230" i="25"/>
  <c r="Q230" i="25"/>
  <c r="M234" i="25"/>
  <c r="Q234" i="25"/>
  <c r="M238" i="25"/>
  <c r="Q238" i="25"/>
  <c r="M242" i="25"/>
  <c r="Q242" i="25"/>
  <c r="M246" i="25"/>
  <c r="Q246" i="25"/>
  <c r="M252" i="25"/>
  <c r="Q252" i="25"/>
  <c r="M254" i="25"/>
  <c r="Q254" i="25"/>
  <c r="M258" i="25"/>
  <c r="Q258" i="25"/>
  <c r="M264" i="25"/>
  <c r="Q264" i="25"/>
  <c r="M268" i="25"/>
  <c r="Q268" i="25"/>
  <c r="M272" i="25"/>
  <c r="Q272" i="25"/>
  <c r="M278" i="25"/>
  <c r="Q278" i="25"/>
  <c r="M280" i="25"/>
  <c r="Q280" i="25"/>
  <c r="M284" i="25"/>
  <c r="Q284" i="25"/>
  <c r="M23" i="25"/>
  <c r="Q23" i="25"/>
  <c r="M29" i="25"/>
  <c r="Q29" i="25"/>
  <c r="M51" i="25"/>
  <c r="Q51" i="25"/>
  <c r="M59" i="25"/>
  <c r="Q59" i="25"/>
  <c r="M65" i="25"/>
  <c r="Q65" i="25"/>
  <c r="M103" i="25"/>
  <c r="Q103" i="25"/>
  <c r="M113" i="25"/>
  <c r="Q113" i="25"/>
  <c r="M125" i="25"/>
  <c r="Q125" i="25"/>
  <c r="M137" i="25"/>
  <c r="Q137" i="25"/>
  <c r="M156" i="25"/>
  <c r="Q156" i="25"/>
  <c r="M217" i="25"/>
  <c r="Q217" i="25"/>
  <c r="M221" i="25"/>
  <c r="Q221" i="25"/>
  <c r="M225" i="25"/>
  <c r="Q225" i="25"/>
  <c r="M26" i="25"/>
  <c r="Q26" i="25"/>
  <c r="M28" i="25"/>
  <c r="Q28" i="25"/>
  <c r="M32" i="25"/>
  <c r="Q32" i="25"/>
  <c r="M36" i="25"/>
  <c r="Q36" i="25"/>
  <c r="M43" i="25"/>
  <c r="Q43" i="25"/>
  <c r="M50" i="25"/>
  <c r="Q50" i="25"/>
  <c r="M56" i="25"/>
  <c r="Q56" i="25"/>
  <c r="M62" i="25"/>
  <c r="Q62" i="25"/>
  <c r="M64" i="25"/>
  <c r="Q64" i="25"/>
  <c r="M82" i="25"/>
  <c r="Q82" i="25"/>
  <c r="M90" i="25"/>
  <c r="M88" i="25" s="1"/>
  <c r="Q90" i="25"/>
  <c r="M92" i="25"/>
  <c r="M91" i="25" s="1"/>
  <c r="Q92" i="25"/>
  <c r="M94" i="25"/>
  <c r="Q94" i="25"/>
  <c r="M102" i="25"/>
  <c r="Q102" i="25"/>
  <c r="M112" i="25"/>
  <c r="Q112" i="25"/>
  <c r="M116" i="25"/>
  <c r="Q116" i="25"/>
  <c r="M118" i="25"/>
  <c r="Q118" i="25"/>
  <c r="M124" i="25"/>
  <c r="Q124" i="25"/>
  <c r="M128" i="25"/>
  <c r="Q128" i="25"/>
  <c r="M132" i="25"/>
  <c r="Q132" i="25"/>
  <c r="M136" i="25"/>
  <c r="Q136" i="25"/>
  <c r="M140" i="25"/>
  <c r="Q140" i="25"/>
  <c r="M144" i="25"/>
  <c r="Q144" i="25"/>
  <c r="M149" i="25"/>
  <c r="Q149" i="25"/>
  <c r="M155" i="25"/>
  <c r="Q155" i="25"/>
  <c r="M159" i="25"/>
  <c r="Q159" i="25"/>
  <c r="M163" i="25"/>
  <c r="Q163" i="25"/>
  <c r="M167" i="25"/>
  <c r="Q167" i="25"/>
  <c r="M171" i="25"/>
  <c r="Q171" i="25"/>
  <c r="M175" i="25"/>
  <c r="Q175" i="25"/>
  <c r="M179" i="25"/>
  <c r="Q179" i="25"/>
  <c r="M185" i="25"/>
  <c r="Q185" i="25"/>
  <c r="M197" i="25"/>
  <c r="Q197" i="25"/>
  <c r="M201" i="25"/>
  <c r="Q201" i="25"/>
  <c r="M205" i="25"/>
  <c r="Q205" i="25"/>
  <c r="M211" i="25"/>
  <c r="Q211" i="25"/>
  <c r="M212" i="25"/>
  <c r="Q212" i="25"/>
  <c r="M220" i="25"/>
  <c r="Q220" i="25"/>
  <c r="M224" i="25"/>
  <c r="Q224" i="25"/>
  <c r="M228" i="25"/>
  <c r="Q228" i="25"/>
  <c r="M232" i="25"/>
  <c r="Q232" i="25"/>
  <c r="M236" i="25"/>
  <c r="Q236" i="25"/>
  <c r="M240" i="25"/>
  <c r="Q240" i="25"/>
  <c r="M244" i="25"/>
  <c r="Q244" i="25"/>
  <c r="M250" i="25"/>
  <c r="Q250" i="25"/>
  <c r="M256" i="25"/>
  <c r="Q256" i="25"/>
  <c r="M262" i="25"/>
  <c r="Q262" i="25"/>
  <c r="M266" i="25"/>
  <c r="Q266" i="25"/>
  <c r="M274" i="25"/>
  <c r="Q274" i="25"/>
  <c r="M282" i="25"/>
  <c r="Q282" i="25"/>
  <c r="M53" i="25"/>
  <c r="M52" i="25" s="1"/>
  <c r="Q53" i="25"/>
  <c r="M85" i="25"/>
  <c r="Q85" i="25"/>
  <c r="M95" i="25"/>
  <c r="Q95" i="25"/>
  <c r="M106" i="25"/>
  <c r="Q106" i="25"/>
  <c r="M119" i="25"/>
  <c r="Q119" i="25"/>
  <c r="M141" i="25"/>
  <c r="Q141" i="25"/>
  <c r="M164" i="25"/>
  <c r="Q164" i="25"/>
  <c r="M172" i="25"/>
  <c r="Q172" i="25"/>
  <c r="M198" i="25"/>
  <c r="Q198" i="25"/>
  <c r="M202" i="25"/>
  <c r="Q202" i="25"/>
  <c r="M206" i="25"/>
  <c r="Q206" i="25"/>
  <c r="M213" i="25"/>
  <c r="Q213" i="25"/>
  <c r="M233" i="25"/>
  <c r="Q233" i="25"/>
  <c r="M241" i="25"/>
  <c r="Q241" i="25"/>
  <c r="M251" i="25"/>
  <c r="Q251" i="25"/>
  <c r="M275" i="25"/>
  <c r="Q275" i="25"/>
  <c r="M277" i="25"/>
  <c r="M276" i="25" s="1"/>
  <c r="Q277" i="25"/>
  <c r="M18" i="25"/>
  <c r="Q18" i="25"/>
  <c r="M22" i="25"/>
  <c r="Q22" i="25"/>
  <c r="M21" i="25"/>
  <c r="Q21" i="25"/>
  <c r="M25" i="25"/>
  <c r="Q25" i="25"/>
  <c r="M31" i="25"/>
  <c r="Q31" i="25"/>
  <c r="M35" i="25"/>
  <c r="Q35" i="25"/>
  <c r="M39" i="25"/>
  <c r="Q39" i="25"/>
  <c r="M42" i="25"/>
  <c r="Q42" i="25"/>
  <c r="M49" i="25"/>
  <c r="Q49" i="25"/>
  <c r="M55" i="25"/>
  <c r="Q55" i="25"/>
  <c r="M61" i="25"/>
  <c r="Q61" i="25"/>
  <c r="M67" i="25"/>
  <c r="Q67" i="25"/>
  <c r="M69" i="25"/>
  <c r="M68" i="25" s="1"/>
  <c r="Q69" i="25"/>
  <c r="M75" i="25"/>
  <c r="Q75" i="25"/>
  <c r="M77" i="25"/>
  <c r="M76" i="25" s="1"/>
  <c r="Q77" i="25"/>
  <c r="M81" i="25"/>
  <c r="Q81" i="25"/>
  <c r="M87" i="25"/>
  <c r="Q87" i="25"/>
  <c r="M89" i="25"/>
  <c r="Q89" i="25"/>
  <c r="M101" i="25"/>
  <c r="Q101" i="25"/>
  <c r="M105" i="25"/>
  <c r="Q105" i="25"/>
  <c r="M108" i="25"/>
  <c r="Q108" i="25"/>
  <c r="M115" i="25"/>
  <c r="Q115" i="25"/>
  <c r="M123" i="25"/>
  <c r="Q123" i="25"/>
  <c r="M127" i="25"/>
  <c r="Q127" i="25"/>
  <c r="M135" i="25"/>
  <c r="Q135" i="25"/>
  <c r="M139" i="25"/>
  <c r="Q139" i="25"/>
  <c r="M143" i="25"/>
  <c r="Q143" i="25"/>
  <c r="M148" i="25"/>
  <c r="Q148" i="25"/>
  <c r="M152" i="25"/>
  <c r="Q152" i="25"/>
  <c r="M154" i="25"/>
  <c r="Q154" i="25"/>
  <c r="M158" i="25"/>
  <c r="Q158" i="25"/>
  <c r="M162" i="25"/>
  <c r="Q162" i="25"/>
  <c r="M166" i="25"/>
  <c r="Q166" i="25"/>
  <c r="M174" i="25"/>
  <c r="Q174" i="25"/>
  <c r="M178" i="25"/>
  <c r="Q178" i="25"/>
  <c r="M184" i="25"/>
  <c r="Q184" i="25"/>
  <c r="M188" i="25"/>
  <c r="Q188" i="25"/>
  <c r="M194" i="25"/>
  <c r="Q194" i="25"/>
  <c r="M196" i="25"/>
  <c r="Q196" i="25"/>
  <c r="M200" i="25"/>
  <c r="Q200" i="25"/>
  <c r="M204" i="25"/>
  <c r="Q204" i="25"/>
  <c r="M208" i="25"/>
  <c r="Q208" i="25"/>
  <c r="M210" i="25"/>
  <c r="Q210" i="25"/>
  <c r="M219" i="25"/>
  <c r="Q219" i="25"/>
  <c r="M223" i="25"/>
  <c r="Q223" i="25"/>
  <c r="M227" i="25"/>
  <c r="Q227" i="25"/>
  <c r="M231" i="25"/>
  <c r="Q231" i="25"/>
  <c r="M235" i="25"/>
  <c r="Q235" i="25"/>
  <c r="M239" i="25"/>
  <c r="Q239" i="25"/>
  <c r="M243" i="25"/>
  <c r="Q243" i="25"/>
  <c r="M247" i="25"/>
  <c r="Q247" i="25"/>
  <c r="M249" i="25"/>
  <c r="M248" i="25" s="1"/>
  <c r="Q249" i="25"/>
  <c r="M255" i="25"/>
  <c r="Q255" i="25"/>
  <c r="M259" i="25"/>
  <c r="Q259" i="25"/>
  <c r="M261" i="25"/>
  <c r="Q261" i="25"/>
  <c r="M265" i="25"/>
  <c r="Q265" i="25"/>
  <c r="M273" i="25"/>
  <c r="Q273" i="25"/>
  <c r="M281" i="25"/>
  <c r="Q281" i="25"/>
  <c r="M109" i="25"/>
  <c r="Q109" i="25"/>
  <c r="M271" i="25"/>
  <c r="Q271" i="25"/>
  <c r="M190" i="25"/>
  <c r="Q190" i="25"/>
  <c r="M189" i="25"/>
  <c r="Q189" i="25"/>
  <c r="M168" i="25"/>
  <c r="Q168" i="25"/>
  <c r="P206" i="25"/>
  <c r="P246" i="25"/>
  <c r="P148" i="25"/>
  <c r="P158" i="25"/>
  <c r="P173" i="25"/>
  <c r="P188" i="25"/>
  <c r="P196" i="25"/>
  <c r="P154" i="25"/>
  <c r="L84" i="25"/>
  <c r="N122" i="25"/>
  <c r="P122" i="25" s="1"/>
  <c r="K242" i="25"/>
  <c r="O242" i="25" s="1"/>
  <c r="L276" i="25"/>
  <c r="P151" i="25"/>
  <c r="P264" i="25"/>
  <c r="P136" i="25"/>
  <c r="L153" i="25"/>
  <c r="L40" i="25"/>
  <c r="P61" i="25"/>
  <c r="L70" i="25"/>
  <c r="L111" i="25"/>
  <c r="L117" i="25"/>
  <c r="P192" i="25"/>
  <c r="P220" i="25"/>
  <c r="P250" i="25"/>
  <c r="L58" i="25"/>
  <c r="L195" i="25"/>
  <c r="L216" i="25"/>
  <c r="P283" i="25"/>
  <c r="P30" i="25"/>
  <c r="P181" i="25"/>
  <c r="P105" i="25"/>
  <c r="P23" i="25"/>
  <c r="L27" i="25"/>
  <c r="P56" i="25"/>
  <c r="P59" i="25"/>
  <c r="P66" i="25"/>
  <c r="P109" i="25"/>
  <c r="P115" i="25"/>
  <c r="P118" i="25"/>
  <c r="P124" i="25"/>
  <c r="P128" i="25"/>
  <c r="P138" i="25"/>
  <c r="P143" i="25"/>
  <c r="P147" i="25"/>
  <c r="P160" i="25"/>
  <c r="P162" i="25"/>
  <c r="L209" i="25"/>
  <c r="P221" i="25"/>
  <c r="P234" i="25"/>
  <c r="P242" i="25"/>
  <c r="P263" i="25"/>
  <c r="K147" i="25"/>
  <c r="O147" i="25" s="1"/>
  <c r="P166" i="25"/>
  <c r="P174" i="25"/>
  <c r="P193" i="25"/>
  <c r="P198" i="25"/>
  <c r="P204" i="25"/>
  <c r="L248" i="25"/>
  <c r="J16" i="25"/>
  <c r="K16" i="25" s="1"/>
  <c r="O16" i="25" s="1"/>
  <c r="L99" i="25"/>
  <c r="P19" i="25"/>
  <c r="L34" i="25"/>
  <c r="P39" i="25"/>
  <c r="L52" i="25"/>
  <c r="P54" i="25"/>
  <c r="N75" i="25"/>
  <c r="P75" i="25" s="1"/>
  <c r="L96" i="25"/>
  <c r="P100" i="25"/>
  <c r="P104" i="25"/>
  <c r="P202" i="25"/>
  <c r="N211" i="25"/>
  <c r="P211" i="25" s="1"/>
  <c r="N217" i="25"/>
  <c r="P217" i="25" s="1"/>
  <c r="P219" i="25"/>
  <c r="P247" i="25"/>
  <c r="P249" i="25"/>
  <c r="K61" i="25"/>
  <c r="O61" i="25" s="1"/>
  <c r="K59" i="25"/>
  <c r="O59" i="25" s="1"/>
  <c r="K100" i="25"/>
  <c r="O100" i="25" s="1"/>
  <c r="K109" i="25"/>
  <c r="O109" i="25" s="1"/>
  <c r="K134" i="25"/>
  <c r="O134" i="25" s="1"/>
  <c r="K204" i="25"/>
  <c r="O204" i="25" s="1"/>
  <c r="P134" i="25"/>
  <c r="K30" i="25"/>
  <c r="O30" i="25" s="1"/>
  <c r="N45" i="25"/>
  <c r="P45" i="25" s="1"/>
  <c r="N102" i="25"/>
  <c r="P102" i="25" s="1"/>
  <c r="K118" i="25"/>
  <c r="O118" i="25" s="1"/>
  <c r="N207" i="25"/>
  <c r="P207" i="25" s="1"/>
  <c r="K35" i="25"/>
  <c r="O35" i="25" s="1"/>
  <c r="K173" i="25"/>
  <c r="O173" i="25" s="1"/>
  <c r="K181" i="25"/>
  <c r="O181" i="25" s="1"/>
  <c r="K246" i="25"/>
  <c r="O246" i="25" s="1"/>
  <c r="K138" i="25"/>
  <c r="O138" i="25" s="1"/>
  <c r="K143" i="25"/>
  <c r="O143" i="25" s="1"/>
  <c r="K220" i="25"/>
  <c r="O220" i="25" s="1"/>
  <c r="K221" i="25"/>
  <c r="O221" i="25" s="1"/>
  <c r="P238" i="25"/>
  <c r="K283" i="25"/>
  <c r="O283" i="25" s="1"/>
  <c r="K163" i="25"/>
  <c r="O163" i="25" s="1"/>
  <c r="N163" i="25"/>
  <c r="P163" i="25" s="1"/>
  <c r="K178" i="25"/>
  <c r="O178" i="25" s="1"/>
  <c r="N178" i="25"/>
  <c r="P178" i="25" s="1"/>
  <c r="N200" i="25"/>
  <c r="P200" i="25" s="1"/>
  <c r="K200" i="25"/>
  <c r="O200" i="25" s="1"/>
  <c r="K74" i="25"/>
  <c r="O74" i="25" s="1"/>
  <c r="O73" i="25" s="1"/>
  <c r="N74" i="25"/>
  <c r="K90" i="25"/>
  <c r="O90" i="25" s="1"/>
  <c r="O88" i="25" s="1"/>
  <c r="N90" i="25"/>
  <c r="K98" i="25"/>
  <c r="O98" i="25" s="1"/>
  <c r="N98" i="25"/>
  <c r="P98" i="25" s="1"/>
  <c r="K119" i="25"/>
  <c r="O119" i="25" s="1"/>
  <c r="N119" i="25"/>
  <c r="P119" i="25" s="1"/>
  <c r="N159" i="25"/>
  <c r="P159" i="25" s="1"/>
  <c r="K159" i="25"/>
  <c r="O159" i="25" s="1"/>
  <c r="N167" i="25"/>
  <c r="K167" i="25"/>
  <c r="O167" i="25" s="1"/>
  <c r="K284" i="25"/>
  <c r="O284" i="25" s="1"/>
  <c r="N284" i="25"/>
  <c r="P284" i="25" s="1"/>
  <c r="K101" i="25"/>
  <c r="O101" i="25" s="1"/>
  <c r="N101" i="25"/>
  <c r="P101" i="25" s="1"/>
  <c r="N256" i="25"/>
  <c r="K256" i="25"/>
  <c r="O256" i="25" s="1"/>
  <c r="K56" i="25"/>
  <c r="O56" i="25" s="1"/>
  <c r="K193" i="25"/>
  <c r="O193" i="25" s="1"/>
  <c r="N112" i="25"/>
  <c r="P112" i="25" s="1"/>
  <c r="N152" i="25"/>
  <c r="P152" i="25" s="1"/>
  <c r="N156" i="25"/>
  <c r="P156" i="25" s="1"/>
  <c r="N172" i="25"/>
  <c r="P172" i="25" s="1"/>
  <c r="K202" i="25"/>
  <c r="O202" i="25" s="1"/>
  <c r="K219" i="25"/>
  <c r="O219" i="25" s="1"/>
  <c r="K230" i="25"/>
  <c r="O230" i="25" s="1"/>
  <c r="K234" i="25"/>
  <c r="O234" i="25" s="1"/>
  <c r="N251" i="25"/>
  <c r="P251" i="25" s="1"/>
  <c r="K198" i="25"/>
  <c r="O198" i="25" s="1"/>
  <c r="K69" i="25"/>
  <c r="O69" i="25" s="1"/>
  <c r="O68" i="25" s="1"/>
  <c r="K94" i="25"/>
  <c r="O94" i="25" s="1"/>
  <c r="K39" i="25"/>
  <c r="O39" i="25" s="1"/>
  <c r="P69" i="25"/>
  <c r="K81" i="25"/>
  <c r="O81" i="25" s="1"/>
  <c r="K188" i="25"/>
  <c r="O188" i="25" s="1"/>
  <c r="K196" i="25"/>
  <c r="O196" i="25" s="1"/>
  <c r="N218" i="25"/>
  <c r="P218" i="25" s="1"/>
  <c r="N227" i="25"/>
  <c r="P227" i="25" s="1"/>
  <c r="P230" i="25"/>
  <c r="K113" i="25"/>
  <c r="O113" i="25" s="1"/>
  <c r="N113" i="25"/>
  <c r="P113" i="25" s="1"/>
  <c r="N135" i="25"/>
  <c r="P135" i="25" s="1"/>
  <c r="K135" i="25"/>
  <c r="O135" i="25" s="1"/>
  <c r="K140" i="25"/>
  <c r="O140" i="25" s="1"/>
  <c r="N140" i="25"/>
  <c r="P140" i="25" s="1"/>
  <c r="K20" i="25"/>
  <c r="O20" i="25" s="1"/>
  <c r="N20" i="25"/>
  <c r="P20" i="25" s="1"/>
  <c r="K50" i="25"/>
  <c r="O50" i="25" s="1"/>
  <c r="N50" i="25"/>
  <c r="P50" i="25" s="1"/>
  <c r="K57" i="25"/>
  <c r="O57" i="25" s="1"/>
  <c r="N57" i="25"/>
  <c r="P57" i="25" s="1"/>
  <c r="K85" i="25"/>
  <c r="O85" i="25" s="1"/>
  <c r="N85" i="25"/>
  <c r="P85" i="25" s="1"/>
  <c r="K95" i="25"/>
  <c r="O95" i="25" s="1"/>
  <c r="N95" i="25"/>
  <c r="P95" i="25" s="1"/>
  <c r="K116" i="25"/>
  <c r="O116" i="25" s="1"/>
  <c r="N116" i="25"/>
  <c r="P116" i="25" s="1"/>
  <c r="K125" i="25"/>
  <c r="O125" i="25" s="1"/>
  <c r="N125" i="25"/>
  <c r="P125" i="25" s="1"/>
  <c r="K127" i="25"/>
  <c r="O127" i="25" s="1"/>
  <c r="N127" i="25"/>
  <c r="P127" i="25" s="1"/>
  <c r="K165" i="25"/>
  <c r="O165" i="25" s="1"/>
  <c r="N165" i="25"/>
  <c r="P165" i="25" s="1"/>
  <c r="K203" i="25"/>
  <c r="O203" i="25" s="1"/>
  <c r="N203" i="25"/>
  <c r="P203" i="25" s="1"/>
  <c r="K231" i="25"/>
  <c r="O231" i="25" s="1"/>
  <c r="N231" i="25"/>
  <c r="P231" i="25" s="1"/>
  <c r="K42" i="25"/>
  <c r="O42" i="25" s="1"/>
  <c r="N42" i="25"/>
  <c r="P42" i="25" s="1"/>
  <c r="K67" i="25"/>
  <c r="O67" i="25" s="1"/>
  <c r="N67" i="25"/>
  <c r="P67" i="25" s="1"/>
  <c r="K82" i="25"/>
  <c r="O82" i="25" s="1"/>
  <c r="N82" i="25"/>
  <c r="P82" i="25" s="1"/>
  <c r="N190" i="25"/>
  <c r="P190" i="25" s="1"/>
  <c r="K190" i="25"/>
  <c r="O190" i="25" s="1"/>
  <c r="N267" i="25"/>
  <c r="P267" i="25" s="1"/>
  <c r="K267" i="25"/>
  <c r="O267" i="25" s="1"/>
  <c r="P167" i="25"/>
  <c r="K23" i="25"/>
  <c r="O23" i="25" s="1"/>
  <c r="N53" i="25"/>
  <c r="P53" i="25" s="1"/>
  <c r="N86" i="25"/>
  <c r="P86" i="25" s="1"/>
  <c r="K124" i="25"/>
  <c r="O124" i="25" s="1"/>
  <c r="K129" i="25"/>
  <c r="O129" i="25" s="1"/>
  <c r="K148" i="25"/>
  <c r="O148" i="25" s="1"/>
  <c r="K154" i="25"/>
  <c r="O154" i="25" s="1"/>
  <c r="N157" i="25"/>
  <c r="P157" i="25" s="1"/>
  <c r="N180" i="25"/>
  <c r="P180" i="25" s="1"/>
  <c r="N185" i="25"/>
  <c r="P185" i="25" s="1"/>
  <c r="K192" i="25"/>
  <c r="O192" i="25" s="1"/>
  <c r="N208" i="25"/>
  <c r="P208" i="25" s="1"/>
  <c r="N235" i="25"/>
  <c r="P235" i="25" s="1"/>
  <c r="N243" i="25"/>
  <c r="P243" i="25" s="1"/>
  <c r="K250" i="25"/>
  <c r="O250" i="25" s="1"/>
  <c r="K264" i="25"/>
  <c r="O264" i="25" s="1"/>
  <c r="K273" i="25"/>
  <c r="O273" i="25" s="1"/>
  <c r="K277" i="25"/>
  <c r="O277" i="25" s="1"/>
  <c r="N281" i="25"/>
  <c r="P281" i="25" s="1"/>
  <c r="K158" i="25"/>
  <c r="O158" i="25" s="1"/>
  <c r="K97" i="25"/>
  <c r="O97" i="25" s="1"/>
  <c r="P129" i="25"/>
  <c r="K136" i="25"/>
  <c r="O136" i="25" s="1"/>
  <c r="K151" i="25"/>
  <c r="O151" i="25" s="1"/>
  <c r="N155" i="25"/>
  <c r="P155" i="25" s="1"/>
  <c r="N197" i="25"/>
  <c r="P197" i="25" s="1"/>
  <c r="K206" i="25"/>
  <c r="O206" i="25" s="1"/>
  <c r="N132" i="25"/>
  <c r="P132" i="25" s="1"/>
  <c r="N145" i="25"/>
  <c r="P145" i="25" s="1"/>
  <c r="K162" i="25"/>
  <c r="O162" i="25" s="1"/>
  <c r="N187" i="25"/>
  <c r="P187" i="25" s="1"/>
  <c r="N225" i="25"/>
  <c r="P225" i="25" s="1"/>
  <c r="K238" i="25"/>
  <c r="O238" i="25" s="1"/>
  <c r="K249" i="25"/>
  <c r="O249" i="25" s="1"/>
  <c r="N261" i="25"/>
  <c r="P261" i="25" s="1"/>
  <c r="K263" i="25"/>
  <c r="O263" i="25" s="1"/>
  <c r="N275" i="25"/>
  <c r="P275" i="25" s="1"/>
  <c r="K44" i="25"/>
  <c r="O44" i="25" s="1"/>
  <c r="N44" i="25"/>
  <c r="P44" i="25" s="1"/>
  <c r="K55" i="25"/>
  <c r="O55" i="25" s="1"/>
  <c r="N55" i="25"/>
  <c r="P55" i="25" s="1"/>
  <c r="K179" i="25"/>
  <c r="O179" i="25" s="1"/>
  <c r="N179" i="25"/>
  <c r="P179" i="25" s="1"/>
  <c r="L15" i="25"/>
  <c r="K19" i="25"/>
  <c r="O19" i="25" s="1"/>
  <c r="K21" i="25"/>
  <c r="O21" i="25" s="1"/>
  <c r="N21" i="25"/>
  <c r="P21" i="25" s="1"/>
  <c r="K22" i="25"/>
  <c r="O22" i="25" s="1"/>
  <c r="N22" i="25"/>
  <c r="P22" i="25" s="1"/>
  <c r="K28" i="25"/>
  <c r="O28" i="25" s="1"/>
  <c r="N28" i="25"/>
  <c r="K29" i="25"/>
  <c r="O29" i="25" s="1"/>
  <c r="N29" i="25"/>
  <c r="P29" i="25" s="1"/>
  <c r="P35" i="25"/>
  <c r="N36" i="25"/>
  <c r="P36" i="25" s="1"/>
  <c r="K41" i="25"/>
  <c r="O41" i="25" s="1"/>
  <c r="K43" i="25"/>
  <c r="O43" i="25" s="1"/>
  <c r="N43" i="25"/>
  <c r="P43" i="25" s="1"/>
  <c r="K54" i="25"/>
  <c r="O54" i="25" s="1"/>
  <c r="K66" i="25"/>
  <c r="O66" i="25" s="1"/>
  <c r="N76" i="25"/>
  <c r="P76" i="25" s="1"/>
  <c r="P77" i="25"/>
  <c r="K105" i="25"/>
  <c r="O105" i="25" s="1"/>
  <c r="K120" i="25"/>
  <c r="O120" i="25" s="1"/>
  <c r="N120" i="25"/>
  <c r="P120" i="25" s="1"/>
  <c r="K126" i="25"/>
  <c r="O126" i="25" s="1"/>
  <c r="N126" i="25"/>
  <c r="P126" i="25" s="1"/>
  <c r="K141" i="25"/>
  <c r="O141" i="25" s="1"/>
  <c r="N141" i="25"/>
  <c r="K146" i="25"/>
  <c r="O146" i="25" s="1"/>
  <c r="N146" i="25"/>
  <c r="P146" i="25" s="1"/>
  <c r="N189" i="25"/>
  <c r="P189" i="25" s="1"/>
  <c r="K189" i="25"/>
  <c r="O189" i="25" s="1"/>
  <c r="N199" i="25"/>
  <c r="K199" i="25"/>
  <c r="O199" i="25" s="1"/>
  <c r="K201" i="25"/>
  <c r="O201" i="25" s="1"/>
  <c r="N201" i="25"/>
  <c r="P201" i="25" s="1"/>
  <c r="K244" i="25"/>
  <c r="O244" i="25" s="1"/>
  <c r="N244" i="25"/>
  <c r="P244" i="25" s="1"/>
  <c r="K258" i="25"/>
  <c r="O258" i="25" s="1"/>
  <c r="N258" i="25"/>
  <c r="P258" i="25" s="1"/>
  <c r="K89" i="25"/>
  <c r="O89" i="25" s="1"/>
  <c r="N89" i="25"/>
  <c r="K164" i="25"/>
  <c r="O164" i="25" s="1"/>
  <c r="N164" i="25"/>
  <c r="P164" i="25" s="1"/>
  <c r="N175" i="25"/>
  <c r="P175" i="25" s="1"/>
  <c r="K175" i="25"/>
  <c r="O175" i="25" s="1"/>
  <c r="N16" i="25"/>
  <c r="N24" i="25"/>
  <c r="P24" i="25" s="1"/>
  <c r="N31" i="25"/>
  <c r="P31" i="25" s="1"/>
  <c r="K37" i="25"/>
  <c r="O37" i="25" s="1"/>
  <c r="N37" i="25"/>
  <c r="P37" i="25" s="1"/>
  <c r="K38" i="25"/>
  <c r="O38" i="25" s="1"/>
  <c r="N38" i="25"/>
  <c r="P38" i="25" s="1"/>
  <c r="K48" i="25"/>
  <c r="O48" i="25" s="1"/>
  <c r="N48" i="25"/>
  <c r="N49" i="25"/>
  <c r="P49" i="25" s="1"/>
  <c r="K49" i="25"/>
  <c r="O49" i="25" s="1"/>
  <c r="K51" i="25"/>
  <c r="O51" i="25" s="1"/>
  <c r="N51" i="25"/>
  <c r="P51" i="25" s="1"/>
  <c r="K60" i="25"/>
  <c r="O60" i="25" s="1"/>
  <c r="N60" i="25"/>
  <c r="K62" i="25"/>
  <c r="O62" i="25" s="1"/>
  <c r="N62" i="25"/>
  <c r="P62" i="25" s="1"/>
  <c r="N64" i="25"/>
  <c r="K72" i="25"/>
  <c r="O72" i="25" s="1"/>
  <c r="O71" i="25" s="1"/>
  <c r="N72" i="25"/>
  <c r="K77" i="25"/>
  <c r="O77" i="25" s="1"/>
  <c r="O76" i="25" s="1"/>
  <c r="N92" i="25"/>
  <c r="K92" i="25"/>
  <c r="O92" i="25" s="1"/>
  <c r="O91" i="25" s="1"/>
  <c r="P94" i="25"/>
  <c r="L93" i="25"/>
  <c r="N107" i="25"/>
  <c r="P107" i="25" s="1"/>
  <c r="K107" i="25"/>
  <c r="O107" i="25" s="1"/>
  <c r="K115" i="25"/>
  <c r="O115" i="25" s="1"/>
  <c r="K166" i="25"/>
  <c r="O166" i="25" s="1"/>
  <c r="N168" i="25"/>
  <c r="P168" i="25" s="1"/>
  <c r="K168" i="25"/>
  <c r="O168" i="25" s="1"/>
  <c r="K278" i="25"/>
  <c r="O278" i="25" s="1"/>
  <c r="N278" i="25"/>
  <c r="P278" i="25" s="1"/>
  <c r="P41" i="25"/>
  <c r="K83" i="25"/>
  <c r="O83" i="25" s="1"/>
  <c r="N83" i="25"/>
  <c r="P83" i="25" s="1"/>
  <c r="K17" i="25"/>
  <c r="O17" i="25" s="1"/>
  <c r="N17" i="25"/>
  <c r="P17" i="25" s="1"/>
  <c r="K18" i="25"/>
  <c r="O18" i="25" s="1"/>
  <c r="N18" i="25"/>
  <c r="P18" i="25" s="1"/>
  <c r="K25" i="25"/>
  <c r="O25" i="25" s="1"/>
  <c r="N25" i="25"/>
  <c r="P25" i="25" s="1"/>
  <c r="K26" i="25"/>
  <c r="O26" i="25" s="1"/>
  <c r="N26" i="25"/>
  <c r="P26" i="25" s="1"/>
  <c r="K32" i="25"/>
  <c r="O32" i="25" s="1"/>
  <c r="N32" i="25"/>
  <c r="P32" i="25" s="1"/>
  <c r="P68" i="25"/>
  <c r="P97" i="25"/>
  <c r="K128" i="25"/>
  <c r="O128" i="25" s="1"/>
  <c r="K139" i="25"/>
  <c r="O139" i="25" s="1"/>
  <c r="N139" i="25"/>
  <c r="P139" i="25" s="1"/>
  <c r="K144" i="25"/>
  <c r="O144" i="25" s="1"/>
  <c r="N144" i="25"/>
  <c r="P144" i="25" s="1"/>
  <c r="K171" i="25"/>
  <c r="O171" i="25" s="1"/>
  <c r="N171" i="25"/>
  <c r="L47" i="25"/>
  <c r="K123" i="25"/>
  <c r="O123" i="25" s="1"/>
  <c r="N123" i="25"/>
  <c r="P123" i="25" s="1"/>
  <c r="K183" i="25"/>
  <c r="O183" i="25" s="1"/>
  <c r="N183" i="25"/>
  <c r="K259" i="25"/>
  <c r="O259" i="25" s="1"/>
  <c r="N259" i="25"/>
  <c r="P259" i="25" s="1"/>
  <c r="N280" i="25"/>
  <c r="K280" i="25"/>
  <c r="O280" i="25" s="1"/>
  <c r="K80" i="25"/>
  <c r="O80" i="25" s="1"/>
  <c r="N80" i="25"/>
  <c r="K104" i="25"/>
  <c r="O104" i="25" s="1"/>
  <c r="K161" i="25"/>
  <c r="O161" i="25" s="1"/>
  <c r="N161" i="25"/>
  <c r="P161" i="25" s="1"/>
  <c r="N184" i="25"/>
  <c r="P184" i="25" s="1"/>
  <c r="K184" i="25"/>
  <c r="O184" i="25" s="1"/>
  <c r="K245" i="25"/>
  <c r="O245" i="25" s="1"/>
  <c r="N245" i="25"/>
  <c r="P245" i="25" s="1"/>
  <c r="L170" i="25"/>
  <c r="P213" i="25"/>
  <c r="K236" i="25"/>
  <c r="O236" i="25" s="1"/>
  <c r="N236" i="25"/>
  <c r="P236" i="25" s="1"/>
  <c r="K237" i="25"/>
  <c r="O237" i="25" s="1"/>
  <c r="N237" i="25"/>
  <c r="P237" i="25" s="1"/>
  <c r="K247" i="25"/>
  <c r="O247" i="25" s="1"/>
  <c r="K65" i="25"/>
  <c r="O65" i="25" s="1"/>
  <c r="N65" i="25"/>
  <c r="P65" i="25" s="1"/>
  <c r="L79" i="25"/>
  <c r="K87" i="25"/>
  <c r="O87" i="25" s="1"/>
  <c r="N87" i="25"/>
  <c r="P87" i="25" s="1"/>
  <c r="K106" i="25"/>
  <c r="O106" i="25" s="1"/>
  <c r="N106" i="25"/>
  <c r="P106" i="25" s="1"/>
  <c r="K114" i="25"/>
  <c r="O114" i="25" s="1"/>
  <c r="N114" i="25"/>
  <c r="P114" i="25" s="1"/>
  <c r="L131" i="25"/>
  <c r="K150" i="25"/>
  <c r="O150" i="25" s="1"/>
  <c r="N150" i="25"/>
  <c r="P150" i="25" s="1"/>
  <c r="K160" i="25"/>
  <c r="O160" i="25" s="1"/>
  <c r="K174" i="25"/>
  <c r="O174" i="25" s="1"/>
  <c r="L182" i="25"/>
  <c r="K186" i="25"/>
  <c r="O186" i="25" s="1"/>
  <c r="N186" i="25"/>
  <c r="P186" i="25" s="1"/>
  <c r="K205" i="25"/>
  <c r="O205" i="25" s="1"/>
  <c r="N205" i="25"/>
  <c r="P205" i="25" s="1"/>
  <c r="K210" i="25"/>
  <c r="O210" i="25" s="1"/>
  <c r="N210" i="25"/>
  <c r="N228" i="25"/>
  <c r="P228" i="25" s="1"/>
  <c r="N239" i="25"/>
  <c r="P239" i="25" s="1"/>
  <c r="K240" i="25"/>
  <c r="O240" i="25" s="1"/>
  <c r="N240" i="25"/>
  <c r="P240" i="25" s="1"/>
  <c r="K255" i="25"/>
  <c r="O255" i="25" s="1"/>
  <c r="N255" i="25"/>
  <c r="P255" i="25" s="1"/>
  <c r="K257" i="25"/>
  <c r="O257" i="25" s="1"/>
  <c r="N257" i="25"/>
  <c r="P257" i="25" s="1"/>
  <c r="K271" i="25"/>
  <c r="O271" i="25" s="1"/>
  <c r="N271" i="25"/>
  <c r="L63" i="25"/>
  <c r="K103" i="25"/>
  <c r="O103" i="25" s="1"/>
  <c r="N103" i="25"/>
  <c r="P103" i="25" s="1"/>
  <c r="K108" i="25"/>
  <c r="O108" i="25" s="1"/>
  <c r="N108" i="25"/>
  <c r="P108" i="25" s="1"/>
  <c r="L121" i="25"/>
  <c r="N133" i="25"/>
  <c r="P133" i="25" s="1"/>
  <c r="K137" i="25"/>
  <c r="O137" i="25" s="1"/>
  <c r="N137" i="25"/>
  <c r="P137" i="25" s="1"/>
  <c r="K142" i="25"/>
  <c r="O142" i="25" s="1"/>
  <c r="N142" i="25"/>
  <c r="P142" i="25" s="1"/>
  <c r="K149" i="25"/>
  <c r="O149" i="25" s="1"/>
  <c r="K176" i="25"/>
  <c r="O176" i="25" s="1"/>
  <c r="N176" i="25"/>
  <c r="P176" i="25" s="1"/>
  <c r="N177" i="25"/>
  <c r="P177" i="25" s="1"/>
  <c r="K177" i="25"/>
  <c r="O177" i="25" s="1"/>
  <c r="L191" i="25"/>
  <c r="K194" i="25"/>
  <c r="O194" i="25" s="1"/>
  <c r="N194" i="25"/>
  <c r="P194" i="25" s="1"/>
  <c r="N212" i="25"/>
  <c r="P212" i="25" s="1"/>
  <c r="K213" i="25"/>
  <c r="O213" i="25" s="1"/>
  <c r="P214" i="25"/>
  <c r="K224" i="25"/>
  <c r="O224" i="25" s="1"/>
  <c r="N224" i="25"/>
  <c r="P224" i="25" s="1"/>
  <c r="L226" i="25"/>
  <c r="K229" i="25"/>
  <c r="O229" i="25" s="1"/>
  <c r="N229" i="25"/>
  <c r="P229" i="25" s="1"/>
  <c r="K232" i="25"/>
  <c r="O232" i="25" s="1"/>
  <c r="N232" i="25"/>
  <c r="P232" i="25" s="1"/>
  <c r="K254" i="25"/>
  <c r="O254" i="25" s="1"/>
  <c r="N254" i="25"/>
  <c r="K262" i="25"/>
  <c r="O262" i="25" s="1"/>
  <c r="N262" i="25"/>
  <c r="P262" i="25" s="1"/>
  <c r="K265" i="25"/>
  <c r="O265" i="25" s="1"/>
  <c r="N265" i="25"/>
  <c r="P265" i="25" s="1"/>
  <c r="K282" i="25"/>
  <c r="O282" i="25" s="1"/>
  <c r="N282" i="25"/>
  <c r="P282" i="25" s="1"/>
  <c r="K222" i="25"/>
  <c r="O222" i="25" s="1"/>
  <c r="N222" i="25"/>
  <c r="P222" i="25" s="1"/>
  <c r="P256" i="25"/>
  <c r="K266" i="25"/>
  <c r="O266" i="25" s="1"/>
  <c r="N266" i="25"/>
  <c r="P266" i="25" s="1"/>
  <c r="K268" i="25"/>
  <c r="O268" i="25" s="1"/>
  <c r="N268" i="25"/>
  <c r="P268" i="25" s="1"/>
  <c r="P277" i="25"/>
  <c r="K214" i="25"/>
  <c r="O214" i="25" s="1"/>
  <c r="N223" i="25"/>
  <c r="P223" i="25" s="1"/>
  <c r="K223" i="25"/>
  <c r="O223" i="25" s="1"/>
  <c r="L253" i="25"/>
  <c r="K272" i="25"/>
  <c r="O272" i="25" s="1"/>
  <c r="N272" i="25"/>
  <c r="P272" i="25" s="1"/>
  <c r="K274" i="25"/>
  <c r="O274" i="25" s="1"/>
  <c r="N274" i="25"/>
  <c r="P274" i="25" s="1"/>
  <c r="L279" i="25"/>
  <c r="K233" i="25"/>
  <c r="O233" i="25" s="1"/>
  <c r="N233" i="25"/>
  <c r="P233" i="25" s="1"/>
  <c r="K241" i="25"/>
  <c r="O241" i="25" s="1"/>
  <c r="N241" i="25"/>
  <c r="P241" i="25" s="1"/>
  <c r="L260" i="25"/>
  <c r="L270" i="25"/>
  <c r="P273" i="25"/>
  <c r="K252" i="25"/>
  <c r="O252" i="25" s="1"/>
  <c r="N252" i="25"/>
  <c r="P252" i="25" s="1"/>
  <c r="L78" i="25" l="1"/>
  <c r="L33" i="25"/>
  <c r="M58" i="25"/>
  <c r="M47" i="25"/>
  <c r="M40" i="25"/>
  <c r="M182" i="25"/>
  <c r="M73" i="25"/>
  <c r="M285" i="26"/>
  <c r="O14" i="26"/>
  <c r="N285" i="26"/>
  <c r="P285" i="26" s="1"/>
  <c r="M14" i="26"/>
  <c r="P33" i="26"/>
  <c r="N14" i="26"/>
  <c r="O285" i="26"/>
  <c r="M84" i="25"/>
  <c r="M27" i="25"/>
  <c r="M270" i="25"/>
  <c r="M269" i="25" s="1"/>
  <c r="N276" i="25"/>
  <c r="P276" i="25" s="1"/>
  <c r="O96" i="25"/>
  <c r="M279" i="25"/>
  <c r="M226" i="25"/>
  <c r="M216" i="25"/>
  <c r="M153" i="25"/>
  <c r="M70" i="25"/>
  <c r="M34" i="25"/>
  <c r="M33" i="25" s="1"/>
  <c r="M15" i="25"/>
  <c r="M260" i="25"/>
  <c r="M209" i="25"/>
  <c r="M195" i="25"/>
  <c r="M170" i="25"/>
  <c r="M169" i="25" s="1"/>
  <c r="M131" i="25"/>
  <c r="M130" i="25" s="1"/>
  <c r="M117" i="25"/>
  <c r="M111" i="25"/>
  <c r="M93" i="25"/>
  <c r="M63" i="25"/>
  <c r="M121" i="25"/>
  <c r="M99" i="25"/>
  <c r="M253" i="25"/>
  <c r="M79" i="25"/>
  <c r="M78" i="25" s="1"/>
  <c r="L269" i="25"/>
  <c r="L110" i="25"/>
  <c r="O191" i="25"/>
  <c r="O93" i="25"/>
  <c r="L215" i="25"/>
  <c r="L130" i="25"/>
  <c r="N73" i="25"/>
  <c r="P73" i="25" s="1"/>
  <c r="L46" i="25"/>
  <c r="M46" i="25"/>
  <c r="N93" i="25"/>
  <c r="P93" i="25" s="1"/>
  <c r="O117" i="25"/>
  <c r="O276" i="25"/>
  <c r="O253" i="25"/>
  <c r="O226" i="25"/>
  <c r="O63" i="25"/>
  <c r="N131" i="25"/>
  <c r="P131" i="25" s="1"/>
  <c r="O111" i="25"/>
  <c r="O84" i="25"/>
  <c r="N52" i="25"/>
  <c r="P52" i="25" s="1"/>
  <c r="P74" i="25"/>
  <c r="O34" i="25"/>
  <c r="P90" i="25"/>
  <c r="N88" i="25"/>
  <c r="P88" i="25" s="1"/>
  <c r="O248" i="25"/>
  <c r="O99" i="25"/>
  <c r="O121" i="25"/>
  <c r="N96" i="25"/>
  <c r="P96" i="25" s="1"/>
  <c r="O58" i="25"/>
  <c r="O131" i="25"/>
  <c r="O153" i="25"/>
  <c r="N260" i="25"/>
  <c r="P260" i="25" s="1"/>
  <c r="O209" i="25"/>
  <c r="N111" i="25"/>
  <c r="P111" i="25" s="1"/>
  <c r="O79" i="25"/>
  <c r="O78" i="25" s="1"/>
  <c r="O195" i="25"/>
  <c r="O216" i="25"/>
  <c r="O15" i="25"/>
  <c r="O70" i="25"/>
  <c r="O52" i="25"/>
  <c r="P254" i="25"/>
  <c r="N253" i="25"/>
  <c r="P253" i="25" s="1"/>
  <c r="P271" i="25"/>
  <c r="N270" i="25"/>
  <c r="P60" i="25"/>
  <c r="N58" i="25"/>
  <c r="P58" i="25" s="1"/>
  <c r="O270" i="25"/>
  <c r="N117" i="25"/>
  <c r="P117" i="25" s="1"/>
  <c r="N84" i="25"/>
  <c r="P84" i="25" s="1"/>
  <c r="N40" i="25"/>
  <c r="P40" i="25" s="1"/>
  <c r="P64" i="25"/>
  <c r="N63" i="25"/>
  <c r="P63" i="25" s="1"/>
  <c r="N195" i="25"/>
  <c r="P195" i="25" s="1"/>
  <c r="P199" i="25"/>
  <c r="N79" i="25"/>
  <c r="P80" i="25"/>
  <c r="O47" i="25"/>
  <c r="N248" i="25"/>
  <c r="P248" i="25" s="1"/>
  <c r="N191" i="25"/>
  <c r="P191" i="25" s="1"/>
  <c r="N226" i="25"/>
  <c r="P226" i="25" s="1"/>
  <c r="O279" i="25"/>
  <c r="N182" i="25"/>
  <c r="P182" i="25" s="1"/>
  <c r="P183" i="25"/>
  <c r="N170" i="25"/>
  <c r="N121" i="25"/>
  <c r="P121" i="25" s="1"/>
  <c r="N34" i="25"/>
  <c r="P28" i="25"/>
  <c r="N27" i="25"/>
  <c r="P27" i="25" s="1"/>
  <c r="N216" i="25"/>
  <c r="N91" i="25"/>
  <c r="P91" i="25" s="1"/>
  <c r="P92" i="25"/>
  <c r="O260" i="25"/>
  <c r="N209" i="25"/>
  <c r="P209" i="25" s="1"/>
  <c r="P210" i="25"/>
  <c r="L169" i="25"/>
  <c r="N99" i="25"/>
  <c r="P99" i="25" s="1"/>
  <c r="N153" i="25"/>
  <c r="P153" i="25" s="1"/>
  <c r="N279" i="25"/>
  <c r="P280" i="25"/>
  <c r="O182" i="25"/>
  <c r="O170" i="25"/>
  <c r="N71" i="25"/>
  <c r="P72" i="25"/>
  <c r="N47" i="25"/>
  <c r="P48" i="25"/>
  <c r="N15" i="25"/>
  <c r="P16" i="25"/>
  <c r="O40" i="25"/>
  <c r="O27" i="25"/>
  <c r="BU118" i="24"/>
  <c r="BU77" i="24"/>
  <c r="BU72" i="24"/>
  <c r="BU32" i="24"/>
  <c r="BU107" i="24"/>
  <c r="BU106" i="24"/>
  <c r="BU105" i="24"/>
  <c r="BU62" i="24"/>
  <c r="BU61" i="24"/>
  <c r="BU60" i="24"/>
  <c r="BU59" i="24"/>
  <c r="I59" i="24" s="1"/>
  <c r="M110" i="25" l="1"/>
  <c r="CD11" i="26"/>
  <c r="P14" i="26"/>
  <c r="L8" i="26" s="1"/>
  <c r="CQ8" i="26"/>
  <c r="L7" i="26"/>
  <c r="L13" i="25"/>
  <c r="M215" i="25"/>
  <c r="M13" i="25" s="1"/>
  <c r="CQ8" i="25" s="1"/>
  <c r="L285" i="25"/>
  <c r="O269" i="25"/>
  <c r="O110" i="25"/>
  <c r="O169" i="25"/>
  <c r="O46" i="25"/>
  <c r="N110" i="25"/>
  <c r="P110" i="25" s="1"/>
  <c r="O215" i="25"/>
  <c r="O33" i="25"/>
  <c r="O130" i="25"/>
  <c r="P47" i="25"/>
  <c r="N46" i="25"/>
  <c r="P46" i="25" s="1"/>
  <c r="P270" i="25"/>
  <c r="N269" i="25"/>
  <c r="P269" i="25" s="1"/>
  <c r="P34" i="25"/>
  <c r="N33" i="25"/>
  <c r="P33" i="25" s="1"/>
  <c r="P216" i="25"/>
  <c r="N215" i="25"/>
  <c r="P215" i="25" s="1"/>
  <c r="P170" i="25"/>
  <c r="N169" i="25"/>
  <c r="P169" i="25" s="1"/>
  <c r="P79" i="25"/>
  <c r="N78" i="25"/>
  <c r="P78" i="25" s="1"/>
  <c r="P15" i="25"/>
  <c r="P71" i="25"/>
  <c r="N70" i="25"/>
  <c r="P70" i="25" s="1"/>
  <c r="P279" i="25"/>
  <c r="N130" i="25"/>
  <c r="P130" i="25" s="1"/>
  <c r="CI285" i="24"/>
  <c r="J285" i="24" s="1"/>
  <c r="I285" i="24"/>
  <c r="CI284" i="24"/>
  <c r="J284" i="24" s="1"/>
  <c r="L284" i="24"/>
  <c r="I284" i="24"/>
  <c r="M284" i="24" s="1"/>
  <c r="CI283" i="24"/>
  <c r="J283" i="24" s="1"/>
  <c r="N283" i="24" s="1"/>
  <c r="L283" i="24"/>
  <c r="I283" i="24"/>
  <c r="M283" i="24" s="1"/>
  <c r="CI282" i="24"/>
  <c r="J282" i="24" s="1"/>
  <c r="L282" i="24"/>
  <c r="I282" i="24"/>
  <c r="M282" i="24" s="1"/>
  <c r="CI281" i="24"/>
  <c r="J281" i="24" s="1"/>
  <c r="L281" i="24"/>
  <c r="I281" i="24"/>
  <c r="M281" i="24" s="1"/>
  <c r="CI280" i="24"/>
  <c r="J280" i="24" s="1"/>
  <c r="K280" i="24" s="1"/>
  <c r="O280" i="24" s="1"/>
  <c r="L280" i="24"/>
  <c r="I280" i="24"/>
  <c r="M280" i="24" s="1"/>
  <c r="CI279" i="24"/>
  <c r="CI278" i="24"/>
  <c r="J278" i="24" s="1"/>
  <c r="L278" i="24"/>
  <c r="I278" i="24"/>
  <c r="M278" i="24" s="1"/>
  <c r="CI277" i="24"/>
  <c r="J277" i="24" s="1"/>
  <c r="K277" i="24" s="1"/>
  <c r="O277" i="24" s="1"/>
  <c r="L277" i="24"/>
  <c r="I277" i="24"/>
  <c r="M277" i="24" s="1"/>
  <c r="CI276" i="24"/>
  <c r="CI275" i="24"/>
  <c r="J275" i="24" s="1"/>
  <c r="L275" i="24"/>
  <c r="I275" i="24"/>
  <c r="M275" i="24" s="1"/>
  <c r="CI274" i="24"/>
  <c r="J274" i="24" s="1"/>
  <c r="K274" i="24" s="1"/>
  <c r="O274" i="24" s="1"/>
  <c r="L274" i="24"/>
  <c r="I274" i="24"/>
  <c r="M274" i="24" s="1"/>
  <c r="CI273" i="24"/>
  <c r="J273" i="24" s="1"/>
  <c r="N273" i="24" s="1"/>
  <c r="L273" i="24"/>
  <c r="I273" i="24"/>
  <c r="M273" i="24" s="1"/>
  <c r="CI272" i="24"/>
  <c r="J272" i="24" s="1"/>
  <c r="L272" i="24"/>
  <c r="I272" i="24"/>
  <c r="M272" i="24" s="1"/>
  <c r="CI271" i="24"/>
  <c r="J271" i="24" s="1"/>
  <c r="L271" i="24"/>
  <c r="I271" i="24"/>
  <c r="M271" i="24" s="1"/>
  <c r="CI270" i="24"/>
  <c r="CI269" i="24"/>
  <c r="CI268" i="24"/>
  <c r="J268" i="24" s="1"/>
  <c r="K268" i="24" s="1"/>
  <c r="O268" i="24" s="1"/>
  <c r="L268" i="24"/>
  <c r="I268" i="24"/>
  <c r="M268" i="24" s="1"/>
  <c r="CI267" i="24"/>
  <c r="J267" i="24" s="1"/>
  <c r="L267" i="24"/>
  <c r="I267" i="24"/>
  <c r="M267" i="24" s="1"/>
  <c r="CI266" i="24"/>
  <c r="J266" i="24" s="1"/>
  <c r="L266" i="24"/>
  <c r="I266" i="24"/>
  <c r="M266" i="24" s="1"/>
  <c r="CI265" i="24"/>
  <c r="J265" i="24" s="1"/>
  <c r="L265" i="24"/>
  <c r="I265" i="24"/>
  <c r="M265" i="24" s="1"/>
  <c r="CI264" i="24"/>
  <c r="J264" i="24" s="1"/>
  <c r="L264" i="24"/>
  <c r="I264" i="24"/>
  <c r="M264" i="24" s="1"/>
  <c r="CI263" i="24"/>
  <c r="J263" i="24" s="1"/>
  <c r="N263" i="24" s="1"/>
  <c r="L263" i="24"/>
  <c r="I263" i="24"/>
  <c r="M263" i="24" s="1"/>
  <c r="CI262" i="24"/>
  <c r="J262" i="24" s="1"/>
  <c r="K262" i="24" s="1"/>
  <c r="O262" i="24" s="1"/>
  <c r="L262" i="24"/>
  <c r="I262" i="24"/>
  <c r="M262" i="24" s="1"/>
  <c r="CI261" i="24"/>
  <c r="J261" i="24" s="1"/>
  <c r="L261" i="24"/>
  <c r="I261" i="24"/>
  <c r="M261" i="24" s="1"/>
  <c r="CI260" i="24"/>
  <c r="CI259" i="24"/>
  <c r="J259" i="24" s="1"/>
  <c r="L259" i="24"/>
  <c r="I259" i="24"/>
  <c r="M259" i="24" s="1"/>
  <c r="CI258" i="24"/>
  <c r="J258" i="24" s="1"/>
  <c r="L258" i="24"/>
  <c r="I258" i="24"/>
  <c r="M258" i="24" s="1"/>
  <c r="CI257" i="24"/>
  <c r="J257" i="24" s="1"/>
  <c r="L257" i="24"/>
  <c r="I257" i="24"/>
  <c r="M257" i="24" s="1"/>
  <c r="CI256" i="24"/>
  <c r="J256" i="24" s="1"/>
  <c r="N256" i="24" s="1"/>
  <c r="L256" i="24"/>
  <c r="I256" i="24"/>
  <c r="M256" i="24" s="1"/>
  <c r="CI255" i="24"/>
  <c r="J255" i="24" s="1"/>
  <c r="K255" i="24" s="1"/>
  <c r="O255" i="24" s="1"/>
  <c r="L255" i="24"/>
  <c r="I255" i="24"/>
  <c r="M255" i="24" s="1"/>
  <c r="CI254" i="24"/>
  <c r="J254" i="24" s="1"/>
  <c r="L254" i="24"/>
  <c r="I254" i="24"/>
  <c r="M254" i="24" s="1"/>
  <c r="CI253" i="24"/>
  <c r="CI252" i="24"/>
  <c r="J252" i="24" s="1"/>
  <c r="K252" i="24" s="1"/>
  <c r="O252" i="24" s="1"/>
  <c r="L252" i="24"/>
  <c r="I252" i="24"/>
  <c r="M252" i="24" s="1"/>
  <c r="CI251" i="24"/>
  <c r="J251" i="24" s="1"/>
  <c r="L251" i="24"/>
  <c r="I251" i="24"/>
  <c r="M251" i="24" s="1"/>
  <c r="CI250" i="24"/>
  <c r="J250" i="24" s="1"/>
  <c r="L250" i="24"/>
  <c r="I250" i="24"/>
  <c r="M250" i="24" s="1"/>
  <c r="CI249" i="24"/>
  <c r="J249" i="24" s="1"/>
  <c r="N249" i="24" s="1"/>
  <c r="L249" i="24"/>
  <c r="I249" i="24"/>
  <c r="M249" i="24" s="1"/>
  <c r="CI248" i="24"/>
  <c r="CI247" i="24"/>
  <c r="J247" i="24" s="1"/>
  <c r="K247" i="24" s="1"/>
  <c r="O247" i="24" s="1"/>
  <c r="L247" i="24"/>
  <c r="I247" i="24"/>
  <c r="M247" i="24" s="1"/>
  <c r="CI246" i="24"/>
  <c r="J246" i="24" s="1"/>
  <c r="N246" i="24" s="1"/>
  <c r="L246" i="24"/>
  <c r="I246" i="24"/>
  <c r="M246" i="24" s="1"/>
  <c r="CI245" i="24"/>
  <c r="J245" i="24" s="1"/>
  <c r="K245" i="24" s="1"/>
  <c r="O245" i="24" s="1"/>
  <c r="L245" i="24"/>
  <c r="I245" i="24"/>
  <c r="M245" i="24" s="1"/>
  <c r="CI244" i="24"/>
  <c r="J244" i="24" s="1"/>
  <c r="L244" i="24"/>
  <c r="I244" i="24"/>
  <c r="M244" i="24" s="1"/>
  <c r="CI243" i="24"/>
  <c r="J243" i="24" s="1"/>
  <c r="L243" i="24"/>
  <c r="I243" i="24"/>
  <c r="M243" i="24" s="1"/>
  <c r="CI242" i="24"/>
  <c r="J242" i="24" s="1"/>
  <c r="N242" i="24" s="1"/>
  <c r="L242" i="24"/>
  <c r="I242" i="24"/>
  <c r="M242" i="24" s="1"/>
  <c r="CI241" i="24"/>
  <c r="J241" i="24" s="1"/>
  <c r="K241" i="24" s="1"/>
  <c r="O241" i="24" s="1"/>
  <c r="L241" i="24"/>
  <c r="I241" i="24"/>
  <c r="M241" i="24" s="1"/>
  <c r="CI240" i="24"/>
  <c r="J240" i="24" s="1"/>
  <c r="L240" i="24"/>
  <c r="I240" i="24"/>
  <c r="M240" i="24" s="1"/>
  <c r="CI239" i="24"/>
  <c r="J239" i="24" s="1"/>
  <c r="K239" i="24" s="1"/>
  <c r="O239" i="24" s="1"/>
  <c r="L239" i="24"/>
  <c r="I239" i="24"/>
  <c r="M239" i="24" s="1"/>
  <c r="CI238" i="24"/>
  <c r="J238" i="24" s="1"/>
  <c r="N238" i="24" s="1"/>
  <c r="L238" i="24"/>
  <c r="I238" i="24"/>
  <c r="M238" i="24" s="1"/>
  <c r="CI237" i="24"/>
  <c r="J237" i="24" s="1"/>
  <c r="K237" i="24" s="1"/>
  <c r="O237" i="24" s="1"/>
  <c r="L237" i="24"/>
  <c r="I237" i="24"/>
  <c r="M237" i="24" s="1"/>
  <c r="CI236" i="24"/>
  <c r="J236" i="24" s="1"/>
  <c r="L236" i="24"/>
  <c r="I236" i="24"/>
  <c r="M236" i="24" s="1"/>
  <c r="CI235" i="24"/>
  <c r="J235" i="24" s="1"/>
  <c r="K235" i="24" s="1"/>
  <c r="O235" i="24" s="1"/>
  <c r="L235" i="24"/>
  <c r="I235" i="24"/>
  <c r="M235" i="24" s="1"/>
  <c r="CI234" i="24"/>
  <c r="J234" i="24" s="1"/>
  <c r="N234" i="24" s="1"/>
  <c r="L234" i="24"/>
  <c r="I234" i="24"/>
  <c r="M234" i="24" s="1"/>
  <c r="CI233" i="24"/>
  <c r="J233" i="24" s="1"/>
  <c r="K233" i="24" s="1"/>
  <c r="O233" i="24" s="1"/>
  <c r="L233" i="24"/>
  <c r="I233" i="24"/>
  <c r="M233" i="24" s="1"/>
  <c r="CI232" i="24"/>
  <c r="J232" i="24" s="1"/>
  <c r="L232" i="24"/>
  <c r="I232" i="24"/>
  <c r="M232" i="24" s="1"/>
  <c r="CI231" i="24"/>
  <c r="J231" i="24" s="1"/>
  <c r="K231" i="24" s="1"/>
  <c r="O231" i="24" s="1"/>
  <c r="L231" i="24"/>
  <c r="I231" i="24"/>
  <c r="M231" i="24" s="1"/>
  <c r="CI230" i="24"/>
  <c r="J230" i="24" s="1"/>
  <c r="N230" i="24" s="1"/>
  <c r="L230" i="24"/>
  <c r="I230" i="24"/>
  <c r="M230" i="24" s="1"/>
  <c r="CI229" i="24"/>
  <c r="J229" i="24" s="1"/>
  <c r="K229" i="24" s="1"/>
  <c r="O229" i="24" s="1"/>
  <c r="L229" i="24"/>
  <c r="I229" i="24"/>
  <c r="M229" i="24" s="1"/>
  <c r="CI228" i="24"/>
  <c r="J228" i="24" s="1"/>
  <c r="L228" i="24"/>
  <c r="I228" i="24"/>
  <c r="M228" i="24" s="1"/>
  <c r="CI227" i="24"/>
  <c r="J227" i="24" s="1"/>
  <c r="L227" i="24"/>
  <c r="I227" i="24"/>
  <c r="M227" i="24" s="1"/>
  <c r="CI226" i="24"/>
  <c r="J226" i="24" s="1"/>
  <c r="K226" i="24" s="1"/>
  <c r="I226" i="24"/>
  <c r="F226" i="24"/>
  <c r="CI225" i="24"/>
  <c r="J225" i="24" s="1"/>
  <c r="K225" i="24" s="1"/>
  <c r="O225" i="24" s="1"/>
  <c r="L225" i="24"/>
  <c r="I225" i="24"/>
  <c r="M225" i="24" s="1"/>
  <c r="CI224" i="24"/>
  <c r="J224" i="24" s="1"/>
  <c r="N224" i="24" s="1"/>
  <c r="L224" i="24"/>
  <c r="I224" i="24"/>
  <c r="M224" i="24" s="1"/>
  <c r="CI223" i="24"/>
  <c r="J223" i="24" s="1"/>
  <c r="L223" i="24"/>
  <c r="I223" i="24"/>
  <c r="M223" i="24" s="1"/>
  <c r="CI222" i="24"/>
  <c r="J222" i="24" s="1"/>
  <c r="L222" i="24"/>
  <c r="I222" i="24"/>
  <c r="M222" i="24" s="1"/>
  <c r="CI221" i="24"/>
  <c r="J221" i="24" s="1"/>
  <c r="K221" i="24" s="1"/>
  <c r="O221" i="24" s="1"/>
  <c r="L221" i="24"/>
  <c r="I221" i="24"/>
  <c r="M221" i="24" s="1"/>
  <c r="CI220" i="24"/>
  <c r="J220" i="24" s="1"/>
  <c r="L220" i="24"/>
  <c r="I220" i="24"/>
  <c r="M220" i="24" s="1"/>
  <c r="CI219" i="24"/>
  <c r="J219" i="24" s="1"/>
  <c r="N219" i="24" s="1"/>
  <c r="L219" i="24"/>
  <c r="I219" i="24"/>
  <c r="M219" i="24" s="1"/>
  <c r="CI218" i="24"/>
  <c r="J218" i="24" s="1"/>
  <c r="L218" i="24"/>
  <c r="I218" i="24"/>
  <c r="M218" i="24" s="1"/>
  <c r="CI217" i="24"/>
  <c r="J217" i="24" s="1"/>
  <c r="K217" i="24" s="1"/>
  <c r="O217" i="24" s="1"/>
  <c r="L217" i="24"/>
  <c r="I217" i="24"/>
  <c r="M217" i="24" s="1"/>
  <c r="CI216" i="24"/>
  <c r="CI215" i="24"/>
  <c r="CI214" i="24"/>
  <c r="J214" i="24" s="1"/>
  <c r="N214" i="24" s="1"/>
  <c r="L214" i="24"/>
  <c r="I214" i="24"/>
  <c r="M214" i="24" s="1"/>
  <c r="CI213" i="24"/>
  <c r="J213" i="24" s="1"/>
  <c r="L213" i="24"/>
  <c r="I213" i="24"/>
  <c r="M213" i="24" s="1"/>
  <c r="CI212" i="24"/>
  <c r="J212" i="24" s="1"/>
  <c r="L212" i="24"/>
  <c r="I212" i="24"/>
  <c r="M212" i="24" s="1"/>
  <c r="CI211" i="24"/>
  <c r="J211" i="24" s="1"/>
  <c r="K211" i="24" s="1"/>
  <c r="O211" i="24" s="1"/>
  <c r="L211" i="24"/>
  <c r="I211" i="24"/>
  <c r="M211" i="24" s="1"/>
  <c r="CI210" i="24"/>
  <c r="J210" i="24" s="1"/>
  <c r="L210" i="24"/>
  <c r="I210" i="24"/>
  <c r="M210" i="24" s="1"/>
  <c r="CI209" i="24"/>
  <c r="CI208" i="24"/>
  <c r="J208" i="24" s="1"/>
  <c r="K208" i="24" s="1"/>
  <c r="O208" i="24" s="1"/>
  <c r="L208" i="24"/>
  <c r="I208" i="24"/>
  <c r="M208" i="24" s="1"/>
  <c r="CI207" i="24"/>
  <c r="J207" i="24" s="1"/>
  <c r="N207" i="24" s="1"/>
  <c r="L207" i="24"/>
  <c r="I207" i="24"/>
  <c r="M207" i="24" s="1"/>
  <c r="CI206" i="24"/>
  <c r="J206" i="24" s="1"/>
  <c r="N206" i="24" s="1"/>
  <c r="L206" i="24"/>
  <c r="I206" i="24"/>
  <c r="M206" i="24" s="1"/>
  <c r="CI205" i="24"/>
  <c r="J205" i="24" s="1"/>
  <c r="L205" i="24"/>
  <c r="I205" i="24"/>
  <c r="M205" i="24" s="1"/>
  <c r="CI204" i="24"/>
  <c r="J204" i="24" s="1"/>
  <c r="K204" i="24" s="1"/>
  <c r="O204" i="24" s="1"/>
  <c r="L204" i="24"/>
  <c r="I204" i="24"/>
  <c r="M204" i="24" s="1"/>
  <c r="CI203" i="24"/>
  <c r="J203" i="24" s="1"/>
  <c r="K203" i="24" s="1"/>
  <c r="O203" i="24" s="1"/>
  <c r="L203" i="24"/>
  <c r="I203" i="24"/>
  <c r="M203" i="24" s="1"/>
  <c r="CI202" i="24"/>
  <c r="J202" i="24" s="1"/>
  <c r="N202" i="24" s="1"/>
  <c r="L202" i="24"/>
  <c r="I202" i="24"/>
  <c r="M202" i="24" s="1"/>
  <c r="CI201" i="24"/>
  <c r="J201" i="24" s="1"/>
  <c r="L201" i="24"/>
  <c r="I201" i="24"/>
  <c r="M201" i="24" s="1"/>
  <c r="CI200" i="24"/>
  <c r="J200" i="24" s="1"/>
  <c r="K200" i="24" s="1"/>
  <c r="O200" i="24" s="1"/>
  <c r="L200" i="24"/>
  <c r="I200" i="24"/>
  <c r="M200" i="24" s="1"/>
  <c r="CI199" i="24"/>
  <c r="J199" i="24" s="1"/>
  <c r="L199" i="24"/>
  <c r="I199" i="24"/>
  <c r="M199" i="24" s="1"/>
  <c r="CI198" i="24"/>
  <c r="J198" i="24" s="1"/>
  <c r="N198" i="24" s="1"/>
  <c r="L198" i="24"/>
  <c r="I198" i="24"/>
  <c r="M198" i="24" s="1"/>
  <c r="CI197" i="24"/>
  <c r="J197" i="24" s="1"/>
  <c r="L197" i="24"/>
  <c r="I197" i="24"/>
  <c r="M197" i="24" s="1"/>
  <c r="CI196" i="24"/>
  <c r="J196" i="24" s="1"/>
  <c r="K196" i="24" s="1"/>
  <c r="O196" i="24" s="1"/>
  <c r="L196" i="24"/>
  <c r="I196" i="24"/>
  <c r="M196" i="24" s="1"/>
  <c r="CI195" i="24"/>
  <c r="CI194" i="24"/>
  <c r="J194" i="24" s="1"/>
  <c r="L194" i="24"/>
  <c r="I194" i="24"/>
  <c r="M194" i="24" s="1"/>
  <c r="CI193" i="24"/>
  <c r="J193" i="24" s="1"/>
  <c r="K193" i="24" s="1"/>
  <c r="O193" i="24" s="1"/>
  <c r="L193" i="24"/>
  <c r="I193" i="24"/>
  <c r="M193" i="24" s="1"/>
  <c r="CI192" i="24"/>
  <c r="J192" i="24" s="1"/>
  <c r="K192" i="24" s="1"/>
  <c r="O192" i="24" s="1"/>
  <c r="L192" i="24"/>
  <c r="I192" i="24"/>
  <c r="M192" i="24" s="1"/>
  <c r="CI191" i="24"/>
  <c r="CI190" i="24"/>
  <c r="J190" i="24" s="1"/>
  <c r="K190" i="24" s="1"/>
  <c r="O190" i="24" s="1"/>
  <c r="L190" i="24"/>
  <c r="I190" i="24"/>
  <c r="M190" i="24" s="1"/>
  <c r="CI189" i="24"/>
  <c r="J189" i="24" s="1"/>
  <c r="K189" i="24" s="1"/>
  <c r="O189" i="24" s="1"/>
  <c r="L189" i="24"/>
  <c r="I189" i="24"/>
  <c r="M189" i="24" s="1"/>
  <c r="CI188" i="24"/>
  <c r="J188" i="24" s="1"/>
  <c r="N188" i="24" s="1"/>
  <c r="L188" i="24"/>
  <c r="I188" i="24"/>
  <c r="M188" i="24" s="1"/>
  <c r="CI187" i="24"/>
  <c r="J187" i="24" s="1"/>
  <c r="N187" i="24" s="1"/>
  <c r="L187" i="24"/>
  <c r="I187" i="24"/>
  <c r="M187" i="24" s="1"/>
  <c r="CI186" i="24"/>
  <c r="J186" i="24" s="1"/>
  <c r="L186" i="24"/>
  <c r="I186" i="24"/>
  <c r="M186" i="24" s="1"/>
  <c r="CI185" i="24"/>
  <c r="J185" i="24" s="1"/>
  <c r="L185" i="24"/>
  <c r="I185" i="24"/>
  <c r="M185" i="24" s="1"/>
  <c r="CI184" i="24"/>
  <c r="J184" i="24" s="1"/>
  <c r="L184" i="24"/>
  <c r="I184" i="24"/>
  <c r="M184" i="24" s="1"/>
  <c r="CI183" i="24"/>
  <c r="J183" i="24" s="1"/>
  <c r="N183" i="24" s="1"/>
  <c r="L183" i="24"/>
  <c r="I183" i="24"/>
  <c r="M183" i="24" s="1"/>
  <c r="CI182" i="24"/>
  <c r="CI181" i="24"/>
  <c r="J181" i="24" s="1"/>
  <c r="K181" i="24" s="1"/>
  <c r="O181" i="24" s="1"/>
  <c r="L181" i="24"/>
  <c r="I181" i="24"/>
  <c r="M181" i="24" s="1"/>
  <c r="CI180" i="24"/>
  <c r="J180" i="24" s="1"/>
  <c r="L180" i="24"/>
  <c r="I180" i="24"/>
  <c r="M180" i="24" s="1"/>
  <c r="CI179" i="24"/>
  <c r="J179" i="24" s="1"/>
  <c r="L179" i="24"/>
  <c r="I179" i="24"/>
  <c r="M179" i="24" s="1"/>
  <c r="CI178" i="24"/>
  <c r="J178" i="24" s="1"/>
  <c r="L178" i="24"/>
  <c r="I178" i="24"/>
  <c r="M178" i="24" s="1"/>
  <c r="CI177" i="24"/>
  <c r="J177" i="24" s="1"/>
  <c r="K177" i="24" s="1"/>
  <c r="O177" i="24" s="1"/>
  <c r="L177" i="24"/>
  <c r="I177" i="24"/>
  <c r="M177" i="24" s="1"/>
  <c r="CI176" i="24"/>
  <c r="J176" i="24" s="1"/>
  <c r="N176" i="24" s="1"/>
  <c r="L176" i="24"/>
  <c r="I176" i="24"/>
  <c r="M176" i="24" s="1"/>
  <c r="CI175" i="24"/>
  <c r="J175" i="24" s="1"/>
  <c r="L175" i="24"/>
  <c r="I175" i="24"/>
  <c r="M175" i="24" s="1"/>
  <c r="CI174" i="24"/>
  <c r="J174" i="24" s="1"/>
  <c r="L174" i="24"/>
  <c r="I174" i="24"/>
  <c r="M174" i="24" s="1"/>
  <c r="CI173" i="24"/>
  <c r="J173" i="24" s="1"/>
  <c r="K173" i="24" s="1"/>
  <c r="O173" i="24" s="1"/>
  <c r="L173" i="24"/>
  <c r="I173" i="24"/>
  <c r="M173" i="24" s="1"/>
  <c r="CI172" i="24"/>
  <c r="J172" i="24" s="1"/>
  <c r="L172" i="24"/>
  <c r="I172" i="24"/>
  <c r="M172" i="24" s="1"/>
  <c r="CI171" i="24"/>
  <c r="J171" i="24" s="1"/>
  <c r="L171" i="24"/>
  <c r="I171" i="24"/>
  <c r="M171" i="24" s="1"/>
  <c r="CI170" i="24"/>
  <c r="CI169" i="24"/>
  <c r="CI168" i="24"/>
  <c r="J168" i="24" s="1"/>
  <c r="L168" i="24"/>
  <c r="I168" i="24"/>
  <c r="M168" i="24" s="1"/>
  <c r="CI167" i="24"/>
  <c r="J167" i="24" s="1"/>
  <c r="L167" i="24"/>
  <c r="I167" i="24"/>
  <c r="M167" i="24" s="1"/>
  <c r="CI166" i="24"/>
  <c r="J166" i="24" s="1"/>
  <c r="K166" i="24" s="1"/>
  <c r="O166" i="24" s="1"/>
  <c r="L166" i="24"/>
  <c r="I166" i="24"/>
  <c r="M166" i="24" s="1"/>
  <c r="CI165" i="24"/>
  <c r="J165" i="24" s="1"/>
  <c r="N165" i="24" s="1"/>
  <c r="L165" i="24"/>
  <c r="I165" i="24"/>
  <c r="M165" i="24" s="1"/>
  <c r="CI164" i="24"/>
  <c r="J164" i="24" s="1"/>
  <c r="L164" i="24"/>
  <c r="I164" i="24"/>
  <c r="M164" i="24" s="1"/>
  <c r="CI163" i="24"/>
  <c r="J163" i="24" s="1"/>
  <c r="L163" i="24"/>
  <c r="I163" i="24"/>
  <c r="M163" i="24" s="1"/>
  <c r="CI162" i="24"/>
  <c r="J162" i="24" s="1"/>
  <c r="K162" i="24" s="1"/>
  <c r="O162" i="24" s="1"/>
  <c r="L162" i="24"/>
  <c r="I162" i="24"/>
  <c r="M162" i="24" s="1"/>
  <c r="CI161" i="24"/>
  <c r="J161" i="24" s="1"/>
  <c r="L161" i="24"/>
  <c r="I161" i="24"/>
  <c r="M161" i="24" s="1"/>
  <c r="CI160" i="24"/>
  <c r="J160" i="24" s="1"/>
  <c r="L160" i="24"/>
  <c r="I160" i="24"/>
  <c r="M160" i="24" s="1"/>
  <c r="CI159" i="24"/>
  <c r="J159" i="24" s="1"/>
  <c r="L159" i="24"/>
  <c r="I159" i="24"/>
  <c r="M159" i="24" s="1"/>
  <c r="CI158" i="24"/>
  <c r="J158" i="24" s="1"/>
  <c r="K158" i="24" s="1"/>
  <c r="O158" i="24" s="1"/>
  <c r="L158" i="24"/>
  <c r="I158" i="24"/>
  <c r="M158" i="24" s="1"/>
  <c r="CI157" i="24"/>
  <c r="J157" i="24" s="1"/>
  <c r="N157" i="24" s="1"/>
  <c r="L157" i="24"/>
  <c r="I157" i="24"/>
  <c r="M157" i="24" s="1"/>
  <c r="CI156" i="24"/>
  <c r="J156" i="24" s="1"/>
  <c r="L156" i="24"/>
  <c r="I156" i="24"/>
  <c r="M156" i="24" s="1"/>
  <c r="CI155" i="24"/>
  <c r="J155" i="24" s="1"/>
  <c r="L155" i="24"/>
  <c r="I155" i="24"/>
  <c r="M155" i="24" s="1"/>
  <c r="CI154" i="24"/>
  <c r="J154" i="24" s="1"/>
  <c r="K154" i="24" s="1"/>
  <c r="O154" i="24" s="1"/>
  <c r="L154" i="24"/>
  <c r="I154" i="24"/>
  <c r="M154" i="24" s="1"/>
  <c r="CI153" i="24"/>
  <c r="CI152" i="24"/>
  <c r="J152" i="24" s="1"/>
  <c r="L152" i="24"/>
  <c r="I152" i="24"/>
  <c r="M152" i="24" s="1"/>
  <c r="CI151" i="24"/>
  <c r="J151" i="24" s="1"/>
  <c r="K151" i="24" s="1"/>
  <c r="O151" i="24" s="1"/>
  <c r="L151" i="24"/>
  <c r="I151" i="24"/>
  <c r="M151" i="24" s="1"/>
  <c r="CI150" i="24"/>
  <c r="J150" i="24" s="1"/>
  <c r="N150" i="24" s="1"/>
  <c r="L150" i="24"/>
  <c r="I150" i="24"/>
  <c r="M150" i="24" s="1"/>
  <c r="CI149" i="24"/>
  <c r="J149" i="24" s="1"/>
  <c r="L149" i="24"/>
  <c r="I149" i="24"/>
  <c r="M149" i="24" s="1"/>
  <c r="CI148" i="24"/>
  <c r="J148" i="24" s="1"/>
  <c r="L148" i="24"/>
  <c r="I148" i="24"/>
  <c r="M148" i="24" s="1"/>
  <c r="CI147" i="24"/>
  <c r="J147" i="24" s="1"/>
  <c r="K147" i="24" s="1"/>
  <c r="O147" i="24" s="1"/>
  <c r="L147" i="24"/>
  <c r="I147" i="24"/>
  <c r="M147" i="24" s="1"/>
  <c r="CI146" i="24"/>
  <c r="J146" i="24" s="1"/>
  <c r="L146" i="24"/>
  <c r="I146" i="24"/>
  <c r="M146" i="24" s="1"/>
  <c r="CI145" i="24"/>
  <c r="J145" i="24" s="1"/>
  <c r="L145" i="24"/>
  <c r="I145" i="24"/>
  <c r="M145" i="24" s="1"/>
  <c r="CI144" i="24"/>
  <c r="J144" i="24" s="1"/>
  <c r="L144" i="24"/>
  <c r="I144" i="24"/>
  <c r="M144" i="24" s="1"/>
  <c r="CI143" i="24"/>
  <c r="J143" i="24" s="1"/>
  <c r="L143" i="24"/>
  <c r="I143" i="24"/>
  <c r="M143" i="24" s="1"/>
  <c r="CI142" i="24"/>
  <c r="J142" i="24" s="1"/>
  <c r="N142" i="24" s="1"/>
  <c r="L142" i="24"/>
  <c r="I142" i="24"/>
  <c r="M142" i="24" s="1"/>
  <c r="CI141" i="24"/>
  <c r="J141" i="24" s="1"/>
  <c r="N141" i="24" s="1"/>
  <c r="L141" i="24"/>
  <c r="I141" i="24"/>
  <c r="M141" i="24" s="1"/>
  <c r="CI140" i="24"/>
  <c r="J140" i="24" s="1"/>
  <c r="N140" i="24" s="1"/>
  <c r="L140" i="24"/>
  <c r="I140" i="24"/>
  <c r="M140" i="24" s="1"/>
  <c r="CI139" i="24"/>
  <c r="J139" i="24" s="1"/>
  <c r="K139" i="24" s="1"/>
  <c r="O139" i="24" s="1"/>
  <c r="L139" i="24"/>
  <c r="I139" i="24"/>
  <c r="M139" i="24" s="1"/>
  <c r="CI138" i="24"/>
  <c r="J138" i="24" s="1"/>
  <c r="K138" i="24" s="1"/>
  <c r="O138" i="24" s="1"/>
  <c r="L138" i="24"/>
  <c r="I138" i="24"/>
  <c r="M138" i="24" s="1"/>
  <c r="CI137" i="24"/>
  <c r="J137" i="24" s="1"/>
  <c r="N137" i="24" s="1"/>
  <c r="L137" i="24"/>
  <c r="I137" i="24"/>
  <c r="M137" i="24" s="1"/>
  <c r="CI136" i="24"/>
  <c r="J136" i="24" s="1"/>
  <c r="N136" i="24" s="1"/>
  <c r="L136" i="24"/>
  <c r="I136" i="24"/>
  <c r="M136" i="24" s="1"/>
  <c r="CI135" i="24"/>
  <c r="J135" i="24" s="1"/>
  <c r="K135" i="24" s="1"/>
  <c r="O135" i="24" s="1"/>
  <c r="L135" i="24"/>
  <c r="I135" i="24"/>
  <c r="M135" i="24" s="1"/>
  <c r="CI134" i="24"/>
  <c r="J134" i="24" s="1"/>
  <c r="L134" i="24"/>
  <c r="I134" i="24"/>
  <c r="M134" i="24" s="1"/>
  <c r="CI133" i="24"/>
  <c r="J133" i="24" s="1"/>
  <c r="L133" i="24"/>
  <c r="I133" i="24"/>
  <c r="M133" i="24" s="1"/>
  <c r="CI132" i="24"/>
  <c r="J132" i="24" s="1"/>
  <c r="L132" i="24"/>
  <c r="I132" i="24"/>
  <c r="M132" i="24" s="1"/>
  <c r="CI131" i="24"/>
  <c r="CI130" i="24"/>
  <c r="CI129" i="24"/>
  <c r="J129" i="24" s="1"/>
  <c r="K129" i="24" s="1"/>
  <c r="O129" i="24" s="1"/>
  <c r="L129" i="24"/>
  <c r="I129" i="24"/>
  <c r="M129" i="24" s="1"/>
  <c r="CI128" i="24"/>
  <c r="J128" i="24" s="1"/>
  <c r="L128" i="24"/>
  <c r="I128" i="24"/>
  <c r="M128" i="24" s="1"/>
  <c r="CI127" i="24"/>
  <c r="J127" i="24" s="1"/>
  <c r="L127" i="24"/>
  <c r="I127" i="24"/>
  <c r="M127" i="24" s="1"/>
  <c r="CI126" i="24"/>
  <c r="J126" i="24" s="1"/>
  <c r="L126" i="24"/>
  <c r="I126" i="24"/>
  <c r="M126" i="24" s="1"/>
  <c r="CI125" i="24"/>
  <c r="J125" i="24" s="1"/>
  <c r="K125" i="24" s="1"/>
  <c r="O125" i="24" s="1"/>
  <c r="L125" i="24"/>
  <c r="I125" i="24"/>
  <c r="M125" i="24" s="1"/>
  <c r="CI124" i="24"/>
  <c r="J124" i="24" s="1"/>
  <c r="L124" i="24"/>
  <c r="I124" i="24"/>
  <c r="M124" i="24" s="1"/>
  <c r="CI123" i="24"/>
  <c r="J123" i="24" s="1"/>
  <c r="L123" i="24"/>
  <c r="I123" i="24"/>
  <c r="M123" i="24" s="1"/>
  <c r="CI122" i="24"/>
  <c r="J122" i="24" s="1"/>
  <c r="L122" i="24"/>
  <c r="I122" i="24"/>
  <c r="M122" i="24" s="1"/>
  <c r="CI121" i="24"/>
  <c r="CI120" i="24"/>
  <c r="J120" i="24" s="1"/>
  <c r="L120" i="24"/>
  <c r="I120" i="24"/>
  <c r="M120" i="24" s="1"/>
  <c r="CI119" i="24"/>
  <c r="J119" i="24" s="1"/>
  <c r="L119" i="24"/>
  <c r="I119" i="24"/>
  <c r="M119" i="24" s="1"/>
  <c r="CI118" i="24"/>
  <c r="J118" i="24" s="1"/>
  <c r="K118" i="24" s="1"/>
  <c r="O118" i="24" s="1"/>
  <c r="L118" i="24"/>
  <c r="I118" i="24"/>
  <c r="M118" i="24" s="1"/>
  <c r="CI117" i="24"/>
  <c r="CI116" i="24"/>
  <c r="J116" i="24" s="1"/>
  <c r="L116" i="24"/>
  <c r="I116" i="24"/>
  <c r="M116" i="24" s="1"/>
  <c r="CI115" i="24"/>
  <c r="J115" i="24" s="1"/>
  <c r="K115" i="24" s="1"/>
  <c r="O115" i="24" s="1"/>
  <c r="L115" i="24"/>
  <c r="I115" i="24"/>
  <c r="M115" i="24" s="1"/>
  <c r="CI114" i="24"/>
  <c r="J114" i="24" s="1"/>
  <c r="L114" i="24"/>
  <c r="I114" i="24"/>
  <c r="M114" i="24" s="1"/>
  <c r="CI113" i="24"/>
  <c r="J113" i="24" s="1"/>
  <c r="L113" i="24"/>
  <c r="I113" i="24"/>
  <c r="M113" i="24" s="1"/>
  <c r="L112" i="24"/>
  <c r="I112" i="24"/>
  <c r="M112" i="24" s="1"/>
  <c r="CI111" i="24"/>
  <c r="CI110" i="24"/>
  <c r="CI109" i="24"/>
  <c r="J109" i="24" s="1"/>
  <c r="L109" i="24"/>
  <c r="I109" i="24"/>
  <c r="M109" i="24" s="1"/>
  <c r="CI108" i="24"/>
  <c r="J108" i="24" s="1"/>
  <c r="L108" i="24"/>
  <c r="I108" i="24"/>
  <c r="M108" i="24" s="1"/>
  <c r="CI107" i="24"/>
  <c r="J107" i="24" s="1"/>
  <c r="L107" i="24"/>
  <c r="I107" i="24"/>
  <c r="M107" i="24" s="1"/>
  <c r="CI106" i="24"/>
  <c r="J106" i="24" s="1"/>
  <c r="K106" i="24" s="1"/>
  <c r="O106" i="24" s="1"/>
  <c r="L106" i="24"/>
  <c r="I106" i="24"/>
  <c r="M106" i="24" s="1"/>
  <c r="CI105" i="24"/>
  <c r="J105" i="24" s="1"/>
  <c r="L105" i="24"/>
  <c r="I105" i="24"/>
  <c r="M105" i="24" s="1"/>
  <c r="CI104" i="24"/>
  <c r="J104" i="24" s="1"/>
  <c r="L104" i="24"/>
  <c r="I104" i="24"/>
  <c r="M104" i="24" s="1"/>
  <c r="CI103" i="24"/>
  <c r="J103" i="24" s="1"/>
  <c r="L103" i="24"/>
  <c r="I103" i="24"/>
  <c r="M103" i="24" s="1"/>
  <c r="CI102" i="24"/>
  <c r="J102" i="24" s="1"/>
  <c r="K102" i="24" s="1"/>
  <c r="O102" i="24" s="1"/>
  <c r="L102" i="24"/>
  <c r="I102" i="24"/>
  <c r="M102" i="24" s="1"/>
  <c r="CI101" i="24"/>
  <c r="J101" i="24" s="1"/>
  <c r="L101" i="24"/>
  <c r="I101" i="24"/>
  <c r="M101" i="24" s="1"/>
  <c r="CI100" i="24"/>
  <c r="J100" i="24" s="1"/>
  <c r="L100" i="24"/>
  <c r="I100" i="24"/>
  <c r="M100" i="24" s="1"/>
  <c r="CI99" i="24"/>
  <c r="CI98" i="24"/>
  <c r="J98" i="24" s="1"/>
  <c r="L98" i="24"/>
  <c r="I98" i="24"/>
  <c r="M98" i="24" s="1"/>
  <c r="L97" i="24"/>
  <c r="CI96" i="24"/>
  <c r="CI95" i="24"/>
  <c r="J95" i="24" s="1"/>
  <c r="L95" i="24"/>
  <c r="I95" i="24"/>
  <c r="M95" i="24" s="1"/>
  <c r="CI94" i="24"/>
  <c r="J94" i="24" s="1"/>
  <c r="L94" i="24"/>
  <c r="I94" i="24"/>
  <c r="M94" i="24" s="1"/>
  <c r="CI93" i="24"/>
  <c r="CI92" i="24"/>
  <c r="J92" i="24" s="1"/>
  <c r="L92" i="24"/>
  <c r="L91" i="24" s="1"/>
  <c r="I92" i="24"/>
  <c r="M92" i="24" s="1"/>
  <c r="M91" i="24" s="1"/>
  <c r="CI91" i="24"/>
  <c r="CI90" i="24"/>
  <c r="J90" i="24" s="1"/>
  <c r="K90" i="24" s="1"/>
  <c r="O90" i="24" s="1"/>
  <c r="O88" i="24" s="1"/>
  <c r="L90" i="24"/>
  <c r="L88" i="24" s="1"/>
  <c r="I90" i="24"/>
  <c r="M90" i="24" s="1"/>
  <c r="M88" i="24" s="1"/>
  <c r="CI89" i="24"/>
  <c r="J89" i="24" s="1"/>
  <c r="K89" i="24" s="1"/>
  <c r="O89" i="24" s="1"/>
  <c r="L89" i="24"/>
  <c r="I89" i="24"/>
  <c r="M89" i="24" s="1"/>
  <c r="CI88" i="24"/>
  <c r="CI87" i="24"/>
  <c r="J87" i="24" s="1"/>
  <c r="L87" i="24"/>
  <c r="I87" i="24"/>
  <c r="M87" i="24" s="1"/>
  <c r="CI86" i="24"/>
  <c r="J86" i="24" s="1"/>
  <c r="K86" i="24" s="1"/>
  <c r="O86" i="24" s="1"/>
  <c r="L86" i="24"/>
  <c r="I86" i="24"/>
  <c r="M86" i="24" s="1"/>
  <c r="CI85" i="24"/>
  <c r="J85" i="24" s="1"/>
  <c r="L85" i="24"/>
  <c r="I85" i="24"/>
  <c r="M85" i="24" s="1"/>
  <c r="CI84" i="24"/>
  <c r="CI83" i="24"/>
  <c r="J83" i="24" s="1"/>
  <c r="K83" i="24" s="1"/>
  <c r="O83" i="24" s="1"/>
  <c r="L83" i="24"/>
  <c r="I83" i="24"/>
  <c r="M83" i="24" s="1"/>
  <c r="CI82" i="24"/>
  <c r="J82" i="24" s="1"/>
  <c r="L82" i="24"/>
  <c r="I82" i="24"/>
  <c r="M82" i="24" s="1"/>
  <c r="CI81" i="24"/>
  <c r="J81" i="24" s="1"/>
  <c r="L81" i="24"/>
  <c r="I81" i="24"/>
  <c r="M81" i="24" s="1"/>
  <c r="CI80" i="24"/>
  <c r="J80" i="24" s="1"/>
  <c r="L80" i="24"/>
  <c r="I80" i="24"/>
  <c r="M80" i="24" s="1"/>
  <c r="CI79" i="24"/>
  <c r="CI78" i="24"/>
  <c r="L77" i="24"/>
  <c r="L76" i="24" s="1"/>
  <c r="CI76" i="24"/>
  <c r="CI75" i="24"/>
  <c r="J75" i="24" s="1"/>
  <c r="K75" i="24" s="1"/>
  <c r="O75" i="24" s="1"/>
  <c r="L75" i="24"/>
  <c r="I75" i="24"/>
  <c r="M75" i="24" s="1"/>
  <c r="CI74" i="24"/>
  <c r="J74" i="24" s="1"/>
  <c r="L74" i="24"/>
  <c r="I74" i="24"/>
  <c r="M74" i="24" s="1"/>
  <c r="CI73" i="24"/>
  <c r="CI72" i="24"/>
  <c r="J72" i="24" s="1"/>
  <c r="K72" i="24" s="1"/>
  <c r="O72" i="24" s="1"/>
  <c r="O71" i="24" s="1"/>
  <c r="L72" i="24"/>
  <c r="L71" i="24" s="1"/>
  <c r="I72" i="24"/>
  <c r="M72" i="24" s="1"/>
  <c r="M71" i="24" s="1"/>
  <c r="CI71" i="24"/>
  <c r="CI70" i="24"/>
  <c r="CI69" i="24"/>
  <c r="J69" i="24" s="1"/>
  <c r="N69" i="24" s="1"/>
  <c r="L69" i="24"/>
  <c r="L68" i="24" s="1"/>
  <c r="I69" i="24"/>
  <c r="M69" i="24" s="1"/>
  <c r="M68" i="24" s="1"/>
  <c r="CI68" i="24"/>
  <c r="CI67" i="24"/>
  <c r="J67" i="24" s="1"/>
  <c r="L67" i="24"/>
  <c r="I67" i="24"/>
  <c r="M67" i="24" s="1"/>
  <c r="CI66" i="24"/>
  <c r="J66" i="24" s="1"/>
  <c r="N66" i="24" s="1"/>
  <c r="L66" i="24"/>
  <c r="I66" i="24"/>
  <c r="M66" i="24" s="1"/>
  <c r="CI65" i="24"/>
  <c r="J65" i="24" s="1"/>
  <c r="L65" i="24"/>
  <c r="I65" i="24"/>
  <c r="M65" i="24" s="1"/>
  <c r="CI64" i="24"/>
  <c r="J64" i="24" s="1"/>
  <c r="L64" i="24"/>
  <c r="I64" i="24"/>
  <c r="M64" i="24" s="1"/>
  <c r="CI63" i="24"/>
  <c r="CI62" i="24"/>
  <c r="J62" i="24" s="1"/>
  <c r="L62" i="24"/>
  <c r="I62" i="24"/>
  <c r="M62" i="24" s="1"/>
  <c r="CI61" i="24"/>
  <c r="J61" i="24" s="1"/>
  <c r="L61" i="24"/>
  <c r="I61" i="24"/>
  <c r="M61" i="24" s="1"/>
  <c r="CI60" i="24"/>
  <c r="J60" i="24" s="1"/>
  <c r="K60" i="24" s="1"/>
  <c r="O60" i="24" s="1"/>
  <c r="L60" i="24"/>
  <c r="I60" i="24"/>
  <c r="M60" i="24" s="1"/>
  <c r="L59" i="24"/>
  <c r="CI58" i="24"/>
  <c r="CI57" i="24"/>
  <c r="J57" i="24" s="1"/>
  <c r="N57" i="24" s="1"/>
  <c r="L57" i="24"/>
  <c r="I57" i="24"/>
  <c r="M57" i="24" s="1"/>
  <c r="CI56" i="24"/>
  <c r="J56" i="24" s="1"/>
  <c r="N56" i="24" s="1"/>
  <c r="L56" i="24"/>
  <c r="I56" i="24"/>
  <c r="M56" i="24" s="1"/>
  <c r="CI55" i="24"/>
  <c r="J55" i="24" s="1"/>
  <c r="L55" i="24"/>
  <c r="I55" i="24"/>
  <c r="M55" i="24" s="1"/>
  <c r="CI54" i="24"/>
  <c r="J54" i="24" s="1"/>
  <c r="L54" i="24"/>
  <c r="I54" i="24"/>
  <c r="M54" i="24" s="1"/>
  <c r="CI53" i="24"/>
  <c r="J53" i="24" s="1"/>
  <c r="N53" i="24" s="1"/>
  <c r="L53" i="24"/>
  <c r="I53" i="24"/>
  <c r="M53" i="24" s="1"/>
  <c r="CI52" i="24"/>
  <c r="CI51" i="24"/>
  <c r="J51" i="24" s="1"/>
  <c r="K51" i="24" s="1"/>
  <c r="O51" i="24" s="1"/>
  <c r="L51" i="24"/>
  <c r="I51" i="24"/>
  <c r="M51" i="24" s="1"/>
  <c r="CI50" i="24"/>
  <c r="J50" i="24" s="1"/>
  <c r="L50" i="24"/>
  <c r="I50" i="24"/>
  <c r="M50" i="24" s="1"/>
  <c r="CI49" i="24"/>
  <c r="J49" i="24" s="1"/>
  <c r="N49" i="24" s="1"/>
  <c r="L49" i="24"/>
  <c r="I49" i="24"/>
  <c r="M49" i="24" s="1"/>
  <c r="CI48" i="24"/>
  <c r="J48" i="24" s="1"/>
  <c r="L48" i="24"/>
  <c r="I48" i="24"/>
  <c r="M48" i="24" s="1"/>
  <c r="CI47" i="24"/>
  <c r="I47" i="24"/>
  <c r="F47" i="24"/>
  <c r="CI46" i="24"/>
  <c r="I46" i="24"/>
  <c r="CI45" i="24"/>
  <c r="J45" i="24" s="1"/>
  <c r="K45" i="24" s="1"/>
  <c r="O45" i="24" s="1"/>
  <c r="L45" i="24"/>
  <c r="I45" i="24"/>
  <c r="M45" i="24" s="1"/>
  <c r="CI44" i="24"/>
  <c r="J44" i="24" s="1"/>
  <c r="K44" i="24" s="1"/>
  <c r="O44" i="24" s="1"/>
  <c r="L44" i="24"/>
  <c r="I44" i="24"/>
  <c r="M44" i="24" s="1"/>
  <c r="CI43" i="24"/>
  <c r="J43" i="24" s="1"/>
  <c r="L43" i="24"/>
  <c r="I43" i="24"/>
  <c r="M43" i="24" s="1"/>
  <c r="CI42" i="24"/>
  <c r="J42" i="24" s="1"/>
  <c r="N42" i="24" s="1"/>
  <c r="L42" i="24"/>
  <c r="I42" i="24"/>
  <c r="M42" i="24" s="1"/>
  <c r="CI41" i="24"/>
  <c r="J41" i="24" s="1"/>
  <c r="L41" i="24"/>
  <c r="I41" i="24"/>
  <c r="M41" i="24" s="1"/>
  <c r="CI40" i="24"/>
  <c r="I40" i="24"/>
  <c r="CI39" i="24"/>
  <c r="J39" i="24" s="1"/>
  <c r="L39" i="24"/>
  <c r="I39" i="24"/>
  <c r="M39" i="24" s="1"/>
  <c r="CI38" i="24"/>
  <c r="J38" i="24" s="1"/>
  <c r="K38" i="24" s="1"/>
  <c r="O38" i="24" s="1"/>
  <c r="L38" i="24"/>
  <c r="I38" i="24"/>
  <c r="M38" i="24" s="1"/>
  <c r="CI37" i="24"/>
  <c r="J37" i="24" s="1"/>
  <c r="L37" i="24"/>
  <c r="I37" i="24"/>
  <c r="M37" i="24" s="1"/>
  <c r="CI36" i="24"/>
  <c r="J36" i="24" s="1"/>
  <c r="N36" i="24" s="1"/>
  <c r="L36" i="24"/>
  <c r="I36" i="24"/>
  <c r="M36" i="24" s="1"/>
  <c r="CI35" i="24"/>
  <c r="J35" i="24" s="1"/>
  <c r="L35" i="24"/>
  <c r="I35" i="24"/>
  <c r="M35" i="24" s="1"/>
  <c r="CI34" i="24"/>
  <c r="CI33" i="24"/>
  <c r="L32" i="24"/>
  <c r="CI31" i="24"/>
  <c r="J31" i="24" s="1"/>
  <c r="L31" i="24"/>
  <c r="I31" i="24"/>
  <c r="M31" i="24" s="1"/>
  <c r="CI30" i="24"/>
  <c r="J30" i="24" s="1"/>
  <c r="N30" i="24" s="1"/>
  <c r="L30" i="24"/>
  <c r="I30" i="24"/>
  <c r="M30" i="24" s="1"/>
  <c r="CI29" i="24"/>
  <c r="J29" i="24" s="1"/>
  <c r="L29" i="24"/>
  <c r="I29" i="24"/>
  <c r="M29" i="24" s="1"/>
  <c r="CI28" i="24"/>
  <c r="J28" i="24" s="1"/>
  <c r="K28" i="24" s="1"/>
  <c r="O28" i="24" s="1"/>
  <c r="L28" i="24"/>
  <c r="I28" i="24"/>
  <c r="M28" i="24" s="1"/>
  <c r="CI27" i="24"/>
  <c r="CI26" i="24"/>
  <c r="J26" i="24" s="1"/>
  <c r="L26" i="24"/>
  <c r="I26" i="24"/>
  <c r="M26" i="24" s="1"/>
  <c r="CI25" i="24"/>
  <c r="J25" i="24" s="1"/>
  <c r="K25" i="24" s="1"/>
  <c r="O25" i="24" s="1"/>
  <c r="L25" i="24"/>
  <c r="I25" i="24"/>
  <c r="M25" i="24" s="1"/>
  <c r="CI24" i="24"/>
  <c r="J24" i="24" s="1"/>
  <c r="L24" i="24"/>
  <c r="I24" i="24"/>
  <c r="M24" i="24" s="1"/>
  <c r="CI23" i="24"/>
  <c r="J23" i="24" s="1"/>
  <c r="N23" i="24" s="1"/>
  <c r="L23" i="24"/>
  <c r="I23" i="24"/>
  <c r="M23" i="24" s="1"/>
  <c r="CI22" i="24"/>
  <c r="J22" i="24" s="1"/>
  <c r="L22" i="24"/>
  <c r="I22" i="24"/>
  <c r="M22" i="24" s="1"/>
  <c r="CI21" i="24"/>
  <c r="J21" i="24" s="1"/>
  <c r="K21" i="24" s="1"/>
  <c r="O21" i="24" s="1"/>
  <c r="L21" i="24"/>
  <c r="I21" i="24"/>
  <c r="M21" i="24" s="1"/>
  <c r="CI20" i="24"/>
  <c r="J20" i="24" s="1"/>
  <c r="L20" i="24"/>
  <c r="I20" i="24"/>
  <c r="M20" i="24" s="1"/>
  <c r="CI19" i="24"/>
  <c r="J19" i="24" s="1"/>
  <c r="K19" i="24" s="1"/>
  <c r="O19" i="24" s="1"/>
  <c r="L19" i="24"/>
  <c r="I19" i="24"/>
  <c r="M19" i="24" s="1"/>
  <c r="CI18" i="24"/>
  <c r="J18" i="24" s="1"/>
  <c r="L18" i="24"/>
  <c r="I18" i="24"/>
  <c r="M18" i="24" s="1"/>
  <c r="CI17" i="24"/>
  <c r="J17" i="24" s="1"/>
  <c r="K17" i="24" s="1"/>
  <c r="O17" i="24" s="1"/>
  <c r="L17" i="24"/>
  <c r="I17" i="24"/>
  <c r="M17" i="24" s="1"/>
  <c r="CI16" i="24"/>
  <c r="J16" i="24" s="1"/>
  <c r="L16" i="24"/>
  <c r="I16" i="24"/>
  <c r="M16" i="24" s="1"/>
  <c r="CI15" i="24"/>
  <c r="H8" i="24"/>
  <c r="AE8" i="24" s="1"/>
  <c r="AF6" i="24"/>
  <c r="M285" i="25" l="1"/>
  <c r="O13" i="25"/>
  <c r="N13" i="25"/>
  <c r="P13" i="25" s="1"/>
  <c r="L7" i="25"/>
  <c r="O285" i="25"/>
  <c r="N285" i="25"/>
  <c r="P285" i="25" s="1"/>
  <c r="P157" i="24"/>
  <c r="P165" i="24"/>
  <c r="L276" i="24"/>
  <c r="L84" i="24"/>
  <c r="L96" i="24"/>
  <c r="P36" i="24"/>
  <c r="P188" i="24"/>
  <c r="M191" i="24"/>
  <c r="P56" i="24"/>
  <c r="P187" i="24"/>
  <c r="P214" i="24"/>
  <c r="P150" i="24"/>
  <c r="P176" i="24"/>
  <c r="P183" i="24"/>
  <c r="L191" i="24"/>
  <c r="P57" i="24"/>
  <c r="M40" i="24"/>
  <c r="L58" i="24"/>
  <c r="L182" i="24"/>
  <c r="L248" i="24"/>
  <c r="L47" i="24"/>
  <c r="L52" i="24"/>
  <c r="L15" i="24"/>
  <c r="P198" i="24"/>
  <c r="P206" i="24"/>
  <c r="L209" i="24"/>
  <c r="P224" i="24"/>
  <c r="L79" i="24"/>
  <c r="L78" i="24" s="1"/>
  <c r="L111" i="24"/>
  <c r="L170" i="24"/>
  <c r="L153" i="24"/>
  <c r="P230" i="24"/>
  <c r="P238" i="24"/>
  <c r="P246" i="24"/>
  <c r="P66" i="24"/>
  <c r="L73" i="24"/>
  <c r="L93" i="24"/>
  <c r="L226" i="24"/>
  <c r="L27" i="24"/>
  <c r="L260" i="24"/>
  <c r="L270" i="24"/>
  <c r="L269" i="24" s="1"/>
  <c r="P137" i="24"/>
  <c r="P283" i="24"/>
  <c r="L70" i="24"/>
  <c r="L121" i="24"/>
  <c r="L253" i="24"/>
  <c r="P23" i="24"/>
  <c r="L34" i="24"/>
  <c r="P49" i="24"/>
  <c r="L117" i="24"/>
  <c r="M209" i="24"/>
  <c r="P234" i="24"/>
  <c r="P263" i="24"/>
  <c r="L40" i="24"/>
  <c r="L63" i="24"/>
  <c r="L131" i="24"/>
  <c r="P242" i="24"/>
  <c r="M15" i="24"/>
  <c r="P42" i="24"/>
  <c r="M111" i="24"/>
  <c r="P207" i="24"/>
  <c r="M216" i="24"/>
  <c r="P219" i="24"/>
  <c r="L279" i="24"/>
  <c r="P30" i="24"/>
  <c r="L99" i="24"/>
  <c r="M121" i="24"/>
  <c r="P136" i="24"/>
  <c r="P202" i="24"/>
  <c r="L216" i="24"/>
  <c r="P256" i="24"/>
  <c r="P273" i="24"/>
  <c r="M99" i="24"/>
  <c r="K49" i="24"/>
  <c r="O49" i="24" s="1"/>
  <c r="K140" i="24"/>
  <c r="O140" i="24" s="1"/>
  <c r="N180" i="24"/>
  <c r="P180" i="24" s="1"/>
  <c r="K180" i="24"/>
  <c r="O180" i="24" s="1"/>
  <c r="P140" i="24"/>
  <c r="K142" i="24"/>
  <c r="O142" i="24" s="1"/>
  <c r="N213" i="24"/>
  <c r="P213" i="24" s="1"/>
  <c r="K213" i="24"/>
  <c r="O213" i="24" s="1"/>
  <c r="N223" i="24"/>
  <c r="P223" i="24" s="1"/>
  <c r="K223" i="24"/>
  <c r="O223" i="24" s="1"/>
  <c r="K227" i="24"/>
  <c r="O227" i="24" s="1"/>
  <c r="N227" i="24"/>
  <c r="P227" i="24" s="1"/>
  <c r="N210" i="24"/>
  <c r="P210" i="24" s="1"/>
  <c r="K210" i="24"/>
  <c r="O210" i="24" s="1"/>
  <c r="N146" i="24"/>
  <c r="P146" i="24" s="1"/>
  <c r="K146" i="24"/>
  <c r="O146" i="24" s="1"/>
  <c r="N184" i="24"/>
  <c r="P184" i="24" s="1"/>
  <c r="K184" i="24"/>
  <c r="O184" i="24" s="1"/>
  <c r="N220" i="24"/>
  <c r="P220" i="24" s="1"/>
  <c r="K220" i="24"/>
  <c r="O220" i="24" s="1"/>
  <c r="M195" i="24"/>
  <c r="M84" i="24"/>
  <c r="K150" i="24"/>
  <c r="O150" i="24" s="1"/>
  <c r="K157" i="24"/>
  <c r="O157" i="24" s="1"/>
  <c r="K198" i="24"/>
  <c r="O198" i="24" s="1"/>
  <c r="K202" i="24"/>
  <c r="O202" i="24" s="1"/>
  <c r="K206" i="24"/>
  <c r="O206" i="24" s="1"/>
  <c r="K219" i="24"/>
  <c r="O219" i="24" s="1"/>
  <c r="M226" i="24"/>
  <c r="CI112" i="24"/>
  <c r="J112" i="24" s="1"/>
  <c r="K112" i="24" s="1"/>
  <c r="O112" i="24" s="1"/>
  <c r="K69" i="24"/>
  <c r="O69" i="24" s="1"/>
  <c r="O68" i="24" s="1"/>
  <c r="M93" i="24"/>
  <c r="M170" i="24"/>
  <c r="K187" i="24"/>
  <c r="O187" i="24" s="1"/>
  <c r="K242" i="24"/>
  <c r="O242" i="24" s="1"/>
  <c r="M47" i="24"/>
  <c r="M63" i="24"/>
  <c r="M131" i="24"/>
  <c r="M248" i="24"/>
  <c r="K257" i="24"/>
  <c r="O257" i="24" s="1"/>
  <c r="N257" i="24"/>
  <c r="P257" i="24" s="1"/>
  <c r="N161" i="24"/>
  <c r="P161" i="24" s="1"/>
  <c r="K161" i="24"/>
  <c r="O161" i="24" s="1"/>
  <c r="N50" i="24"/>
  <c r="P50" i="24" s="1"/>
  <c r="K50" i="24"/>
  <c r="O50" i="24" s="1"/>
  <c r="K67" i="24"/>
  <c r="O67" i="24" s="1"/>
  <c r="N67" i="24"/>
  <c r="P67" i="24" s="1"/>
  <c r="K250" i="24"/>
  <c r="O250" i="24" s="1"/>
  <c r="N250" i="24"/>
  <c r="P250" i="24" s="1"/>
  <c r="N267" i="24"/>
  <c r="P267" i="24" s="1"/>
  <c r="K267" i="24"/>
  <c r="O267" i="24" s="1"/>
  <c r="K54" i="24"/>
  <c r="O54" i="24" s="1"/>
  <c r="N54" i="24"/>
  <c r="P54" i="24" s="1"/>
  <c r="N199" i="24"/>
  <c r="P199" i="24" s="1"/>
  <c r="K199" i="24"/>
  <c r="O199" i="24" s="1"/>
  <c r="K284" i="24"/>
  <c r="O284" i="24" s="1"/>
  <c r="N284" i="24"/>
  <c r="P284" i="24" s="1"/>
  <c r="N172" i="24"/>
  <c r="P172" i="24" s="1"/>
  <c r="K172" i="24"/>
  <c r="O172" i="24" s="1"/>
  <c r="K243" i="24"/>
  <c r="O243" i="24" s="1"/>
  <c r="N243" i="24"/>
  <c r="P243" i="24" s="1"/>
  <c r="N259" i="24"/>
  <c r="P259" i="24" s="1"/>
  <c r="K259" i="24"/>
  <c r="O259" i="24" s="1"/>
  <c r="K264" i="24"/>
  <c r="O264" i="24" s="1"/>
  <c r="N264" i="24"/>
  <c r="P264" i="24" s="1"/>
  <c r="N60" i="24"/>
  <c r="P60" i="24" s="1"/>
  <c r="K165" i="24"/>
  <c r="O165" i="24" s="1"/>
  <c r="K176" i="24"/>
  <c r="O176" i="24" s="1"/>
  <c r="N196" i="24"/>
  <c r="P196" i="24" s="1"/>
  <c r="K207" i="24"/>
  <c r="O207" i="24" s="1"/>
  <c r="K214" i="24"/>
  <c r="O214" i="24" s="1"/>
  <c r="K224" i="24"/>
  <c r="O224" i="24" s="1"/>
  <c r="K234" i="24"/>
  <c r="O234" i="24" s="1"/>
  <c r="K249" i="24"/>
  <c r="O249" i="24" s="1"/>
  <c r="K256" i="24"/>
  <c r="O256" i="24" s="1"/>
  <c r="K263" i="24"/>
  <c r="O263" i="24" s="1"/>
  <c r="K273" i="24"/>
  <c r="O273" i="24" s="1"/>
  <c r="K283" i="24"/>
  <c r="O283" i="24" s="1"/>
  <c r="K56" i="24"/>
  <c r="O56" i="24" s="1"/>
  <c r="K230" i="24"/>
  <c r="O230" i="24" s="1"/>
  <c r="N239" i="24"/>
  <c r="P239" i="24" s="1"/>
  <c r="K246" i="24"/>
  <c r="O246" i="24" s="1"/>
  <c r="K136" i="24"/>
  <c r="O136" i="24" s="1"/>
  <c r="N22" i="24"/>
  <c r="P22" i="24" s="1"/>
  <c r="K22" i="24"/>
  <c r="O22" i="24" s="1"/>
  <c r="M34" i="24"/>
  <c r="K39" i="24"/>
  <c r="O39" i="24" s="1"/>
  <c r="N39" i="24"/>
  <c r="P39" i="24" s="1"/>
  <c r="K43" i="24"/>
  <c r="O43" i="24" s="1"/>
  <c r="N43" i="24"/>
  <c r="P43" i="24" s="1"/>
  <c r="P53" i="24"/>
  <c r="K20" i="24"/>
  <c r="O20" i="24" s="1"/>
  <c r="N20" i="24"/>
  <c r="P20" i="24" s="1"/>
  <c r="K31" i="24"/>
  <c r="O31" i="24" s="1"/>
  <c r="N31" i="24"/>
  <c r="P31" i="24" s="1"/>
  <c r="K37" i="24"/>
  <c r="O37" i="24" s="1"/>
  <c r="N37" i="24"/>
  <c r="P37" i="24" s="1"/>
  <c r="K41" i="24"/>
  <c r="O41" i="24" s="1"/>
  <c r="N41" i="24"/>
  <c r="N18" i="24"/>
  <c r="P18" i="24" s="1"/>
  <c r="K18" i="24"/>
  <c r="O18" i="24" s="1"/>
  <c r="K26" i="24"/>
  <c r="O26" i="24" s="1"/>
  <c r="N26" i="24"/>
  <c r="P26" i="24" s="1"/>
  <c r="K29" i="24"/>
  <c r="O29" i="24" s="1"/>
  <c r="N29" i="24"/>
  <c r="P29" i="24" s="1"/>
  <c r="K35" i="24"/>
  <c r="O35" i="24" s="1"/>
  <c r="N35" i="24"/>
  <c r="K16" i="24"/>
  <c r="O16" i="24" s="1"/>
  <c r="N16" i="24"/>
  <c r="K24" i="24"/>
  <c r="O24" i="24" s="1"/>
  <c r="N24" i="24"/>
  <c r="P24" i="24" s="1"/>
  <c r="K48" i="24"/>
  <c r="O48" i="24" s="1"/>
  <c r="N48" i="24"/>
  <c r="N19" i="24"/>
  <c r="P19" i="24" s="1"/>
  <c r="K23" i="24"/>
  <c r="O23" i="24" s="1"/>
  <c r="K30" i="24"/>
  <c r="O30" i="24" s="1"/>
  <c r="K36" i="24"/>
  <c r="O36" i="24" s="1"/>
  <c r="K42" i="24"/>
  <c r="O42" i="24" s="1"/>
  <c r="N44" i="24"/>
  <c r="P44" i="24" s="1"/>
  <c r="N51" i="24"/>
  <c r="P51" i="24" s="1"/>
  <c r="K53" i="24"/>
  <c r="O53" i="24" s="1"/>
  <c r="K57" i="24"/>
  <c r="O57" i="24" s="1"/>
  <c r="K64" i="24"/>
  <c r="O64" i="24" s="1"/>
  <c r="N64" i="24"/>
  <c r="K65" i="24"/>
  <c r="O65" i="24" s="1"/>
  <c r="N65" i="24"/>
  <c r="P65" i="24" s="1"/>
  <c r="M73" i="24"/>
  <c r="K80" i="24"/>
  <c r="O80" i="24" s="1"/>
  <c r="N80" i="24"/>
  <c r="N95" i="24"/>
  <c r="P95" i="24" s="1"/>
  <c r="K95" i="24"/>
  <c r="O95" i="24" s="1"/>
  <c r="K104" i="24"/>
  <c r="O104" i="24" s="1"/>
  <c r="N104" i="24"/>
  <c r="P104" i="24" s="1"/>
  <c r="N109" i="24"/>
  <c r="P109" i="24" s="1"/>
  <c r="K109" i="24"/>
  <c r="O109" i="24" s="1"/>
  <c r="K116" i="24"/>
  <c r="O116" i="24" s="1"/>
  <c r="N116" i="24"/>
  <c r="P116" i="24" s="1"/>
  <c r="K119" i="24"/>
  <c r="O119" i="24" s="1"/>
  <c r="N119" i="24"/>
  <c r="P119" i="24" s="1"/>
  <c r="K126" i="24"/>
  <c r="O126" i="24" s="1"/>
  <c r="N126" i="24"/>
  <c r="P126" i="24" s="1"/>
  <c r="N17" i="24"/>
  <c r="P17" i="24" s="1"/>
  <c r="N21" i="24"/>
  <c r="P21" i="24" s="1"/>
  <c r="N25" i="24"/>
  <c r="P25" i="24" s="1"/>
  <c r="N28" i="24"/>
  <c r="N38" i="24"/>
  <c r="P38" i="24" s="1"/>
  <c r="N45" i="24"/>
  <c r="P45" i="24" s="1"/>
  <c r="N92" i="24"/>
  <c r="K92" i="24"/>
  <c r="O92" i="24" s="1"/>
  <c r="O91" i="24" s="1"/>
  <c r="K94" i="24"/>
  <c r="O94" i="24" s="1"/>
  <c r="N94" i="24"/>
  <c r="K103" i="24"/>
  <c r="O103" i="24" s="1"/>
  <c r="N103" i="24"/>
  <c r="P103" i="24" s="1"/>
  <c r="K108" i="24"/>
  <c r="O108" i="24" s="1"/>
  <c r="N108" i="24"/>
  <c r="P108" i="24" s="1"/>
  <c r="N114" i="24"/>
  <c r="P114" i="24" s="1"/>
  <c r="K114" i="24"/>
  <c r="O114" i="24" s="1"/>
  <c r="N124" i="24"/>
  <c r="P124" i="24" s="1"/>
  <c r="K124" i="24"/>
  <c r="O124" i="24" s="1"/>
  <c r="N134" i="24"/>
  <c r="P134" i="24" s="1"/>
  <c r="K134" i="24"/>
  <c r="O134" i="24" s="1"/>
  <c r="M52" i="24"/>
  <c r="K61" i="24"/>
  <c r="O61" i="24" s="1"/>
  <c r="N61" i="24"/>
  <c r="P61" i="24" s="1"/>
  <c r="K62" i="24"/>
  <c r="O62" i="24" s="1"/>
  <c r="N62" i="24"/>
  <c r="P62" i="24" s="1"/>
  <c r="K66" i="24"/>
  <c r="O66" i="24" s="1"/>
  <c r="N68" i="24"/>
  <c r="P68" i="24" s="1"/>
  <c r="P69" i="24"/>
  <c r="N74" i="24"/>
  <c r="K74" i="24"/>
  <c r="O74" i="24" s="1"/>
  <c r="O73" i="24" s="1"/>
  <c r="M79" i="24"/>
  <c r="M78" i="24" s="1"/>
  <c r="N82" i="24"/>
  <c r="P82" i="24" s="1"/>
  <c r="K82" i="24"/>
  <c r="O82" i="24" s="1"/>
  <c r="K87" i="24"/>
  <c r="O87" i="24" s="1"/>
  <c r="N87" i="24"/>
  <c r="P87" i="24" s="1"/>
  <c r="N101" i="24"/>
  <c r="P101" i="24" s="1"/>
  <c r="K101" i="24"/>
  <c r="O101" i="24" s="1"/>
  <c r="K107" i="24"/>
  <c r="O107" i="24" s="1"/>
  <c r="N107" i="24"/>
  <c r="P107" i="24" s="1"/>
  <c r="K113" i="24"/>
  <c r="O113" i="24" s="1"/>
  <c r="N113" i="24"/>
  <c r="P113" i="24" s="1"/>
  <c r="M117" i="24"/>
  <c r="K123" i="24"/>
  <c r="O123" i="24" s="1"/>
  <c r="N123" i="24"/>
  <c r="P123" i="24" s="1"/>
  <c r="N128" i="24"/>
  <c r="P128" i="24" s="1"/>
  <c r="K128" i="24"/>
  <c r="O128" i="24" s="1"/>
  <c r="K133" i="24"/>
  <c r="O133" i="24" s="1"/>
  <c r="N133" i="24"/>
  <c r="P133" i="24" s="1"/>
  <c r="K55" i="24"/>
  <c r="O55" i="24" s="1"/>
  <c r="N55" i="24"/>
  <c r="P55" i="24" s="1"/>
  <c r="N72" i="24"/>
  <c r="K81" i="24"/>
  <c r="O81" i="24" s="1"/>
  <c r="N81" i="24"/>
  <c r="P81" i="24" s="1"/>
  <c r="N85" i="24"/>
  <c r="K85" i="24"/>
  <c r="O85" i="24" s="1"/>
  <c r="N98" i="24"/>
  <c r="P98" i="24" s="1"/>
  <c r="K98" i="24"/>
  <c r="O98" i="24" s="1"/>
  <c r="K100" i="24"/>
  <c r="O100" i="24" s="1"/>
  <c r="N100" i="24"/>
  <c r="N105" i="24"/>
  <c r="P105" i="24" s="1"/>
  <c r="K105" i="24"/>
  <c r="O105" i="24" s="1"/>
  <c r="K120" i="24"/>
  <c r="O120" i="24" s="1"/>
  <c r="O117" i="24" s="1"/>
  <c r="N120" i="24"/>
  <c r="P120" i="24" s="1"/>
  <c r="K122" i="24"/>
  <c r="O122" i="24" s="1"/>
  <c r="N122" i="24"/>
  <c r="K127" i="24"/>
  <c r="O127" i="24" s="1"/>
  <c r="N127" i="24"/>
  <c r="P127" i="24" s="1"/>
  <c r="K132" i="24"/>
  <c r="O132" i="24" s="1"/>
  <c r="N132" i="24"/>
  <c r="N75" i="24"/>
  <c r="P75" i="24" s="1"/>
  <c r="N83" i="24"/>
  <c r="P83" i="24" s="1"/>
  <c r="N86" i="24"/>
  <c r="P86" i="24" s="1"/>
  <c r="N89" i="24"/>
  <c r="N90" i="24"/>
  <c r="N102" i="24"/>
  <c r="P102" i="24" s="1"/>
  <c r="N106" i="24"/>
  <c r="P106" i="24" s="1"/>
  <c r="N115" i="24"/>
  <c r="P115" i="24" s="1"/>
  <c r="N118" i="24"/>
  <c r="N125" i="24"/>
  <c r="P125" i="24" s="1"/>
  <c r="N129" i="24"/>
  <c r="P129" i="24" s="1"/>
  <c r="N135" i="24"/>
  <c r="P135" i="24" s="1"/>
  <c r="N138" i="24"/>
  <c r="P138" i="24" s="1"/>
  <c r="K143" i="24"/>
  <c r="O143" i="24" s="1"/>
  <c r="N143" i="24"/>
  <c r="P143" i="24" s="1"/>
  <c r="K145" i="24"/>
  <c r="O145" i="24" s="1"/>
  <c r="N145" i="24"/>
  <c r="P145" i="24" s="1"/>
  <c r="K148" i="24"/>
  <c r="O148" i="24" s="1"/>
  <c r="N148" i="24"/>
  <c r="P148" i="24" s="1"/>
  <c r="K155" i="24"/>
  <c r="O155" i="24" s="1"/>
  <c r="N155" i="24"/>
  <c r="P155" i="24" s="1"/>
  <c r="K168" i="24"/>
  <c r="O168" i="24" s="1"/>
  <c r="N168" i="24"/>
  <c r="P168" i="24" s="1"/>
  <c r="K179" i="24"/>
  <c r="O179" i="24" s="1"/>
  <c r="N179" i="24"/>
  <c r="P179" i="24" s="1"/>
  <c r="K185" i="24"/>
  <c r="O185" i="24" s="1"/>
  <c r="N185" i="24"/>
  <c r="P185" i="24" s="1"/>
  <c r="K186" i="24"/>
  <c r="O186" i="24" s="1"/>
  <c r="N186" i="24"/>
  <c r="P186" i="24" s="1"/>
  <c r="K137" i="24"/>
  <c r="O137" i="24" s="1"/>
  <c r="K141" i="24"/>
  <c r="O141" i="24" s="1"/>
  <c r="K144" i="24"/>
  <c r="O144" i="24" s="1"/>
  <c r="N144" i="24"/>
  <c r="P144" i="24" s="1"/>
  <c r="K164" i="24"/>
  <c r="O164" i="24" s="1"/>
  <c r="N164" i="24"/>
  <c r="P164" i="24" s="1"/>
  <c r="K167" i="24"/>
  <c r="O167" i="24" s="1"/>
  <c r="N167" i="24"/>
  <c r="P167" i="24" s="1"/>
  <c r="K175" i="24"/>
  <c r="O175" i="24" s="1"/>
  <c r="N175" i="24"/>
  <c r="P175" i="24" s="1"/>
  <c r="K178" i="24"/>
  <c r="O178" i="24" s="1"/>
  <c r="N178" i="24"/>
  <c r="P178" i="24" s="1"/>
  <c r="P142" i="24"/>
  <c r="M153" i="24"/>
  <c r="K160" i="24"/>
  <c r="O160" i="24" s="1"/>
  <c r="N160" i="24"/>
  <c r="P160" i="24" s="1"/>
  <c r="K163" i="24"/>
  <c r="O163" i="24" s="1"/>
  <c r="N163" i="24"/>
  <c r="P163" i="24" s="1"/>
  <c r="N171" i="24"/>
  <c r="K171" i="24"/>
  <c r="O171" i="24" s="1"/>
  <c r="K174" i="24"/>
  <c r="O174" i="24" s="1"/>
  <c r="N174" i="24"/>
  <c r="P174" i="24" s="1"/>
  <c r="M182" i="24"/>
  <c r="N139" i="24"/>
  <c r="P139" i="24" s="1"/>
  <c r="K149" i="24"/>
  <c r="O149" i="24" s="1"/>
  <c r="N149" i="24"/>
  <c r="P149" i="24" s="1"/>
  <c r="K152" i="24"/>
  <c r="O152" i="24" s="1"/>
  <c r="N152" i="24"/>
  <c r="P152" i="24" s="1"/>
  <c r="K156" i="24"/>
  <c r="O156" i="24" s="1"/>
  <c r="N156" i="24"/>
  <c r="P156" i="24" s="1"/>
  <c r="K159" i="24"/>
  <c r="O159" i="24" s="1"/>
  <c r="N159" i="24"/>
  <c r="P159" i="24" s="1"/>
  <c r="N147" i="24"/>
  <c r="P147" i="24" s="1"/>
  <c r="N151" i="24"/>
  <c r="P151" i="24" s="1"/>
  <c r="N154" i="24"/>
  <c r="N158" i="24"/>
  <c r="P158" i="24" s="1"/>
  <c r="N162" i="24"/>
  <c r="P162" i="24" s="1"/>
  <c r="N166" i="24"/>
  <c r="P166" i="24" s="1"/>
  <c r="N173" i="24"/>
  <c r="P173" i="24" s="1"/>
  <c r="N177" i="24"/>
  <c r="P177" i="24" s="1"/>
  <c r="N181" i="24"/>
  <c r="P181" i="24" s="1"/>
  <c r="N189" i="24"/>
  <c r="P189" i="24" s="1"/>
  <c r="N192" i="24"/>
  <c r="N201" i="24"/>
  <c r="P201" i="24" s="1"/>
  <c r="K201" i="24"/>
  <c r="O201" i="24" s="1"/>
  <c r="N203" i="24"/>
  <c r="P203" i="24" s="1"/>
  <c r="N212" i="24"/>
  <c r="P212" i="24" s="1"/>
  <c r="K212" i="24"/>
  <c r="O212" i="24" s="1"/>
  <c r="N222" i="24"/>
  <c r="P222" i="24" s="1"/>
  <c r="K222" i="24"/>
  <c r="O222" i="24" s="1"/>
  <c r="K188" i="24"/>
  <c r="O188" i="24" s="1"/>
  <c r="N194" i="24"/>
  <c r="P194" i="24" s="1"/>
  <c r="K194" i="24"/>
  <c r="O194" i="24" s="1"/>
  <c r="O191" i="24" s="1"/>
  <c r="N200" i="24"/>
  <c r="P200" i="24" s="1"/>
  <c r="N204" i="24"/>
  <c r="P204" i="24" s="1"/>
  <c r="K183" i="24"/>
  <c r="O183" i="24" s="1"/>
  <c r="N190" i="24"/>
  <c r="P190" i="24" s="1"/>
  <c r="N193" i="24"/>
  <c r="P193" i="24" s="1"/>
  <c r="L195" i="24"/>
  <c r="N197" i="24"/>
  <c r="P197" i="24" s="1"/>
  <c r="K197" i="24"/>
  <c r="O197" i="24" s="1"/>
  <c r="N205" i="24"/>
  <c r="P205" i="24" s="1"/>
  <c r="K205" i="24"/>
  <c r="O205" i="24" s="1"/>
  <c r="N218" i="24"/>
  <c r="P218" i="24" s="1"/>
  <c r="K218" i="24"/>
  <c r="O218" i="24" s="1"/>
  <c r="K228" i="24"/>
  <c r="O228" i="24" s="1"/>
  <c r="N228" i="24"/>
  <c r="P228" i="24" s="1"/>
  <c r="N231" i="24"/>
  <c r="P231" i="24" s="1"/>
  <c r="K236" i="24"/>
  <c r="O236" i="24" s="1"/>
  <c r="N236" i="24"/>
  <c r="P236" i="24" s="1"/>
  <c r="N247" i="24"/>
  <c r="P247" i="24" s="1"/>
  <c r="N268" i="24"/>
  <c r="P268" i="24" s="1"/>
  <c r="N274" i="24"/>
  <c r="P274" i="24" s="1"/>
  <c r="N277" i="24"/>
  <c r="M279" i="24"/>
  <c r="K281" i="24"/>
  <c r="O281" i="24" s="1"/>
  <c r="N281" i="24"/>
  <c r="P281" i="24" s="1"/>
  <c r="K282" i="24"/>
  <c r="O282" i="24" s="1"/>
  <c r="N282" i="24"/>
  <c r="P282" i="24" s="1"/>
  <c r="K232" i="24"/>
  <c r="O232" i="24" s="1"/>
  <c r="N232" i="24"/>
  <c r="P232" i="24" s="1"/>
  <c r="M253" i="24"/>
  <c r="M260" i="24"/>
  <c r="M270" i="24"/>
  <c r="K275" i="24"/>
  <c r="O275" i="24" s="1"/>
  <c r="N275" i="24"/>
  <c r="P275" i="24" s="1"/>
  <c r="M276" i="24"/>
  <c r="K278" i="24"/>
  <c r="O278" i="24" s="1"/>
  <c r="O276" i="24" s="1"/>
  <c r="N278" i="24"/>
  <c r="P278" i="24" s="1"/>
  <c r="N208" i="24"/>
  <c r="P208" i="24" s="1"/>
  <c r="N211" i="24"/>
  <c r="P211" i="24" s="1"/>
  <c r="N217" i="24"/>
  <c r="N221" i="24"/>
  <c r="P221" i="24" s="1"/>
  <c r="N225" i="24"/>
  <c r="P225" i="24" s="1"/>
  <c r="K244" i="24"/>
  <c r="O244" i="24" s="1"/>
  <c r="N244" i="24"/>
  <c r="P244" i="24" s="1"/>
  <c r="P249" i="24"/>
  <c r="K254" i="24"/>
  <c r="O254" i="24" s="1"/>
  <c r="N254" i="24"/>
  <c r="K258" i="24"/>
  <c r="O258" i="24" s="1"/>
  <c r="N258" i="24"/>
  <c r="P258" i="24" s="1"/>
  <c r="K261" i="24"/>
  <c r="O261" i="24" s="1"/>
  <c r="N261" i="24"/>
  <c r="K265" i="24"/>
  <c r="O265" i="24" s="1"/>
  <c r="N265" i="24"/>
  <c r="P265" i="24" s="1"/>
  <c r="K266" i="24"/>
  <c r="O266" i="24" s="1"/>
  <c r="N266" i="24"/>
  <c r="P266" i="24" s="1"/>
  <c r="K271" i="24"/>
  <c r="O271" i="24" s="1"/>
  <c r="N271" i="24"/>
  <c r="K272" i="24"/>
  <c r="O272" i="24" s="1"/>
  <c r="N272" i="24"/>
  <c r="P272" i="24" s="1"/>
  <c r="N235" i="24"/>
  <c r="P235" i="24" s="1"/>
  <c r="K238" i="24"/>
  <c r="O238" i="24" s="1"/>
  <c r="K240" i="24"/>
  <c r="O240" i="24" s="1"/>
  <c r="N240" i="24"/>
  <c r="P240" i="24" s="1"/>
  <c r="K251" i="24"/>
  <c r="O251" i="24" s="1"/>
  <c r="N251" i="24"/>
  <c r="P251" i="24" s="1"/>
  <c r="N280" i="24"/>
  <c r="N229" i="24"/>
  <c r="P229" i="24" s="1"/>
  <c r="N233" i="24"/>
  <c r="P233" i="24" s="1"/>
  <c r="N237" i="24"/>
  <c r="P237" i="24" s="1"/>
  <c r="N241" i="24"/>
  <c r="P241" i="24" s="1"/>
  <c r="N245" i="24"/>
  <c r="P245" i="24" s="1"/>
  <c r="N252" i="24"/>
  <c r="P252" i="24" s="1"/>
  <c r="N255" i="24"/>
  <c r="P255" i="24" s="1"/>
  <c r="N262" i="24"/>
  <c r="P262" i="24" s="1"/>
  <c r="BU111" i="23"/>
  <c r="BU76" i="23"/>
  <c r="CD11" i="25" l="1"/>
  <c r="L8" i="25"/>
  <c r="M110" i="24"/>
  <c r="L215" i="24"/>
  <c r="L169" i="24"/>
  <c r="M33" i="24"/>
  <c r="L110" i="24"/>
  <c r="L46" i="24"/>
  <c r="M215" i="24"/>
  <c r="O47" i="24"/>
  <c r="L130" i="24"/>
  <c r="O253" i="24"/>
  <c r="L33" i="24"/>
  <c r="M130" i="24"/>
  <c r="O153" i="24"/>
  <c r="O111" i="24"/>
  <c r="O110" i="24" s="1"/>
  <c r="O209" i="24"/>
  <c r="O84" i="24"/>
  <c r="N112" i="24"/>
  <c r="P112" i="24" s="1"/>
  <c r="O182" i="24"/>
  <c r="O121" i="24"/>
  <c r="O216" i="24"/>
  <c r="M169" i="24"/>
  <c r="O170" i="24"/>
  <c r="O93" i="24"/>
  <c r="O248" i="24"/>
  <c r="O226" i="24"/>
  <c r="O279" i="24"/>
  <c r="O195" i="24"/>
  <c r="O99" i="24"/>
  <c r="P261" i="24"/>
  <c r="N260" i="24"/>
  <c r="P260" i="24" s="1"/>
  <c r="P254" i="24"/>
  <c r="N253" i="24"/>
  <c r="P253" i="24" s="1"/>
  <c r="N276" i="24"/>
  <c r="P276" i="24" s="1"/>
  <c r="P277" i="24"/>
  <c r="P192" i="24"/>
  <c r="N191" i="24"/>
  <c r="P191" i="24" s="1"/>
  <c r="N153" i="24"/>
  <c r="P153" i="24" s="1"/>
  <c r="P154" i="24"/>
  <c r="P132" i="24"/>
  <c r="N131" i="24"/>
  <c r="P122" i="24"/>
  <c r="N121" i="24"/>
  <c r="P121" i="24" s="1"/>
  <c r="N99" i="24"/>
  <c r="P99" i="24" s="1"/>
  <c r="P100" i="24"/>
  <c r="O63" i="24"/>
  <c r="O34" i="24"/>
  <c r="N40" i="24"/>
  <c r="P40" i="24" s="1"/>
  <c r="P41" i="24"/>
  <c r="O260" i="24"/>
  <c r="N216" i="24"/>
  <c r="P217" i="24"/>
  <c r="M269" i="24"/>
  <c r="N209" i="24"/>
  <c r="P209" i="24" s="1"/>
  <c r="N195" i="24"/>
  <c r="P195" i="24" s="1"/>
  <c r="O131" i="24"/>
  <c r="N84" i="24"/>
  <c r="P84" i="24" s="1"/>
  <c r="P85" i="24"/>
  <c r="N73" i="24"/>
  <c r="P73" i="24" s="1"/>
  <c r="P74" i="24"/>
  <c r="N91" i="24"/>
  <c r="P91" i="24" s="1"/>
  <c r="P92" i="24"/>
  <c r="P48" i="24"/>
  <c r="N47" i="24"/>
  <c r="N15" i="24"/>
  <c r="P16" i="24"/>
  <c r="O40" i="24"/>
  <c r="P271" i="24"/>
  <c r="N270" i="24"/>
  <c r="N226" i="24"/>
  <c r="P226" i="24" s="1"/>
  <c r="N182" i="24"/>
  <c r="P182" i="24" s="1"/>
  <c r="N170" i="24"/>
  <c r="N117" i="24"/>
  <c r="P117" i="24" s="1"/>
  <c r="P118" i="24"/>
  <c r="N71" i="24"/>
  <c r="P72" i="24"/>
  <c r="N93" i="24"/>
  <c r="P93" i="24" s="1"/>
  <c r="P94" i="24"/>
  <c r="P80" i="24"/>
  <c r="N79" i="24"/>
  <c r="O52" i="24"/>
  <c r="O15" i="24"/>
  <c r="N52" i="24"/>
  <c r="P52" i="24" s="1"/>
  <c r="N279" i="24"/>
  <c r="P280" i="24"/>
  <c r="O270" i="24"/>
  <c r="O269" i="24" s="1"/>
  <c r="N248" i="24"/>
  <c r="P248" i="24" s="1"/>
  <c r="N88" i="24"/>
  <c r="P88" i="24" s="1"/>
  <c r="P90" i="24"/>
  <c r="P28" i="24"/>
  <c r="O79" i="24"/>
  <c r="P64" i="24"/>
  <c r="N63" i="24"/>
  <c r="P63" i="24" s="1"/>
  <c r="N34" i="24"/>
  <c r="P35" i="24"/>
  <c r="I73" i="23"/>
  <c r="N111" i="24" l="1"/>
  <c r="O78" i="24"/>
  <c r="L285" i="24"/>
  <c r="L13" i="24"/>
  <c r="O169" i="24"/>
  <c r="O130" i="24"/>
  <c r="O215" i="24"/>
  <c r="P79" i="24"/>
  <c r="N78" i="24"/>
  <c r="P78" i="24" s="1"/>
  <c r="P216" i="24"/>
  <c r="N215" i="24"/>
  <c r="P215" i="24" s="1"/>
  <c r="O33" i="24"/>
  <c r="P279" i="24"/>
  <c r="P71" i="24"/>
  <c r="P47" i="24"/>
  <c r="P131" i="24"/>
  <c r="N130" i="24"/>
  <c r="P130" i="24" s="1"/>
  <c r="P34" i="24"/>
  <c r="N33" i="24"/>
  <c r="P33" i="24" s="1"/>
  <c r="P170" i="24"/>
  <c r="N169" i="24"/>
  <c r="P169" i="24" s="1"/>
  <c r="P270" i="24"/>
  <c r="N269" i="24"/>
  <c r="P269" i="24" s="1"/>
  <c r="P15" i="24"/>
  <c r="P111" i="24"/>
  <c r="N110" i="24"/>
  <c r="P110" i="24" s="1"/>
  <c r="I105" i="23"/>
  <c r="M105" i="23" s="1"/>
  <c r="I102" i="23" l="1"/>
  <c r="M102" i="23" s="1"/>
  <c r="I64" i="23"/>
  <c r="M64" i="23" s="1"/>
  <c r="CI63" i="23"/>
  <c r="J63" i="23" s="1"/>
  <c r="K63" i="23" s="1"/>
  <c r="CI58" i="23"/>
  <c r="J58" i="23" s="1"/>
  <c r="K58" i="23" s="1"/>
  <c r="I53" i="23"/>
  <c r="M53" i="23" s="1"/>
  <c r="BV47" i="23"/>
  <c r="CI284" i="23"/>
  <c r="J284" i="23" s="1"/>
  <c r="I284" i="23"/>
  <c r="CI283" i="23"/>
  <c r="J283" i="23" s="1"/>
  <c r="K283" i="23" s="1"/>
  <c r="O283" i="23" s="1"/>
  <c r="L283" i="23"/>
  <c r="I283" i="23"/>
  <c r="M283" i="23" s="1"/>
  <c r="CI282" i="23"/>
  <c r="J282" i="23" s="1"/>
  <c r="L282" i="23"/>
  <c r="I282" i="23"/>
  <c r="M282" i="23" s="1"/>
  <c r="CI281" i="23"/>
  <c r="J281" i="23" s="1"/>
  <c r="K281" i="23" s="1"/>
  <c r="O281" i="23" s="1"/>
  <c r="L281" i="23"/>
  <c r="I281" i="23"/>
  <c r="M281" i="23" s="1"/>
  <c r="CI280" i="23"/>
  <c r="J280" i="23" s="1"/>
  <c r="L280" i="23"/>
  <c r="I280" i="23"/>
  <c r="M280" i="23" s="1"/>
  <c r="CI279" i="23"/>
  <c r="J279" i="23" s="1"/>
  <c r="L279" i="23"/>
  <c r="I279" i="23"/>
  <c r="M279" i="23" s="1"/>
  <c r="CI278" i="23"/>
  <c r="CI277" i="23"/>
  <c r="J277" i="23" s="1"/>
  <c r="L277" i="23"/>
  <c r="I277" i="23"/>
  <c r="M277" i="23" s="1"/>
  <c r="CI276" i="23"/>
  <c r="J276" i="23" s="1"/>
  <c r="L276" i="23"/>
  <c r="I276" i="23"/>
  <c r="M276" i="23" s="1"/>
  <c r="CI275" i="23"/>
  <c r="CI274" i="23"/>
  <c r="J274" i="23" s="1"/>
  <c r="L274" i="23"/>
  <c r="I274" i="23"/>
  <c r="M274" i="23" s="1"/>
  <c r="CI273" i="23"/>
  <c r="J273" i="23" s="1"/>
  <c r="L273" i="23"/>
  <c r="I273" i="23"/>
  <c r="M273" i="23" s="1"/>
  <c r="CI272" i="23"/>
  <c r="J272" i="23" s="1"/>
  <c r="L272" i="23"/>
  <c r="I272" i="23"/>
  <c r="M272" i="23" s="1"/>
  <c r="CI271" i="23"/>
  <c r="J271" i="23" s="1"/>
  <c r="K271" i="23" s="1"/>
  <c r="O271" i="23" s="1"/>
  <c r="L271" i="23"/>
  <c r="I271" i="23"/>
  <c r="M271" i="23" s="1"/>
  <c r="CI270" i="23"/>
  <c r="J270" i="23" s="1"/>
  <c r="L270" i="23"/>
  <c r="I270" i="23"/>
  <c r="M270" i="23" s="1"/>
  <c r="CI269" i="23"/>
  <c r="CI268" i="23"/>
  <c r="CI267" i="23"/>
  <c r="J267" i="23" s="1"/>
  <c r="K267" i="23" s="1"/>
  <c r="O267" i="23" s="1"/>
  <c r="L267" i="23"/>
  <c r="I267" i="23"/>
  <c r="M267" i="23" s="1"/>
  <c r="CI266" i="23"/>
  <c r="J266" i="23" s="1"/>
  <c r="L266" i="23"/>
  <c r="I266" i="23"/>
  <c r="M266" i="23" s="1"/>
  <c r="CI265" i="23"/>
  <c r="J265" i="23" s="1"/>
  <c r="K265" i="23" s="1"/>
  <c r="O265" i="23" s="1"/>
  <c r="L265" i="23"/>
  <c r="I265" i="23"/>
  <c r="M265" i="23" s="1"/>
  <c r="CI264" i="23"/>
  <c r="J264" i="23" s="1"/>
  <c r="L264" i="23"/>
  <c r="I264" i="23"/>
  <c r="M264" i="23" s="1"/>
  <c r="CI263" i="23"/>
  <c r="J263" i="23" s="1"/>
  <c r="K263" i="23" s="1"/>
  <c r="O263" i="23" s="1"/>
  <c r="L263" i="23"/>
  <c r="I263" i="23"/>
  <c r="M263" i="23" s="1"/>
  <c r="CI262" i="23"/>
  <c r="J262" i="23" s="1"/>
  <c r="L262" i="23"/>
  <c r="I262" i="23"/>
  <c r="M262" i="23" s="1"/>
  <c r="CI261" i="23"/>
  <c r="J261" i="23" s="1"/>
  <c r="K261" i="23" s="1"/>
  <c r="O261" i="23" s="1"/>
  <c r="L261" i="23"/>
  <c r="I261" i="23"/>
  <c r="M261" i="23" s="1"/>
  <c r="CI260" i="23"/>
  <c r="J260" i="23" s="1"/>
  <c r="L260" i="23"/>
  <c r="I260" i="23"/>
  <c r="M260" i="23" s="1"/>
  <c r="CI259" i="23"/>
  <c r="CI258" i="23"/>
  <c r="J258" i="23" s="1"/>
  <c r="K258" i="23" s="1"/>
  <c r="O258" i="23" s="1"/>
  <c r="L258" i="23"/>
  <c r="I258" i="23"/>
  <c r="M258" i="23" s="1"/>
  <c r="CI257" i="23"/>
  <c r="J257" i="23" s="1"/>
  <c r="L257" i="23"/>
  <c r="I257" i="23"/>
  <c r="M257" i="23" s="1"/>
  <c r="CI256" i="23"/>
  <c r="J256" i="23" s="1"/>
  <c r="K256" i="23" s="1"/>
  <c r="O256" i="23" s="1"/>
  <c r="L256" i="23"/>
  <c r="I256" i="23"/>
  <c r="M256" i="23" s="1"/>
  <c r="CI255" i="23"/>
  <c r="J255" i="23" s="1"/>
  <c r="L255" i="23"/>
  <c r="I255" i="23"/>
  <c r="M255" i="23" s="1"/>
  <c r="CI254" i="23"/>
  <c r="J254" i="23" s="1"/>
  <c r="K254" i="23" s="1"/>
  <c r="O254" i="23" s="1"/>
  <c r="L254" i="23"/>
  <c r="I254" i="23"/>
  <c r="M254" i="23" s="1"/>
  <c r="CI253" i="23"/>
  <c r="J253" i="23" s="1"/>
  <c r="L253" i="23"/>
  <c r="I253" i="23"/>
  <c r="M253" i="23" s="1"/>
  <c r="CI252" i="23"/>
  <c r="CI251" i="23"/>
  <c r="J251" i="23" s="1"/>
  <c r="N251" i="23" s="1"/>
  <c r="L251" i="23"/>
  <c r="I251" i="23"/>
  <c r="M251" i="23" s="1"/>
  <c r="CI250" i="23"/>
  <c r="J250" i="23" s="1"/>
  <c r="L250" i="23"/>
  <c r="I250" i="23"/>
  <c r="M250" i="23" s="1"/>
  <c r="CI249" i="23"/>
  <c r="J249" i="23" s="1"/>
  <c r="K249" i="23" s="1"/>
  <c r="O249" i="23" s="1"/>
  <c r="L249" i="23"/>
  <c r="I249" i="23"/>
  <c r="M249" i="23" s="1"/>
  <c r="CI248" i="23"/>
  <c r="J248" i="23" s="1"/>
  <c r="N248" i="23" s="1"/>
  <c r="L248" i="23"/>
  <c r="I248" i="23"/>
  <c r="M248" i="23" s="1"/>
  <c r="CI247" i="23"/>
  <c r="CI246" i="23"/>
  <c r="J246" i="23" s="1"/>
  <c r="K246" i="23" s="1"/>
  <c r="O246" i="23" s="1"/>
  <c r="L246" i="23"/>
  <c r="I246" i="23"/>
  <c r="M246" i="23" s="1"/>
  <c r="CI245" i="23"/>
  <c r="J245" i="23" s="1"/>
  <c r="N245" i="23" s="1"/>
  <c r="L245" i="23"/>
  <c r="I245" i="23"/>
  <c r="M245" i="23" s="1"/>
  <c r="CI244" i="23"/>
  <c r="J244" i="23" s="1"/>
  <c r="L244" i="23"/>
  <c r="I244" i="23"/>
  <c r="M244" i="23" s="1"/>
  <c r="CI243" i="23"/>
  <c r="J243" i="23" s="1"/>
  <c r="L243" i="23"/>
  <c r="I243" i="23"/>
  <c r="M243" i="23" s="1"/>
  <c r="CI242" i="23"/>
  <c r="J242" i="23" s="1"/>
  <c r="K242" i="23" s="1"/>
  <c r="O242" i="23" s="1"/>
  <c r="L242" i="23"/>
  <c r="I242" i="23"/>
  <c r="M242" i="23" s="1"/>
  <c r="CI241" i="23"/>
  <c r="J241" i="23" s="1"/>
  <c r="N241" i="23" s="1"/>
  <c r="L241" i="23"/>
  <c r="I241" i="23"/>
  <c r="M241" i="23" s="1"/>
  <c r="CI240" i="23"/>
  <c r="J240" i="23" s="1"/>
  <c r="L240" i="23"/>
  <c r="I240" i="23"/>
  <c r="M240" i="23" s="1"/>
  <c r="CI239" i="23"/>
  <c r="J239" i="23" s="1"/>
  <c r="L239" i="23"/>
  <c r="I239" i="23"/>
  <c r="M239" i="23" s="1"/>
  <c r="CI238" i="23"/>
  <c r="J238" i="23" s="1"/>
  <c r="K238" i="23" s="1"/>
  <c r="O238" i="23" s="1"/>
  <c r="L238" i="23"/>
  <c r="I238" i="23"/>
  <c r="M238" i="23" s="1"/>
  <c r="CI237" i="23"/>
  <c r="J237" i="23" s="1"/>
  <c r="L237" i="23"/>
  <c r="I237" i="23"/>
  <c r="M237" i="23" s="1"/>
  <c r="CI236" i="23"/>
  <c r="J236" i="23" s="1"/>
  <c r="L236" i="23"/>
  <c r="I236" i="23"/>
  <c r="M236" i="23" s="1"/>
  <c r="CI235" i="23"/>
  <c r="J235" i="23" s="1"/>
  <c r="L235" i="23"/>
  <c r="I235" i="23"/>
  <c r="M235" i="23" s="1"/>
  <c r="CI234" i="23"/>
  <c r="J234" i="23" s="1"/>
  <c r="K234" i="23" s="1"/>
  <c r="O234" i="23" s="1"/>
  <c r="L234" i="23"/>
  <c r="I234" i="23"/>
  <c r="M234" i="23" s="1"/>
  <c r="CI233" i="23"/>
  <c r="J233" i="23" s="1"/>
  <c r="N233" i="23" s="1"/>
  <c r="L233" i="23"/>
  <c r="I233" i="23"/>
  <c r="M233" i="23" s="1"/>
  <c r="CI232" i="23"/>
  <c r="J232" i="23" s="1"/>
  <c r="K232" i="23" s="1"/>
  <c r="O232" i="23" s="1"/>
  <c r="L232" i="23"/>
  <c r="I232" i="23"/>
  <c r="M232" i="23" s="1"/>
  <c r="CI231" i="23"/>
  <c r="J231" i="23" s="1"/>
  <c r="L231" i="23"/>
  <c r="I231" i="23"/>
  <c r="M231" i="23" s="1"/>
  <c r="CI230" i="23"/>
  <c r="J230" i="23" s="1"/>
  <c r="K230" i="23" s="1"/>
  <c r="O230" i="23" s="1"/>
  <c r="L230" i="23"/>
  <c r="I230" i="23"/>
  <c r="M230" i="23" s="1"/>
  <c r="CI229" i="23"/>
  <c r="J229" i="23" s="1"/>
  <c r="N229" i="23" s="1"/>
  <c r="L229" i="23"/>
  <c r="I229" i="23"/>
  <c r="M229" i="23" s="1"/>
  <c r="CI228" i="23"/>
  <c r="J228" i="23" s="1"/>
  <c r="K228" i="23" s="1"/>
  <c r="O228" i="23" s="1"/>
  <c r="L228" i="23"/>
  <c r="I228" i="23"/>
  <c r="M228" i="23" s="1"/>
  <c r="CI227" i="23"/>
  <c r="J227" i="23" s="1"/>
  <c r="L227" i="23"/>
  <c r="I227" i="23"/>
  <c r="M227" i="23" s="1"/>
  <c r="CI226" i="23"/>
  <c r="J226" i="23" s="1"/>
  <c r="K226" i="23" s="1"/>
  <c r="O226" i="23" s="1"/>
  <c r="L226" i="23"/>
  <c r="I226" i="23"/>
  <c r="M226" i="23" s="1"/>
  <c r="CI225" i="23"/>
  <c r="J225" i="23" s="1"/>
  <c r="K225" i="23" s="1"/>
  <c r="I225" i="23"/>
  <c r="F225" i="23"/>
  <c r="CI224" i="23"/>
  <c r="J224" i="23" s="1"/>
  <c r="L224" i="23"/>
  <c r="I224" i="23"/>
  <c r="M224" i="23" s="1"/>
  <c r="CI223" i="23"/>
  <c r="J223" i="23" s="1"/>
  <c r="N223" i="23" s="1"/>
  <c r="L223" i="23"/>
  <c r="I223" i="23"/>
  <c r="M223" i="23" s="1"/>
  <c r="CI222" i="23"/>
  <c r="J222" i="23" s="1"/>
  <c r="L222" i="23"/>
  <c r="I222" i="23"/>
  <c r="M222" i="23" s="1"/>
  <c r="CI221" i="23"/>
  <c r="J221" i="23" s="1"/>
  <c r="K221" i="23" s="1"/>
  <c r="O221" i="23" s="1"/>
  <c r="L221" i="23"/>
  <c r="I221" i="23"/>
  <c r="M221" i="23" s="1"/>
  <c r="CI220" i="23"/>
  <c r="J220" i="23" s="1"/>
  <c r="L220" i="23"/>
  <c r="I220" i="23"/>
  <c r="M220" i="23" s="1"/>
  <c r="CI219" i="23"/>
  <c r="J219" i="23" s="1"/>
  <c r="K219" i="23" s="1"/>
  <c r="O219" i="23" s="1"/>
  <c r="L219" i="23"/>
  <c r="I219" i="23"/>
  <c r="M219" i="23" s="1"/>
  <c r="CI218" i="23"/>
  <c r="J218" i="23" s="1"/>
  <c r="L218" i="23"/>
  <c r="I218" i="23"/>
  <c r="M218" i="23" s="1"/>
  <c r="CI217" i="23"/>
  <c r="J217" i="23" s="1"/>
  <c r="K217" i="23" s="1"/>
  <c r="O217" i="23" s="1"/>
  <c r="L217" i="23"/>
  <c r="I217" i="23"/>
  <c r="M217" i="23" s="1"/>
  <c r="CI216" i="23"/>
  <c r="J216" i="23" s="1"/>
  <c r="L216" i="23"/>
  <c r="I216" i="23"/>
  <c r="M216" i="23" s="1"/>
  <c r="CI215" i="23"/>
  <c r="CI214" i="23"/>
  <c r="CI213" i="23"/>
  <c r="J213" i="23" s="1"/>
  <c r="L213" i="23"/>
  <c r="I213" i="23"/>
  <c r="M213" i="23" s="1"/>
  <c r="CI212" i="23"/>
  <c r="J212" i="23" s="1"/>
  <c r="L212" i="23"/>
  <c r="I212" i="23"/>
  <c r="M212" i="23" s="1"/>
  <c r="CI211" i="23"/>
  <c r="J211" i="23" s="1"/>
  <c r="L211" i="23"/>
  <c r="I211" i="23"/>
  <c r="M211" i="23" s="1"/>
  <c r="CI210" i="23"/>
  <c r="J210" i="23" s="1"/>
  <c r="L210" i="23"/>
  <c r="I210" i="23"/>
  <c r="M210" i="23" s="1"/>
  <c r="CI209" i="23"/>
  <c r="J209" i="23" s="1"/>
  <c r="L209" i="23"/>
  <c r="I209" i="23"/>
  <c r="M209" i="23" s="1"/>
  <c r="CI208" i="23"/>
  <c r="CI207" i="23"/>
  <c r="J207" i="23" s="1"/>
  <c r="N207" i="23" s="1"/>
  <c r="L207" i="23"/>
  <c r="I207" i="23"/>
  <c r="M207" i="23" s="1"/>
  <c r="CI206" i="23"/>
  <c r="J206" i="23" s="1"/>
  <c r="L206" i="23"/>
  <c r="I206" i="23"/>
  <c r="M206" i="23" s="1"/>
  <c r="CI205" i="23"/>
  <c r="J205" i="23" s="1"/>
  <c r="L205" i="23"/>
  <c r="I205" i="23"/>
  <c r="M205" i="23" s="1"/>
  <c r="CI204" i="23"/>
  <c r="J204" i="23" s="1"/>
  <c r="L204" i="23"/>
  <c r="I204" i="23"/>
  <c r="M204" i="23" s="1"/>
  <c r="CI203" i="23"/>
  <c r="J203" i="23" s="1"/>
  <c r="L203" i="23"/>
  <c r="I203" i="23"/>
  <c r="M203" i="23" s="1"/>
  <c r="CI202" i="23"/>
  <c r="J202" i="23" s="1"/>
  <c r="N202" i="23" s="1"/>
  <c r="L202" i="23"/>
  <c r="I202" i="23"/>
  <c r="M202" i="23" s="1"/>
  <c r="CI201" i="23"/>
  <c r="J201" i="23" s="1"/>
  <c r="L201" i="23"/>
  <c r="I201" i="23"/>
  <c r="M201" i="23" s="1"/>
  <c r="CI200" i="23"/>
  <c r="J200" i="23" s="1"/>
  <c r="L200" i="23"/>
  <c r="I200" i="23"/>
  <c r="M200" i="23" s="1"/>
  <c r="CI199" i="23"/>
  <c r="J199" i="23" s="1"/>
  <c r="L199" i="23"/>
  <c r="I199" i="23"/>
  <c r="M199" i="23" s="1"/>
  <c r="CI198" i="23"/>
  <c r="J198" i="23" s="1"/>
  <c r="N198" i="23" s="1"/>
  <c r="L198" i="23"/>
  <c r="I198" i="23"/>
  <c r="M198" i="23" s="1"/>
  <c r="CI197" i="23"/>
  <c r="J197" i="23" s="1"/>
  <c r="L197" i="23"/>
  <c r="I197" i="23"/>
  <c r="M197" i="23" s="1"/>
  <c r="CI196" i="23"/>
  <c r="J196" i="23" s="1"/>
  <c r="K196" i="23" s="1"/>
  <c r="O196" i="23" s="1"/>
  <c r="L196" i="23"/>
  <c r="I196" i="23"/>
  <c r="M196" i="23" s="1"/>
  <c r="CI195" i="23"/>
  <c r="J195" i="23" s="1"/>
  <c r="L195" i="23"/>
  <c r="I195" i="23"/>
  <c r="M195" i="23" s="1"/>
  <c r="CI194" i="23"/>
  <c r="CI193" i="23"/>
  <c r="J193" i="23" s="1"/>
  <c r="K193" i="23" s="1"/>
  <c r="O193" i="23" s="1"/>
  <c r="L193" i="23"/>
  <c r="I193" i="23"/>
  <c r="M193" i="23" s="1"/>
  <c r="CI192" i="23"/>
  <c r="J192" i="23" s="1"/>
  <c r="N192" i="23" s="1"/>
  <c r="L192" i="23"/>
  <c r="I192" i="23"/>
  <c r="M192" i="23" s="1"/>
  <c r="CI191" i="23"/>
  <c r="J191" i="23" s="1"/>
  <c r="N191" i="23" s="1"/>
  <c r="L191" i="23"/>
  <c r="I191" i="23"/>
  <c r="M191" i="23" s="1"/>
  <c r="CI190" i="23"/>
  <c r="CI189" i="23"/>
  <c r="J189" i="23" s="1"/>
  <c r="K189" i="23" s="1"/>
  <c r="O189" i="23" s="1"/>
  <c r="L189" i="23"/>
  <c r="I189" i="23"/>
  <c r="M189" i="23" s="1"/>
  <c r="CI188" i="23"/>
  <c r="J188" i="23" s="1"/>
  <c r="N188" i="23" s="1"/>
  <c r="L188" i="23"/>
  <c r="I188" i="23"/>
  <c r="M188" i="23" s="1"/>
  <c r="CI187" i="23"/>
  <c r="J187" i="23" s="1"/>
  <c r="L187" i="23"/>
  <c r="I187" i="23"/>
  <c r="M187" i="23" s="1"/>
  <c r="CI186" i="23"/>
  <c r="J186" i="23" s="1"/>
  <c r="K186" i="23" s="1"/>
  <c r="O186" i="23" s="1"/>
  <c r="L186" i="23"/>
  <c r="I186" i="23"/>
  <c r="M186" i="23" s="1"/>
  <c r="CI185" i="23"/>
  <c r="J185" i="23" s="1"/>
  <c r="K185" i="23" s="1"/>
  <c r="O185" i="23" s="1"/>
  <c r="L185" i="23"/>
  <c r="I185" i="23"/>
  <c r="M185" i="23" s="1"/>
  <c r="CI184" i="23"/>
  <c r="J184" i="23" s="1"/>
  <c r="N184" i="23" s="1"/>
  <c r="L184" i="23"/>
  <c r="I184" i="23"/>
  <c r="M184" i="23" s="1"/>
  <c r="CI183" i="23"/>
  <c r="J183" i="23" s="1"/>
  <c r="L183" i="23"/>
  <c r="I183" i="23"/>
  <c r="M183" i="23" s="1"/>
  <c r="CI182" i="23"/>
  <c r="J182" i="23" s="1"/>
  <c r="N182" i="23" s="1"/>
  <c r="L182" i="23"/>
  <c r="I182" i="23"/>
  <c r="M182" i="23" s="1"/>
  <c r="CI181" i="23"/>
  <c r="CI180" i="23"/>
  <c r="J180" i="23" s="1"/>
  <c r="L180" i="23"/>
  <c r="I180" i="23"/>
  <c r="M180" i="23" s="1"/>
  <c r="CI179" i="23"/>
  <c r="J179" i="23" s="1"/>
  <c r="N179" i="23" s="1"/>
  <c r="L179" i="23"/>
  <c r="I179" i="23"/>
  <c r="M179" i="23" s="1"/>
  <c r="CI178" i="23"/>
  <c r="J178" i="23" s="1"/>
  <c r="L178" i="23"/>
  <c r="I178" i="23"/>
  <c r="M178" i="23" s="1"/>
  <c r="CI177" i="23"/>
  <c r="J177" i="23" s="1"/>
  <c r="N177" i="23" s="1"/>
  <c r="L177" i="23"/>
  <c r="I177" i="23"/>
  <c r="M177" i="23" s="1"/>
  <c r="CI176" i="23"/>
  <c r="J176" i="23" s="1"/>
  <c r="K176" i="23" s="1"/>
  <c r="O176" i="23" s="1"/>
  <c r="L176" i="23"/>
  <c r="I176" i="23"/>
  <c r="M176" i="23" s="1"/>
  <c r="CI175" i="23"/>
  <c r="J175" i="23" s="1"/>
  <c r="K175" i="23" s="1"/>
  <c r="O175" i="23" s="1"/>
  <c r="L175" i="23"/>
  <c r="I175" i="23"/>
  <c r="M175" i="23" s="1"/>
  <c r="CI174" i="23"/>
  <c r="J174" i="23" s="1"/>
  <c r="L174" i="23"/>
  <c r="I174" i="23"/>
  <c r="M174" i="23" s="1"/>
  <c r="CI173" i="23"/>
  <c r="J173" i="23" s="1"/>
  <c r="N173" i="23" s="1"/>
  <c r="L173" i="23"/>
  <c r="I173" i="23"/>
  <c r="M173" i="23" s="1"/>
  <c r="CI172" i="23"/>
  <c r="J172" i="23" s="1"/>
  <c r="L172" i="23"/>
  <c r="I172" i="23"/>
  <c r="M172" i="23" s="1"/>
  <c r="CI171" i="23"/>
  <c r="J171" i="23" s="1"/>
  <c r="N171" i="23" s="1"/>
  <c r="L171" i="23"/>
  <c r="I171" i="23"/>
  <c r="M171" i="23" s="1"/>
  <c r="CI170" i="23"/>
  <c r="J170" i="23" s="1"/>
  <c r="L170" i="23"/>
  <c r="I170" i="23"/>
  <c r="M170" i="23" s="1"/>
  <c r="CI169" i="23"/>
  <c r="CI168" i="23"/>
  <c r="CI167" i="23"/>
  <c r="J167" i="23" s="1"/>
  <c r="L167" i="23"/>
  <c r="I167" i="23"/>
  <c r="M167" i="23" s="1"/>
  <c r="CI166" i="23"/>
  <c r="J166" i="23" s="1"/>
  <c r="L166" i="23"/>
  <c r="I166" i="23"/>
  <c r="M166" i="23" s="1"/>
  <c r="CI165" i="23"/>
  <c r="J165" i="23" s="1"/>
  <c r="L165" i="23"/>
  <c r="I165" i="23"/>
  <c r="M165" i="23" s="1"/>
  <c r="CI164" i="23"/>
  <c r="J164" i="23" s="1"/>
  <c r="K164" i="23" s="1"/>
  <c r="O164" i="23" s="1"/>
  <c r="L164" i="23"/>
  <c r="I164" i="23"/>
  <c r="M164" i="23" s="1"/>
  <c r="CI163" i="23"/>
  <c r="J163" i="23" s="1"/>
  <c r="L163" i="23"/>
  <c r="I163" i="23"/>
  <c r="M163" i="23" s="1"/>
  <c r="CI162" i="23"/>
  <c r="J162" i="23" s="1"/>
  <c r="L162" i="23"/>
  <c r="I162" i="23"/>
  <c r="M162" i="23" s="1"/>
  <c r="CI161" i="23"/>
  <c r="J161" i="23" s="1"/>
  <c r="N161" i="23" s="1"/>
  <c r="L161" i="23"/>
  <c r="I161" i="23"/>
  <c r="M161" i="23" s="1"/>
  <c r="CI160" i="23"/>
  <c r="J160" i="23" s="1"/>
  <c r="K160" i="23" s="1"/>
  <c r="O160" i="23" s="1"/>
  <c r="L160" i="23"/>
  <c r="I160" i="23"/>
  <c r="M160" i="23" s="1"/>
  <c r="CI159" i="23"/>
  <c r="J159" i="23" s="1"/>
  <c r="L159" i="23"/>
  <c r="I159" i="23"/>
  <c r="M159" i="23" s="1"/>
  <c r="CI158" i="23"/>
  <c r="J158" i="23" s="1"/>
  <c r="L158" i="23"/>
  <c r="I158" i="23"/>
  <c r="M158" i="23" s="1"/>
  <c r="CI157" i="23"/>
  <c r="J157" i="23" s="1"/>
  <c r="N157" i="23" s="1"/>
  <c r="L157" i="23"/>
  <c r="I157" i="23"/>
  <c r="M157" i="23" s="1"/>
  <c r="CI156" i="23"/>
  <c r="J156" i="23" s="1"/>
  <c r="K156" i="23" s="1"/>
  <c r="O156" i="23" s="1"/>
  <c r="L156" i="23"/>
  <c r="I156" i="23"/>
  <c r="M156" i="23" s="1"/>
  <c r="CI155" i="23"/>
  <c r="J155" i="23" s="1"/>
  <c r="L155" i="23"/>
  <c r="I155" i="23"/>
  <c r="M155" i="23" s="1"/>
  <c r="CI154" i="23"/>
  <c r="J154" i="23" s="1"/>
  <c r="K154" i="23" s="1"/>
  <c r="O154" i="23" s="1"/>
  <c r="L154" i="23"/>
  <c r="I154" i="23"/>
  <c r="M154" i="23" s="1"/>
  <c r="CI153" i="23"/>
  <c r="J153" i="23" s="1"/>
  <c r="N153" i="23" s="1"/>
  <c r="L153" i="23"/>
  <c r="I153" i="23"/>
  <c r="M153" i="23" s="1"/>
  <c r="CI152" i="23"/>
  <c r="CI151" i="23"/>
  <c r="J151" i="23" s="1"/>
  <c r="L151" i="23"/>
  <c r="I151" i="23"/>
  <c r="M151" i="23" s="1"/>
  <c r="CI150" i="23"/>
  <c r="J150" i="23" s="1"/>
  <c r="N150" i="23" s="1"/>
  <c r="L150" i="23"/>
  <c r="I150" i="23"/>
  <c r="M150" i="23" s="1"/>
  <c r="CI149" i="23"/>
  <c r="J149" i="23" s="1"/>
  <c r="K149" i="23" s="1"/>
  <c r="O149" i="23" s="1"/>
  <c r="L149" i="23"/>
  <c r="I149" i="23"/>
  <c r="M149" i="23" s="1"/>
  <c r="CI148" i="23"/>
  <c r="J148" i="23" s="1"/>
  <c r="L148" i="23"/>
  <c r="I148" i="23"/>
  <c r="M148" i="23" s="1"/>
  <c r="CI147" i="23"/>
  <c r="J147" i="23" s="1"/>
  <c r="K147" i="23" s="1"/>
  <c r="O147" i="23" s="1"/>
  <c r="L147" i="23"/>
  <c r="I147" i="23"/>
  <c r="M147" i="23" s="1"/>
  <c r="CI146" i="23"/>
  <c r="J146" i="23" s="1"/>
  <c r="N146" i="23" s="1"/>
  <c r="L146" i="23"/>
  <c r="I146" i="23"/>
  <c r="M146" i="23" s="1"/>
  <c r="CI145" i="23"/>
  <c r="J145" i="23" s="1"/>
  <c r="K145" i="23" s="1"/>
  <c r="O145" i="23" s="1"/>
  <c r="L145" i="23"/>
  <c r="I145" i="23"/>
  <c r="M145" i="23" s="1"/>
  <c r="CI144" i="23"/>
  <c r="J144" i="23" s="1"/>
  <c r="L144" i="23"/>
  <c r="I144" i="23"/>
  <c r="M144" i="23" s="1"/>
  <c r="CI143" i="23"/>
  <c r="J143" i="23" s="1"/>
  <c r="L143" i="23"/>
  <c r="I143" i="23"/>
  <c r="M143" i="23" s="1"/>
  <c r="CI142" i="23"/>
  <c r="J142" i="23" s="1"/>
  <c r="L142" i="23"/>
  <c r="I142" i="23"/>
  <c r="M142" i="23" s="1"/>
  <c r="CI141" i="23"/>
  <c r="J141" i="23" s="1"/>
  <c r="K141" i="23" s="1"/>
  <c r="O141" i="23" s="1"/>
  <c r="L141" i="23"/>
  <c r="I141" i="23"/>
  <c r="M141" i="23" s="1"/>
  <c r="CI140" i="23"/>
  <c r="J140" i="23" s="1"/>
  <c r="L140" i="23"/>
  <c r="I140" i="23"/>
  <c r="M140" i="23" s="1"/>
  <c r="CI139" i="23"/>
  <c r="J139" i="23" s="1"/>
  <c r="L139" i="23"/>
  <c r="I139" i="23"/>
  <c r="M139" i="23" s="1"/>
  <c r="CI138" i="23"/>
  <c r="J138" i="23" s="1"/>
  <c r="L138" i="23"/>
  <c r="I138" i="23"/>
  <c r="M138" i="23" s="1"/>
  <c r="CI137" i="23"/>
  <c r="J137" i="23" s="1"/>
  <c r="L137" i="23"/>
  <c r="I137" i="23"/>
  <c r="M137" i="23" s="1"/>
  <c r="CI136" i="23"/>
  <c r="J136" i="23" s="1"/>
  <c r="L136" i="23"/>
  <c r="I136" i="23"/>
  <c r="M136" i="23" s="1"/>
  <c r="CI135" i="23"/>
  <c r="J135" i="23" s="1"/>
  <c r="K135" i="23" s="1"/>
  <c r="O135" i="23" s="1"/>
  <c r="L135" i="23"/>
  <c r="I135" i="23"/>
  <c r="M135" i="23" s="1"/>
  <c r="CI134" i="23"/>
  <c r="J134" i="23" s="1"/>
  <c r="K134" i="23" s="1"/>
  <c r="O134" i="23" s="1"/>
  <c r="L134" i="23"/>
  <c r="I134" i="23"/>
  <c r="M134" i="23" s="1"/>
  <c r="CI133" i="23"/>
  <c r="J133" i="23" s="1"/>
  <c r="N133" i="23" s="1"/>
  <c r="L133" i="23"/>
  <c r="I133" i="23"/>
  <c r="M133" i="23" s="1"/>
  <c r="CI132" i="23"/>
  <c r="J132" i="23" s="1"/>
  <c r="L132" i="23"/>
  <c r="I132" i="23"/>
  <c r="M132" i="23" s="1"/>
  <c r="CI131" i="23"/>
  <c r="J131" i="23" s="1"/>
  <c r="L131" i="23"/>
  <c r="I131" i="23"/>
  <c r="M131" i="23" s="1"/>
  <c r="CI130" i="23"/>
  <c r="CI129" i="23"/>
  <c r="CI128" i="23"/>
  <c r="J128" i="23" s="1"/>
  <c r="K128" i="23" s="1"/>
  <c r="O128" i="23" s="1"/>
  <c r="L128" i="23"/>
  <c r="I128" i="23"/>
  <c r="M128" i="23" s="1"/>
  <c r="CI127" i="23"/>
  <c r="J127" i="23" s="1"/>
  <c r="L127" i="23"/>
  <c r="I127" i="23"/>
  <c r="M127" i="23" s="1"/>
  <c r="CI126" i="23"/>
  <c r="J126" i="23" s="1"/>
  <c r="L126" i="23"/>
  <c r="I126" i="23"/>
  <c r="M126" i="23" s="1"/>
  <c r="CI125" i="23"/>
  <c r="J125" i="23" s="1"/>
  <c r="L125" i="23"/>
  <c r="I125" i="23"/>
  <c r="M125" i="23" s="1"/>
  <c r="CI124" i="23"/>
  <c r="J124" i="23" s="1"/>
  <c r="K124" i="23" s="1"/>
  <c r="O124" i="23" s="1"/>
  <c r="L124" i="23"/>
  <c r="I124" i="23"/>
  <c r="M124" i="23" s="1"/>
  <c r="CI123" i="23"/>
  <c r="J123" i="23" s="1"/>
  <c r="L123" i="23"/>
  <c r="I123" i="23"/>
  <c r="M123" i="23" s="1"/>
  <c r="CI122" i="23"/>
  <c r="J122" i="23" s="1"/>
  <c r="L122" i="23"/>
  <c r="I122" i="23"/>
  <c r="M122" i="23" s="1"/>
  <c r="CI121" i="23"/>
  <c r="J121" i="23" s="1"/>
  <c r="L121" i="23"/>
  <c r="I121" i="23"/>
  <c r="M121" i="23" s="1"/>
  <c r="CI120" i="23"/>
  <c r="CI119" i="23"/>
  <c r="J119" i="23" s="1"/>
  <c r="L119" i="23"/>
  <c r="I119" i="23"/>
  <c r="M119" i="23" s="1"/>
  <c r="CI118" i="23"/>
  <c r="J118" i="23" s="1"/>
  <c r="L118" i="23"/>
  <c r="I118" i="23"/>
  <c r="M118" i="23" s="1"/>
  <c r="CI117" i="23"/>
  <c r="J117" i="23" s="1"/>
  <c r="K117" i="23" s="1"/>
  <c r="O117" i="23" s="1"/>
  <c r="L117" i="23"/>
  <c r="I117" i="23"/>
  <c r="M117" i="23" s="1"/>
  <c r="CI116" i="23"/>
  <c r="CI115" i="23"/>
  <c r="J115" i="23" s="1"/>
  <c r="L115" i="23"/>
  <c r="I115" i="23"/>
  <c r="M115" i="23" s="1"/>
  <c r="CI114" i="23"/>
  <c r="J114" i="23" s="1"/>
  <c r="K114" i="23" s="1"/>
  <c r="O114" i="23" s="1"/>
  <c r="L114" i="23"/>
  <c r="I114" i="23"/>
  <c r="M114" i="23" s="1"/>
  <c r="CI113" i="23"/>
  <c r="J113" i="23" s="1"/>
  <c r="L113" i="23"/>
  <c r="I113" i="23"/>
  <c r="M113" i="23" s="1"/>
  <c r="CI112" i="23"/>
  <c r="J112" i="23" s="1"/>
  <c r="L112" i="23"/>
  <c r="I112" i="23"/>
  <c r="M112" i="23" s="1"/>
  <c r="CI111" i="23"/>
  <c r="J111" i="23" s="1"/>
  <c r="L111" i="23"/>
  <c r="I111" i="23"/>
  <c r="M111" i="23" s="1"/>
  <c r="CI110" i="23"/>
  <c r="CI109" i="23"/>
  <c r="CI108" i="23"/>
  <c r="J108" i="23" s="1"/>
  <c r="K108" i="23" s="1"/>
  <c r="O108" i="23" s="1"/>
  <c r="L108" i="23"/>
  <c r="I108" i="23"/>
  <c r="M108" i="23" s="1"/>
  <c r="CI107" i="23"/>
  <c r="J107" i="23" s="1"/>
  <c r="L107" i="23"/>
  <c r="I107" i="23"/>
  <c r="M107" i="23" s="1"/>
  <c r="CI106" i="23"/>
  <c r="J106" i="23" s="1"/>
  <c r="L106" i="23"/>
  <c r="I106" i="23"/>
  <c r="M106" i="23" s="1"/>
  <c r="CI105" i="23"/>
  <c r="J105" i="23" s="1"/>
  <c r="L105" i="23"/>
  <c r="CI104" i="23"/>
  <c r="J104" i="23" s="1"/>
  <c r="K104" i="23" s="1"/>
  <c r="O104" i="23" s="1"/>
  <c r="L104" i="23"/>
  <c r="I104" i="23"/>
  <c r="M104" i="23" s="1"/>
  <c r="CI103" i="23"/>
  <c r="J103" i="23" s="1"/>
  <c r="L103" i="23"/>
  <c r="I103" i="23"/>
  <c r="M103" i="23" s="1"/>
  <c r="CI102" i="23"/>
  <c r="J102" i="23" s="1"/>
  <c r="L102" i="23"/>
  <c r="CI101" i="23"/>
  <c r="J101" i="23" s="1"/>
  <c r="L101" i="23"/>
  <c r="I101" i="23"/>
  <c r="M101" i="23" s="1"/>
  <c r="CI100" i="23"/>
  <c r="J100" i="23" s="1"/>
  <c r="K100" i="23" s="1"/>
  <c r="O100" i="23" s="1"/>
  <c r="L100" i="23"/>
  <c r="I100" i="23"/>
  <c r="M100" i="23" s="1"/>
  <c r="CI99" i="23"/>
  <c r="J99" i="23" s="1"/>
  <c r="L99" i="23"/>
  <c r="I99" i="23"/>
  <c r="M99" i="23" s="1"/>
  <c r="CI98" i="23"/>
  <c r="CI97" i="23"/>
  <c r="J97" i="23" s="1"/>
  <c r="K97" i="23" s="1"/>
  <c r="O97" i="23" s="1"/>
  <c r="L97" i="23"/>
  <c r="I97" i="23"/>
  <c r="M97" i="23" s="1"/>
  <c r="CI96" i="23"/>
  <c r="J96" i="23" s="1"/>
  <c r="L96" i="23"/>
  <c r="I96" i="23"/>
  <c r="M96" i="23" s="1"/>
  <c r="CI95" i="23"/>
  <c r="CI94" i="23"/>
  <c r="J94" i="23" s="1"/>
  <c r="K94" i="23" s="1"/>
  <c r="O94" i="23" s="1"/>
  <c r="L94" i="23"/>
  <c r="I94" i="23"/>
  <c r="M94" i="23" s="1"/>
  <c r="CI93" i="23"/>
  <c r="J93" i="23" s="1"/>
  <c r="N93" i="23" s="1"/>
  <c r="L93" i="23"/>
  <c r="I93" i="23"/>
  <c r="M93" i="23" s="1"/>
  <c r="CI92" i="23"/>
  <c r="CI91" i="23"/>
  <c r="J91" i="23" s="1"/>
  <c r="K91" i="23" s="1"/>
  <c r="O91" i="23" s="1"/>
  <c r="O90" i="23" s="1"/>
  <c r="L91" i="23"/>
  <c r="L90" i="23" s="1"/>
  <c r="I91" i="23"/>
  <c r="M91" i="23" s="1"/>
  <c r="M90" i="23" s="1"/>
  <c r="CI90" i="23"/>
  <c r="CI89" i="23"/>
  <c r="J89" i="23" s="1"/>
  <c r="L89" i="23"/>
  <c r="L87" i="23" s="1"/>
  <c r="I89" i="23"/>
  <c r="M89" i="23" s="1"/>
  <c r="M87" i="23" s="1"/>
  <c r="CI88" i="23"/>
  <c r="J88" i="23" s="1"/>
  <c r="L88" i="23"/>
  <c r="I88" i="23"/>
  <c r="M88" i="23" s="1"/>
  <c r="CI87" i="23"/>
  <c r="CI86" i="23"/>
  <c r="J86" i="23" s="1"/>
  <c r="L86" i="23"/>
  <c r="I86" i="23"/>
  <c r="M86" i="23" s="1"/>
  <c r="CI85" i="23"/>
  <c r="J85" i="23" s="1"/>
  <c r="L85" i="23"/>
  <c r="I85" i="23"/>
  <c r="M85" i="23" s="1"/>
  <c r="CI84" i="23"/>
  <c r="J84" i="23" s="1"/>
  <c r="K84" i="23" s="1"/>
  <c r="O84" i="23" s="1"/>
  <c r="L84" i="23"/>
  <c r="I84" i="23"/>
  <c r="M84" i="23" s="1"/>
  <c r="CI83" i="23"/>
  <c r="CI82" i="23"/>
  <c r="J82" i="23" s="1"/>
  <c r="L82" i="23"/>
  <c r="I82" i="23"/>
  <c r="M82" i="23" s="1"/>
  <c r="CI81" i="23"/>
  <c r="J81" i="23" s="1"/>
  <c r="L81" i="23"/>
  <c r="I81" i="23"/>
  <c r="M81" i="23" s="1"/>
  <c r="CI80" i="23"/>
  <c r="J80" i="23" s="1"/>
  <c r="L80" i="23"/>
  <c r="I80" i="23"/>
  <c r="M80" i="23" s="1"/>
  <c r="CI79" i="23"/>
  <c r="J79" i="23" s="1"/>
  <c r="L79" i="23"/>
  <c r="I79" i="23"/>
  <c r="M79" i="23" s="1"/>
  <c r="CI78" i="23"/>
  <c r="CI77" i="23"/>
  <c r="CI76" i="23"/>
  <c r="J76" i="23" s="1"/>
  <c r="L76" i="23"/>
  <c r="L75" i="23" s="1"/>
  <c r="I76" i="23"/>
  <c r="M76" i="23" s="1"/>
  <c r="M75" i="23" s="1"/>
  <c r="CI75" i="23"/>
  <c r="CI74" i="23"/>
  <c r="J74" i="23" s="1"/>
  <c r="K74" i="23" s="1"/>
  <c r="L74" i="23"/>
  <c r="I74" i="23"/>
  <c r="M74" i="23" s="1"/>
  <c r="CI73" i="23"/>
  <c r="J73" i="23" s="1"/>
  <c r="K73" i="23" s="1"/>
  <c r="L73" i="23"/>
  <c r="M73" i="23"/>
  <c r="CI72" i="23"/>
  <c r="CI71" i="23"/>
  <c r="J71" i="23" s="1"/>
  <c r="N71" i="23" s="1"/>
  <c r="N70" i="23" s="1"/>
  <c r="L71" i="23"/>
  <c r="L70" i="23" s="1"/>
  <c r="I71" i="23"/>
  <c r="M71" i="23" s="1"/>
  <c r="M70" i="23" s="1"/>
  <c r="CI70" i="23"/>
  <c r="CI69" i="23"/>
  <c r="CI68" i="23"/>
  <c r="J68" i="23" s="1"/>
  <c r="K68" i="23" s="1"/>
  <c r="L68" i="23"/>
  <c r="L67" i="23" s="1"/>
  <c r="I68" i="23"/>
  <c r="M68" i="23" s="1"/>
  <c r="M67" i="23" s="1"/>
  <c r="CI67" i="23"/>
  <c r="CI66" i="23"/>
  <c r="J66" i="23" s="1"/>
  <c r="K66" i="23" s="1"/>
  <c r="L66" i="23"/>
  <c r="I66" i="23"/>
  <c r="M66" i="23" s="1"/>
  <c r="CI65" i="23"/>
  <c r="J65" i="23" s="1"/>
  <c r="K65" i="23" s="1"/>
  <c r="L65" i="23"/>
  <c r="I65" i="23"/>
  <c r="M65" i="23" s="1"/>
  <c r="CI64" i="23"/>
  <c r="J64" i="23" s="1"/>
  <c r="K64" i="23" s="1"/>
  <c r="L64" i="23"/>
  <c r="L63" i="23"/>
  <c r="I63" i="23"/>
  <c r="M63" i="23" s="1"/>
  <c r="CI62" i="23"/>
  <c r="CI61" i="23"/>
  <c r="J61" i="23" s="1"/>
  <c r="K61" i="23" s="1"/>
  <c r="L61" i="23"/>
  <c r="I61" i="23"/>
  <c r="M61" i="23" s="1"/>
  <c r="CI60" i="23"/>
  <c r="J60" i="23" s="1"/>
  <c r="K60" i="23" s="1"/>
  <c r="L60" i="23"/>
  <c r="I60" i="23"/>
  <c r="M60" i="23" s="1"/>
  <c r="CI59" i="23"/>
  <c r="J59" i="23" s="1"/>
  <c r="K59" i="23" s="1"/>
  <c r="L59" i="23"/>
  <c r="I59" i="23"/>
  <c r="M59" i="23" s="1"/>
  <c r="L58" i="23"/>
  <c r="I58" i="23"/>
  <c r="M58" i="23" s="1"/>
  <c r="CI57" i="23"/>
  <c r="CI56" i="23"/>
  <c r="J56" i="23" s="1"/>
  <c r="L56" i="23"/>
  <c r="I56" i="23"/>
  <c r="M56" i="23" s="1"/>
  <c r="CI55" i="23"/>
  <c r="J55" i="23" s="1"/>
  <c r="L55" i="23"/>
  <c r="I55" i="23"/>
  <c r="M55" i="23" s="1"/>
  <c r="CI54" i="23"/>
  <c r="J54" i="23" s="1"/>
  <c r="K54" i="23" s="1"/>
  <c r="O54" i="23" s="1"/>
  <c r="L54" i="23"/>
  <c r="I54" i="23"/>
  <c r="M54" i="23" s="1"/>
  <c r="CI53" i="23"/>
  <c r="J53" i="23" s="1"/>
  <c r="L53" i="23"/>
  <c r="CI52" i="23"/>
  <c r="J52" i="23" s="1"/>
  <c r="L52" i="23"/>
  <c r="I52" i="23"/>
  <c r="M52" i="23" s="1"/>
  <c r="CI51" i="23"/>
  <c r="CI50" i="23"/>
  <c r="J50" i="23" s="1"/>
  <c r="L50" i="23"/>
  <c r="I50" i="23"/>
  <c r="M50" i="23" s="1"/>
  <c r="CI49" i="23"/>
  <c r="J49" i="23" s="1"/>
  <c r="L49" i="23"/>
  <c r="I49" i="23"/>
  <c r="M49" i="23" s="1"/>
  <c r="CI48" i="23"/>
  <c r="J48" i="23" s="1"/>
  <c r="L48" i="23"/>
  <c r="I48" i="23"/>
  <c r="M48" i="23" s="1"/>
  <c r="CI47" i="23"/>
  <c r="J47" i="23" s="1"/>
  <c r="L47" i="23"/>
  <c r="I47" i="23"/>
  <c r="M47" i="23" s="1"/>
  <c r="CI46" i="23"/>
  <c r="I46" i="23"/>
  <c r="F46" i="23"/>
  <c r="CI45" i="23"/>
  <c r="I45" i="23"/>
  <c r="CI44" i="23"/>
  <c r="J44" i="23" s="1"/>
  <c r="L44" i="23"/>
  <c r="I44" i="23"/>
  <c r="M44" i="23" s="1"/>
  <c r="CI43" i="23"/>
  <c r="J43" i="23" s="1"/>
  <c r="L43" i="23"/>
  <c r="I43" i="23"/>
  <c r="M43" i="23" s="1"/>
  <c r="CI42" i="23"/>
  <c r="J42" i="23" s="1"/>
  <c r="L42" i="23"/>
  <c r="I42" i="23"/>
  <c r="M42" i="23" s="1"/>
  <c r="CI41" i="23"/>
  <c r="J41" i="23" s="1"/>
  <c r="K41" i="23" s="1"/>
  <c r="O41" i="23" s="1"/>
  <c r="L41" i="23"/>
  <c r="I41" i="23"/>
  <c r="M41" i="23" s="1"/>
  <c r="CI40" i="23"/>
  <c r="J40" i="23" s="1"/>
  <c r="L40" i="23"/>
  <c r="I40" i="23"/>
  <c r="M40" i="23" s="1"/>
  <c r="CI39" i="23"/>
  <c r="I39" i="23"/>
  <c r="CI38" i="23"/>
  <c r="J38" i="23" s="1"/>
  <c r="L38" i="23"/>
  <c r="I38" i="23"/>
  <c r="M38" i="23" s="1"/>
  <c r="CI37" i="23"/>
  <c r="J37" i="23" s="1"/>
  <c r="N37" i="23" s="1"/>
  <c r="L37" i="23"/>
  <c r="I37" i="23"/>
  <c r="M37" i="23" s="1"/>
  <c r="CI36" i="23"/>
  <c r="J36" i="23" s="1"/>
  <c r="L36" i="23"/>
  <c r="I36" i="23"/>
  <c r="M36" i="23" s="1"/>
  <c r="CI35" i="23"/>
  <c r="J35" i="23" s="1"/>
  <c r="L35" i="23"/>
  <c r="I35" i="23"/>
  <c r="M35" i="23" s="1"/>
  <c r="CI34" i="23"/>
  <c r="J34" i="23" s="1"/>
  <c r="L34" i="23"/>
  <c r="I34" i="23"/>
  <c r="M34" i="23" s="1"/>
  <c r="CI33" i="23"/>
  <c r="CI32" i="23"/>
  <c r="CI31" i="23"/>
  <c r="J31" i="23" s="1"/>
  <c r="N31" i="23" s="1"/>
  <c r="L31" i="23"/>
  <c r="I31" i="23"/>
  <c r="M31" i="23" s="1"/>
  <c r="CI30" i="23"/>
  <c r="J30" i="23" s="1"/>
  <c r="L30" i="23"/>
  <c r="I30" i="23"/>
  <c r="M30" i="23" s="1"/>
  <c r="CI29" i="23"/>
  <c r="J29" i="23" s="1"/>
  <c r="L29" i="23"/>
  <c r="I29" i="23"/>
  <c r="M29" i="23" s="1"/>
  <c r="CI28" i="23"/>
  <c r="J28" i="23" s="1"/>
  <c r="L28" i="23"/>
  <c r="I28" i="23"/>
  <c r="M28" i="23" s="1"/>
  <c r="CI27" i="23"/>
  <c r="J27" i="23" s="1"/>
  <c r="L27" i="23"/>
  <c r="I27" i="23"/>
  <c r="M27" i="23" s="1"/>
  <c r="CI26" i="23"/>
  <c r="CI25" i="23"/>
  <c r="J25" i="23" s="1"/>
  <c r="L25" i="23"/>
  <c r="I25" i="23"/>
  <c r="M25" i="23" s="1"/>
  <c r="CI24" i="23"/>
  <c r="J24" i="23" s="1"/>
  <c r="L24" i="23"/>
  <c r="I24" i="23"/>
  <c r="M24" i="23" s="1"/>
  <c r="CI23" i="23"/>
  <c r="J23" i="23" s="1"/>
  <c r="L23" i="23"/>
  <c r="I23" i="23"/>
  <c r="M23" i="23" s="1"/>
  <c r="CI22" i="23"/>
  <c r="J22" i="23" s="1"/>
  <c r="N22" i="23" s="1"/>
  <c r="L22" i="23"/>
  <c r="I22" i="23"/>
  <c r="M22" i="23" s="1"/>
  <c r="CI21" i="23"/>
  <c r="J21" i="23" s="1"/>
  <c r="L21" i="23"/>
  <c r="I21" i="23"/>
  <c r="M21" i="23" s="1"/>
  <c r="CI20" i="23"/>
  <c r="J20" i="23" s="1"/>
  <c r="L20" i="23"/>
  <c r="I20" i="23"/>
  <c r="M20" i="23" s="1"/>
  <c r="CI19" i="23"/>
  <c r="J19" i="23" s="1"/>
  <c r="L19" i="23"/>
  <c r="I19" i="23"/>
  <c r="M19" i="23" s="1"/>
  <c r="CI18" i="23"/>
  <c r="J18" i="23" s="1"/>
  <c r="K18" i="23" s="1"/>
  <c r="O18" i="23" s="1"/>
  <c r="L18" i="23"/>
  <c r="I18" i="23"/>
  <c r="M18" i="23" s="1"/>
  <c r="CI17" i="23"/>
  <c r="J17" i="23" s="1"/>
  <c r="L17" i="23"/>
  <c r="I17" i="23"/>
  <c r="M17" i="23" s="1"/>
  <c r="CI16" i="23"/>
  <c r="J16" i="23" s="1"/>
  <c r="L16" i="23"/>
  <c r="I16" i="23"/>
  <c r="M16" i="23" s="1"/>
  <c r="CI15" i="23"/>
  <c r="J15" i="23" s="1"/>
  <c r="L15" i="23"/>
  <c r="I15" i="23"/>
  <c r="M15" i="23" s="1"/>
  <c r="CI14" i="23"/>
  <c r="H8" i="23"/>
  <c r="AE8" i="23" s="1"/>
  <c r="AF6" i="23"/>
  <c r="P177" i="23" l="1"/>
  <c r="P146" i="23"/>
  <c r="P198" i="23"/>
  <c r="P241" i="23"/>
  <c r="L95" i="23"/>
  <c r="L259" i="23"/>
  <c r="L46" i="23"/>
  <c r="L92" i="23"/>
  <c r="L152" i="23"/>
  <c r="L190" i="23"/>
  <c r="P251" i="23"/>
  <c r="L269" i="23"/>
  <c r="L225" i="23"/>
  <c r="L51" i="23"/>
  <c r="K150" i="23"/>
  <c r="O150" i="23" s="1"/>
  <c r="P207" i="23"/>
  <c r="L215" i="23"/>
  <c r="P229" i="23"/>
  <c r="L247" i="23"/>
  <c r="L181" i="23"/>
  <c r="P171" i="23"/>
  <c r="P37" i="23"/>
  <c r="K173" i="23"/>
  <c r="O173" i="23" s="1"/>
  <c r="L57" i="23"/>
  <c r="L62" i="23"/>
  <c r="P157" i="23"/>
  <c r="P161" i="23"/>
  <c r="L194" i="23"/>
  <c r="P202" i="23"/>
  <c r="L252" i="23"/>
  <c r="K35" i="23"/>
  <c r="O35" i="23" s="1"/>
  <c r="N35" i="23"/>
  <c r="P35" i="23" s="1"/>
  <c r="N56" i="23"/>
  <c r="P56" i="23" s="1"/>
  <c r="K56" i="23"/>
  <c r="O56" i="23" s="1"/>
  <c r="N107" i="23"/>
  <c r="P107" i="23" s="1"/>
  <c r="K107" i="23"/>
  <c r="O107" i="23" s="1"/>
  <c r="N80" i="23"/>
  <c r="P80" i="23" s="1"/>
  <c r="K80" i="23"/>
  <c r="O80" i="23" s="1"/>
  <c r="P22" i="23"/>
  <c r="L26" i="23"/>
  <c r="L110" i="23"/>
  <c r="P133" i="23"/>
  <c r="P184" i="23"/>
  <c r="P188" i="23"/>
  <c r="P192" i="23"/>
  <c r="P233" i="23"/>
  <c r="L14" i="23"/>
  <c r="P31" i="23"/>
  <c r="L33" i="23"/>
  <c r="K37" i="23"/>
  <c r="O37" i="23" s="1"/>
  <c r="M72" i="23"/>
  <c r="M69" i="23" s="1"/>
  <c r="L98" i="23"/>
  <c r="K146" i="23"/>
  <c r="O146" i="23" s="1"/>
  <c r="L169" i="23"/>
  <c r="K182" i="23"/>
  <c r="O182" i="23" s="1"/>
  <c r="P191" i="23"/>
  <c r="L278" i="23"/>
  <c r="L39" i="23"/>
  <c r="L72" i="23"/>
  <c r="L69" i="23" s="1"/>
  <c r="L78" i="23"/>
  <c r="L116" i="23"/>
  <c r="L120" i="23"/>
  <c r="P150" i="23"/>
  <c r="P173" i="23"/>
  <c r="P179" i="23"/>
  <c r="K184" i="23"/>
  <c r="O184" i="23" s="1"/>
  <c r="K188" i="23"/>
  <c r="O188" i="23" s="1"/>
  <c r="L208" i="23"/>
  <c r="P245" i="23"/>
  <c r="L275" i="23"/>
  <c r="M92" i="23"/>
  <c r="O61" i="23"/>
  <c r="M57" i="23"/>
  <c r="K31" i="23"/>
  <c r="O31" i="23" s="1"/>
  <c r="N63" i="23"/>
  <c r="P63" i="23" s="1"/>
  <c r="O63" i="23"/>
  <c r="K174" i="23"/>
  <c r="O174" i="23" s="1"/>
  <c r="N174" i="23"/>
  <c r="P174" i="23" s="1"/>
  <c r="M98" i="23"/>
  <c r="K71" i="23"/>
  <c r="O71" i="23" s="1"/>
  <c r="O70" i="23" s="1"/>
  <c r="N94" i="23"/>
  <c r="P94" i="23" s="1"/>
  <c r="N104" i="23"/>
  <c r="P104" i="23" s="1"/>
  <c r="M130" i="23"/>
  <c r="N134" i="23"/>
  <c r="P134" i="23" s="1"/>
  <c r="K191" i="23"/>
  <c r="O191" i="23" s="1"/>
  <c r="M247" i="23"/>
  <c r="M269" i="23"/>
  <c r="M278" i="23"/>
  <c r="M51" i="23"/>
  <c r="M78" i="23"/>
  <c r="N100" i="23"/>
  <c r="P100" i="23" s="1"/>
  <c r="K198" i="23"/>
  <c r="O198" i="23" s="1"/>
  <c r="M215" i="23"/>
  <c r="M62" i="23"/>
  <c r="N41" i="23"/>
  <c r="P41" i="23" s="1"/>
  <c r="N54" i="23"/>
  <c r="P54" i="23" s="1"/>
  <c r="N99" i="23"/>
  <c r="P99" i="23" s="1"/>
  <c r="K99" i="23"/>
  <c r="O99" i="23" s="1"/>
  <c r="N103" i="23"/>
  <c r="P103" i="23" s="1"/>
  <c r="K103" i="23"/>
  <c r="O103" i="23" s="1"/>
  <c r="K136" i="23"/>
  <c r="O136" i="23" s="1"/>
  <c r="N136" i="23"/>
  <c r="P136" i="23" s="1"/>
  <c r="N138" i="23"/>
  <c r="P138" i="23" s="1"/>
  <c r="K138" i="23"/>
  <c r="O138" i="23" s="1"/>
  <c r="K162" i="23"/>
  <c r="O162" i="23" s="1"/>
  <c r="N162" i="23"/>
  <c r="P162" i="23" s="1"/>
  <c r="N52" i="23"/>
  <c r="P52" i="23" s="1"/>
  <c r="K52" i="23"/>
  <c r="O52" i="23" s="1"/>
  <c r="N60" i="23"/>
  <c r="P60" i="23" s="1"/>
  <c r="O60" i="23"/>
  <c r="O64" i="23"/>
  <c r="N64" i="23"/>
  <c r="P64" i="23" s="1"/>
  <c r="K81" i="23"/>
  <c r="O81" i="23" s="1"/>
  <c r="N81" i="23"/>
  <c r="P81" i="23" s="1"/>
  <c r="N86" i="23"/>
  <c r="P86" i="23" s="1"/>
  <c r="K86" i="23"/>
  <c r="O86" i="23" s="1"/>
  <c r="N123" i="23"/>
  <c r="P123" i="23" s="1"/>
  <c r="K123" i="23"/>
  <c r="O123" i="23" s="1"/>
  <c r="N137" i="23"/>
  <c r="P137" i="23" s="1"/>
  <c r="K137" i="23"/>
  <c r="O137" i="23" s="1"/>
  <c r="K166" i="23"/>
  <c r="O166" i="23" s="1"/>
  <c r="N166" i="23"/>
  <c r="P166" i="23" s="1"/>
  <c r="N260" i="23"/>
  <c r="P260" i="23" s="1"/>
  <c r="K260" i="23"/>
  <c r="O260" i="23" s="1"/>
  <c r="N280" i="23"/>
  <c r="P280" i="23" s="1"/>
  <c r="K280" i="23"/>
  <c r="O280" i="23" s="1"/>
  <c r="N21" i="23"/>
  <c r="P21" i="23" s="1"/>
  <c r="K21" i="23"/>
  <c r="O21" i="23" s="1"/>
  <c r="N28" i="23"/>
  <c r="P28" i="23" s="1"/>
  <c r="K28" i="23"/>
  <c r="O28" i="23" s="1"/>
  <c r="N34" i="23"/>
  <c r="P34" i="23" s="1"/>
  <c r="K34" i="23"/>
  <c r="O34" i="23" s="1"/>
  <c r="K143" i="23"/>
  <c r="O143" i="23" s="1"/>
  <c r="N143" i="23"/>
  <c r="P143" i="23" s="1"/>
  <c r="K178" i="23"/>
  <c r="O178" i="23" s="1"/>
  <c r="N178" i="23"/>
  <c r="P178" i="23" s="1"/>
  <c r="N274" i="23"/>
  <c r="P274" i="23" s="1"/>
  <c r="K274" i="23"/>
  <c r="O274" i="23" s="1"/>
  <c r="N38" i="23"/>
  <c r="P38" i="23" s="1"/>
  <c r="K38" i="23"/>
  <c r="O38" i="23" s="1"/>
  <c r="N40" i="23"/>
  <c r="P40" i="23" s="1"/>
  <c r="K40" i="23"/>
  <c r="O40" i="23" s="1"/>
  <c r="N47" i="23"/>
  <c r="P47" i="23" s="1"/>
  <c r="K47" i="23"/>
  <c r="O47" i="23" s="1"/>
  <c r="N66" i="23"/>
  <c r="P66" i="23" s="1"/>
  <c r="O66" i="23"/>
  <c r="N127" i="23"/>
  <c r="P127" i="23" s="1"/>
  <c r="K127" i="23"/>
  <c r="O127" i="23" s="1"/>
  <c r="K167" i="23"/>
  <c r="O167" i="23" s="1"/>
  <c r="N167" i="23"/>
  <c r="P167" i="23" s="1"/>
  <c r="N237" i="23"/>
  <c r="P237" i="23" s="1"/>
  <c r="K237" i="23"/>
  <c r="O237" i="23" s="1"/>
  <c r="N17" i="23"/>
  <c r="P17" i="23" s="1"/>
  <c r="K17" i="23"/>
  <c r="O17" i="23" s="1"/>
  <c r="N25" i="23"/>
  <c r="P25" i="23" s="1"/>
  <c r="K25" i="23"/>
  <c r="O25" i="23" s="1"/>
  <c r="K29" i="23"/>
  <c r="O29" i="23" s="1"/>
  <c r="N29" i="23"/>
  <c r="P29" i="23" s="1"/>
  <c r="N44" i="23"/>
  <c r="P44" i="23" s="1"/>
  <c r="K44" i="23"/>
  <c r="O44" i="23" s="1"/>
  <c r="N50" i="23"/>
  <c r="P50" i="23" s="1"/>
  <c r="K50" i="23"/>
  <c r="O50" i="23" s="1"/>
  <c r="N53" i="23"/>
  <c r="P53" i="23" s="1"/>
  <c r="K53" i="23"/>
  <c r="O53" i="23" s="1"/>
  <c r="N79" i="23"/>
  <c r="K79" i="23"/>
  <c r="O79" i="23" s="1"/>
  <c r="N96" i="23"/>
  <c r="P96" i="23" s="1"/>
  <c r="K96" i="23"/>
  <c r="O96" i="23" s="1"/>
  <c r="O95" i="23" s="1"/>
  <c r="N113" i="23"/>
  <c r="P113" i="23" s="1"/>
  <c r="K113" i="23"/>
  <c r="O113" i="23" s="1"/>
  <c r="N170" i="23"/>
  <c r="K170" i="23"/>
  <c r="O170" i="23" s="1"/>
  <c r="K200" i="23"/>
  <c r="O200" i="23" s="1"/>
  <c r="N200" i="23"/>
  <c r="P200" i="23" s="1"/>
  <c r="K204" i="23"/>
  <c r="O204" i="23" s="1"/>
  <c r="N204" i="23"/>
  <c r="P204" i="23" s="1"/>
  <c r="K211" i="23"/>
  <c r="O211" i="23" s="1"/>
  <c r="N211" i="23"/>
  <c r="P211" i="23" s="1"/>
  <c r="N270" i="23"/>
  <c r="P270" i="23" s="1"/>
  <c r="K270" i="23"/>
  <c r="O270" i="23" s="1"/>
  <c r="N277" i="23"/>
  <c r="P277" i="23" s="1"/>
  <c r="K277" i="23"/>
  <c r="O277" i="23" s="1"/>
  <c r="N279" i="23"/>
  <c r="P279" i="23" s="1"/>
  <c r="K279" i="23"/>
  <c r="O279" i="23" s="1"/>
  <c r="K177" i="23"/>
  <c r="O177" i="23" s="1"/>
  <c r="K192" i="23"/>
  <c r="O192" i="23" s="1"/>
  <c r="K251" i="23"/>
  <c r="O251" i="23" s="1"/>
  <c r="K93" i="23"/>
  <c r="O93" i="23" s="1"/>
  <c r="O92" i="23" s="1"/>
  <c r="K157" i="23"/>
  <c r="O157" i="23" s="1"/>
  <c r="N176" i="23"/>
  <c r="P176" i="23" s="1"/>
  <c r="K179" i="23"/>
  <c r="O179" i="23" s="1"/>
  <c r="N186" i="23"/>
  <c r="P186" i="23" s="1"/>
  <c r="N196" i="23"/>
  <c r="P196" i="23" s="1"/>
  <c r="K207" i="23"/>
  <c r="O207" i="23" s="1"/>
  <c r="K202" i="23"/>
  <c r="O202" i="23" s="1"/>
  <c r="K153" i="23"/>
  <c r="O153" i="23" s="1"/>
  <c r="K15" i="23"/>
  <c r="O15" i="23" s="1"/>
  <c r="N15" i="23"/>
  <c r="N19" i="23"/>
  <c r="P19" i="23" s="1"/>
  <c r="K19" i="23"/>
  <c r="O19" i="23" s="1"/>
  <c r="M26" i="23"/>
  <c r="M14" i="23"/>
  <c r="K24" i="23"/>
  <c r="O24" i="23" s="1"/>
  <c r="N24" i="23"/>
  <c r="P24" i="23" s="1"/>
  <c r="K16" i="23"/>
  <c r="O16" i="23" s="1"/>
  <c r="N16" i="23"/>
  <c r="P16" i="23" s="1"/>
  <c r="K20" i="23"/>
  <c r="O20" i="23" s="1"/>
  <c r="N20" i="23"/>
  <c r="P20" i="23" s="1"/>
  <c r="N23" i="23"/>
  <c r="P23" i="23" s="1"/>
  <c r="K23" i="23"/>
  <c r="O23" i="23" s="1"/>
  <c r="K27" i="23"/>
  <c r="O27" i="23" s="1"/>
  <c r="N27" i="23"/>
  <c r="K148" i="23"/>
  <c r="O148" i="23" s="1"/>
  <c r="N148" i="23"/>
  <c r="P148" i="23" s="1"/>
  <c r="K151" i="23"/>
  <c r="O151" i="23" s="1"/>
  <c r="N151" i="23"/>
  <c r="P151" i="23" s="1"/>
  <c r="N165" i="23"/>
  <c r="P165" i="23" s="1"/>
  <c r="K165" i="23"/>
  <c r="O165" i="23" s="1"/>
  <c r="N18" i="23"/>
  <c r="P18" i="23" s="1"/>
  <c r="K30" i="23"/>
  <c r="O30" i="23" s="1"/>
  <c r="N30" i="23"/>
  <c r="P30" i="23" s="1"/>
  <c r="K49" i="23"/>
  <c r="O49" i="23" s="1"/>
  <c r="N49" i="23"/>
  <c r="P49" i="23" s="1"/>
  <c r="P70" i="23"/>
  <c r="K76" i="23"/>
  <c r="O76" i="23" s="1"/>
  <c r="O75" i="23" s="1"/>
  <c r="N76" i="23"/>
  <c r="M83" i="23"/>
  <c r="K85" i="23"/>
  <c r="O85" i="23" s="1"/>
  <c r="O83" i="23" s="1"/>
  <c r="N85" i="23"/>
  <c r="P85" i="23" s="1"/>
  <c r="K89" i="23"/>
  <c r="O89" i="23" s="1"/>
  <c r="O87" i="23" s="1"/>
  <c r="N89" i="23"/>
  <c r="K115" i="23"/>
  <c r="O115" i="23" s="1"/>
  <c r="N115" i="23"/>
  <c r="P115" i="23" s="1"/>
  <c r="M120" i="23"/>
  <c r="K131" i="23"/>
  <c r="O131" i="23" s="1"/>
  <c r="N131" i="23"/>
  <c r="K155" i="23"/>
  <c r="O155" i="23" s="1"/>
  <c r="N155" i="23"/>
  <c r="P155" i="23" s="1"/>
  <c r="K158" i="23"/>
  <c r="O158" i="23" s="1"/>
  <c r="N158" i="23"/>
  <c r="P158" i="23" s="1"/>
  <c r="N220" i="23"/>
  <c r="P220" i="23" s="1"/>
  <c r="K220" i="23"/>
  <c r="O220" i="23" s="1"/>
  <c r="K22" i="23"/>
  <c r="O22" i="23" s="1"/>
  <c r="O58" i="23"/>
  <c r="N58" i="23"/>
  <c r="O59" i="23"/>
  <c r="N59" i="23"/>
  <c r="P59" i="23" s="1"/>
  <c r="K82" i="23"/>
  <c r="O82" i="23" s="1"/>
  <c r="N82" i="23"/>
  <c r="P82" i="23" s="1"/>
  <c r="K105" i="23"/>
  <c r="O105" i="23" s="1"/>
  <c r="N105" i="23"/>
  <c r="P105" i="23" s="1"/>
  <c r="K106" i="23"/>
  <c r="O106" i="23" s="1"/>
  <c r="N106" i="23"/>
  <c r="P106" i="23" s="1"/>
  <c r="K112" i="23"/>
  <c r="O112" i="23" s="1"/>
  <c r="N112" i="23"/>
  <c r="P112" i="23" s="1"/>
  <c r="M33" i="23"/>
  <c r="M39" i="23"/>
  <c r="K42" i="23"/>
  <c r="O42" i="23" s="1"/>
  <c r="N42" i="23"/>
  <c r="P42" i="23" s="1"/>
  <c r="K43" i="23"/>
  <c r="O43" i="23" s="1"/>
  <c r="N43" i="23"/>
  <c r="P43" i="23" s="1"/>
  <c r="M46" i="23"/>
  <c r="O65" i="23"/>
  <c r="N65" i="23"/>
  <c r="P65" i="23" s="1"/>
  <c r="O68" i="23"/>
  <c r="O67" i="23" s="1"/>
  <c r="N68" i="23"/>
  <c r="O73" i="23"/>
  <c r="N73" i="23"/>
  <c r="O74" i="23"/>
  <c r="N74" i="23"/>
  <c r="P74" i="23" s="1"/>
  <c r="L83" i="23"/>
  <c r="M95" i="23"/>
  <c r="K101" i="23"/>
  <c r="O101" i="23" s="1"/>
  <c r="N101" i="23"/>
  <c r="P101" i="23" s="1"/>
  <c r="K102" i="23"/>
  <c r="O102" i="23" s="1"/>
  <c r="N102" i="23"/>
  <c r="P102" i="23" s="1"/>
  <c r="N117" i="23"/>
  <c r="N128" i="23"/>
  <c r="P128" i="23" s="1"/>
  <c r="L130" i="23"/>
  <c r="L129" i="23" s="1"/>
  <c r="K172" i="23"/>
  <c r="O172" i="23" s="1"/>
  <c r="N172" i="23"/>
  <c r="P172" i="23" s="1"/>
  <c r="K197" i="23"/>
  <c r="O197" i="23" s="1"/>
  <c r="N197" i="23"/>
  <c r="P197" i="23" s="1"/>
  <c r="K48" i="23"/>
  <c r="O48" i="23" s="1"/>
  <c r="N48" i="23"/>
  <c r="P48" i="23" s="1"/>
  <c r="K88" i="23"/>
  <c r="O88" i="23" s="1"/>
  <c r="N88" i="23"/>
  <c r="M110" i="23"/>
  <c r="K125" i="23"/>
  <c r="O125" i="23" s="1"/>
  <c r="N125" i="23"/>
  <c r="P125" i="23" s="1"/>
  <c r="K126" i="23"/>
  <c r="O126" i="23" s="1"/>
  <c r="N126" i="23"/>
  <c r="P126" i="23" s="1"/>
  <c r="N210" i="23"/>
  <c r="P210" i="23" s="1"/>
  <c r="K210" i="23"/>
  <c r="O210" i="23" s="1"/>
  <c r="K213" i="23"/>
  <c r="O213" i="23" s="1"/>
  <c r="N213" i="23"/>
  <c r="P213" i="23" s="1"/>
  <c r="K55" i="23"/>
  <c r="O55" i="23" s="1"/>
  <c r="N55" i="23"/>
  <c r="P55" i="23" s="1"/>
  <c r="P93" i="23"/>
  <c r="K111" i="23"/>
  <c r="O111" i="23" s="1"/>
  <c r="N111" i="23"/>
  <c r="K121" i="23"/>
  <c r="O121" i="23" s="1"/>
  <c r="N121" i="23"/>
  <c r="K122" i="23"/>
  <c r="O122" i="23" s="1"/>
  <c r="N122" i="23"/>
  <c r="P122" i="23" s="1"/>
  <c r="N142" i="23"/>
  <c r="P142" i="23" s="1"/>
  <c r="K142" i="23"/>
  <c r="O142" i="23" s="1"/>
  <c r="K36" i="23"/>
  <c r="O36" i="23" s="1"/>
  <c r="N36" i="23"/>
  <c r="P36" i="23" s="1"/>
  <c r="N61" i="23"/>
  <c r="P61" i="23" s="1"/>
  <c r="P71" i="23"/>
  <c r="N84" i="23"/>
  <c r="N91" i="23"/>
  <c r="N97" i="23"/>
  <c r="P97" i="23" s="1"/>
  <c r="N108" i="23"/>
  <c r="P108" i="23" s="1"/>
  <c r="N114" i="23"/>
  <c r="P114" i="23" s="1"/>
  <c r="M116" i="23"/>
  <c r="K118" i="23"/>
  <c r="O118" i="23" s="1"/>
  <c r="N118" i="23"/>
  <c r="P118" i="23" s="1"/>
  <c r="K119" i="23"/>
  <c r="O119" i="23" s="1"/>
  <c r="N119" i="23"/>
  <c r="P119" i="23" s="1"/>
  <c r="N124" i="23"/>
  <c r="P124" i="23" s="1"/>
  <c r="K132" i="23"/>
  <c r="O132" i="23" s="1"/>
  <c r="N132" i="23"/>
  <c r="P132" i="23" s="1"/>
  <c r="N135" i="23"/>
  <c r="P135" i="23" s="1"/>
  <c r="K144" i="23"/>
  <c r="O144" i="23" s="1"/>
  <c r="N144" i="23"/>
  <c r="P144" i="23" s="1"/>
  <c r="N195" i="23"/>
  <c r="K195" i="23"/>
  <c r="O195" i="23" s="1"/>
  <c r="N203" i="23"/>
  <c r="P203" i="23" s="1"/>
  <c r="K203" i="23"/>
  <c r="O203" i="23" s="1"/>
  <c r="K133" i="23"/>
  <c r="O133" i="23" s="1"/>
  <c r="K140" i="23"/>
  <c r="O140" i="23" s="1"/>
  <c r="N140" i="23"/>
  <c r="K161" i="23"/>
  <c r="O161" i="23" s="1"/>
  <c r="K163" i="23"/>
  <c r="O163" i="23" s="1"/>
  <c r="N163" i="23"/>
  <c r="P163" i="23" s="1"/>
  <c r="K171" i="23"/>
  <c r="O171" i="23" s="1"/>
  <c r="K180" i="23"/>
  <c r="O180" i="23" s="1"/>
  <c r="N180" i="23"/>
  <c r="P180" i="23" s="1"/>
  <c r="M181" i="23"/>
  <c r="P182" i="23"/>
  <c r="M190" i="23"/>
  <c r="K201" i="23"/>
  <c r="O201" i="23" s="1"/>
  <c r="N201" i="23"/>
  <c r="P201" i="23" s="1"/>
  <c r="K139" i="23"/>
  <c r="O139" i="23" s="1"/>
  <c r="N139" i="23"/>
  <c r="P139" i="23" s="1"/>
  <c r="N147" i="23"/>
  <c r="P147" i="23" s="1"/>
  <c r="M152" i="23"/>
  <c r="P153" i="23"/>
  <c r="N154" i="23"/>
  <c r="P154" i="23" s="1"/>
  <c r="K159" i="23"/>
  <c r="O159" i="23" s="1"/>
  <c r="N159" i="23"/>
  <c r="P159" i="23" s="1"/>
  <c r="M169" i="23"/>
  <c r="N199" i="23"/>
  <c r="P199" i="23" s="1"/>
  <c r="K199" i="23"/>
  <c r="O199" i="23" s="1"/>
  <c r="M208" i="23"/>
  <c r="N175" i="23"/>
  <c r="P175" i="23" s="1"/>
  <c r="N185" i="23"/>
  <c r="P185" i="23" s="1"/>
  <c r="N189" i="23"/>
  <c r="P189" i="23" s="1"/>
  <c r="N193" i="23"/>
  <c r="P193" i="23" s="1"/>
  <c r="K212" i="23"/>
  <c r="O212" i="23" s="1"/>
  <c r="N212" i="23"/>
  <c r="P212" i="23" s="1"/>
  <c r="K218" i="23"/>
  <c r="O218" i="23" s="1"/>
  <c r="N218" i="23"/>
  <c r="P218" i="23" s="1"/>
  <c r="N141" i="23"/>
  <c r="P141" i="23" s="1"/>
  <c r="N145" i="23"/>
  <c r="P145" i="23" s="1"/>
  <c r="N149" i="23"/>
  <c r="P149" i="23" s="1"/>
  <c r="N156" i="23"/>
  <c r="P156" i="23" s="1"/>
  <c r="N160" i="23"/>
  <c r="P160" i="23" s="1"/>
  <c r="N164" i="23"/>
  <c r="P164" i="23" s="1"/>
  <c r="K183" i="23"/>
  <c r="O183" i="23" s="1"/>
  <c r="N183" i="23"/>
  <c r="P183" i="23" s="1"/>
  <c r="K187" i="23"/>
  <c r="O187" i="23" s="1"/>
  <c r="N187" i="23"/>
  <c r="P187" i="23" s="1"/>
  <c r="N216" i="23"/>
  <c r="K216" i="23"/>
  <c r="O216" i="23" s="1"/>
  <c r="M194" i="23"/>
  <c r="K205" i="23"/>
  <c r="O205" i="23" s="1"/>
  <c r="N205" i="23"/>
  <c r="P205" i="23" s="1"/>
  <c r="K206" i="23"/>
  <c r="O206" i="23" s="1"/>
  <c r="N206" i="23"/>
  <c r="P206" i="23" s="1"/>
  <c r="K209" i="23"/>
  <c r="O209" i="23" s="1"/>
  <c r="N209" i="23"/>
  <c r="K222" i="23"/>
  <c r="O222" i="23" s="1"/>
  <c r="N222" i="23"/>
  <c r="P222" i="23" s="1"/>
  <c r="N217" i="23"/>
  <c r="P217" i="23" s="1"/>
  <c r="N221" i="23"/>
  <c r="P221" i="23" s="1"/>
  <c r="K236" i="23"/>
  <c r="O236" i="23" s="1"/>
  <c r="N236" i="23"/>
  <c r="P236" i="23" s="1"/>
  <c r="K239" i="23"/>
  <c r="O239" i="23" s="1"/>
  <c r="N239" i="23"/>
  <c r="P239" i="23" s="1"/>
  <c r="K253" i="23"/>
  <c r="O253" i="23" s="1"/>
  <c r="N253" i="23"/>
  <c r="N262" i="23"/>
  <c r="P262" i="23" s="1"/>
  <c r="K262" i="23"/>
  <c r="O262" i="23" s="1"/>
  <c r="K273" i="23"/>
  <c r="O273" i="23" s="1"/>
  <c r="N273" i="23"/>
  <c r="P273" i="23" s="1"/>
  <c r="N282" i="23"/>
  <c r="P282" i="23" s="1"/>
  <c r="K282" i="23"/>
  <c r="O282" i="23" s="1"/>
  <c r="K224" i="23"/>
  <c r="O224" i="23" s="1"/>
  <c r="N224" i="23"/>
  <c r="P224" i="23" s="1"/>
  <c r="M225" i="23"/>
  <c r="K235" i="23"/>
  <c r="O235" i="23" s="1"/>
  <c r="N235" i="23"/>
  <c r="P235" i="23" s="1"/>
  <c r="K244" i="23"/>
  <c r="O244" i="23" s="1"/>
  <c r="N244" i="23"/>
  <c r="P244" i="23" s="1"/>
  <c r="P248" i="23"/>
  <c r="M259" i="23"/>
  <c r="N272" i="23"/>
  <c r="P272" i="23" s="1"/>
  <c r="K272" i="23"/>
  <c r="O272" i="23" s="1"/>
  <c r="K276" i="23"/>
  <c r="O276" i="23" s="1"/>
  <c r="O275" i="23" s="1"/>
  <c r="N276" i="23"/>
  <c r="N219" i="23"/>
  <c r="P219" i="23" s="1"/>
  <c r="P223" i="23"/>
  <c r="K231" i="23"/>
  <c r="O231" i="23" s="1"/>
  <c r="N231" i="23"/>
  <c r="P231" i="23" s="1"/>
  <c r="K243" i="23"/>
  <c r="O243" i="23" s="1"/>
  <c r="N243" i="23"/>
  <c r="P243" i="23" s="1"/>
  <c r="K250" i="23"/>
  <c r="O250" i="23" s="1"/>
  <c r="N250" i="23"/>
  <c r="P250" i="23" s="1"/>
  <c r="M252" i="23"/>
  <c r="K257" i="23"/>
  <c r="O257" i="23" s="1"/>
  <c r="N257" i="23"/>
  <c r="P257" i="23" s="1"/>
  <c r="N266" i="23"/>
  <c r="P266" i="23" s="1"/>
  <c r="K266" i="23"/>
  <c r="O266" i="23" s="1"/>
  <c r="K223" i="23"/>
  <c r="O223" i="23" s="1"/>
  <c r="K227" i="23"/>
  <c r="N227" i="23"/>
  <c r="P227" i="23" s="1"/>
  <c r="K240" i="23"/>
  <c r="O240" i="23" s="1"/>
  <c r="N240" i="23"/>
  <c r="P240" i="23" s="1"/>
  <c r="N255" i="23"/>
  <c r="P255" i="23" s="1"/>
  <c r="K255" i="23"/>
  <c r="O255" i="23" s="1"/>
  <c r="K264" i="23"/>
  <c r="O264" i="23" s="1"/>
  <c r="N264" i="23"/>
  <c r="P264" i="23" s="1"/>
  <c r="M275" i="23"/>
  <c r="N226" i="23"/>
  <c r="K229" i="23"/>
  <c r="O229" i="23" s="1"/>
  <c r="N230" i="23"/>
  <c r="P230" i="23" s="1"/>
  <c r="K233" i="23"/>
  <c r="O233" i="23" s="1"/>
  <c r="N234" i="23"/>
  <c r="P234" i="23" s="1"/>
  <c r="N238" i="23"/>
  <c r="P238" i="23" s="1"/>
  <c r="K241" i="23"/>
  <c r="O241" i="23" s="1"/>
  <c r="N242" i="23"/>
  <c r="P242" i="23" s="1"/>
  <c r="K245" i="23"/>
  <c r="O245" i="23" s="1"/>
  <c r="N246" i="23"/>
  <c r="P246" i="23" s="1"/>
  <c r="K248" i="23"/>
  <c r="O248" i="23" s="1"/>
  <c r="N249" i="23"/>
  <c r="P249" i="23" s="1"/>
  <c r="N256" i="23"/>
  <c r="P256" i="23" s="1"/>
  <c r="N263" i="23"/>
  <c r="P263" i="23" s="1"/>
  <c r="N267" i="23"/>
  <c r="P267" i="23" s="1"/>
  <c r="N283" i="23"/>
  <c r="P283" i="23" s="1"/>
  <c r="N228" i="23"/>
  <c r="P228" i="23" s="1"/>
  <c r="N232" i="23"/>
  <c r="P232" i="23" s="1"/>
  <c r="N254" i="23"/>
  <c r="P254" i="23" s="1"/>
  <c r="N258" i="23"/>
  <c r="P258" i="23" s="1"/>
  <c r="N261" i="23"/>
  <c r="P261" i="23" s="1"/>
  <c r="N265" i="23"/>
  <c r="P265" i="23" s="1"/>
  <c r="N271" i="23"/>
  <c r="P271" i="23" s="1"/>
  <c r="N281" i="23"/>
  <c r="P281" i="23" s="1"/>
  <c r="L77" i="23" l="1"/>
  <c r="L45" i="23"/>
  <c r="M129" i="23"/>
  <c r="M77" i="23"/>
  <c r="L268" i="23"/>
  <c r="L168" i="23"/>
  <c r="L214" i="23"/>
  <c r="N92" i="23"/>
  <c r="P92" i="23" s="1"/>
  <c r="O181" i="23"/>
  <c r="N78" i="23"/>
  <c r="P78" i="23" s="1"/>
  <c r="O78" i="23"/>
  <c r="O77" i="23" s="1"/>
  <c r="O190" i="23"/>
  <c r="L32" i="23"/>
  <c r="L109" i="23"/>
  <c r="M268" i="23"/>
  <c r="O247" i="23"/>
  <c r="O278" i="23"/>
  <c r="O259" i="23"/>
  <c r="O98" i="23"/>
  <c r="O62" i="23"/>
  <c r="M45" i="23"/>
  <c r="N46" i="23"/>
  <c r="P46" i="23" s="1"/>
  <c r="M214" i="23"/>
  <c r="M168" i="23"/>
  <c r="P79" i="23"/>
  <c r="O110" i="23"/>
  <c r="O51" i="23"/>
  <c r="M32" i="23"/>
  <c r="O152" i="23"/>
  <c r="O46" i="23"/>
  <c r="O227" i="23"/>
  <c r="O225" i="23" s="1"/>
  <c r="N190" i="23"/>
  <c r="P190" i="23" s="1"/>
  <c r="O169" i="23"/>
  <c r="O33" i="23"/>
  <c r="N51" i="23"/>
  <c r="P51" i="23" s="1"/>
  <c r="O269" i="23"/>
  <c r="O268" i="23" s="1"/>
  <c r="O208" i="23"/>
  <c r="O116" i="23"/>
  <c r="N62" i="23"/>
  <c r="P62" i="23" s="1"/>
  <c r="O39" i="23"/>
  <c r="O57" i="23"/>
  <c r="N152" i="23"/>
  <c r="P152" i="23" s="1"/>
  <c r="N247" i="23"/>
  <c r="P247" i="23" s="1"/>
  <c r="P253" i="23"/>
  <c r="N252" i="23"/>
  <c r="P252" i="23" s="1"/>
  <c r="N95" i="23"/>
  <c r="P95" i="23" s="1"/>
  <c r="O120" i="23"/>
  <c r="N98" i="23"/>
  <c r="P98" i="23" s="1"/>
  <c r="M109" i="23"/>
  <c r="P73" i="23"/>
  <c r="N72" i="23"/>
  <c r="P89" i="23"/>
  <c r="N87" i="23"/>
  <c r="P87" i="23" s="1"/>
  <c r="O26" i="23"/>
  <c r="N181" i="23"/>
  <c r="P181" i="23" s="1"/>
  <c r="N225" i="23"/>
  <c r="P225" i="23" s="1"/>
  <c r="P226" i="23"/>
  <c r="N278" i="23"/>
  <c r="O252" i="23"/>
  <c r="O215" i="23"/>
  <c r="O194" i="23"/>
  <c r="N90" i="23"/>
  <c r="P90" i="23" s="1"/>
  <c r="P91" i="23"/>
  <c r="P111" i="23"/>
  <c r="N110" i="23"/>
  <c r="O72" i="23"/>
  <c r="O69" i="23" s="1"/>
  <c r="N169" i="23"/>
  <c r="P76" i="23"/>
  <c r="N75" i="23"/>
  <c r="P75" i="23" s="1"/>
  <c r="P15" i="23"/>
  <c r="N14" i="23"/>
  <c r="P121" i="23"/>
  <c r="N120" i="23"/>
  <c r="P120" i="23" s="1"/>
  <c r="P68" i="23"/>
  <c r="N67" i="23"/>
  <c r="P67" i="23" s="1"/>
  <c r="P58" i="23"/>
  <c r="N57" i="23"/>
  <c r="P57" i="23" s="1"/>
  <c r="O130" i="23"/>
  <c r="N26" i="23"/>
  <c r="P26" i="23" s="1"/>
  <c r="P27" i="23"/>
  <c r="N269" i="23"/>
  <c r="N259" i="23"/>
  <c r="P259" i="23" s="1"/>
  <c r="N275" i="23"/>
  <c r="P275" i="23" s="1"/>
  <c r="P276" i="23"/>
  <c r="N208" i="23"/>
  <c r="P208" i="23" s="1"/>
  <c r="P209" i="23"/>
  <c r="N215" i="23"/>
  <c r="P216" i="23"/>
  <c r="N194" i="23"/>
  <c r="P194" i="23" s="1"/>
  <c r="P195" i="23"/>
  <c r="N83" i="23"/>
  <c r="P83" i="23" s="1"/>
  <c r="P84" i="23"/>
  <c r="N116" i="23"/>
  <c r="P116" i="23" s="1"/>
  <c r="P117" i="23"/>
  <c r="P131" i="23"/>
  <c r="N130" i="23"/>
  <c r="N33" i="23"/>
  <c r="N39" i="23"/>
  <c r="P39" i="23" s="1"/>
  <c r="O14" i="23"/>
  <c r="BU47" i="22"/>
  <c r="I225" i="22"/>
  <c r="I221" i="22"/>
  <c r="M221" i="22" s="1"/>
  <c r="CI217" i="22"/>
  <c r="J217" i="22" s="1"/>
  <c r="N217" i="22" s="1"/>
  <c r="CI213" i="22"/>
  <c r="J213" i="22" s="1"/>
  <c r="CI209" i="22"/>
  <c r="J209" i="22" s="1"/>
  <c r="CI201" i="22"/>
  <c r="J201" i="22" s="1"/>
  <c r="I197" i="22"/>
  <c r="M197" i="22" s="1"/>
  <c r="CI193" i="22"/>
  <c r="J193" i="22" s="1"/>
  <c r="CI190" i="22"/>
  <c r="I189" i="22"/>
  <c r="M189" i="22" s="1"/>
  <c r="I185" i="22"/>
  <c r="M185" i="22" s="1"/>
  <c r="CI129" i="22"/>
  <c r="CI92" i="22"/>
  <c r="CI77" i="22"/>
  <c r="CI75" i="22"/>
  <c r="CI69" i="22"/>
  <c r="CI222" i="22"/>
  <c r="J222" i="22" s="1"/>
  <c r="N222" i="22" s="1"/>
  <c r="CI218" i="22"/>
  <c r="J218" i="22" s="1"/>
  <c r="K218" i="22" s="1"/>
  <c r="O218" i="22" s="1"/>
  <c r="CI205" i="22"/>
  <c r="J205" i="22" s="1"/>
  <c r="I202" i="22"/>
  <c r="M202" i="22" s="1"/>
  <c r="I198" i="22"/>
  <c r="M198" i="22" s="1"/>
  <c r="CI197" i="22"/>
  <c r="J197" i="22" s="1"/>
  <c r="K197" i="22" s="1"/>
  <c r="O197" i="22" s="1"/>
  <c r="CI177" i="22"/>
  <c r="J177" i="22" s="1"/>
  <c r="CI173" i="22"/>
  <c r="J173" i="22" s="1"/>
  <c r="I165" i="22"/>
  <c r="M165" i="22" s="1"/>
  <c r="I161" i="22"/>
  <c r="M161" i="22" s="1"/>
  <c r="I157" i="22"/>
  <c r="M157" i="22" s="1"/>
  <c r="CI153" i="22"/>
  <c r="J153" i="22" s="1"/>
  <c r="N153" i="22" s="1"/>
  <c r="CI149" i="22"/>
  <c r="J149" i="22" s="1"/>
  <c r="K149" i="22" s="1"/>
  <c r="O149" i="22" s="1"/>
  <c r="CI145" i="22"/>
  <c r="J145" i="22" s="1"/>
  <c r="K145" i="22" s="1"/>
  <c r="O145" i="22" s="1"/>
  <c r="CI141" i="22"/>
  <c r="J141" i="22" s="1"/>
  <c r="K141" i="22" s="1"/>
  <c r="O141" i="22" s="1"/>
  <c r="CI137" i="22"/>
  <c r="J137" i="22" s="1"/>
  <c r="K137" i="22" s="1"/>
  <c r="O137" i="22" s="1"/>
  <c r="CI133" i="22"/>
  <c r="J133" i="22" s="1"/>
  <c r="N133" i="22" s="1"/>
  <c r="CI125" i="22"/>
  <c r="J125" i="22" s="1"/>
  <c r="CI121" i="22"/>
  <c r="J121" i="22" s="1"/>
  <c r="I117" i="22"/>
  <c r="M117" i="22" s="1"/>
  <c r="I113" i="22"/>
  <c r="M113" i="22" s="1"/>
  <c r="CI109" i="22"/>
  <c r="CI105" i="22"/>
  <c r="J105" i="22" s="1"/>
  <c r="I101" i="22"/>
  <c r="M101" i="22" s="1"/>
  <c r="CI97" i="22"/>
  <c r="J97" i="22" s="1"/>
  <c r="CI93" i="22"/>
  <c r="J93" i="22" s="1"/>
  <c r="K93" i="22" s="1"/>
  <c r="O93" i="22" s="1"/>
  <c r="I89" i="22"/>
  <c r="M89" i="22" s="1"/>
  <c r="M87" i="22" s="1"/>
  <c r="CI85" i="22"/>
  <c r="J85" i="22" s="1"/>
  <c r="N85" i="22" s="1"/>
  <c r="CI81" i="22"/>
  <c r="J81" i="22" s="1"/>
  <c r="I73" i="22"/>
  <c r="M73" i="22" s="1"/>
  <c r="I65" i="22"/>
  <c r="M65" i="22" s="1"/>
  <c r="CI61" i="22"/>
  <c r="J61" i="22" s="1"/>
  <c r="CI57" i="22"/>
  <c r="CI53" i="22"/>
  <c r="J53" i="22" s="1"/>
  <c r="N53" i="22" s="1"/>
  <c r="CI49" i="22"/>
  <c r="J49" i="22" s="1"/>
  <c r="K49" i="22" s="1"/>
  <c r="O49" i="22" s="1"/>
  <c r="CI45" i="22"/>
  <c r="CI41" i="22"/>
  <c r="J41" i="22" s="1"/>
  <c r="CI37" i="22"/>
  <c r="J37" i="22" s="1"/>
  <c r="K37" i="22" s="1"/>
  <c r="O37" i="22" s="1"/>
  <c r="CI33" i="22"/>
  <c r="CI29" i="22"/>
  <c r="J29" i="22" s="1"/>
  <c r="I25" i="22"/>
  <c r="M25" i="22" s="1"/>
  <c r="I21" i="22"/>
  <c r="M21" i="22" s="1"/>
  <c r="I17" i="22"/>
  <c r="M17" i="22" s="1"/>
  <c r="CI210" i="22"/>
  <c r="J210" i="22" s="1"/>
  <c r="K210" i="22" s="1"/>
  <c r="O210" i="22" s="1"/>
  <c r="CI206" i="22"/>
  <c r="J206" i="22" s="1"/>
  <c r="N206" i="22" s="1"/>
  <c r="CI194" i="22"/>
  <c r="I186" i="22"/>
  <c r="M186" i="22" s="1"/>
  <c r="L170" i="21"/>
  <c r="CI181" i="21"/>
  <c r="CI180" i="21"/>
  <c r="J180" i="21" s="1"/>
  <c r="N180" i="21" s="1"/>
  <c r="I177" i="21"/>
  <c r="M177" i="21" s="1"/>
  <c r="CI168" i="21"/>
  <c r="I161" i="21"/>
  <c r="M161" i="21" s="1"/>
  <c r="CI152" i="21"/>
  <c r="I151" i="21"/>
  <c r="M151" i="21" s="1"/>
  <c r="I147" i="21"/>
  <c r="M147" i="21" s="1"/>
  <c r="CI143" i="21"/>
  <c r="J143" i="21" s="1"/>
  <c r="N143" i="21" s="1"/>
  <c r="CI142" i="21"/>
  <c r="J142" i="21" s="1"/>
  <c r="K142" i="21" s="1"/>
  <c r="O142" i="21" s="1"/>
  <c r="I138" i="21"/>
  <c r="M138" i="21" s="1"/>
  <c r="CI135" i="21"/>
  <c r="J135" i="21" s="1"/>
  <c r="CI129" i="21"/>
  <c r="CI98" i="21"/>
  <c r="CI95" i="21"/>
  <c r="CI78" i="21"/>
  <c r="CI70" i="21"/>
  <c r="I68" i="21"/>
  <c r="M68" i="21" s="1"/>
  <c r="M67" i="21" s="1"/>
  <c r="I96" i="21"/>
  <c r="M96" i="21" s="1"/>
  <c r="I139" i="21"/>
  <c r="M139" i="21" s="1"/>
  <c r="I162" i="21"/>
  <c r="M162" i="21" s="1"/>
  <c r="I176" i="21"/>
  <c r="M176" i="21" s="1"/>
  <c r="I172" i="21"/>
  <c r="M172" i="21" s="1"/>
  <c r="I150" i="21"/>
  <c r="M150" i="21" s="1"/>
  <c r="CI146" i="21"/>
  <c r="J146" i="21" s="1"/>
  <c r="I134" i="21"/>
  <c r="M134" i="21" s="1"/>
  <c r="I135" i="21"/>
  <c r="M135" i="21" s="1"/>
  <c r="I73" i="21"/>
  <c r="M73" i="21" s="1"/>
  <c r="I55" i="21"/>
  <c r="M55" i="21" s="1"/>
  <c r="CI284" i="22"/>
  <c r="J284" i="22" s="1"/>
  <c r="I284" i="22"/>
  <c r="CI283" i="22"/>
  <c r="J283" i="22" s="1"/>
  <c r="K283" i="22" s="1"/>
  <c r="O283" i="22" s="1"/>
  <c r="L283" i="22"/>
  <c r="L282" i="22"/>
  <c r="L281" i="22"/>
  <c r="L280" i="22"/>
  <c r="L279" i="22"/>
  <c r="L277" i="22"/>
  <c r="L276" i="22"/>
  <c r="L274" i="22"/>
  <c r="L273" i="22"/>
  <c r="L272" i="22"/>
  <c r="L271" i="22"/>
  <c r="L270" i="22"/>
  <c r="L267" i="22"/>
  <c r="L266" i="22"/>
  <c r="L265" i="22"/>
  <c r="L264" i="22"/>
  <c r="L263" i="22"/>
  <c r="L262" i="22"/>
  <c r="L261" i="22"/>
  <c r="L260" i="22"/>
  <c r="L258" i="22"/>
  <c r="L257" i="22"/>
  <c r="L256" i="22"/>
  <c r="L255" i="22"/>
  <c r="L254" i="22"/>
  <c r="L253" i="22"/>
  <c r="L251" i="22"/>
  <c r="L250" i="22"/>
  <c r="L249" i="22"/>
  <c r="L248" i="22"/>
  <c r="L246" i="22"/>
  <c r="L245" i="22"/>
  <c r="L244" i="22"/>
  <c r="L243" i="22"/>
  <c r="L242" i="22"/>
  <c r="L241" i="22"/>
  <c r="L240" i="22"/>
  <c r="L239" i="22"/>
  <c r="L238" i="22"/>
  <c r="L237" i="22"/>
  <c r="L236" i="22"/>
  <c r="L235" i="22"/>
  <c r="L234" i="22"/>
  <c r="L233" i="22"/>
  <c r="L232" i="22"/>
  <c r="L231" i="22"/>
  <c r="L230" i="22"/>
  <c r="L229" i="22"/>
  <c r="L228" i="22"/>
  <c r="CI227" i="22"/>
  <c r="J227" i="22" s="1"/>
  <c r="L227" i="22"/>
  <c r="I227" i="22"/>
  <c r="M227" i="22" s="1"/>
  <c r="CI226" i="22"/>
  <c r="J226" i="22" s="1"/>
  <c r="N226" i="22" s="1"/>
  <c r="L226" i="22"/>
  <c r="I226" i="22"/>
  <c r="M226" i="22" s="1"/>
  <c r="CI225" i="22"/>
  <c r="J225" i="22" s="1"/>
  <c r="K225" i="22" s="1"/>
  <c r="F225" i="22"/>
  <c r="CI224" i="22"/>
  <c r="J224" i="22" s="1"/>
  <c r="K224" i="22" s="1"/>
  <c r="O224" i="22" s="1"/>
  <c r="L224" i="22"/>
  <c r="I224" i="22"/>
  <c r="M224" i="22" s="1"/>
  <c r="CI223" i="22"/>
  <c r="J223" i="22" s="1"/>
  <c r="N223" i="22" s="1"/>
  <c r="L223" i="22"/>
  <c r="I223" i="22"/>
  <c r="M223" i="22" s="1"/>
  <c r="L222" i="22"/>
  <c r="I222" i="22"/>
  <c r="M222" i="22" s="1"/>
  <c r="L221" i="22"/>
  <c r="CI220" i="22"/>
  <c r="J220" i="22" s="1"/>
  <c r="K220" i="22" s="1"/>
  <c r="O220" i="22" s="1"/>
  <c r="L220" i="22"/>
  <c r="I220" i="22"/>
  <c r="M220" i="22" s="1"/>
  <c r="CI219" i="22"/>
  <c r="J219" i="22" s="1"/>
  <c r="L219" i="22"/>
  <c r="I219" i="22"/>
  <c r="M219" i="22" s="1"/>
  <c r="L218" i="22"/>
  <c r="I218" i="22"/>
  <c r="M218" i="22" s="1"/>
  <c r="L217" i="22"/>
  <c r="I217" i="22"/>
  <c r="M217" i="22" s="1"/>
  <c r="CI216" i="22"/>
  <c r="J216" i="22" s="1"/>
  <c r="N216" i="22" s="1"/>
  <c r="L216" i="22"/>
  <c r="I216" i="22"/>
  <c r="M216" i="22" s="1"/>
  <c r="CI215" i="22"/>
  <c r="L213" i="22"/>
  <c r="CI212" i="22"/>
  <c r="J212" i="22" s="1"/>
  <c r="L212" i="22"/>
  <c r="I212" i="22"/>
  <c r="M212" i="22" s="1"/>
  <c r="CI211" i="22"/>
  <c r="J211" i="22" s="1"/>
  <c r="N211" i="22" s="1"/>
  <c r="L211" i="22"/>
  <c r="I211" i="22"/>
  <c r="M211" i="22" s="1"/>
  <c r="L210" i="22"/>
  <c r="I210" i="22"/>
  <c r="M210" i="22" s="1"/>
  <c r="L209" i="22"/>
  <c r="CI208" i="22"/>
  <c r="CI207" i="22"/>
  <c r="J207" i="22" s="1"/>
  <c r="K207" i="22" s="1"/>
  <c r="O207" i="22" s="1"/>
  <c r="L207" i="22"/>
  <c r="I207" i="22"/>
  <c r="M207" i="22" s="1"/>
  <c r="L206" i="22"/>
  <c r="I206" i="22"/>
  <c r="M206" i="22" s="1"/>
  <c r="L205" i="22"/>
  <c r="I205" i="22"/>
  <c r="M205" i="22" s="1"/>
  <c r="CI204" i="22"/>
  <c r="J204" i="22" s="1"/>
  <c r="L204" i="22"/>
  <c r="I204" i="22"/>
  <c r="M204" i="22" s="1"/>
  <c r="CI203" i="22"/>
  <c r="J203" i="22" s="1"/>
  <c r="K203" i="22" s="1"/>
  <c r="O203" i="22" s="1"/>
  <c r="L203" i="22"/>
  <c r="I203" i="22"/>
  <c r="M203" i="22" s="1"/>
  <c r="CI202" i="22"/>
  <c r="J202" i="22" s="1"/>
  <c r="N202" i="22" s="1"/>
  <c r="L202" i="22"/>
  <c r="L201" i="22"/>
  <c r="CI200" i="22"/>
  <c r="J200" i="22" s="1"/>
  <c r="L200" i="22"/>
  <c r="I200" i="22"/>
  <c r="M200" i="22" s="1"/>
  <c r="CI199" i="22"/>
  <c r="J199" i="22" s="1"/>
  <c r="N199" i="22" s="1"/>
  <c r="L199" i="22"/>
  <c r="I199" i="22"/>
  <c r="M199" i="22" s="1"/>
  <c r="CI198" i="22"/>
  <c r="J198" i="22" s="1"/>
  <c r="L198" i="22"/>
  <c r="L197" i="22"/>
  <c r="L194" i="22" s="1"/>
  <c r="CI196" i="22"/>
  <c r="J196" i="22" s="1"/>
  <c r="N196" i="22" s="1"/>
  <c r="L196" i="22"/>
  <c r="I196" i="22"/>
  <c r="M196" i="22" s="1"/>
  <c r="CI195" i="22"/>
  <c r="J195" i="22" s="1"/>
  <c r="L195" i="22"/>
  <c r="I195" i="22"/>
  <c r="M195" i="22" s="1"/>
  <c r="L193" i="22"/>
  <c r="CI192" i="22"/>
  <c r="J192" i="22" s="1"/>
  <c r="N192" i="22" s="1"/>
  <c r="L192" i="22"/>
  <c r="I192" i="22"/>
  <c r="M192" i="22" s="1"/>
  <c r="CI191" i="22"/>
  <c r="J191" i="22" s="1"/>
  <c r="N191" i="22" s="1"/>
  <c r="L191" i="22"/>
  <c r="I191" i="22"/>
  <c r="M191" i="22" s="1"/>
  <c r="L189" i="22"/>
  <c r="CI188" i="22"/>
  <c r="J188" i="22" s="1"/>
  <c r="L188" i="22"/>
  <c r="I188" i="22"/>
  <c r="M188" i="22" s="1"/>
  <c r="CI187" i="22"/>
  <c r="J187" i="22" s="1"/>
  <c r="K187" i="22" s="1"/>
  <c r="O187" i="22" s="1"/>
  <c r="L187" i="22"/>
  <c r="I187" i="22"/>
  <c r="M187" i="22" s="1"/>
  <c r="CI186" i="22"/>
  <c r="J186" i="22" s="1"/>
  <c r="L186" i="22"/>
  <c r="L185" i="22"/>
  <c r="CI184" i="22"/>
  <c r="J184" i="22" s="1"/>
  <c r="L184" i="22"/>
  <c r="I184" i="22"/>
  <c r="M184" i="22" s="1"/>
  <c r="CI183" i="22"/>
  <c r="J183" i="22" s="1"/>
  <c r="N183" i="22" s="1"/>
  <c r="L183" i="22"/>
  <c r="L181" i="22" s="1"/>
  <c r="I183" i="22"/>
  <c r="M183" i="22" s="1"/>
  <c r="L182" i="22"/>
  <c r="CI180" i="22"/>
  <c r="J180" i="22" s="1"/>
  <c r="K180" i="22" s="1"/>
  <c r="O180" i="22" s="1"/>
  <c r="L180" i="22"/>
  <c r="I180" i="22"/>
  <c r="M180" i="22" s="1"/>
  <c r="CI179" i="22"/>
  <c r="J179" i="22" s="1"/>
  <c r="N179" i="22" s="1"/>
  <c r="L179" i="22"/>
  <c r="I179" i="22"/>
  <c r="M179" i="22" s="1"/>
  <c r="CI178" i="22"/>
  <c r="J178" i="22" s="1"/>
  <c r="N178" i="22" s="1"/>
  <c r="L178" i="22"/>
  <c r="I178" i="22"/>
  <c r="M178" i="22" s="1"/>
  <c r="L177" i="22"/>
  <c r="CI176" i="22"/>
  <c r="J176" i="22" s="1"/>
  <c r="N176" i="22" s="1"/>
  <c r="L176" i="22"/>
  <c r="I176" i="22"/>
  <c r="M176" i="22" s="1"/>
  <c r="CI175" i="22"/>
  <c r="J175" i="22" s="1"/>
  <c r="K175" i="22" s="1"/>
  <c r="O175" i="22" s="1"/>
  <c r="L175" i="22"/>
  <c r="I175" i="22"/>
  <c r="M175" i="22" s="1"/>
  <c r="CI174" i="22"/>
  <c r="J174" i="22" s="1"/>
  <c r="K174" i="22" s="1"/>
  <c r="O174" i="22" s="1"/>
  <c r="L174" i="22"/>
  <c r="I174" i="22"/>
  <c r="M174" i="22" s="1"/>
  <c r="L173" i="22"/>
  <c r="CI172" i="22"/>
  <c r="J172" i="22" s="1"/>
  <c r="L172" i="22"/>
  <c r="I172" i="22"/>
  <c r="M172" i="22" s="1"/>
  <c r="CI171" i="22"/>
  <c r="J171" i="22" s="1"/>
  <c r="L171" i="22"/>
  <c r="I171" i="22"/>
  <c r="M171" i="22" s="1"/>
  <c r="CI170" i="22"/>
  <c r="J170" i="22" s="1"/>
  <c r="N170" i="22" s="1"/>
  <c r="L170" i="22"/>
  <c r="I170" i="22"/>
  <c r="M170" i="22" s="1"/>
  <c r="CI167" i="22"/>
  <c r="J167" i="22" s="1"/>
  <c r="K167" i="22" s="1"/>
  <c r="O167" i="22" s="1"/>
  <c r="L167" i="22"/>
  <c r="I167" i="22"/>
  <c r="M167" i="22" s="1"/>
  <c r="CI166" i="22"/>
  <c r="J166" i="22" s="1"/>
  <c r="L166" i="22"/>
  <c r="I166" i="22"/>
  <c r="M166" i="22" s="1"/>
  <c r="CI165" i="22"/>
  <c r="J165" i="22" s="1"/>
  <c r="N165" i="22" s="1"/>
  <c r="L165" i="22"/>
  <c r="CI164" i="22"/>
  <c r="J164" i="22" s="1"/>
  <c r="N164" i="22" s="1"/>
  <c r="L164" i="22"/>
  <c r="I164" i="22"/>
  <c r="M164" i="22" s="1"/>
  <c r="CI163" i="22"/>
  <c r="J163" i="22" s="1"/>
  <c r="L163" i="22"/>
  <c r="I163" i="22"/>
  <c r="M163" i="22" s="1"/>
  <c r="CI162" i="22"/>
  <c r="J162" i="22" s="1"/>
  <c r="K162" i="22" s="1"/>
  <c r="O162" i="22" s="1"/>
  <c r="L162" i="22"/>
  <c r="I162" i="22"/>
  <c r="M162" i="22" s="1"/>
  <c r="CI161" i="22"/>
  <c r="J161" i="22" s="1"/>
  <c r="N161" i="22" s="1"/>
  <c r="L161" i="22"/>
  <c r="CI160" i="22"/>
  <c r="J160" i="22" s="1"/>
  <c r="N160" i="22" s="1"/>
  <c r="L160" i="22"/>
  <c r="I160" i="22"/>
  <c r="M160" i="22" s="1"/>
  <c r="CI159" i="22"/>
  <c r="J159" i="22" s="1"/>
  <c r="L159" i="22"/>
  <c r="I159" i="22"/>
  <c r="M159" i="22" s="1"/>
  <c r="CI158" i="22"/>
  <c r="J158" i="22" s="1"/>
  <c r="K158" i="22" s="1"/>
  <c r="O158" i="22" s="1"/>
  <c r="L158" i="22"/>
  <c r="I158" i="22"/>
  <c r="M158" i="22" s="1"/>
  <c r="CI157" i="22"/>
  <c r="J157" i="22" s="1"/>
  <c r="N157" i="22" s="1"/>
  <c r="L157" i="22"/>
  <c r="CI156" i="22"/>
  <c r="J156" i="22" s="1"/>
  <c r="K156" i="22" s="1"/>
  <c r="O156" i="22" s="1"/>
  <c r="L156" i="22"/>
  <c r="I156" i="22"/>
  <c r="M156" i="22" s="1"/>
  <c r="CI155" i="22"/>
  <c r="J155" i="22" s="1"/>
  <c r="N155" i="22" s="1"/>
  <c r="L155" i="22"/>
  <c r="I155" i="22"/>
  <c r="M155" i="22" s="1"/>
  <c r="CI154" i="22"/>
  <c r="J154" i="22" s="1"/>
  <c r="L154" i="22"/>
  <c r="I154" i="22"/>
  <c r="M154" i="22" s="1"/>
  <c r="L153" i="22"/>
  <c r="I153" i="22"/>
  <c r="M153" i="22" s="1"/>
  <c r="CI152" i="22"/>
  <c r="CI151" i="22"/>
  <c r="J151" i="22" s="1"/>
  <c r="K151" i="22" s="1"/>
  <c r="O151" i="22" s="1"/>
  <c r="L151" i="22"/>
  <c r="I151" i="22"/>
  <c r="M151" i="22" s="1"/>
  <c r="CI150" i="22"/>
  <c r="J150" i="22" s="1"/>
  <c r="N150" i="22" s="1"/>
  <c r="L150" i="22"/>
  <c r="I150" i="22"/>
  <c r="M150" i="22" s="1"/>
  <c r="L149" i="22"/>
  <c r="CI148" i="22"/>
  <c r="J148" i="22" s="1"/>
  <c r="L148" i="22"/>
  <c r="I148" i="22"/>
  <c r="M148" i="22" s="1"/>
  <c r="CI147" i="22"/>
  <c r="J147" i="22" s="1"/>
  <c r="N147" i="22" s="1"/>
  <c r="L147" i="22"/>
  <c r="I147" i="22"/>
  <c r="M147" i="22" s="1"/>
  <c r="CI146" i="22"/>
  <c r="J146" i="22" s="1"/>
  <c r="L146" i="22"/>
  <c r="I146" i="22"/>
  <c r="M146" i="22" s="1"/>
  <c r="L145" i="22"/>
  <c r="CI144" i="22"/>
  <c r="J144" i="22" s="1"/>
  <c r="K144" i="22" s="1"/>
  <c r="O144" i="22" s="1"/>
  <c r="L144" i="22"/>
  <c r="I144" i="22"/>
  <c r="M144" i="22" s="1"/>
  <c r="CI143" i="22"/>
  <c r="J143" i="22" s="1"/>
  <c r="N143" i="22" s="1"/>
  <c r="L143" i="22"/>
  <c r="I143" i="22"/>
  <c r="M143" i="22" s="1"/>
  <c r="CI142" i="22"/>
  <c r="J142" i="22" s="1"/>
  <c r="L142" i="22"/>
  <c r="I142" i="22"/>
  <c r="M142" i="22" s="1"/>
  <c r="L141" i="22"/>
  <c r="CI140" i="22"/>
  <c r="J140" i="22" s="1"/>
  <c r="N140" i="22" s="1"/>
  <c r="L140" i="22"/>
  <c r="I140" i="22"/>
  <c r="M140" i="22" s="1"/>
  <c r="CI139" i="22"/>
  <c r="J139" i="22" s="1"/>
  <c r="L139" i="22"/>
  <c r="I139" i="22"/>
  <c r="M139" i="22" s="1"/>
  <c r="CI138" i="22"/>
  <c r="J138" i="22" s="1"/>
  <c r="K138" i="22" s="1"/>
  <c r="O138" i="22" s="1"/>
  <c r="L138" i="22"/>
  <c r="I138" i="22"/>
  <c r="M138" i="22" s="1"/>
  <c r="L137" i="22"/>
  <c r="CI136" i="22"/>
  <c r="J136" i="22" s="1"/>
  <c r="K136" i="22" s="1"/>
  <c r="O136" i="22" s="1"/>
  <c r="L136" i="22"/>
  <c r="I136" i="22"/>
  <c r="M136" i="22" s="1"/>
  <c r="CI135" i="22"/>
  <c r="J135" i="22" s="1"/>
  <c r="K135" i="22" s="1"/>
  <c r="O135" i="22" s="1"/>
  <c r="L135" i="22"/>
  <c r="I135" i="22"/>
  <c r="M135" i="22" s="1"/>
  <c r="CI134" i="22"/>
  <c r="J134" i="22" s="1"/>
  <c r="N134" i="22" s="1"/>
  <c r="L134" i="22"/>
  <c r="I134" i="22"/>
  <c r="M134" i="22" s="1"/>
  <c r="L133" i="22"/>
  <c r="CI132" i="22"/>
  <c r="J132" i="22" s="1"/>
  <c r="K132" i="22" s="1"/>
  <c r="O132" i="22" s="1"/>
  <c r="L132" i="22"/>
  <c r="I132" i="22"/>
  <c r="M132" i="22" s="1"/>
  <c r="CI131" i="22"/>
  <c r="J131" i="22" s="1"/>
  <c r="N131" i="22" s="1"/>
  <c r="L131" i="22"/>
  <c r="I131" i="22"/>
  <c r="M131" i="22" s="1"/>
  <c r="CI128" i="22"/>
  <c r="J128" i="22" s="1"/>
  <c r="L128" i="22"/>
  <c r="I128" i="22"/>
  <c r="M128" i="22" s="1"/>
  <c r="CI127" i="22"/>
  <c r="J127" i="22" s="1"/>
  <c r="K127" i="22" s="1"/>
  <c r="O127" i="22" s="1"/>
  <c r="L127" i="22"/>
  <c r="I127" i="22"/>
  <c r="M127" i="22" s="1"/>
  <c r="CI126" i="22"/>
  <c r="J126" i="22" s="1"/>
  <c r="K126" i="22" s="1"/>
  <c r="O126" i="22" s="1"/>
  <c r="L126" i="22"/>
  <c r="I126" i="22"/>
  <c r="M126" i="22" s="1"/>
  <c r="L125" i="22"/>
  <c r="CI124" i="22"/>
  <c r="J124" i="22" s="1"/>
  <c r="K124" i="22" s="1"/>
  <c r="O124" i="22" s="1"/>
  <c r="L124" i="22"/>
  <c r="I124" i="22"/>
  <c r="M124" i="22" s="1"/>
  <c r="CI123" i="22"/>
  <c r="J123" i="22" s="1"/>
  <c r="N123" i="22" s="1"/>
  <c r="L123" i="22"/>
  <c r="I123" i="22"/>
  <c r="M123" i="22" s="1"/>
  <c r="CI122" i="22"/>
  <c r="J122" i="22" s="1"/>
  <c r="K122" i="22" s="1"/>
  <c r="O122" i="22" s="1"/>
  <c r="L122" i="22"/>
  <c r="I122" i="22"/>
  <c r="M122" i="22" s="1"/>
  <c r="L121" i="22"/>
  <c r="I121" i="22"/>
  <c r="M121" i="22" s="1"/>
  <c r="CI120" i="22"/>
  <c r="CI119" i="22"/>
  <c r="J119" i="22" s="1"/>
  <c r="K119" i="22" s="1"/>
  <c r="O119" i="22" s="1"/>
  <c r="L119" i="22"/>
  <c r="I119" i="22"/>
  <c r="M119" i="22" s="1"/>
  <c r="CI118" i="22"/>
  <c r="J118" i="22" s="1"/>
  <c r="L118" i="22"/>
  <c r="I118" i="22"/>
  <c r="M118" i="22" s="1"/>
  <c r="CI117" i="22"/>
  <c r="J117" i="22" s="1"/>
  <c r="K117" i="22" s="1"/>
  <c r="O117" i="22" s="1"/>
  <c r="L117" i="22"/>
  <c r="CI116" i="22"/>
  <c r="CI115" i="22"/>
  <c r="J115" i="22" s="1"/>
  <c r="N115" i="22" s="1"/>
  <c r="L115" i="22"/>
  <c r="I115" i="22"/>
  <c r="M115" i="22" s="1"/>
  <c r="CI114" i="22"/>
  <c r="J114" i="22" s="1"/>
  <c r="K114" i="22" s="1"/>
  <c r="O114" i="22" s="1"/>
  <c r="L114" i="22"/>
  <c r="I114" i="22"/>
  <c r="M114" i="22" s="1"/>
  <c r="L113" i="22"/>
  <c r="CI112" i="22"/>
  <c r="J112" i="22" s="1"/>
  <c r="L112" i="22"/>
  <c r="I112" i="22"/>
  <c r="M112" i="22" s="1"/>
  <c r="CI111" i="22"/>
  <c r="J111" i="22" s="1"/>
  <c r="K111" i="22" s="1"/>
  <c r="O111" i="22" s="1"/>
  <c r="L111" i="22"/>
  <c r="I111" i="22"/>
  <c r="M111" i="22" s="1"/>
  <c r="CI110" i="22"/>
  <c r="CI108" i="22"/>
  <c r="J108" i="22" s="1"/>
  <c r="L108" i="22"/>
  <c r="I108" i="22"/>
  <c r="M108" i="22" s="1"/>
  <c r="CI107" i="22"/>
  <c r="J107" i="22" s="1"/>
  <c r="K107" i="22" s="1"/>
  <c r="O107" i="22" s="1"/>
  <c r="L107" i="22"/>
  <c r="I107" i="22"/>
  <c r="M107" i="22" s="1"/>
  <c r="CI106" i="22"/>
  <c r="J106" i="22" s="1"/>
  <c r="K106" i="22" s="1"/>
  <c r="O106" i="22" s="1"/>
  <c r="L106" i="22"/>
  <c r="I106" i="22"/>
  <c r="M106" i="22" s="1"/>
  <c r="L105" i="22"/>
  <c r="I105" i="22"/>
  <c r="M105" i="22" s="1"/>
  <c r="CI104" i="22"/>
  <c r="J104" i="22" s="1"/>
  <c r="N104" i="22" s="1"/>
  <c r="L104" i="22"/>
  <c r="I104" i="22"/>
  <c r="M104" i="22" s="1"/>
  <c r="CI103" i="22"/>
  <c r="J103" i="22" s="1"/>
  <c r="K103" i="22" s="1"/>
  <c r="O103" i="22" s="1"/>
  <c r="L103" i="22"/>
  <c r="I103" i="22"/>
  <c r="M103" i="22" s="1"/>
  <c r="CI102" i="22"/>
  <c r="J102" i="22" s="1"/>
  <c r="L102" i="22"/>
  <c r="I102" i="22"/>
  <c r="M102" i="22" s="1"/>
  <c r="L101" i="22"/>
  <c r="CI100" i="22"/>
  <c r="J100" i="22" s="1"/>
  <c r="N100" i="22" s="1"/>
  <c r="L100" i="22"/>
  <c r="I100" i="22"/>
  <c r="M100" i="22" s="1"/>
  <c r="CI99" i="22"/>
  <c r="J99" i="22" s="1"/>
  <c r="L99" i="22"/>
  <c r="I99" i="22"/>
  <c r="M99" i="22" s="1"/>
  <c r="CI98" i="22"/>
  <c r="L97" i="22"/>
  <c r="CI96" i="22"/>
  <c r="J96" i="22" s="1"/>
  <c r="K96" i="22" s="1"/>
  <c r="O96" i="22" s="1"/>
  <c r="L96" i="22"/>
  <c r="I96" i="22"/>
  <c r="M96" i="22" s="1"/>
  <c r="CI95" i="22"/>
  <c r="CI94" i="22"/>
  <c r="J94" i="22" s="1"/>
  <c r="L94" i="22"/>
  <c r="I94" i="22"/>
  <c r="M94" i="22" s="1"/>
  <c r="L93" i="22"/>
  <c r="CI91" i="22"/>
  <c r="J91" i="22" s="1"/>
  <c r="K91" i="22" s="1"/>
  <c r="O91" i="22" s="1"/>
  <c r="O90" i="22" s="1"/>
  <c r="L91" i="22"/>
  <c r="L90" i="22" s="1"/>
  <c r="I91" i="22"/>
  <c r="M91" i="22" s="1"/>
  <c r="M90" i="22" s="1"/>
  <c r="CI90" i="22"/>
  <c r="L89" i="22"/>
  <c r="L87" i="22" s="1"/>
  <c r="CI88" i="22"/>
  <c r="J88" i="22" s="1"/>
  <c r="N88" i="22" s="1"/>
  <c r="L88" i="22"/>
  <c r="I88" i="22"/>
  <c r="M88" i="22" s="1"/>
  <c r="CI87" i="22"/>
  <c r="CI86" i="22"/>
  <c r="J86" i="22" s="1"/>
  <c r="K86" i="22" s="1"/>
  <c r="O86" i="22" s="1"/>
  <c r="L86" i="22"/>
  <c r="I86" i="22"/>
  <c r="M86" i="22" s="1"/>
  <c r="L85" i="22"/>
  <c r="I85" i="22"/>
  <c r="M85" i="22" s="1"/>
  <c r="CI84" i="22"/>
  <c r="J84" i="22" s="1"/>
  <c r="K84" i="22" s="1"/>
  <c r="O84" i="22" s="1"/>
  <c r="L84" i="22"/>
  <c r="I84" i="22"/>
  <c r="M84" i="22" s="1"/>
  <c r="CI83" i="22"/>
  <c r="CI82" i="22"/>
  <c r="J82" i="22" s="1"/>
  <c r="N82" i="22" s="1"/>
  <c r="L82" i="22"/>
  <c r="I82" i="22"/>
  <c r="M82" i="22" s="1"/>
  <c r="L81" i="22"/>
  <c r="I81" i="22"/>
  <c r="M81" i="22" s="1"/>
  <c r="CI80" i="22"/>
  <c r="J80" i="22" s="1"/>
  <c r="L80" i="22"/>
  <c r="I80" i="22"/>
  <c r="M80" i="22" s="1"/>
  <c r="CI79" i="22"/>
  <c r="J79" i="22" s="1"/>
  <c r="L79" i="22"/>
  <c r="I79" i="22"/>
  <c r="M79" i="22" s="1"/>
  <c r="CI78" i="22"/>
  <c r="CI76" i="22"/>
  <c r="J76" i="22" s="1"/>
  <c r="L76" i="22"/>
  <c r="L75" i="22" s="1"/>
  <c r="I76" i="22"/>
  <c r="M76" i="22" s="1"/>
  <c r="M75" i="22" s="1"/>
  <c r="CI74" i="22"/>
  <c r="J74" i="22" s="1"/>
  <c r="N74" i="22" s="1"/>
  <c r="L74" i="22"/>
  <c r="I74" i="22"/>
  <c r="M74" i="22" s="1"/>
  <c r="CI73" i="22"/>
  <c r="J73" i="22" s="1"/>
  <c r="N73" i="22" s="1"/>
  <c r="L73" i="22"/>
  <c r="CI72" i="22"/>
  <c r="CI71" i="22"/>
  <c r="J71" i="22" s="1"/>
  <c r="L71" i="22"/>
  <c r="L70" i="22" s="1"/>
  <c r="I71" i="22"/>
  <c r="M71" i="22" s="1"/>
  <c r="M70" i="22" s="1"/>
  <c r="CI70" i="22"/>
  <c r="CI68" i="22"/>
  <c r="J68" i="22" s="1"/>
  <c r="L68" i="22"/>
  <c r="L67" i="22" s="1"/>
  <c r="I68" i="22"/>
  <c r="M68" i="22" s="1"/>
  <c r="M67" i="22" s="1"/>
  <c r="CI67" i="22"/>
  <c r="CI66" i="22"/>
  <c r="J66" i="22" s="1"/>
  <c r="L66" i="22"/>
  <c r="I66" i="22"/>
  <c r="M66" i="22" s="1"/>
  <c r="L65" i="22"/>
  <c r="CI64" i="22"/>
  <c r="J64" i="22" s="1"/>
  <c r="K64" i="22" s="1"/>
  <c r="O64" i="22" s="1"/>
  <c r="L64" i="22"/>
  <c r="I64" i="22"/>
  <c r="M64" i="22" s="1"/>
  <c r="CI63" i="22"/>
  <c r="J63" i="22" s="1"/>
  <c r="L63" i="22"/>
  <c r="I63" i="22"/>
  <c r="M63" i="22" s="1"/>
  <c r="CI62" i="22"/>
  <c r="L61" i="22"/>
  <c r="I61" i="22"/>
  <c r="M61" i="22" s="1"/>
  <c r="CI60" i="22"/>
  <c r="J60" i="22" s="1"/>
  <c r="L60" i="22"/>
  <c r="I60" i="22"/>
  <c r="M60" i="22" s="1"/>
  <c r="CI59" i="22"/>
  <c r="J59" i="22" s="1"/>
  <c r="L59" i="22"/>
  <c r="I59" i="22"/>
  <c r="M59" i="22" s="1"/>
  <c r="CI58" i="22"/>
  <c r="J58" i="22" s="1"/>
  <c r="L58" i="22"/>
  <c r="I58" i="22"/>
  <c r="M58" i="22" s="1"/>
  <c r="CI56" i="22"/>
  <c r="J56" i="22" s="1"/>
  <c r="K56" i="22" s="1"/>
  <c r="O56" i="22" s="1"/>
  <c r="L56" i="22"/>
  <c r="I56" i="22"/>
  <c r="M56" i="22" s="1"/>
  <c r="CI55" i="22"/>
  <c r="J55" i="22" s="1"/>
  <c r="N55" i="22" s="1"/>
  <c r="P55" i="22" s="1"/>
  <c r="L55" i="22"/>
  <c r="I55" i="22"/>
  <c r="M55" i="22" s="1"/>
  <c r="CI54" i="22"/>
  <c r="J54" i="22" s="1"/>
  <c r="K54" i="22" s="1"/>
  <c r="O54" i="22" s="1"/>
  <c r="L54" i="22"/>
  <c r="I54" i="22"/>
  <c r="M54" i="22" s="1"/>
  <c r="L53" i="22"/>
  <c r="CI52" i="22"/>
  <c r="J52" i="22" s="1"/>
  <c r="L52" i="22"/>
  <c r="I52" i="22"/>
  <c r="M52" i="22" s="1"/>
  <c r="CI51" i="22"/>
  <c r="CI50" i="22"/>
  <c r="J50" i="22" s="1"/>
  <c r="K50" i="22" s="1"/>
  <c r="O50" i="22" s="1"/>
  <c r="L50" i="22"/>
  <c r="I50" i="22"/>
  <c r="M50" i="22" s="1"/>
  <c r="L49" i="22"/>
  <c r="CI48" i="22"/>
  <c r="J48" i="22" s="1"/>
  <c r="L48" i="22"/>
  <c r="I48" i="22"/>
  <c r="M48" i="22" s="1"/>
  <c r="L47" i="22"/>
  <c r="CI46" i="22"/>
  <c r="I46" i="22"/>
  <c r="F46" i="22"/>
  <c r="CI44" i="22"/>
  <c r="J44" i="22" s="1"/>
  <c r="K44" i="22" s="1"/>
  <c r="O44" i="22" s="1"/>
  <c r="L44" i="22"/>
  <c r="I44" i="22"/>
  <c r="M44" i="22" s="1"/>
  <c r="CI43" i="22"/>
  <c r="J43" i="22" s="1"/>
  <c r="L43" i="22"/>
  <c r="I43" i="22"/>
  <c r="M43" i="22" s="1"/>
  <c r="CI42" i="22"/>
  <c r="J42" i="22" s="1"/>
  <c r="K42" i="22" s="1"/>
  <c r="O42" i="22" s="1"/>
  <c r="L42" i="22"/>
  <c r="I42" i="22"/>
  <c r="M42" i="22" s="1"/>
  <c r="L41" i="22"/>
  <c r="CI40" i="22"/>
  <c r="J40" i="22" s="1"/>
  <c r="L40" i="22"/>
  <c r="I40" i="22"/>
  <c r="M40" i="22" s="1"/>
  <c r="CI39" i="22"/>
  <c r="I39" i="22"/>
  <c r="CI38" i="22"/>
  <c r="J38" i="22" s="1"/>
  <c r="L38" i="22"/>
  <c r="I38" i="22"/>
  <c r="M38" i="22" s="1"/>
  <c r="L37" i="22"/>
  <c r="I37" i="22"/>
  <c r="M37" i="22" s="1"/>
  <c r="CI36" i="22"/>
  <c r="J36" i="22" s="1"/>
  <c r="K36" i="22" s="1"/>
  <c r="O36" i="22" s="1"/>
  <c r="L36" i="22"/>
  <c r="I36" i="22"/>
  <c r="M36" i="22" s="1"/>
  <c r="L35" i="22"/>
  <c r="I35" i="22"/>
  <c r="M35" i="22" s="1"/>
  <c r="CI34" i="22"/>
  <c r="J34" i="22" s="1"/>
  <c r="L34" i="22"/>
  <c r="I34" i="22"/>
  <c r="M34" i="22" s="1"/>
  <c r="CI32" i="22"/>
  <c r="CI31" i="22"/>
  <c r="J31" i="22" s="1"/>
  <c r="N31" i="22" s="1"/>
  <c r="L31" i="22"/>
  <c r="I31" i="22"/>
  <c r="M31" i="22" s="1"/>
  <c r="CI30" i="22"/>
  <c r="J30" i="22" s="1"/>
  <c r="L30" i="22"/>
  <c r="I30" i="22"/>
  <c r="M30" i="22" s="1"/>
  <c r="L29" i="22"/>
  <c r="I29" i="22"/>
  <c r="M29" i="22" s="1"/>
  <c r="CI28" i="22"/>
  <c r="J28" i="22" s="1"/>
  <c r="N28" i="22" s="1"/>
  <c r="L28" i="22"/>
  <c r="I28" i="22"/>
  <c r="M28" i="22" s="1"/>
  <c r="CI27" i="22"/>
  <c r="J27" i="22" s="1"/>
  <c r="L27" i="22"/>
  <c r="I27" i="22"/>
  <c r="M27" i="22" s="1"/>
  <c r="CI26" i="22"/>
  <c r="L25" i="22"/>
  <c r="CI24" i="22"/>
  <c r="J24" i="22" s="1"/>
  <c r="K24" i="22" s="1"/>
  <c r="O24" i="22" s="1"/>
  <c r="L24" i="22"/>
  <c r="I24" i="22"/>
  <c r="M24" i="22" s="1"/>
  <c r="CI23" i="22"/>
  <c r="J23" i="22" s="1"/>
  <c r="K23" i="22" s="1"/>
  <c r="O23" i="22" s="1"/>
  <c r="L23" i="22"/>
  <c r="I23" i="22"/>
  <c r="M23" i="22" s="1"/>
  <c r="CI22" i="22"/>
  <c r="J22" i="22" s="1"/>
  <c r="K22" i="22" s="1"/>
  <c r="O22" i="22" s="1"/>
  <c r="L22" i="22"/>
  <c r="I22" i="22"/>
  <c r="M22" i="22" s="1"/>
  <c r="L21" i="22"/>
  <c r="CI20" i="22"/>
  <c r="J20" i="22" s="1"/>
  <c r="K20" i="22" s="1"/>
  <c r="O20" i="22" s="1"/>
  <c r="L20" i="22"/>
  <c r="I20" i="22"/>
  <c r="M20" i="22" s="1"/>
  <c r="CI19" i="22"/>
  <c r="J19" i="22" s="1"/>
  <c r="L19" i="22"/>
  <c r="I19" i="22"/>
  <c r="M19" i="22" s="1"/>
  <c r="CI18" i="22"/>
  <c r="J18" i="22" s="1"/>
  <c r="N18" i="22" s="1"/>
  <c r="L18" i="22"/>
  <c r="I18" i="22"/>
  <c r="M18" i="22" s="1"/>
  <c r="L17" i="22"/>
  <c r="CI16" i="22"/>
  <c r="J16" i="22" s="1"/>
  <c r="L16" i="22"/>
  <c r="I16" i="22"/>
  <c r="M16" i="22" s="1"/>
  <c r="CI15" i="22"/>
  <c r="J15" i="22" s="1"/>
  <c r="L15" i="22"/>
  <c r="I15" i="22"/>
  <c r="M15" i="22" s="1"/>
  <c r="CI14" i="22"/>
  <c r="H8" i="22"/>
  <c r="AE8" i="22" s="1"/>
  <c r="AF6" i="22"/>
  <c r="CI284" i="21"/>
  <c r="J284" i="21" s="1"/>
  <c r="K284" i="21" s="1"/>
  <c r="I284" i="21"/>
  <c r="L283" i="21"/>
  <c r="L282" i="21"/>
  <c r="L281" i="21"/>
  <c r="L280" i="21"/>
  <c r="L279" i="21"/>
  <c r="L277" i="21"/>
  <c r="L276" i="21"/>
  <c r="L274" i="21"/>
  <c r="L273" i="21"/>
  <c r="L272" i="21"/>
  <c r="L271" i="21"/>
  <c r="L270" i="21"/>
  <c r="L267" i="21"/>
  <c r="L266" i="21"/>
  <c r="L265" i="21"/>
  <c r="L264" i="21"/>
  <c r="L263" i="21"/>
  <c r="L262" i="21"/>
  <c r="L261" i="21"/>
  <c r="L260" i="21"/>
  <c r="L258" i="21"/>
  <c r="L257" i="21"/>
  <c r="L256" i="21"/>
  <c r="L255" i="21"/>
  <c r="L254" i="21"/>
  <c r="L253" i="21"/>
  <c r="L251" i="21"/>
  <c r="L250" i="21"/>
  <c r="L249" i="21"/>
  <c r="L248" i="21"/>
  <c r="L246" i="21"/>
  <c r="L245" i="21"/>
  <c r="L244" i="21"/>
  <c r="L243" i="21"/>
  <c r="L242" i="21"/>
  <c r="L241" i="21"/>
  <c r="L240" i="21"/>
  <c r="L239" i="21"/>
  <c r="L238" i="21"/>
  <c r="L237" i="21"/>
  <c r="L236" i="21"/>
  <c r="L235" i="21"/>
  <c r="L234" i="21"/>
  <c r="L233" i="21"/>
  <c r="L232" i="21"/>
  <c r="L231" i="21"/>
  <c r="L230" i="21"/>
  <c r="L229" i="21"/>
  <c r="L228" i="21"/>
  <c r="L227" i="21"/>
  <c r="L226" i="21"/>
  <c r="F225" i="21"/>
  <c r="L224" i="21"/>
  <c r="L223" i="21"/>
  <c r="L222" i="21"/>
  <c r="L221" i="21"/>
  <c r="L220" i="21"/>
  <c r="L219" i="21"/>
  <c r="L218" i="21"/>
  <c r="L217" i="21"/>
  <c r="L216" i="21"/>
  <c r="L213" i="21"/>
  <c r="L212" i="21"/>
  <c r="L211" i="21"/>
  <c r="L210" i="21"/>
  <c r="L209" i="21"/>
  <c r="L207" i="21"/>
  <c r="L206" i="21"/>
  <c r="L205" i="21"/>
  <c r="L204" i="21"/>
  <c r="L203" i="21"/>
  <c r="L202" i="21"/>
  <c r="L201" i="21"/>
  <c r="L200" i="21"/>
  <c r="L199" i="21"/>
  <c r="L198" i="21"/>
  <c r="L197" i="21"/>
  <c r="L196" i="21"/>
  <c r="L195" i="21"/>
  <c r="L193" i="21"/>
  <c r="L192" i="21"/>
  <c r="L191" i="21"/>
  <c r="L189" i="21"/>
  <c r="L188" i="21"/>
  <c r="L187" i="21"/>
  <c r="L186" i="21"/>
  <c r="L185" i="21"/>
  <c r="L184" i="21"/>
  <c r="L183" i="21"/>
  <c r="L182" i="21"/>
  <c r="L181" i="21" s="1"/>
  <c r="L180" i="21"/>
  <c r="BT180" i="21" s="1"/>
  <c r="I180" i="21"/>
  <c r="M180" i="21" s="1"/>
  <c r="CI179" i="21"/>
  <c r="J179" i="21" s="1"/>
  <c r="L179" i="21"/>
  <c r="BT179" i="21" s="1"/>
  <c r="I179" i="21"/>
  <c r="M179" i="21" s="1"/>
  <c r="CI178" i="21"/>
  <c r="J178" i="21" s="1"/>
  <c r="K178" i="21" s="1"/>
  <c r="O178" i="21" s="1"/>
  <c r="L178" i="21"/>
  <c r="BT178" i="21" s="1"/>
  <c r="I178" i="21"/>
  <c r="M178" i="21" s="1"/>
  <c r="L177" i="21"/>
  <c r="BT177" i="21" s="1"/>
  <c r="CI176" i="21"/>
  <c r="J176" i="21" s="1"/>
  <c r="L176" i="21"/>
  <c r="BT176" i="21" s="1"/>
  <c r="CI175" i="21"/>
  <c r="J175" i="21" s="1"/>
  <c r="L175" i="21"/>
  <c r="BT175" i="21" s="1"/>
  <c r="I175" i="21"/>
  <c r="M175" i="21" s="1"/>
  <c r="CI174" i="21"/>
  <c r="J174" i="21" s="1"/>
  <c r="L174" i="21"/>
  <c r="BT174" i="21" s="1"/>
  <c r="I174" i="21"/>
  <c r="M174" i="21" s="1"/>
  <c r="L173" i="21"/>
  <c r="BT173" i="21" s="1"/>
  <c r="CI172" i="21"/>
  <c r="J172" i="21" s="1"/>
  <c r="N172" i="21" s="1"/>
  <c r="L172" i="21"/>
  <c r="BT172" i="21" s="1"/>
  <c r="CI171" i="21"/>
  <c r="J171" i="21" s="1"/>
  <c r="K171" i="21" s="1"/>
  <c r="O171" i="21" s="1"/>
  <c r="L171" i="21"/>
  <c r="BT171" i="21" s="1"/>
  <c r="I171" i="21"/>
  <c r="M171" i="21" s="1"/>
  <c r="CI167" i="21"/>
  <c r="J167" i="21" s="1"/>
  <c r="L167" i="21"/>
  <c r="I167" i="21"/>
  <c r="M167" i="21" s="1"/>
  <c r="CI166" i="21"/>
  <c r="J166" i="21" s="1"/>
  <c r="N166" i="21" s="1"/>
  <c r="L166" i="21"/>
  <c r="I166" i="21"/>
  <c r="M166" i="21" s="1"/>
  <c r="CI165" i="21"/>
  <c r="J165" i="21" s="1"/>
  <c r="K165" i="21" s="1"/>
  <c r="O165" i="21" s="1"/>
  <c r="L165" i="21"/>
  <c r="I165" i="21"/>
  <c r="M165" i="21" s="1"/>
  <c r="CI164" i="21"/>
  <c r="J164" i="21" s="1"/>
  <c r="K164" i="21" s="1"/>
  <c r="O164" i="21" s="1"/>
  <c r="L164" i="21"/>
  <c r="I164" i="21"/>
  <c r="M164" i="21" s="1"/>
  <c r="CI163" i="21"/>
  <c r="J163" i="21" s="1"/>
  <c r="L163" i="21"/>
  <c r="I163" i="21"/>
  <c r="M163" i="21" s="1"/>
  <c r="L162" i="21"/>
  <c r="L161" i="21"/>
  <c r="CI160" i="21"/>
  <c r="J160" i="21" s="1"/>
  <c r="K160" i="21" s="1"/>
  <c r="O160" i="21" s="1"/>
  <c r="L160" i="21"/>
  <c r="I160" i="21"/>
  <c r="M160" i="21" s="1"/>
  <c r="CI159" i="21"/>
  <c r="J159" i="21" s="1"/>
  <c r="L159" i="21"/>
  <c r="I159" i="21"/>
  <c r="M159" i="21" s="1"/>
  <c r="CI158" i="21"/>
  <c r="J158" i="21" s="1"/>
  <c r="L158" i="21"/>
  <c r="I158" i="21"/>
  <c r="M158" i="21" s="1"/>
  <c r="CI157" i="21"/>
  <c r="J157" i="21" s="1"/>
  <c r="L157" i="21"/>
  <c r="I157" i="21"/>
  <c r="M157" i="21" s="1"/>
  <c r="CI156" i="21"/>
  <c r="J156" i="21" s="1"/>
  <c r="L156" i="21"/>
  <c r="I156" i="21"/>
  <c r="M156" i="21" s="1"/>
  <c r="CI155" i="21"/>
  <c r="J155" i="21" s="1"/>
  <c r="L155" i="21"/>
  <c r="I155" i="21"/>
  <c r="M155" i="21" s="1"/>
  <c r="CI154" i="21"/>
  <c r="J154" i="21" s="1"/>
  <c r="N154" i="21" s="1"/>
  <c r="L154" i="21"/>
  <c r="I154" i="21"/>
  <c r="M154" i="21" s="1"/>
  <c r="L153" i="21"/>
  <c r="L151" i="21"/>
  <c r="L150" i="21"/>
  <c r="CI149" i="21"/>
  <c r="J149" i="21" s="1"/>
  <c r="N149" i="21" s="1"/>
  <c r="L149" i="21"/>
  <c r="I149" i="21"/>
  <c r="M149" i="21" s="1"/>
  <c r="CI148" i="21"/>
  <c r="J148" i="21" s="1"/>
  <c r="L148" i="21"/>
  <c r="I148" i="21"/>
  <c r="M148" i="21" s="1"/>
  <c r="L147" i="21"/>
  <c r="L146" i="21"/>
  <c r="I146" i="21"/>
  <c r="M146" i="21" s="1"/>
  <c r="CI145" i="21"/>
  <c r="J145" i="21" s="1"/>
  <c r="N145" i="21" s="1"/>
  <c r="L145" i="21"/>
  <c r="I145" i="21"/>
  <c r="M145" i="21" s="1"/>
  <c r="CI144" i="21"/>
  <c r="J144" i="21" s="1"/>
  <c r="L144" i="21"/>
  <c r="I144" i="21"/>
  <c r="M144" i="21" s="1"/>
  <c r="L143" i="21"/>
  <c r="L142" i="21"/>
  <c r="CI141" i="21"/>
  <c r="J141" i="21" s="1"/>
  <c r="N141" i="21" s="1"/>
  <c r="L141" i="21"/>
  <c r="I141" i="21"/>
  <c r="M141" i="21" s="1"/>
  <c r="CI140" i="21"/>
  <c r="J140" i="21" s="1"/>
  <c r="N140" i="21" s="1"/>
  <c r="L140" i="21"/>
  <c r="I140" i="21"/>
  <c r="M140" i="21" s="1"/>
  <c r="L139" i="21"/>
  <c r="CI138" i="21"/>
  <c r="J138" i="21" s="1"/>
  <c r="K138" i="21" s="1"/>
  <c r="O138" i="21" s="1"/>
  <c r="L138" i="21"/>
  <c r="CI137" i="21"/>
  <c r="J137" i="21" s="1"/>
  <c r="L137" i="21"/>
  <c r="I137" i="21"/>
  <c r="M137" i="21" s="1"/>
  <c r="CI136" i="21"/>
  <c r="J136" i="21" s="1"/>
  <c r="L136" i="21"/>
  <c r="I136" i="21"/>
  <c r="M136" i="21" s="1"/>
  <c r="L135" i="21"/>
  <c r="L134" i="21"/>
  <c r="CI133" i="21"/>
  <c r="J133" i="21" s="1"/>
  <c r="K133" i="21" s="1"/>
  <c r="O133" i="21" s="1"/>
  <c r="L133" i="21"/>
  <c r="I133" i="21"/>
  <c r="M133" i="21" s="1"/>
  <c r="CI132" i="21"/>
  <c r="J132" i="21" s="1"/>
  <c r="N132" i="21" s="1"/>
  <c r="L132" i="21"/>
  <c r="I132" i="21"/>
  <c r="M132" i="21" s="1"/>
  <c r="L131" i="21"/>
  <c r="CI128" i="21"/>
  <c r="J128" i="21" s="1"/>
  <c r="K128" i="21" s="1"/>
  <c r="O128" i="21" s="1"/>
  <c r="L128" i="21"/>
  <c r="I128" i="21"/>
  <c r="M128" i="21" s="1"/>
  <c r="CI127" i="21"/>
  <c r="J127" i="21" s="1"/>
  <c r="N127" i="21" s="1"/>
  <c r="L127" i="21"/>
  <c r="I127" i="21"/>
  <c r="M127" i="21" s="1"/>
  <c r="CI126" i="21"/>
  <c r="J126" i="21" s="1"/>
  <c r="N126" i="21" s="1"/>
  <c r="L126" i="21"/>
  <c r="I126" i="21"/>
  <c r="M126" i="21" s="1"/>
  <c r="CI125" i="21"/>
  <c r="J125" i="21" s="1"/>
  <c r="K125" i="21" s="1"/>
  <c r="O125" i="21" s="1"/>
  <c r="L125" i="21"/>
  <c r="I125" i="21"/>
  <c r="M125" i="21" s="1"/>
  <c r="CI124" i="21"/>
  <c r="J124" i="21" s="1"/>
  <c r="K124" i="21" s="1"/>
  <c r="O124" i="21" s="1"/>
  <c r="L124" i="21"/>
  <c r="I124" i="21"/>
  <c r="M124" i="21" s="1"/>
  <c r="CI123" i="21"/>
  <c r="J123" i="21" s="1"/>
  <c r="K123" i="21" s="1"/>
  <c r="O123" i="21" s="1"/>
  <c r="L123" i="21"/>
  <c r="I123" i="21"/>
  <c r="M123" i="21" s="1"/>
  <c r="CI122" i="21"/>
  <c r="J122" i="21" s="1"/>
  <c r="L122" i="21"/>
  <c r="I122" i="21"/>
  <c r="M122" i="21" s="1"/>
  <c r="CI121" i="21"/>
  <c r="J121" i="21" s="1"/>
  <c r="K121" i="21" s="1"/>
  <c r="O121" i="21" s="1"/>
  <c r="L121" i="21"/>
  <c r="I121" i="21"/>
  <c r="M121" i="21" s="1"/>
  <c r="CI120" i="21"/>
  <c r="CI119" i="21"/>
  <c r="J119" i="21" s="1"/>
  <c r="L119" i="21"/>
  <c r="I119" i="21"/>
  <c r="M119" i="21" s="1"/>
  <c r="CI118" i="21"/>
  <c r="J118" i="21" s="1"/>
  <c r="K118" i="21" s="1"/>
  <c r="O118" i="21" s="1"/>
  <c r="L118" i="21"/>
  <c r="I118" i="21"/>
  <c r="M118" i="21" s="1"/>
  <c r="CI117" i="21"/>
  <c r="J117" i="21" s="1"/>
  <c r="K117" i="21" s="1"/>
  <c r="O117" i="21" s="1"/>
  <c r="L117" i="21"/>
  <c r="I117" i="21"/>
  <c r="M117" i="21" s="1"/>
  <c r="CI116" i="21"/>
  <c r="CI115" i="21"/>
  <c r="J115" i="21" s="1"/>
  <c r="L115" i="21"/>
  <c r="I115" i="21"/>
  <c r="M115" i="21" s="1"/>
  <c r="CI114" i="21"/>
  <c r="J114" i="21" s="1"/>
  <c r="L114" i="21"/>
  <c r="I114" i="21"/>
  <c r="M114" i="21" s="1"/>
  <c r="CI113" i="21"/>
  <c r="J113" i="21" s="1"/>
  <c r="L113" i="21"/>
  <c r="I113" i="21"/>
  <c r="M113" i="21" s="1"/>
  <c r="CI112" i="21"/>
  <c r="J112" i="21" s="1"/>
  <c r="L112" i="21"/>
  <c r="I112" i="21"/>
  <c r="M112" i="21" s="1"/>
  <c r="CI111" i="21"/>
  <c r="J111" i="21" s="1"/>
  <c r="K111" i="21" s="1"/>
  <c r="O111" i="21" s="1"/>
  <c r="L111" i="21"/>
  <c r="I111" i="21"/>
  <c r="M111" i="21" s="1"/>
  <c r="CI110" i="21"/>
  <c r="CI109" i="21"/>
  <c r="CI108" i="21"/>
  <c r="J108" i="21" s="1"/>
  <c r="L108" i="21"/>
  <c r="I108" i="21"/>
  <c r="M108" i="21" s="1"/>
  <c r="CI107" i="21"/>
  <c r="J107" i="21" s="1"/>
  <c r="K107" i="21" s="1"/>
  <c r="O107" i="21" s="1"/>
  <c r="L107" i="21"/>
  <c r="I107" i="21"/>
  <c r="M107" i="21" s="1"/>
  <c r="CI106" i="21"/>
  <c r="J106" i="21" s="1"/>
  <c r="L106" i="21"/>
  <c r="I106" i="21"/>
  <c r="M106" i="21" s="1"/>
  <c r="CI105" i="21"/>
  <c r="J105" i="21" s="1"/>
  <c r="L105" i="21"/>
  <c r="I105" i="21"/>
  <c r="M105" i="21" s="1"/>
  <c r="CI104" i="21"/>
  <c r="J104" i="21" s="1"/>
  <c r="K104" i="21" s="1"/>
  <c r="O104" i="21" s="1"/>
  <c r="L104" i="21"/>
  <c r="I104" i="21"/>
  <c r="M104" i="21" s="1"/>
  <c r="CI103" i="21"/>
  <c r="J103" i="21" s="1"/>
  <c r="L103" i="21"/>
  <c r="I103" i="21"/>
  <c r="M103" i="21" s="1"/>
  <c r="CI102" i="21"/>
  <c r="J102" i="21" s="1"/>
  <c r="L102" i="21"/>
  <c r="I102" i="21"/>
  <c r="M102" i="21" s="1"/>
  <c r="CI101" i="21"/>
  <c r="J101" i="21" s="1"/>
  <c r="K101" i="21" s="1"/>
  <c r="O101" i="21" s="1"/>
  <c r="L101" i="21"/>
  <c r="I101" i="21"/>
  <c r="M101" i="21" s="1"/>
  <c r="CI100" i="21"/>
  <c r="J100" i="21" s="1"/>
  <c r="N100" i="21" s="1"/>
  <c r="L100" i="21"/>
  <c r="I100" i="21"/>
  <c r="M100" i="21" s="1"/>
  <c r="CI99" i="21"/>
  <c r="J99" i="21" s="1"/>
  <c r="N99" i="21" s="1"/>
  <c r="L99" i="21"/>
  <c r="I99" i="21"/>
  <c r="M99" i="21" s="1"/>
  <c r="CI97" i="21"/>
  <c r="J97" i="21" s="1"/>
  <c r="K97" i="21" s="1"/>
  <c r="O97" i="21" s="1"/>
  <c r="L97" i="21"/>
  <c r="I97" i="21"/>
  <c r="M97" i="21" s="1"/>
  <c r="L96" i="21"/>
  <c r="CI94" i="21"/>
  <c r="J94" i="21" s="1"/>
  <c r="N94" i="21" s="1"/>
  <c r="L94" i="21"/>
  <c r="I94" i="21"/>
  <c r="M94" i="21" s="1"/>
  <c r="CI93" i="21"/>
  <c r="J93" i="21" s="1"/>
  <c r="L93" i="21"/>
  <c r="I93" i="21"/>
  <c r="M93" i="21" s="1"/>
  <c r="CI92" i="21"/>
  <c r="CI91" i="21"/>
  <c r="J91" i="21" s="1"/>
  <c r="L91" i="21"/>
  <c r="L90" i="21" s="1"/>
  <c r="I91" i="21"/>
  <c r="M91" i="21" s="1"/>
  <c r="M90" i="21" s="1"/>
  <c r="CI90" i="21"/>
  <c r="CI89" i="21"/>
  <c r="J89" i="21" s="1"/>
  <c r="K89" i="21" s="1"/>
  <c r="O89" i="21" s="1"/>
  <c r="O87" i="21" s="1"/>
  <c r="L89" i="21"/>
  <c r="L87" i="21" s="1"/>
  <c r="I89" i="21"/>
  <c r="M89" i="21" s="1"/>
  <c r="M87" i="21" s="1"/>
  <c r="CI88" i="21"/>
  <c r="J88" i="21" s="1"/>
  <c r="L88" i="21"/>
  <c r="I88" i="21"/>
  <c r="M88" i="21" s="1"/>
  <c r="CI87" i="21"/>
  <c r="CI86" i="21"/>
  <c r="J86" i="21" s="1"/>
  <c r="L86" i="21"/>
  <c r="I86" i="21"/>
  <c r="M86" i="21" s="1"/>
  <c r="CI85" i="21"/>
  <c r="J85" i="21" s="1"/>
  <c r="N85" i="21" s="1"/>
  <c r="L85" i="21"/>
  <c r="I85" i="21"/>
  <c r="M85" i="21" s="1"/>
  <c r="CI84" i="21"/>
  <c r="J84" i="21" s="1"/>
  <c r="N84" i="21" s="1"/>
  <c r="L84" i="21"/>
  <c r="I84" i="21"/>
  <c r="M84" i="21" s="1"/>
  <c r="CI83" i="21"/>
  <c r="CI82" i="21"/>
  <c r="J82" i="21" s="1"/>
  <c r="L82" i="21"/>
  <c r="I82" i="21"/>
  <c r="M82" i="21" s="1"/>
  <c r="CI81" i="21"/>
  <c r="J81" i="21" s="1"/>
  <c r="K81" i="21" s="1"/>
  <c r="O81" i="21" s="1"/>
  <c r="L81" i="21"/>
  <c r="I81" i="21"/>
  <c r="M81" i="21" s="1"/>
  <c r="CI80" i="21"/>
  <c r="J80" i="21" s="1"/>
  <c r="N80" i="21" s="1"/>
  <c r="L80" i="21"/>
  <c r="I80" i="21"/>
  <c r="M80" i="21" s="1"/>
  <c r="CI79" i="21"/>
  <c r="J79" i="21" s="1"/>
  <c r="N79" i="21" s="1"/>
  <c r="L79" i="21"/>
  <c r="I79" i="21"/>
  <c r="M79" i="21" s="1"/>
  <c r="CI76" i="21"/>
  <c r="J76" i="21" s="1"/>
  <c r="L76" i="21"/>
  <c r="L75" i="21" s="1"/>
  <c r="I76" i="21"/>
  <c r="M76" i="21" s="1"/>
  <c r="M75" i="21" s="1"/>
  <c r="CI75" i="21"/>
  <c r="CI74" i="21"/>
  <c r="J74" i="21" s="1"/>
  <c r="L74" i="21"/>
  <c r="I74" i="21"/>
  <c r="M74" i="21" s="1"/>
  <c r="L73" i="21"/>
  <c r="CI72" i="21"/>
  <c r="CI71" i="21"/>
  <c r="J71" i="21" s="1"/>
  <c r="N71" i="21" s="1"/>
  <c r="N70" i="21" s="1"/>
  <c r="L71" i="21"/>
  <c r="L70" i="21" s="1"/>
  <c r="I71" i="21"/>
  <c r="M71" i="21" s="1"/>
  <c r="M70" i="21" s="1"/>
  <c r="CI69" i="21"/>
  <c r="L68" i="21"/>
  <c r="L67" i="21" s="1"/>
  <c r="CI67" i="21"/>
  <c r="CI66" i="21"/>
  <c r="J66" i="21" s="1"/>
  <c r="L66" i="21"/>
  <c r="I66" i="21"/>
  <c r="M66" i="21" s="1"/>
  <c r="CI65" i="21"/>
  <c r="J65" i="21" s="1"/>
  <c r="L65" i="21"/>
  <c r="I65" i="21"/>
  <c r="M65" i="21" s="1"/>
  <c r="CI64" i="21"/>
  <c r="J64" i="21" s="1"/>
  <c r="K64" i="21" s="1"/>
  <c r="O64" i="21" s="1"/>
  <c r="L64" i="21"/>
  <c r="I64" i="21"/>
  <c r="M64" i="21" s="1"/>
  <c r="CI63" i="21"/>
  <c r="J63" i="21" s="1"/>
  <c r="N63" i="21" s="1"/>
  <c r="L63" i="21"/>
  <c r="I63" i="21"/>
  <c r="M63" i="21" s="1"/>
  <c r="CI62" i="21"/>
  <c r="CI61" i="21"/>
  <c r="J61" i="21" s="1"/>
  <c r="N61" i="21" s="1"/>
  <c r="L61" i="21"/>
  <c r="I61" i="21"/>
  <c r="M61" i="21" s="1"/>
  <c r="CI60" i="21"/>
  <c r="J60" i="21" s="1"/>
  <c r="N60" i="21" s="1"/>
  <c r="L60" i="21"/>
  <c r="I60" i="21"/>
  <c r="M60" i="21" s="1"/>
  <c r="CI59" i="21"/>
  <c r="J59" i="21" s="1"/>
  <c r="L59" i="21"/>
  <c r="I59" i="21"/>
  <c r="M59" i="21" s="1"/>
  <c r="CI58" i="21"/>
  <c r="J58" i="21" s="1"/>
  <c r="K58" i="21" s="1"/>
  <c r="O58" i="21" s="1"/>
  <c r="L58" i="21"/>
  <c r="I58" i="21"/>
  <c r="M58" i="21" s="1"/>
  <c r="CI57" i="21"/>
  <c r="CI56" i="21"/>
  <c r="J56" i="21" s="1"/>
  <c r="L56" i="21"/>
  <c r="I56" i="21"/>
  <c r="M56" i="21" s="1"/>
  <c r="L55" i="21"/>
  <c r="CI54" i="21"/>
  <c r="J54" i="21" s="1"/>
  <c r="N54" i="21" s="1"/>
  <c r="L54" i="21"/>
  <c r="I54" i="21"/>
  <c r="M54" i="21" s="1"/>
  <c r="L53" i="21"/>
  <c r="L52" i="21"/>
  <c r="CI50" i="21"/>
  <c r="J50" i="21" s="1"/>
  <c r="K50" i="21" s="1"/>
  <c r="O50" i="21" s="1"/>
  <c r="L50" i="21"/>
  <c r="I50" i="21"/>
  <c r="M50" i="21" s="1"/>
  <c r="CI49" i="21"/>
  <c r="J49" i="21" s="1"/>
  <c r="K49" i="21" s="1"/>
  <c r="O49" i="21" s="1"/>
  <c r="L49" i="21"/>
  <c r="I49" i="21"/>
  <c r="M49" i="21" s="1"/>
  <c r="CI48" i="21"/>
  <c r="J48" i="21" s="1"/>
  <c r="N48" i="21" s="1"/>
  <c r="L48" i="21"/>
  <c r="I48" i="21"/>
  <c r="M48" i="21" s="1"/>
  <c r="CI47" i="21"/>
  <c r="J47" i="21" s="1"/>
  <c r="K47" i="21" s="1"/>
  <c r="O47" i="21" s="1"/>
  <c r="L47" i="21"/>
  <c r="I47" i="21"/>
  <c r="M47" i="21" s="1"/>
  <c r="F46" i="21"/>
  <c r="CI44" i="21"/>
  <c r="J44" i="21" s="1"/>
  <c r="K44" i="21" s="1"/>
  <c r="O44" i="21" s="1"/>
  <c r="L44" i="21"/>
  <c r="I44" i="21"/>
  <c r="M44" i="21" s="1"/>
  <c r="CI43" i="21"/>
  <c r="J43" i="21" s="1"/>
  <c r="N43" i="21" s="1"/>
  <c r="L43" i="21"/>
  <c r="I43" i="21"/>
  <c r="M43" i="21" s="1"/>
  <c r="CI42" i="21"/>
  <c r="J42" i="21" s="1"/>
  <c r="K42" i="21" s="1"/>
  <c r="O42" i="21" s="1"/>
  <c r="L42" i="21"/>
  <c r="I42" i="21"/>
  <c r="M42" i="21" s="1"/>
  <c r="CI41" i="21"/>
  <c r="J41" i="21" s="1"/>
  <c r="L41" i="21"/>
  <c r="I41" i="21"/>
  <c r="M41" i="21" s="1"/>
  <c r="CI40" i="21"/>
  <c r="J40" i="21" s="1"/>
  <c r="N40" i="21" s="1"/>
  <c r="L40" i="21"/>
  <c r="I40" i="21"/>
  <c r="M40" i="21" s="1"/>
  <c r="CI39" i="21"/>
  <c r="I39" i="21"/>
  <c r="CI38" i="21"/>
  <c r="J38" i="21" s="1"/>
  <c r="N38" i="21" s="1"/>
  <c r="L38" i="21"/>
  <c r="I38" i="21"/>
  <c r="M38" i="21" s="1"/>
  <c r="CI37" i="21"/>
  <c r="J37" i="21" s="1"/>
  <c r="L37" i="21"/>
  <c r="I37" i="21"/>
  <c r="M37" i="21" s="1"/>
  <c r="CI36" i="21"/>
  <c r="J36" i="21" s="1"/>
  <c r="K36" i="21" s="1"/>
  <c r="O36" i="21" s="1"/>
  <c r="L36" i="21"/>
  <c r="I36" i="21"/>
  <c r="M36" i="21" s="1"/>
  <c r="CI35" i="21"/>
  <c r="J35" i="21" s="1"/>
  <c r="L35" i="21"/>
  <c r="I35" i="21"/>
  <c r="M35" i="21" s="1"/>
  <c r="CI34" i="21"/>
  <c r="J34" i="21" s="1"/>
  <c r="K34" i="21" s="1"/>
  <c r="O34" i="21" s="1"/>
  <c r="L34" i="21"/>
  <c r="I34" i="21"/>
  <c r="M34" i="21" s="1"/>
  <c r="CI33" i="21"/>
  <c r="CI32" i="21"/>
  <c r="CI31" i="21"/>
  <c r="J31" i="21" s="1"/>
  <c r="N31" i="21" s="1"/>
  <c r="L31" i="21"/>
  <c r="I31" i="21"/>
  <c r="M31" i="21" s="1"/>
  <c r="CI30" i="21"/>
  <c r="J30" i="21" s="1"/>
  <c r="L30" i="21"/>
  <c r="I30" i="21"/>
  <c r="M30" i="21" s="1"/>
  <c r="CI29" i="21"/>
  <c r="J29" i="21" s="1"/>
  <c r="K29" i="21" s="1"/>
  <c r="O29" i="21" s="1"/>
  <c r="L29" i="21"/>
  <c r="I29" i="21"/>
  <c r="M29" i="21" s="1"/>
  <c r="CI28" i="21"/>
  <c r="J28" i="21" s="1"/>
  <c r="L28" i="21"/>
  <c r="I28" i="21"/>
  <c r="M28" i="21" s="1"/>
  <c r="CI27" i="21"/>
  <c r="J27" i="21" s="1"/>
  <c r="K27" i="21" s="1"/>
  <c r="O27" i="21" s="1"/>
  <c r="L27" i="21"/>
  <c r="I27" i="21"/>
  <c r="M27" i="21" s="1"/>
  <c r="CI26" i="21"/>
  <c r="CI25" i="21"/>
  <c r="J25" i="21" s="1"/>
  <c r="L25" i="21"/>
  <c r="I25" i="21"/>
  <c r="M25" i="21" s="1"/>
  <c r="CI24" i="21"/>
  <c r="J24" i="21" s="1"/>
  <c r="N24" i="21" s="1"/>
  <c r="L24" i="21"/>
  <c r="I24" i="21"/>
  <c r="M24" i="21" s="1"/>
  <c r="CI23" i="21"/>
  <c r="J23" i="21" s="1"/>
  <c r="L23" i="21"/>
  <c r="I23" i="21"/>
  <c r="M23" i="21" s="1"/>
  <c r="CI22" i="21"/>
  <c r="J22" i="21" s="1"/>
  <c r="L22" i="21"/>
  <c r="I22" i="21"/>
  <c r="M22" i="21" s="1"/>
  <c r="CI21" i="21"/>
  <c r="J21" i="21" s="1"/>
  <c r="N21" i="21" s="1"/>
  <c r="L21" i="21"/>
  <c r="I21" i="21"/>
  <c r="M21" i="21" s="1"/>
  <c r="CI20" i="21"/>
  <c r="J20" i="21" s="1"/>
  <c r="L20" i="21"/>
  <c r="I20" i="21"/>
  <c r="M20" i="21" s="1"/>
  <c r="CI19" i="21"/>
  <c r="J19" i="21" s="1"/>
  <c r="N19" i="21" s="1"/>
  <c r="L19" i="21"/>
  <c r="I19" i="21"/>
  <c r="M19" i="21" s="1"/>
  <c r="CI18" i="21"/>
  <c r="J18" i="21" s="1"/>
  <c r="L18" i="21"/>
  <c r="I18" i="21"/>
  <c r="M18" i="21" s="1"/>
  <c r="CI17" i="21"/>
  <c r="J17" i="21" s="1"/>
  <c r="K17" i="21" s="1"/>
  <c r="O17" i="21" s="1"/>
  <c r="L17" i="21"/>
  <c r="I17" i="21"/>
  <c r="M17" i="21" s="1"/>
  <c r="CI16" i="21"/>
  <c r="J16" i="21" s="1"/>
  <c r="N16" i="21" s="1"/>
  <c r="L16" i="21"/>
  <c r="I16" i="21"/>
  <c r="M16" i="21" s="1"/>
  <c r="CI15" i="21"/>
  <c r="J15" i="21" s="1"/>
  <c r="L15" i="21"/>
  <c r="I15" i="21"/>
  <c r="M15" i="21" s="1"/>
  <c r="CI14" i="21"/>
  <c r="H8" i="21"/>
  <c r="AE8" i="21"/>
  <c r="AF6" i="21"/>
  <c r="CI284" i="20"/>
  <c r="J284" i="20" s="1"/>
  <c r="K284" i="20" s="1"/>
  <c r="I284" i="20"/>
  <c r="CI283" i="20"/>
  <c r="J283" i="20" s="1"/>
  <c r="N283" i="20" s="1"/>
  <c r="L283" i="20"/>
  <c r="I283" i="20"/>
  <c r="M283" i="20" s="1"/>
  <c r="CI282" i="20"/>
  <c r="J282" i="20" s="1"/>
  <c r="L282" i="20"/>
  <c r="I282" i="20"/>
  <c r="M282" i="20" s="1"/>
  <c r="CI281" i="20"/>
  <c r="J281" i="20" s="1"/>
  <c r="L281" i="20"/>
  <c r="I281" i="20"/>
  <c r="M281" i="20" s="1"/>
  <c r="CI280" i="20"/>
  <c r="J280" i="20" s="1"/>
  <c r="L280" i="20"/>
  <c r="I280" i="20"/>
  <c r="M280" i="20" s="1"/>
  <c r="CI279" i="20"/>
  <c r="J279" i="20" s="1"/>
  <c r="N279" i="20" s="1"/>
  <c r="L279" i="20"/>
  <c r="I279" i="20"/>
  <c r="M279" i="20" s="1"/>
  <c r="CI278" i="20"/>
  <c r="CI277" i="20"/>
  <c r="J277" i="20" s="1"/>
  <c r="L277" i="20"/>
  <c r="I277" i="20"/>
  <c r="M277" i="20" s="1"/>
  <c r="CI276" i="20"/>
  <c r="J276" i="20" s="1"/>
  <c r="K276" i="20" s="1"/>
  <c r="O276" i="20" s="1"/>
  <c r="L276" i="20"/>
  <c r="I276" i="20"/>
  <c r="M276" i="20" s="1"/>
  <c r="CI275" i="20"/>
  <c r="CI274" i="20"/>
  <c r="J274" i="20" s="1"/>
  <c r="N274" i="20" s="1"/>
  <c r="P274" i="20" s="1"/>
  <c r="L274" i="20"/>
  <c r="I274" i="20"/>
  <c r="M274" i="20" s="1"/>
  <c r="CI273" i="20"/>
  <c r="J273" i="20" s="1"/>
  <c r="L273" i="20"/>
  <c r="I273" i="20"/>
  <c r="M273" i="20" s="1"/>
  <c r="CI272" i="20"/>
  <c r="J272" i="20" s="1"/>
  <c r="K272" i="20" s="1"/>
  <c r="O272" i="20" s="1"/>
  <c r="L272" i="20"/>
  <c r="I272" i="20"/>
  <c r="M272" i="20" s="1"/>
  <c r="CI271" i="20"/>
  <c r="J271" i="20" s="1"/>
  <c r="L271" i="20"/>
  <c r="I271" i="20"/>
  <c r="M271" i="20" s="1"/>
  <c r="CI270" i="20"/>
  <c r="J270" i="20" s="1"/>
  <c r="L270" i="20"/>
  <c r="I270" i="20"/>
  <c r="M270" i="20" s="1"/>
  <c r="CI269" i="20"/>
  <c r="CI268" i="20"/>
  <c r="CI267" i="20"/>
  <c r="J267" i="20" s="1"/>
  <c r="L267" i="20"/>
  <c r="I267" i="20"/>
  <c r="M267" i="20" s="1"/>
  <c r="CI266" i="20"/>
  <c r="J266" i="20" s="1"/>
  <c r="K266" i="20" s="1"/>
  <c r="O266" i="20" s="1"/>
  <c r="L266" i="20"/>
  <c r="I266" i="20"/>
  <c r="M266" i="20" s="1"/>
  <c r="CI265" i="20"/>
  <c r="J265" i="20" s="1"/>
  <c r="L265" i="20"/>
  <c r="I265" i="20"/>
  <c r="M265" i="20" s="1"/>
  <c r="CI264" i="20"/>
  <c r="J264" i="20" s="1"/>
  <c r="L264" i="20"/>
  <c r="I264" i="20"/>
  <c r="M264" i="20" s="1"/>
  <c r="CI263" i="20"/>
  <c r="J263" i="20" s="1"/>
  <c r="N263" i="20" s="1"/>
  <c r="L263" i="20"/>
  <c r="I263" i="20"/>
  <c r="M263" i="20" s="1"/>
  <c r="CI262" i="20"/>
  <c r="J262" i="20" s="1"/>
  <c r="K262" i="20" s="1"/>
  <c r="O262" i="20" s="1"/>
  <c r="L262" i="20"/>
  <c r="I262" i="20"/>
  <c r="M262" i="20" s="1"/>
  <c r="CI261" i="20"/>
  <c r="J261" i="20" s="1"/>
  <c r="L261" i="20"/>
  <c r="I261" i="20"/>
  <c r="M261" i="20" s="1"/>
  <c r="CI260" i="20"/>
  <c r="J260" i="20" s="1"/>
  <c r="L260" i="20"/>
  <c r="I260" i="20"/>
  <c r="M260" i="20" s="1"/>
  <c r="CI259" i="20"/>
  <c r="CI258" i="20"/>
  <c r="J258" i="20" s="1"/>
  <c r="L258" i="20"/>
  <c r="I258" i="20"/>
  <c r="M258" i="20" s="1"/>
  <c r="CI257" i="20"/>
  <c r="J257" i="20" s="1"/>
  <c r="K257" i="20" s="1"/>
  <c r="O257" i="20" s="1"/>
  <c r="L257" i="20"/>
  <c r="I257" i="20"/>
  <c r="M257" i="20" s="1"/>
  <c r="CI256" i="20"/>
  <c r="J256" i="20" s="1"/>
  <c r="L256" i="20"/>
  <c r="I256" i="20"/>
  <c r="M256" i="20" s="1"/>
  <c r="CI255" i="20"/>
  <c r="J255" i="20" s="1"/>
  <c r="L255" i="20"/>
  <c r="I255" i="20"/>
  <c r="M255" i="20" s="1"/>
  <c r="CI254" i="20"/>
  <c r="J254" i="20" s="1"/>
  <c r="L254" i="20"/>
  <c r="I254" i="20"/>
  <c r="M254" i="20" s="1"/>
  <c r="CI253" i="20"/>
  <c r="J253" i="20" s="1"/>
  <c r="L253" i="20"/>
  <c r="I253" i="20"/>
  <c r="M253" i="20" s="1"/>
  <c r="CI252" i="20"/>
  <c r="CI251" i="20"/>
  <c r="J251" i="20" s="1"/>
  <c r="L251" i="20"/>
  <c r="I251" i="20"/>
  <c r="M251" i="20" s="1"/>
  <c r="CI250" i="20"/>
  <c r="J250" i="20" s="1"/>
  <c r="K250" i="20" s="1"/>
  <c r="O250" i="20" s="1"/>
  <c r="L250" i="20"/>
  <c r="I250" i="20"/>
  <c r="M250" i="20" s="1"/>
  <c r="CI249" i="20"/>
  <c r="J249" i="20" s="1"/>
  <c r="L249" i="20"/>
  <c r="I249" i="20"/>
  <c r="M249" i="20" s="1"/>
  <c r="CI248" i="20"/>
  <c r="J248" i="20" s="1"/>
  <c r="K248" i="20" s="1"/>
  <c r="O248" i="20" s="1"/>
  <c r="L248" i="20"/>
  <c r="I248" i="20"/>
  <c r="M248" i="20" s="1"/>
  <c r="CI247" i="20"/>
  <c r="CI246" i="20"/>
  <c r="J246" i="20" s="1"/>
  <c r="N246" i="20" s="1"/>
  <c r="P246" i="20" s="1"/>
  <c r="L246" i="20"/>
  <c r="I246" i="20"/>
  <c r="M246" i="20" s="1"/>
  <c r="CI245" i="20"/>
  <c r="J245" i="20" s="1"/>
  <c r="L245" i="20"/>
  <c r="I245" i="20"/>
  <c r="M245" i="20" s="1"/>
  <c r="CI244" i="20"/>
  <c r="J244" i="20" s="1"/>
  <c r="K244" i="20" s="1"/>
  <c r="O244" i="20" s="1"/>
  <c r="L244" i="20"/>
  <c r="I244" i="20"/>
  <c r="M244" i="20" s="1"/>
  <c r="CI243" i="20"/>
  <c r="J243" i="20" s="1"/>
  <c r="K243" i="20" s="1"/>
  <c r="O243" i="20" s="1"/>
  <c r="L243" i="20"/>
  <c r="I243" i="20"/>
  <c r="M243" i="20" s="1"/>
  <c r="CI242" i="20"/>
  <c r="J242" i="20" s="1"/>
  <c r="L242" i="20"/>
  <c r="I242" i="20"/>
  <c r="M242" i="20" s="1"/>
  <c r="CI241" i="20"/>
  <c r="J241" i="20" s="1"/>
  <c r="K241" i="20" s="1"/>
  <c r="O241" i="20" s="1"/>
  <c r="L241" i="20"/>
  <c r="I241" i="20"/>
  <c r="M241" i="20" s="1"/>
  <c r="CI240" i="20"/>
  <c r="J240" i="20" s="1"/>
  <c r="K240" i="20" s="1"/>
  <c r="O240" i="20" s="1"/>
  <c r="L240" i="20"/>
  <c r="I240" i="20"/>
  <c r="M240" i="20" s="1"/>
  <c r="CI239" i="20"/>
  <c r="J239" i="20"/>
  <c r="K239" i="20" s="1"/>
  <c r="O239" i="20" s="1"/>
  <c r="L239" i="20"/>
  <c r="I239" i="20"/>
  <c r="M239" i="20" s="1"/>
  <c r="CI238" i="20"/>
  <c r="J238" i="20" s="1"/>
  <c r="N238" i="20" s="1"/>
  <c r="L238" i="20"/>
  <c r="I238" i="20"/>
  <c r="M238" i="20" s="1"/>
  <c r="CI237" i="20"/>
  <c r="J237" i="20" s="1"/>
  <c r="K237" i="20" s="1"/>
  <c r="O237" i="20" s="1"/>
  <c r="L237" i="20"/>
  <c r="I237" i="20"/>
  <c r="M237" i="20" s="1"/>
  <c r="CI236" i="20"/>
  <c r="J236" i="20" s="1"/>
  <c r="L236" i="20"/>
  <c r="I236" i="20"/>
  <c r="M236" i="20" s="1"/>
  <c r="CI235" i="20"/>
  <c r="J235" i="20" s="1"/>
  <c r="K235" i="20" s="1"/>
  <c r="O235" i="20" s="1"/>
  <c r="L235" i="20"/>
  <c r="I235" i="20"/>
  <c r="M235" i="20" s="1"/>
  <c r="CI234" i="20"/>
  <c r="J234" i="20" s="1"/>
  <c r="N234" i="20" s="1"/>
  <c r="L234" i="20"/>
  <c r="I234" i="20"/>
  <c r="M234" i="20" s="1"/>
  <c r="CI233" i="20"/>
  <c r="J233" i="20" s="1"/>
  <c r="K233" i="20" s="1"/>
  <c r="O233" i="20" s="1"/>
  <c r="L233" i="20"/>
  <c r="I233" i="20"/>
  <c r="M233" i="20" s="1"/>
  <c r="CI232" i="20"/>
  <c r="J232" i="20" s="1"/>
  <c r="L232" i="20"/>
  <c r="I232" i="20"/>
  <c r="M232" i="20" s="1"/>
  <c r="CI231" i="20"/>
  <c r="J231" i="20" s="1"/>
  <c r="K231" i="20" s="1"/>
  <c r="O231" i="20" s="1"/>
  <c r="L231" i="20"/>
  <c r="I231" i="20"/>
  <c r="M231" i="20" s="1"/>
  <c r="CI230" i="20"/>
  <c r="J230" i="20" s="1"/>
  <c r="N230" i="20" s="1"/>
  <c r="L230" i="20"/>
  <c r="I230" i="20"/>
  <c r="M230" i="20" s="1"/>
  <c r="CI229" i="20"/>
  <c r="J229" i="20" s="1"/>
  <c r="K229" i="20" s="1"/>
  <c r="O229" i="20" s="1"/>
  <c r="L229" i="20"/>
  <c r="I229" i="20"/>
  <c r="M229" i="20" s="1"/>
  <c r="CI228" i="20"/>
  <c r="J228" i="20" s="1"/>
  <c r="L228" i="20"/>
  <c r="I228" i="20"/>
  <c r="M228" i="20" s="1"/>
  <c r="CI227" i="20"/>
  <c r="J227" i="20" s="1"/>
  <c r="K227" i="20" s="1"/>
  <c r="O227" i="20" s="1"/>
  <c r="L227" i="20"/>
  <c r="I227" i="20"/>
  <c r="M227" i="20" s="1"/>
  <c r="CI226" i="20"/>
  <c r="J226" i="20" s="1"/>
  <c r="K226" i="20" s="1"/>
  <c r="O226" i="20" s="1"/>
  <c r="L226" i="20"/>
  <c r="I226" i="20"/>
  <c r="M226" i="20" s="1"/>
  <c r="CI225" i="20"/>
  <c r="J225" i="20" s="1"/>
  <c r="K225" i="20" s="1"/>
  <c r="I225" i="20"/>
  <c r="F225" i="20"/>
  <c r="CI224" i="20"/>
  <c r="J224" i="20" s="1"/>
  <c r="L224" i="20"/>
  <c r="I224" i="20"/>
  <c r="M224" i="20" s="1"/>
  <c r="CI223" i="20"/>
  <c r="J223" i="20"/>
  <c r="L223" i="20"/>
  <c r="I223" i="20"/>
  <c r="M223" i="20" s="1"/>
  <c r="CI222" i="20"/>
  <c r="J222" i="20"/>
  <c r="L222" i="20"/>
  <c r="I222" i="20"/>
  <c r="M222" i="20" s="1"/>
  <c r="CI221" i="20"/>
  <c r="J221" i="20" s="1"/>
  <c r="L221" i="20"/>
  <c r="I221" i="20"/>
  <c r="M221" i="20" s="1"/>
  <c r="CI220" i="20"/>
  <c r="J220" i="20" s="1"/>
  <c r="N220" i="20" s="1"/>
  <c r="L220" i="20"/>
  <c r="I220" i="20"/>
  <c r="M220" i="20" s="1"/>
  <c r="CI219" i="20"/>
  <c r="J219" i="20" s="1"/>
  <c r="L219" i="20"/>
  <c r="I219" i="20"/>
  <c r="M219" i="20" s="1"/>
  <c r="CI218" i="20"/>
  <c r="J218" i="20" s="1"/>
  <c r="L218" i="20"/>
  <c r="I218" i="20"/>
  <c r="M218" i="20" s="1"/>
  <c r="CI217" i="20"/>
  <c r="J217" i="20" s="1"/>
  <c r="N217" i="20" s="1"/>
  <c r="L217" i="20"/>
  <c r="I217" i="20"/>
  <c r="M217" i="20" s="1"/>
  <c r="CI216" i="20"/>
  <c r="J216" i="20" s="1"/>
  <c r="K216" i="20" s="1"/>
  <c r="O216" i="20" s="1"/>
  <c r="L216" i="20"/>
  <c r="I216" i="20"/>
  <c r="M216" i="20" s="1"/>
  <c r="CI215" i="20"/>
  <c r="CI214" i="20"/>
  <c r="CI213" i="20"/>
  <c r="J213" i="20" s="1"/>
  <c r="K213" i="20" s="1"/>
  <c r="O213" i="20" s="1"/>
  <c r="L213" i="20"/>
  <c r="I213" i="20"/>
  <c r="M213" i="20" s="1"/>
  <c r="CI212" i="20"/>
  <c r="J212" i="20" s="1"/>
  <c r="L212" i="20"/>
  <c r="I212" i="20"/>
  <c r="M212" i="20" s="1"/>
  <c r="CI211" i="20"/>
  <c r="J211" i="20" s="1"/>
  <c r="L211" i="20"/>
  <c r="I211" i="20"/>
  <c r="M211" i="20" s="1"/>
  <c r="CI210" i="20"/>
  <c r="J210" i="20" s="1"/>
  <c r="L210" i="20"/>
  <c r="I210" i="20"/>
  <c r="M210" i="20" s="1"/>
  <c r="CI209" i="20"/>
  <c r="J209" i="20" s="1"/>
  <c r="K209" i="20" s="1"/>
  <c r="O209" i="20" s="1"/>
  <c r="L209" i="20"/>
  <c r="I209" i="20"/>
  <c r="M209" i="20" s="1"/>
  <c r="CI208" i="20"/>
  <c r="CI207" i="20"/>
  <c r="J207" i="20" s="1"/>
  <c r="L207" i="20"/>
  <c r="I207" i="20"/>
  <c r="M207" i="20" s="1"/>
  <c r="CI206" i="20"/>
  <c r="J206" i="20" s="1"/>
  <c r="K206" i="20" s="1"/>
  <c r="O206" i="20" s="1"/>
  <c r="L206" i="20"/>
  <c r="I206" i="20"/>
  <c r="M206" i="20" s="1"/>
  <c r="CI205" i="20"/>
  <c r="J205" i="20" s="1"/>
  <c r="L205" i="20"/>
  <c r="I205" i="20"/>
  <c r="M205" i="20" s="1"/>
  <c r="CI204" i="20"/>
  <c r="J204" i="20" s="1"/>
  <c r="L204" i="20"/>
  <c r="I204" i="20"/>
  <c r="M204" i="20" s="1"/>
  <c r="CI203" i="20"/>
  <c r="J203" i="20" s="1"/>
  <c r="L203" i="20"/>
  <c r="I203" i="20"/>
  <c r="M203" i="20" s="1"/>
  <c r="CI202" i="20"/>
  <c r="J202" i="20" s="1"/>
  <c r="K202" i="20" s="1"/>
  <c r="O202" i="20" s="1"/>
  <c r="L202" i="20"/>
  <c r="I202" i="20"/>
  <c r="M202" i="20" s="1"/>
  <c r="CI201" i="20"/>
  <c r="J201" i="20" s="1"/>
  <c r="L201" i="20"/>
  <c r="I201" i="20"/>
  <c r="M201" i="20" s="1"/>
  <c r="CI200" i="20"/>
  <c r="J200" i="20" s="1"/>
  <c r="N200" i="20" s="1"/>
  <c r="L200" i="20"/>
  <c r="I200" i="20"/>
  <c r="M200" i="20" s="1"/>
  <c r="CI199" i="20"/>
  <c r="J199" i="20" s="1"/>
  <c r="N199" i="20" s="1"/>
  <c r="L199" i="20"/>
  <c r="I199" i="20"/>
  <c r="M199" i="20" s="1"/>
  <c r="CI198" i="20"/>
  <c r="J198" i="20" s="1"/>
  <c r="L198" i="20"/>
  <c r="I198" i="20"/>
  <c r="M198" i="20" s="1"/>
  <c r="CI197" i="20"/>
  <c r="J197" i="20" s="1"/>
  <c r="L197" i="20"/>
  <c r="I197" i="20"/>
  <c r="M197" i="20" s="1"/>
  <c r="CI196" i="20"/>
  <c r="J196" i="20" s="1"/>
  <c r="N196" i="20" s="1"/>
  <c r="L196" i="20"/>
  <c r="I196" i="20"/>
  <c r="M196" i="20" s="1"/>
  <c r="CI195" i="20"/>
  <c r="J195" i="20" s="1"/>
  <c r="L195" i="20"/>
  <c r="I195" i="20"/>
  <c r="M195" i="20" s="1"/>
  <c r="CI194" i="20"/>
  <c r="CI193" i="20"/>
  <c r="J193" i="20" s="1"/>
  <c r="L193" i="20"/>
  <c r="I193" i="20"/>
  <c r="M193" i="20" s="1"/>
  <c r="CI192" i="20"/>
  <c r="J192" i="20" s="1"/>
  <c r="L192" i="20"/>
  <c r="I192" i="20"/>
  <c r="M192" i="20" s="1"/>
  <c r="CI191" i="20"/>
  <c r="J191" i="20" s="1"/>
  <c r="L191" i="20"/>
  <c r="I191" i="20"/>
  <c r="M191" i="20" s="1"/>
  <c r="CI190" i="20"/>
  <c r="CI189" i="20"/>
  <c r="J189" i="20" s="1"/>
  <c r="N189" i="20" s="1"/>
  <c r="P189" i="20" s="1"/>
  <c r="L189" i="20"/>
  <c r="I189" i="20"/>
  <c r="M189" i="20" s="1"/>
  <c r="CI188" i="20"/>
  <c r="J188" i="20" s="1"/>
  <c r="L188" i="20"/>
  <c r="I188" i="20"/>
  <c r="M188" i="20" s="1"/>
  <c r="CI187" i="20"/>
  <c r="J187" i="20" s="1"/>
  <c r="N187" i="20" s="1"/>
  <c r="L187" i="20"/>
  <c r="I187" i="20"/>
  <c r="M187" i="20" s="1"/>
  <c r="CI186" i="20"/>
  <c r="J186" i="20" s="1"/>
  <c r="L186" i="20"/>
  <c r="I186" i="20"/>
  <c r="M186" i="20" s="1"/>
  <c r="CI185" i="20"/>
  <c r="J185" i="20" s="1"/>
  <c r="K185" i="20" s="1"/>
  <c r="O185" i="20" s="1"/>
  <c r="L185" i="20"/>
  <c r="I185" i="20"/>
  <c r="M185" i="20" s="1"/>
  <c r="CI184" i="20"/>
  <c r="J184" i="20" s="1"/>
  <c r="K184" i="20" s="1"/>
  <c r="O184" i="20" s="1"/>
  <c r="L184" i="20"/>
  <c r="I184" i="20"/>
  <c r="M184" i="20" s="1"/>
  <c r="CI183" i="20"/>
  <c r="J183" i="20" s="1"/>
  <c r="K183" i="20" s="1"/>
  <c r="O183" i="20" s="1"/>
  <c r="L183" i="20"/>
  <c r="I183" i="20"/>
  <c r="M183" i="20" s="1"/>
  <c r="CI182" i="20"/>
  <c r="J182" i="20" s="1"/>
  <c r="L182" i="20"/>
  <c r="I182" i="20"/>
  <c r="M182" i="20" s="1"/>
  <c r="CI181" i="20"/>
  <c r="CI180" i="20"/>
  <c r="J180" i="20" s="1"/>
  <c r="L180" i="20"/>
  <c r="I180" i="20"/>
  <c r="M180" i="20" s="1"/>
  <c r="CI179" i="20"/>
  <c r="J179" i="20" s="1"/>
  <c r="L179" i="20"/>
  <c r="I179" i="20"/>
  <c r="M179" i="20" s="1"/>
  <c r="CI178" i="20"/>
  <c r="J178" i="20" s="1"/>
  <c r="L178" i="20"/>
  <c r="I178" i="20"/>
  <c r="M178" i="20"/>
  <c r="CI177" i="20"/>
  <c r="J177" i="20" s="1"/>
  <c r="K177" i="20" s="1"/>
  <c r="O177" i="20" s="1"/>
  <c r="L177" i="20"/>
  <c r="I177" i="20"/>
  <c r="M177" i="20" s="1"/>
  <c r="CI176" i="20"/>
  <c r="J176" i="20" s="1"/>
  <c r="K176" i="20" s="1"/>
  <c r="O176" i="20" s="1"/>
  <c r="L176" i="20"/>
  <c r="I176" i="20"/>
  <c r="M176" i="20" s="1"/>
  <c r="CI175" i="20"/>
  <c r="J175" i="20"/>
  <c r="N175" i="20" s="1"/>
  <c r="L175" i="20"/>
  <c r="I175" i="20"/>
  <c r="M175" i="20" s="1"/>
  <c r="CI174" i="20"/>
  <c r="J174" i="20"/>
  <c r="N174" i="20" s="1"/>
  <c r="L174" i="20"/>
  <c r="I174" i="20"/>
  <c r="M174" i="20" s="1"/>
  <c r="CI173" i="20"/>
  <c r="J173" i="20"/>
  <c r="K173" i="20" s="1"/>
  <c r="O173" i="20" s="1"/>
  <c r="L173" i="20"/>
  <c r="I173" i="20"/>
  <c r="M173" i="20" s="1"/>
  <c r="CI172" i="20"/>
  <c r="J172" i="20"/>
  <c r="L172" i="20"/>
  <c r="I172" i="20"/>
  <c r="M172" i="20" s="1"/>
  <c r="CI171" i="20"/>
  <c r="J171" i="20" s="1"/>
  <c r="L171" i="20"/>
  <c r="I171" i="20"/>
  <c r="M171" i="20" s="1"/>
  <c r="CI170" i="20"/>
  <c r="J170" i="20" s="1"/>
  <c r="K170" i="20" s="1"/>
  <c r="O170" i="20" s="1"/>
  <c r="L170" i="20"/>
  <c r="I170" i="20"/>
  <c r="M170" i="20" s="1"/>
  <c r="CI169" i="20"/>
  <c r="CI168" i="20"/>
  <c r="CI167" i="20"/>
  <c r="J167" i="20" s="1"/>
  <c r="K167" i="20" s="1"/>
  <c r="O167" i="20" s="1"/>
  <c r="L167" i="20"/>
  <c r="I167" i="20"/>
  <c r="M167" i="20" s="1"/>
  <c r="CI166" i="20"/>
  <c r="J166" i="20" s="1"/>
  <c r="N166" i="20" s="1"/>
  <c r="L166" i="20"/>
  <c r="I166" i="20"/>
  <c r="M166" i="20" s="1"/>
  <c r="CI165" i="20"/>
  <c r="J165" i="20" s="1"/>
  <c r="L165" i="20"/>
  <c r="I165" i="20"/>
  <c r="M165" i="20" s="1"/>
  <c r="CI164" i="20"/>
  <c r="J164" i="20" s="1"/>
  <c r="K164" i="20" s="1"/>
  <c r="O164" i="20" s="1"/>
  <c r="L164" i="20"/>
  <c r="I164" i="20"/>
  <c r="M164" i="20" s="1"/>
  <c r="CI163" i="20"/>
  <c r="J163" i="20" s="1"/>
  <c r="N163" i="20" s="1"/>
  <c r="L163" i="20"/>
  <c r="I163" i="20"/>
  <c r="M163" i="20" s="1"/>
  <c r="CI162" i="20"/>
  <c r="J162" i="20" s="1"/>
  <c r="L162" i="20"/>
  <c r="I162" i="20"/>
  <c r="M162" i="20" s="1"/>
  <c r="CI161" i="20"/>
  <c r="J161" i="20" s="1"/>
  <c r="L161" i="20"/>
  <c r="I161" i="20"/>
  <c r="M161" i="20" s="1"/>
  <c r="CI160" i="20"/>
  <c r="J160" i="20" s="1"/>
  <c r="L160" i="20"/>
  <c r="I160" i="20"/>
  <c r="M160" i="20" s="1"/>
  <c r="CI159" i="20"/>
  <c r="J159" i="20" s="1"/>
  <c r="L159" i="20"/>
  <c r="I159" i="20"/>
  <c r="M159" i="20" s="1"/>
  <c r="CI158" i="20"/>
  <c r="J158" i="20" s="1"/>
  <c r="L158" i="20"/>
  <c r="I158" i="20"/>
  <c r="M158" i="20" s="1"/>
  <c r="CI157" i="20"/>
  <c r="J157" i="20" s="1"/>
  <c r="L157" i="20"/>
  <c r="I157" i="20"/>
  <c r="M157" i="20" s="1"/>
  <c r="CI156" i="20"/>
  <c r="J156" i="20" s="1"/>
  <c r="L156" i="20"/>
  <c r="I156" i="20"/>
  <c r="M156" i="20"/>
  <c r="CI155" i="20"/>
  <c r="J155" i="20" s="1"/>
  <c r="L155" i="20"/>
  <c r="I155" i="20"/>
  <c r="M155" i="20"/>
  <c r="CI154" i="20"/>
  <c r="J154" i="20" s="1"/>
  <c r="L154" i="20"/>
  <c r="I154" i="20"/>
  <c r="M154" i="20"/>
  <c r="CI153" i="20"/>
  <c r="J153" i="20" s="1"/>
  <c r="L153" i="20"/>
  <c r="I153" i="20"/>
  <c r="M153" i="20"/>
  <c r="CI152" i="20"/>
  <c r="CI151" i="20"/>
  <c r="J151" i="20" s="1"/>
  <c r="N151" i="20" s="1"/>
  <c r="L151" i="20"/>
  <c r="I151" i="20"/>
  <c r="M151" i="20" s="1"/>
  <c r="CI150" i="20"/>
  <c r="J150" i="20" s="1"/>
  <c r="L150" i="20"/>
  <c r="I150" i="20"/>
  <c r="M150" i="20" s="1"/>
  <c r="CI149" i="20"/>
  <c r="J149" i="20" s="1"/>
  <c r="N149" i="20" s="1"/>
  <c r="P149" i="20" s="1"/>
  <c r="L149" i="20"/>
  <c r="I149" i="20"/>
  <c r="M149" i="20" s="1"/>
  <c r="CI148" i="20"/>
  <c r="J148" i="20" s="1"/>
  <c r="L148" i="20"/>
  <c r="I148" i="20"/>
  <c r="M148" i="20" s="1"/>
  <c r="CI147" i="20"/>
  <c r="J147" i="20" s="1"/>
  <c r="L147" i="20"/>
  <c r="I147" i="20"/>
  <c r="M147" i="20" s="1"/>
  <c r="CI146" i="20"/>
  <c r="J146" i="20" s="1"/>
  <c r="L146" i="20"/>
  <c r="I146" i="20"/>
  <c r="M146" i="20" s="1"/>
  <c r="CI145" i="20"/>
  <c r="J145" i="20" s="1"/>
  <c r="L145" i="20"/>
  <c r="I145" i="20"/>
  <c r="M145" i="20" s="1"/>
  <c r="CI144" i="20"/>
  <c r="J144" i="20" s="1"/>
  <c r="L144" i="20"/>
  <c r="I144" i="20"/>
  <c r="M144" i="20" s="1"/>
  <c r="CI143" i="20"/>
  <c r="J143" i="20" s="1"/>
  <c r="L143" i="20"/>
  <c r="I143" i="20"/>
  <c r="M143" i="20" s="1"/>
  <c r="CI142" i="20"/>
  <c r="J142" i="20" s="1"/>
  <c r="L142" i="20"/>
  <c r="I142" i="20"/>
  <c r="M142" i="20" s="1"/>
  <c r="CI141" i="20"/>
  <c r="J141" i="20" s="1"/>
  <c r="K141" i="20" s="1"/>
  <c r="O141" i="20" s="1"/>
  <c r="L141" i="20"/>
  <c r="I141" i="20"/>
  <c r="M141" i="20" s="1"/>
  <c r="CI140" i="20"/>
  <c r="J140" i="20" s="1"/>
  <c r="K140" i="20" s="1"/>
  <c r="O140" i="20" s="1"/>
  <c r="L140" i="20"/>
  <c r="I140" i="20"/>
  <c r="M140" i="20" s="1"/>
  <c r="CI139" i="20"/>
  <c r="J139" i="20" s="1"/>
  <c r="L139" i="20"/>
  <c r="I139" i="20"/>
  <c r="M139" i="20" s="1"/>
  <c r="CI138" i="20"/>
  <c r="J138" i="20" s="1"/>
  <c r="L138" i="20"/>
  <c r="I138" i="20"/>
  <c r="M138" i="20" s="1"/>
  <c r="CI137" i="20"/>
  <c r="J137" i="20" s="1"/>
  <c r="L137" i="20"/>
  <c r="I137" i="20"/>
  <c r="M137" i="20" s="1"/>
  <c r="CI136" i="20"/>
  <c r="J136" i="20" s="1"/>
  <c r="K136" i="20" s="1"/>
  <c r="O136" i="20" s="1"/>
  <c r="L136" i="20"/>
  <c r="I136" i="20"/>
  <c r="M136" i="20" s="1"/>
  <c r="CI135" i="20"/>
  <c r="J135" i="20" s="1"/>
  <c r="K135" i="20" s="1"/>
  <c r="O135" i="20" s="1"/>
  <c r="L135" i="20"/>
  <c r="I135" i="20"/>
  <c r="M135" i="20" s="1"/>
  <c r="CI134" i="20"/>
  <c r="J134" i="20" s="1"/>
  <c r="N134" i="20" s="1"/>
  <c r="L134" i="20"/>
  <c r="I134" i="20"/>
  <c r="M134" i="20" s="1"/>
  <c r="CI133" i="20"/>
  <c r="J133" i="20" s="1"/>
  <c r="L133" i="20"/>
  <c r="I133" i="20"/>
  <c r="M133" i="20" s="1"/>
  <c r="CI132" i="20"/>
  <c r="J132" i="20" s="1"/>
  <c r="L132" i="20"/>
  <c r="I132" i="20"/>
  <c r="M132" i="20" s="1"/>
  <c r="CI131" i="20"/>
  <c r="J131" i="20" s="1"/>
  <c r="L131" i="20"/>
  <c r="I131" i="20"/>
  <c r="M131" i="20" s="1"/>
  <c r="CI130" i="20"/>
  <c r="CI129" i="20"/>
  <c r="CI128" i="20"/>
  <c r="J128" i="20" s="1"/>
  <c r="L128" i="20"/>
  <c r="I128" i="20"/>
  <c r="M128" i="20" s="1"/>
  <c r="CI127" i="20"/>
  <c r="J127" i="20" s="1"/>
  <c r="L127" i="20"/>
  <c r="I127" i="20"/>
  <c r="M127" i="20" s="1"/>
  <c r="CI126" i="20"/>
  <c r="J126" i="20" s="1"/>
  <c r="K126" i="20" s="1"/>
  <c r="O126" i="20" s="1"/>
  <c r="L126" i="20"/>
  <c r="I126" i="20"/>
  <c r="M126" i="20" s="1"/>
  <c r="CI125" i="20"/>
  <c r="J125" i="20" s="1"/>
  <c r="L125" i="20"/>
  <c r="I125" i="20"/>
  <c r="M125" i="20" s="1"/>
  <c r="CI124" i="20"/>
  <c r="J124" i="20" s="1"/>
  <c r="N124" i="20" s="1"/>
  <c r="L124" i="20"/>
  <c r="I124" i="20"/>
  <c r="M124" i="20" s="1"/>
  <c r="CI123" i="20"/>
  <c r="J123" i="20" s="1"/>
  <c r="N123" i="20" s="1"/>
  <c r="L123" i="20"/>
  <c r="I123" i="20"/>
  <c r="M123" i="20" s="1"/>
  <c r="CI122" i="20"/>
  <c r="J122" i="20" s="1"/>
  <c r="L122" i="20"/>
  <c r="I122" i="20"/>
  <c r="M122" i="20" s="1"/>
  <c r="CI121" i="20"/>
  <c r="J121" i="20" s="1"/>
  <c r="L121" i="20"/>
  <c r="I121" i="20"/>
  <c r="M121" i="20" s="1"/>
  <c r="CI120" i="20"/>
  <c r="CI119" i="20"/>
  <c r="J119" i="20" s="1"/>
  <c r="N119" i="20" s="1"/>
  <c r="L119" i="20"/>
  <c r="I119" i="20"/>
  <c r="M119" i="20" s="1"/>
  <c r="CI118" i="20"/>
  <c r="J118" i="20" s="1"/>
  <c r="L118" i="20"/>
  <c r="I118" i="20"/>
  <c r="M118" i="20" s="1"/>
  <c r="CI117" i="20"/>
  <c r="J117" i="20" s="1"/>
  <c r="N117" i="20" s="1"/>
  <c r="L117" i="20"/>
  <c r="I117" i="20"/>
  <c r="M117" i="20" s="1"/>
  <c r="CI116" i="20"/>
  <c r="CI115" i="20"/>
  <c r="J115" i="20" s="1"/>
  <c r="K115" i="20" s="1"/>
  <c r="O115" i="20" s="1"/>
  <c r="L115" i="20"/>
  <c r="I115" i="20"/>
  <c r="M115" i="20" s="1"/>
  <c r="CI114" i="20"/>
  <c r="L114" i="20"/>
  <c r="J114" i="20"/>
  <c r="I114" i="20"/>
  <c r="M114" i="20" s="1"/>
  <c r="CI113" i="20"/>
  <c r="J113" i="20" s="1"/>
  <c r="L113" i="20"/>
  <c r="I113" i="20"/>
  <c r="M113" i="20" s="1"/>
  <c r="CI112" i="20"/>
  <c r="J112" i="20" s="1"/>
  <c r="L112" i="20"/>
  <c r="I112" i="20"/>
  <c r="M112" i="20" s="1"/>
  <c r="CI111" i="20"/>
  <c r="J111" i="20" s="1"/>
  <c r="L111" i="20"/>
  <c r="I111" i="20"/>
  <c r="M111" i="20" s="1"/>
  <c r="CI110" i="20"/>
  <c r="CI109" i="20"/>
  <c r="CI108" i="20"/>
  <c r="J108" i="20" s="1"/>
  <c r="L108" i="20"/>
  <c r="I108" i="20"/>
  <c r="M108" i="20" s="1"/>
  <c r="CI107" i="20"/>
  <c r="J107" i="20" s="1"/>
  <c r="L107" i="20"/>
  <c r="I107" i="20"/>
  <c r="M107" i="20" s="1"/>
  <c r="CI106" i="20"/>
  <c r="J106" i="20" s="1"/>
  <c r="L106" i="20"/>
  <c r="I106" i="20"/>
  <c r="M106" i="20" s="1"/>
  <c r="CI105" i="20"/>
  <c r="J105" i="20"/>
  <c r="L105" i="20"/>
  <c r="I105" i="20"/>
  <c r="M105" i="20" s="1"/>
  <c r="CI104" i="20"/>
  <c r="J104" i="20"/>
  <c r="L104" i="20"/>
  <c r="I104" i="20"/>
  <c r="M104" i="20" s="1"/>
  <c r="CI103" i="20"/>
  <c r="J103" i="20" s="1"/>
  <c r="L103" i="20"/>
  <c r="I103" i="20"/>
  <c r="M103" i="20" s="1"/>
  <c r="CI102" i="20"/>
  <c r="J102" i="20" s="1"/>
  <c r="N102" i="20" s="1"/>
  <c r="L102" i="20"/>
  <c r="I102" i="20"/>
  <c r="M102" i="20" s="1"/>
  <c r="CI101" i="20"/>
  <c r="J101" i="20" s="1"/>
  <c r="L101" i="20"/>
  <c r="I101" i="20"/>
  <c r="M101" i="20" s="1"/>
  <c r="CI100" i="20"/>
  <c r="J100" i="20" s="1"/>
  <c r="K100" i="20" s="1"/>
  <c r="O100" i="20" s="1"/>
  <c r="L100" i="20"/>
  <c r="I100" i="20"/>
  <c r="M100" i="20" s="1"/>
  <c r="CI99" i="20"/>
  <c r="J99" i="20" s="1"/>
  <c r="L99" i="20"/>
  <c r="I99" i="20"/>
  <c r="M99" i="20" s="1"/>
  <c r="CI98" i="20"/>
  <c r="CI97" i="20"/>
  <c r="J97" i="20" s="1"/>
  <c r="K97" i="20" s="1"/>
  <c r="O97" i="20" s="1"/>
  <c r="L97" i="20"/>
  <c r="N97" i="20"/>
  <c r="I97" i="20"/>
  <c r="M97" i="20" s="1"/>
  <c r="CI96" i="20"/>
  <c r="J96" i="20" s="1"/>
  <c r="K96" i="20" s="1"/>
  <c r="O96" i="20" s="1"/>
  <c r="O95" i="20" s="1"/>
  <c r="L96" i="20"/>
  <c r="I96" i="20"/>
  <c r="M96" i="20" s="1"/>
  <c r="M95" i="20" s="1"/>
  <c r="CI95" i="20"/>
  <c r="CI94" i="20"/>
  <c r="J94" i="20" s="1"/>
  <c r="L94" i="20"/>
  <c r="I94" i="20"/>
  <c r="M94" i="20" s="1"/>
  <c r="CI93" i="20"/>
  <c r="J93" i="20" s="1"/>
  <c r="K93" i="20" s="1"/>
  <c r="O93" i="20" s="1"/>
  <c r="L93" i="20"/>
  <c r="I93" i="20"/>
  <c r="M93" i="20" s="1"/>
  <c r="CI92" i="20"/>
  <c r="CI91" i="20"/>
  <c r="J91" i="20" s="1"/>
  <c r="L91" i="20"/>
  <c r="L90" i="20" s="1"/>
  <c r="I91" i="20"/>
  <c r="M91" i="20" s="1"/>
  <c r="M90" i="20" s="1"/>
  <c r="CI90" i="20"/>
  <c r="CI89" i="20"/>
  <c r="J89" i="20" s="1"/>
  <c r="K89" i="20" s="1"/>
  <c r="O89" i="20" s="1"/>
  <c r="O87" i="20" s="1"/>
  <c r="L89" i="20"/>
  <c r="I89" i="20"/>
  <c r="M89" i="20" s="1"/>
  <c r="M87" i="20" s="1"/>
  <c r="CI88" i="20"/>
  <c r="J88" i="20" s="1"/>
  <c r="K88" i="20" s="1"/>
  <c r="O88" i="20" s="1"/>
  <c r="L88" i="20"/>
  <c r="I88" i="20"/>
  <c r="M88" i="20" s="1"/>
  <c r="CI87" i="20"/>
  <c r="L87" i="20"/>
  <c r="CI86" i="20"/>
  <c r="J86" i="20" s="1"/>
  <c r="L86" i="20"/>
  <c r="I86" i="20"/>
  <c r="M86" i="20" s="1"/>
  <c r="CI85" i="20"/>
  <c r="J85" i="20" s="1"/>
  <c r="K85" i="20" s="1"/>
  <c r="O85" i="20" s="1"/>
  <c r="L85" i="20"/>
  <c r="I85" i="20"/>
  <c r="M85" i="20" s="1"/>
  <c r="CI84" i="20"/>
  <c r="J84" i="20" s="1"/>
  <c r="L84" i="20"/>
  <c r="I84" i="20"/>
  <c r="M84" i="20" s="1"/>
  <c r="CI83" i="20"/>
  <c r="CI82" i="20"/>
  <c r="J82" i="20" s="1"/>
  <c r="L82" i="20"/>
  <c r="I82" i="20"/>
  <c r="M82" i="20" s="1"/>
  <c r="CI81" i="20"/>
  <c r="J81" i="20" s="1"/>
  <c r="L81" i="20"/>
  <c r="I81" i="20"/>
  <c r="M81" i="20" s="1"/>
  <c r="CI80" i="20"/>
  <c r="J80" i="20" s="1"/>
  <c r="L80" i="20"/>
  <c r="I80" i="20"/>
  <c r="M80" i="20" s="1"/>
  <c r="CI79" i="20"/>
  <c r="J79" i="20" s="1"/>
  <c r="L79" i="20"/>
  <c r="I79" i="20"/>
  <c r="M79" i="20" s="1"/>
  <c r="CI78" i="20"/>
  <c r="CI77" i="20"/>
  <c r="CI76" i="20"/>
  <c r="J76" i="20" s="1"/>
  <c r="N76" i="20" s="1"/>
  <c r="L76" i="20"/>
  <c r="I76" i="20"/>
  <c r="M76" i="20" s="1"/>
  <c r="M75" i="20" s="1"/>
  <c r="CI75" i="20"/>
  <c r="CI74" i="20"/>
  <c r="J74" i="20" s="1"/>
  <c r="L74" i="20"/>
  <c r="I74" i="20"/>
  <c r="M74" i="20" s="1"/>
  <c r="CI73" i="20"/>
  <c r="J73" i="20" s="1"/>
  <c r="K73" i="20" s="1"/>
  <c r="O73" i="20" s="1"/>
  <c r="L73" i="20"/>
  <c r="I73" i="20"/>
  <c r="M73" i="20" s="1"/>
  <c r="CI72" i="20"/>
  <c r="CI71" i="20"/>
  <c r="J71" i="20" s="1"/>
  <c r="L71" i="20"/>
  <c r="L70" i="20" s="1"/>
  <c r="I71" i="20"/>
  <c r="M71" i="20" s="1"/>
  <c r="M70" i="20" s="1"/>
  <c r="CI70" i="20"/>
  <c r="CI69" i="20"/>
  <c r="CI68" i="20"/>
  <c r="J68" i="20" s="1"/>
  <c r="L68" i="20"/>
  <c r="I68" i="20"/>
  <c r="M68" i="20" s="1"/>
  <c r="M67" i="20" s="1"/>
  <c r="CI67" i="20"/>
  <c r="L67" i="20"/>
  <c r="CI66" i="20"/>
  <c r="J66" i="20" s="1"/>
  <c r="L66" i="20"/>
  <c r="I66" i="20"/>
  <c r="M66" i="20" s="1"/>
  <c r="CI65" i="20"/>
  <c r="J65" i="20" s="1"/>
  <c r="L65" i="20"/>
  <c r="I65" i="20"/>
  <c r="M65" i="20" s="1"/>
  <c r="CI64" i="20"/>
  <c r="J64" i="20"/>
  <c r="K64" i="20" s="1"/>
  <c r="O64" i="20" s="1"/>
  <c r="L64" i="20"/>
  <c r="I64" i="20"/>
  <c r="M64" i="20" s="1"/>
  <c r="M62" i="20" s="1"/>
  <c r="CI63" i="20"/>
  <c r="J63" i="20" s="1"/>
  <c r="L63" i="20"/>
  <c r="I63" i="20"/>
  <c r="M63" i="20" s="1"/>
  <c r="CI62" i="20"/>
  <c r="CI61" i="20"/>
  <c r="J61" i="20" s="1"/>
  <c r="K61" i="20" s="1"/>
  <c r="O61" i="20" s="1"/>
  <c r="L61" i="20"/>
  <c r="I61" i="20"/>
  <c r="M61" i="20" s="1"/>
  <c r="CI60" i="20"/>
  <c r="J60" i="20" s="1"/>
  <c r="N60" i="20" s="1"/>
  <c r="L60" i="20"/>
  <c r="I60" i="20"/>
  <c r="M60" i="20" s="1"/>
  <c r="CI59" i="20"/>
  <c r="J59" i="20" s="1"/>
  <c r="L59" i="20"/>
  <c r="I59" i="20"/>
  <c r="M59" i="20" s="1"/>
  <c r="CI58" i="20"/>
  <c r="J58" i="20" s="1"/>
  <c r="K58" i="20" s="1"/>
  <c r="O58" i="20" s="1"/>
  <c r="L58" i="20"/>
  <c r="I58" i="20"/>
  <c r="M58" i="20" s="1"/>
  <c r="CI57" i="20"/>
  <c r="CI56" i="20"/>
  <c r="J56" i="20" s="1"/>
  <c r="L56" i="20"/>
  <c r="I56" i="20"/>
  <c r="M56" i="20" s="1"/>
  <c r="CI55" i="20"/>
  <c r="J55" i="20" s="1"/>
  <c r="K55" i="20" s="1"/>
  <c r="O55" i="20" s="1"/>
  <c r="L55" i="20"/>
  <c r="I55" i="20"/>
  <c r="M55" i="20" s="1"/>
  <c r="CI54" i="20"/>
  <c r="J54" i="20" s="1"/>
  <c r="L54" i="20"/>
  <c r="I54" i="20"/>
  <c r="M54" i="20" s="1"/>
  <c r="CI53" i="20"/>
  <c r="J53" i="20" s="1"/>
  <c r="N53" i="20" s="1"/>
  <c r="L53" i="20"/>
  <c r="I53" i="20"/>
  <c r="M53" i="20" s="1"/>
  <c r="CI52" i="20"/>
  <c r="J52" i="20" s="1"/>
  <c r="L52" i="20"/>
  <c r="I52" i="20"/>
  <c r="M52" i="20" s="1"/>
  <c r="CI51" i="20"/>
  <c r="CI50" i="20"/>
  <c r="J50" i="20" s="1"/>
  <c r="N50" i="20" s="1"/>
  <c r="L50" i="20"/>
  <c r="I50" i="20"/>
  <c r="M50" i="20" s="1"/>
  <c r="CI49" i="20"/>
  <c r="J49" i="20" s="1"/>
  <c r="L49" i="20"/>
  <c r="I49" i="20"/>
  <c r="M49" i="20" s="1"/>
  <c r="CI48" i="20"/>
  <c r="J48" i="20" s="1"/>
  <c r="K48" i="20" s="1"/>
  <c r="O48" i="20" s="1"/>
  <c r="L48" i="20"/>
  <c r="I48" i="20"/>
  <c r="M48" i="20" s="1"/>
  <c r="CI47" i="20"/>
  <c r="J47" i="20" s="1"/>
  <c r="N47" i="20" s="1"/>
  <c r="L47" i="20"/>
  <c r="I47" i="20"/>
  <c r="M47" i="20" s="1"/>
  <c r="CI46" i="20"/>
  <c r="I46" i="20"/>
  <c r="F46" i="20"/>
  <c r="CI45" i="20"/>
  <c r="I45" i="20"/>
  <c r="CI44" i="20"/>
  <c r="J44" i="20" s="1"/>
  <c r="K44" i="20" s="1"/>
  <c r="O44" i="20" s="1"/>
  <c r="L44" i="20"/>
  <c r="I44" i="20"/>
  <c r="M44" i="20" s="1"/>
  <c r="CI43" i="20"/>
  <c r="J43" i="20" s="1"/>
  <c r="L43" i="20"/>
  <c r="I43" i="20"/>
  <c r="M43" i="20" s="1"/>
  <c r="CI42" i="20"/>
  <c r="J42" i="20" s="1"/>
  <c r="L42" i="20"/>
  <c r="I42" i="20"/>
  <c r="M42" i="20" s="1"/>
  <c r="CI41" i="20"/>
  <c r="J41" i="20" s="1"/>
  <c r="L41" i="20"/>
  <c r="I41" i="20"/>
  <c r="M41" i="20" s="1"/>
  <c r="CI40" i="20"/>
  <c r="J40" i="20" s="1"/>
  <c r="L40" i="20"/>
  <c r="I40" i="20"/>
  <c r="M40" i="20" s="1"/>
  <c r="CI39" i="20"/>
  <c r="I39" i="20"/>
  <c r="CI38" i="20"/>
  <c r="J38" i="20" s="1"/>
  <c r="L38" i="20"/>
  <c r="I38" i="20"/>
  <c r="M38" i="20" s="1"/>
  <c r="CI37" i="20"/>
  <c r="J37" i="20" s="1"/>
  <c r="N37" i="20" s="1"/>
  <c r="L37" i="20"/>
  <c r="I37" i="20"/>
  <c r="M37" i="20" s="1"/>
  <c r="CI36" i="20"/>
  <c r="J36" i="20" s="1"/>
  <c r="L36" i="20"/>
  <c r="I36" i="20"/>
  <c r="M36" i="20" s="1"/>
  <c r="CI35" i="20"/>
  <c r="J35" i="20" s="1"/>
  <c r="K35" i="20" s="1"/>
  <c r="O35" i="20" s="1"/>
  <c r="L35" i="20"/>
  <c r="I35" i="20"/>
  <c r="M35" i="20" s="1"/>
  <c r="CI34" i="20"/>
  <c r="J34" i="20" s="1"/>
  <c r="L34" i="20"/>
  <c r="I34" i="20"/>
  <c r="M34" i="20" s="1"/>
  <c r="CI33" i="20"/>
  <c r="CI32" i="20"/>
  <c r="CI31" i="20"/>
  <c r="J31" i="20" s="1"/>
  <c r="L31" i="20"/>
  <c r="I31" i="20"/>
  <c r="M31" i="20" s="1"/>
  <c r="CI30" i="20"/>
  <c r="J30" i="20" s="1"/>
  <c r="L30" i="20"/>
  <c r="I30" i="20"/>
  <c r="M30" i="20" s="1"/>
  <c r="CI29" i="20"/>
  <c r="J29" i="20" s="1"/>
  <c r="K29" i="20" s="1"/>
  <c r="O29" i="20" s="1"/>
  <c r="L29" i="20"/>
  <c r="I29" i="20"/>
  <c r="M29" i="20" s="1"/>
  <c r="CI28" i="20"/>
  <c r="J28" i="20" s="1"/>
  <c r="L28" i="20"/>
  <c r="I28" i="20"/>
  <c r="M28" i="20" s="1"/>
  <c r="CI27" i="20"/>
  <c r="J27" i="20" s="1"/>
  <c r="L27" i="20"/>
  <c r="I27" i="20"/>
  <c r="M27" i="20" s="1"/>
  <c r="CI26" i="20"/>
  <c r="CI25" i="20"/>
  <c r="L25" i="20"/>
  <c r="J25" i="20"/>
  <c r="K25" i="20" s="1"/>
  <c r="O25" i="20" s="1"/>
  <c r="I25" i="20"/>
  <c r="M25" i="20" s="1"/>
  <c r="CI24" i="20"/>
  <c r="J24" i="20" s="1"/>
  <c r="N24" i="20" s="1"/>
  <c r="L24" i="20"/>
  <c r="I24" i="20"/>
  <c r="M24" i="20" s="1"/>
  <c r="CI23" i="20"/>
  <c r="J23" i="20" s="1"/>
  <c r="L23" i="20"/>
  <c r="I23" i="20"/>
  <c r="M23" i="20" s="1"/>
  <c r="CI22" i="20"/>
  <c r="J22" i="20" s="1"/>
  <c r="K22" i="20" s="1"/>
  <c r="O22" i="20" s="1"/>
  <c r="L22" i="20"/>
  <c r="I22" i="20"/>
  <c r="M22" i="20" s="1"/>
  <c r="CI21" i="20"/>
  <c r="J21" i="20" s="1"/>
  <c r="N21" i="20" s="1"/>
  <c r="P21" i="20" s="1"/>
  <c r="L21" i="20"/>
  <c r="I21" i="20"/>
  <c r="M21" i="20" s="1"/>
  <c r="CI20" i="20"/>
  <c r="J20" i="20" s="1"/>
  <c r="L20" i="20"/>
  <c r="I20" i="20"/>
  <c r="M20" i="20" s="1"/>
  <c r="CI19" i="20"/>
  <c r="J19" i="20" s="1"/>
  <c r="L19" i="20"/>
  <c r="I19" i="20"/>
  <c r="M19" i="20" s="1"/>
  <c r="CI18" i="20"/>
  <c r="J18" i="20" s="1"/>
  <c r="L18" i="20"/>
  <c r="I18" i="20"/>
  <c r="M18" i="20" s="1"/>
  <c r="CI17" i="20"/>
  <c r="J17" i="20" s="1"/>
  <c r="K17" i="20" s="1"/>
  <c r="O17" i="20" s="1"/>
  <c r="L17" i="20"/>
  <c r="I17" i="20"/>
  <c r="M17" i="20" s="1"/>
  <c r="CI16" i="20"/>
  <c r="J16" i="20" s="1"/>
  <c r="N16" i="20" s="1"/>
  <c r="L16" i="20"/>
  <c r="I16" i="20"/>
  <c r="M16" i="20" s="1"/>
  <c r="CI15" i="20"/>
  <c r="J15" i="20" s="1"/>
  <c r="L15" i="20"/>
  <c r="I15" i="20"/>
  <c r="M15" i="20" s="1"/>
  <c r="CI14" i="20"/>
  <c r="H8" i="20"/>
  <c r="AE8" i="20" s="1"/>
  <c r="AF6" i="20"/>
  <c r="CI284" i="19"/>
  <c r="J284" i="19" s="1"/>
  <c r="K284" i="19" s="1"/>
  <c r="I284" i="19"/>
  <c r="CI283" i="19"/>
  <c r="J283" i="19" s="1"/>
  <c r="L283" i="19"/>
  <c r="I283" i="19"/>
  <c r="M283" i="19" s="1"/>
  <c r="CI282" i="19"/>
  <c r="J282" i="19" s="1"/>
  <c r="L282" i="19"/>
  <c r="I282" i="19"/>
  <c r="M282" i="19" s="1"/>
  <c r="CI281" i="19"/>
  <c r="J281" i="19" s="1"/>
  <c r="L281" i="19"/>
  <c r="I281" i="19"/>
  <c r="M281" i="19" s="1"/>
  <c r="CI280" i="19"/>
  <c r="J280" i="19" s="1"/>
  <c r="L280" i="19"/>
  <c r="I280" i="19"/>
  <c r="M280" i="19" s="1"/>
  <c r="CI279" i="19"/>
  <c r="J279" i="19" s="1"/>
  <c r="N279" i="19" s="1"/>
  <c r="P279" i="19" s="1"/>
  <c r="L279" i="19"/>
  <c r="I279" i="19"/>
  <c r="M279" i="19" s="1"/>
  <c r="CI278" i="19"/>
  <c r="CI277" i="19"/>
  <c r="J277" i="19" s="1"/>
  <c r="L277" i="19"/>
  <c r="I277" i="19"/>
  <c r="M277" i="19" s="1"/>
  <c r="CI276" i="19"/>
  <c r="J276" i="19" s="1"/>
  <c r="L276" i="19"/>
  <c r="I276" i="19"/>
  <c r="M276" i="19" s="1"/>
  <c r="CI275" i="19"/>
  <c r="CI274" i="19"/>
  <c r="J274" i="19" s="1"/>
  <c r="L274" i="19"/>
  <c r="I274" i="19"/>
  <c r="M274" i="19" s="1"/>
  <c r="CI273" i="19"/>
  <c r="J273" i="19" s="1"/>
  <c r="L273" i="19"/>
  <c r="I273" i="19"/>
  <c r="M273" i="19" s="1"/>
  <c r="CI272" i="19"/>
  <c r="J272" i="19" s="1"/>
  <c r="L272" i="19"/>
  <c r="I272" i="19"/>
  <c r="M272" i="19" s="1"/>
  <c r="CI271" i="19"/>
  <c r="J271" i="19" s="1"/>
  <c r="L271" i="19"/>
  <c r="I271" i="19"/>
  <c r="M271" i="19" s="1"/>
  <c r="CI270" i="19"/>
  <c r="J270" i="19" s="1"/>
  <c r="L270" i="19"/>
  <c r="I270" i="19"/>
  <c r="M270" i="19" s="1"/>
  <c r="CI269" i="19"/>
  <c r="CI268" i="19"/>
  <c r="CI267" i="19"/>
  <c r="J267" i="19" s="1"/>
  <c r="N267" i="19" s="1"/>
  <c r="P267" i="19" s="1"/>
  <c r="L267" i="19"/>
  <c r="I267" i="19"/>
  <c r="M267" i="19" s="1"/>
  <c r="CI266" i="19"/>
  <c r="J266" i="19" s="1"/>
  <c r="L266" i="19"/>
  <c r="I266" i="19"/>
  <c r="M266" i="19" s="1"/>
  <c r="CI265" i="19"/>
  <c r="J265" i="19" s="1"/>
  <c r="L265" i="19"/>
  <c r="I265" i="19"/>
  <c r="M265" i="19" s="1"/>
  <c r="CI264" i="19"/>
  <c r="J264" i="19" s="1"/>
  <c r="N264" i="19" s="1"/>
  <c r="L264" i="19"/>
  <c r="I264" i="19"/>
  <c r="M264" i="19" s="1"/>
  <c r="CI263" i="19"/>
  <c r="J263" i="19" s="1"/>
  <c r="L263" i="19"/>
  <c r="I263" i="19"/>
  <c r="M263" i="19" s="1"/>
  <c r="CI262" i="19"/>
  <c r="J262" i="19" s="1"/>
  <c r="L262" i="19"/>
  <c r="I262" i="19"/>
  <c r="M262" i="19" s="1"/>
  <c r="CI261" i="19"/>
  <c r="J261" i="19" s="1"/>
  <c r="L261" i="19"/>
  <c r="I261" i="19"/>
  <c r="M261" i="19" s="1"/>
  <c r="CI260" i="19"/>
  <c r="J260" i="19" s="1"/>
  <c r="N260" i="19" s="1"/>
  <c r="L260" i="19"/>
  <c r="I260" i="19"/>
  <c r="M260" i="19" s="1"/>
  <c r="CI259" i="19"/>
  <c r="CI258" i="19"/>
  <c r="J258" i="19" s="1"/>
  <c r="L258" i="19"/>
  <c r="I258" i="19"/>
  <c r="M258" i="19" s="1"/>
  <c r="CI257" i="19"/>
  <c r="J257" i="19" s="1"/>
  <c r="L257" i="19"/>
  <c r="I257" i="19"/>
  <c r="M257" i="19" s="1"/>
  <c r="CI256" i="19"/>
  <c r="J256" i="19" s="1"/>
  <c r="L256" i="19"/>
  <c r="I256" i="19"/>
  <c r="M256" i="19" s="1"/>
  <c r="CI255" i="19"/>
  <c r="J255" i="19" s="1"/>
  <c r="L255" i="19"/>
  <c r="I255" i="19"/>
  <c r="M255" i="19" s="1"/>
  <c r="CI254" i="19"/>
  <c r="J254" i="19" s="1"/>
  <c r="L254" i="19"/>
  <c r="I254" i="19"/>
  <c r="M254" i="19" s="1"/>
  <c r="CI253" i="19"/>
  <c r="J253" i="19" s="1"/>
  <c r="N253" i="19" s="1"/>
  <c r="L253" i="19"/>
  <c r="I253" i="19"/>
  <c r="M253" i="19" s="1"/>
  <c r="CI252" i="19"/>
  <c r="CI251" i="19"/>
  <c r="J251" i="19" s="1"/>
  <c r="L251" i="19"/>
  <c r="I251" i="19"/>
  <c r="M251" i="19" s="1"/>
  <c r="CI250" i="19"/>
  <c r="J250" i="19" s="1"/>
  <c r="N250" i="19" s="1"/>
  <c r="L250" i="19"/>
  <c r="I250" i="19"/>
  <c r="M250" i="19" s="1"/>
  <c r="CI249" i="19"/>
  <c r="J249" i="19" s="1"/>
  <c r="N249" i="19" s="1"/>
  <c r="L249" i="19"/>
  <c r="I249" i="19"/>
  <c r="M249" i="19" s="1"/>
  <c r="CI248" i="19"/>
  <c r="J248" i="19" s="1"/>
  <c r="L248" i="19"/>
  <c r="I248" i="19"/>
  <c r="M248" i="19" s="1"/>
  <c r="CI247" i="19"/>
  <c r="CI246" i="19"/>
  <c r="J246" i="19" s="1"/>
  <c r="N246" i="19" s="1"/>
  <c r="L246" i="19"/>
  <c r="I246" i="19"/>
  <c r="M246" i="19" s="1"/>
  <c r="CI245" i="19"/>
  <c r="J245" i="19" s="1"/>
  <c r="L245" i="19"/>
  <c r="I245" i="19"/>
  <c r="M245" i="19" s="1"/>
  <c r="CI244" i="19"/>
  <c r="J244" i="19" s="1"/>
  <c r="L244" i="19"/>
  <c r="I244" i="19"/>
  <c r="M244" i="19" s="1"/>
  <c r="CI243" i="19"/>
  <c r="J243" i="19" s="1"/>
  <c r="K243" i="19" s="1"/>
  <c r="O243" i="19" s="1"/>
  <c r="L243" i="19"/>
  <c r="I243" i="19"/>
  <c r="M243" i="19" s="1"/>
  <c r="CI242" i="19"/>
  <c r="J242" i="19" s="1"/>
  <c r="N242" i="19" s="1"/>
  <c r="L242" i="19"/>
  <c r="I242" i="19"/>
  <c r="M242" i="19" s="1"/>
  <c r="CI241" i="19"/>
  <c r="J241" i="19" s="1"/>
  <c r="L241" i="19"/>
  <c r="I241" i="19"/>
  <c r="M241" i="19" s="1"/>
  <c r="CI240" i="19"/>
  <c r="J240" i="19" s="1"/>
  <c r="L240" i="19"/>
  <c r="I240" i="19"/>
  <c r="M240" i="19" s="1"/>
  <c r="CI239" i="19"/>
  <c r="J239" i="19" s="1"/>
  <c r="N239" i="19" s="1"/>
  <c r="L239" i="19"/>
  <c r="I239" i="19"/>
  <c r="M239" i="19" s="1"/>
  <c r="CI238" i="19"/>
  <c r="J238" i="19" s="1"/>
  <c r="N238" i="19" s="1"/>
  <c r="L238" i="19"/>
  <c r="I238" i="19"/>
  <c r="M238" i="19" s="1"/>
  <c r="CI237" i="19"/>
  <c r="J237" i="19" s="1"/>
  <c r="L237" i="19"/>
  <c r="I237" i="19"/>
  <c r="M237" i="19" s="1"/>
  <c r="CI236" i="19"/>
  <c r="J236" i="19" s="1"/>
  <c r="L236" i="19"/>
  <c r="I236" i="19"/>
  <c r="M236" i="19" s="1"/>
  <c r="CI235" i="19"/>
  <c r="J235" i="19" s="1"/>
  <c r="N235" i="19" s="1"/>
  <c r="P235" i="19" s="1"/>
  <c r="L235" i="19"/>
  <c r="I235" i="19"/>
  <c r="M235" i="19" s="1"/>
  <c r="CI234" i="19"/>
  <c r="J234" i="19" s="1"/>
  <c r="N234" i="19" s="1"/>
  <c r="L234" i="19"/>
  <c r="P234" i="19" s="1"/>
  <c r="I234" i="19"/>
  <c r="M234" i="19" s="1"/>
  <c r="CI233" i="19"/>
  <c r="J233" i="19" s="1"/>
  <c r="L233" i="19"/>
  <c r="I233" i="19"/>
  <c r="M233" i="19" s="1"/>
  <c r="CI232" i="19"/>
  <c r="J232" i="19" s="1"/>
  <c r="L232" i="19"/>
  <c r="I232" i="19"/>
  <c r="M232" i="19" s="1"/>
  <c r="CI231" i="19"/>
  <c r="J231" i="19" s="1"/>
  <c r="N231" i="19" s="1"/>
  <c r="L231" i="19"/>
  <c r="I231" i="19"/>
  <c r="M231" i="19" s="1"/>
  <c r="CI230" i="19"/>
  <c r="J230" i="19" s="1"/>
  <c r="N230" i="19" s="1"/>
  <c r="L230" i="19"/>
  <c r="I230" i="19"/>
  <c r="M230" i="19" s="1"/>
  <c r="CI229" i="19"/>
  <c r="J229" i="19" s="1"/>
  <c r="L229" i="19"/>
  <c r="I229" i="19"/>
  <c r="M229" i="19" s="1"/>
  <c r="CI228" i="19"/>
  <c r="J228" i="19" s="1"/>
  <c r="L228" i="19"/>
  <c r="I228" i="19"/>
  <c r="M228" i="19" s="1"/>
  <c r="CI227" i="19"/>
  <c r="J227" i="19" s="1"/>
  <c r="N227" i="19" s="1"/>
  <c r="P227" i="19" s="1"/>
  <c r="L227" i="19"/>
  <c r="I227" i="19"/>
  <c r="M227" i="19" s="1"/>
  <c r="CI226" i="19"/>
  <c r="J226" i="19" s="1"/>
  <c r="N226" i="19" s="1"/>
  <c r="L226" i="19"/>
  <c r="P226" i="19" s="1"/>
  <c r="I226" i="19"/>
  <c r="M226" i="19" s="1"/>
  <c r="CI225" i="19"/>
  <c r="J225" i="19" s="1"/>
  <c r="K225" i="19" s="1"/>
  <c r="I225" i="19"/>
  <c r="F225" i="19"/>
  <c r="CI224" i="19"/>
  <c r="J224" i="19" s="1"/>
  <c r="N224" i="19" s="1"/>
  <c r="L224" i="19"/>
  <c r="I224" i="19"/>
  <c r="M224" i="19" s="1"/>
  <c r="CI223" i="19"/>
  <c r="J223" i="19" s="1"/>
  <c r="K223" i="19" s="1"/>
  <c r="O223" i="19" s="1"/>
  <c r="L223" i="19"/>
  <c r="I223" i="19"/>
  <c r="M223" i="19" s="1"/>
  <c r="CI222" i="19"/>
  <c r="J222" i="19" s="1"/>
  <c r="K222" i="19" s="1"/>
  <c r="O222" i="19" s="1"/>
  <c r="L222" i="19"/>
  <c r="I222" i="19"/>
  <c r="M222" i="19" s="1"/>
  <c r="CI221" i="19"/>
  <c r="J221" i="19" s="1"/>
  <c r="K221" i="19" s="1"/>
  <c r="O221" i="19" s="1"/>
  <c r="L221" i="19"/>
  <c r="I221" i="19"/>
  <c r="M221" i="19" s="1"/>
  <c r="CI220" i="19"/>
  <c r="J220" i="19" s="1"/>
  <c r="N220" i="19" s="1"/>
  <c r="L220" i="19"/>
  <c r="I220" i="19"/>
  <c r="M220" i="19" s="1"/>
  <c r="CI219" i="19"/>
  <c r="J219" i="19" s="1"/>
  <c r="K219" i="19" s="1"/>
  <c r="O219" i="19" s="1"/>
  <c r="L219" i="19"/>
  <c r="I219" i="19"/>
  <c r="M219" i="19" s="1"/>
  <c r="CI218" i="19"/>
  <c r="J218" i="19" s="1"/>
  <c r="K218" i="19" s="1"/>
  <c r="O218" i="19" s="1"/>
  <c r="L218" i="19"/>
  <c r="I218" i="19"/>
  <c r="M218" i="19" s="1"/>
  <c r="CI217" i="19"/>
  <c r="J217" i="19" s="1"/>
  <c r="K217" i="19" s="1"/>
  <c r="O217" i="19" s="1"/>
  <c r="L217" i="19"/>
  <c r="I217" i="19"/>
  <c r="M217" i="19" s="1"/>
  <c r="CI216" i="19"/>
  <c r="J216" i="19" s="1"/>
  <c r="N216" i="19" s="1"/>
  <c r="L216" i="19"/>
  <c r="I216" i="19"/>
  <c r="M216" i="19" s="1"/>
  <c r="CI215" i="19"/>
  <c r="CI214" i="19"/>
  <c r="CI213" i="19"/>
  <c r="J213" i="19" s="1"/>
  <c r="L213" i="19"/>
  <c r="I213" i="19"/>
  <c r="M213" i="19" s="1"/>
  <c r="CI212" i="19"/>
  <c r="J212" i="19" s="1"/>
  <c r="L212" i="19"/>
  <c r="I212" i="19"/>
  <c r="M212" i="19" s="1"/>
  <c r="CI211" i="19"/>
  <c r="J211" i="19" s="1"/>
  <c r="L211" i="19"/>
  <c r="I211" i="19"/>
  <c r="M211" i="19" s="1"/>
  <c r="CI210" i="19"/>
  <c r="J210" i="19" s="1"/>
  <c r="N210" i="19" s="1"/>
  <c r="L210" i="19"/>
  <c r="I210" i="19"/>
  <c r="M210" i="19" s="1"/>
  <c r="CI209" i="19"/>
  <c r="J209" i="19" s="1"/>
  <c r="K209" i="19" s="1"/>
  <c r="O209" i="19" s="1"/>
  <c r="L209" i="19"/>
  <c r="I209" i="19"/>
  <c r="M209" i="19" s="1"/>
  <c r="CI208" i="19"/>
  <c r="CI207" i="19"/>
  <c r="J207" i="19" s="1"/>
  <c r="N207" i="19" s="1"/>
  <c r="L207" i="19"/>
  <c r="I207" i="19"/>
  <c r="M207" i="19" s="1"/>
  <c r="CI206" i="19"/>
  <c r="J206" i="19" s="1"/>
  <c r="L206" i="19"/>
  <c r="I206" i="19"/>
  <c r="M206" i="19" s="1"/>
  <c r="CI205" i="19"/>
  <c r="J205" i="19" s="1"/>
  <c r="K205" i="19" s="1"/>
  <c r="O205" i="19" s="1"/>
  <c r="L205" i="19"/>
  <c r="I205" i="19"/>
  <c r="M205" i="19" s="1"/>
  <c r="CI204" i="19"/>
  <c r="J204" i="19" s="1"/>
  <c r="K204" i="19" s="1"/>
  <c r="O204" i="19" s="1"/>
  <c r="L204" i="19"/>
  <c r="I204" i="19"/>
  <c r="M204" i="19" s="1"/>
  <c r="CI203" i="19"/>
  <c r="J203" i="19" s="1"/>
  <c r="N203" i="19" s="1"/>
  <c r="L203" i="19"/>
  <c r="I203" i="19"/>
  <c r="M203" i="19" s="1"/>
  <c r="CI202" i="19"/>
  <c r="J202" i="19" s="1"/>
  <c r="L202" i="19"/>
  <c r="I202" i="19"/>
  <c r="M202" i="19" s="1"/>
  <c r="CI201" i="19"/>
  <c r="J201" i="19" s="1"/>
  <c r="K201" i="19" s="1"/>
  <c r="O201" i="19" s="1"/>
  <c r="L201" i="19"/>
  <c r="I201" i="19"/>
  <c r="M201" i="19" s="1"/>
  <c r="CI200" i="19"/>
  <c r="J200" i="19" s="1"/>
  <c r="K200" i="19" s="1"/>
  <c r="O200" i="19" s="1"/>
  <c r="L200" i="19"/>
  <c r="I200" i="19"/>
  <c r="M200" i="19" s="1"/>
  <c r="CI199" i="19"/>
  <c r="J199" i="19" s="1"/>
  <c r="L199" i="19"/>
  <c r="I199" i="19"/>
  <c r="M199" i="19" s="1"/>
  <c r="CI198" i="19"/>
  <c r="J198" i="19" s="1"/>
  <c r="L198" i="19"/>
  <c r="I198" i="19"/>
  <c r="M198" i="19" s="1"/>
  <c r="CI197" i="19"/>
  <c r="J197" i="19" s="1"/>
  <c r="L197" i="19"/>
  <c r="I197" i="19"/>
  <c r="M197" i="19" s="1"/>
  <c r="CI196" i="19"/>
  <c r="J196" i="19" s="1"/>
  <c r="L196" i="19"/>
  <c r="I196" i="19"/>
  <c r="M196" i="19" s="1"/>
  <c r="CI195" i="19"/>
  <c r="J195" i="19" s="1"/>
  <c r="L195" i="19"/>
  <c r="I195" i="19"/>
  <c r="M195" i="19" s="1"/>
  <c r="CI194" i="19"/>
  <c r="CI193" i="19"/>
  <c r="J193" i="19" s="1"/>
  <c r="L193" i="19"/>
  <c r="I193" i="19"/>
  <c r="M193" i="19" s="1"/>
  <c r="CI192" i="19"/>
  <c r="J192" i="19" s="1"/>
  <c r="L192" i="19"/>
  <c r="I192" i="19"/>
  <c r="M192" i="19" s="1"/>
  <c r="CI191" i="19"/>
  <c r="J191" i="19" s="1"/>
  <c r="L191" i="19"/>
  <c r="I191" i="19"/>
  <c r="M191" i="19" s="1"/>
  <c r="CI190" i="19"/>
  <c r="CI189" i="19"/>
  <c r="J189" i="19" s="1"/>
  <c r="L189" i="19"/>
  <c r="I189" i="19"/>
  <c r="M189" i="19" s="1"/>
  <c r="CI188" i="19"/>
  <c r="J188" i="19" s="1"/>
  <c r="L188" i="19"/>
  <c r="I188" i="19"/>
  <c r="M188" i="19" s="1"/>
  <c r="CI187" i="19"/>
  <c r="J187" i="19" s="1"/>
  <c r="L187" i="19"/>
  <c r="I187" i="19"/>
  <c r="M187" i="19" s="1"/>
  <c r="M181" i="19" s="1"/>
  <c r="CI186" i="19"/>
  <c r="J186" i="19" s="1"/>
  <c r="K186" i="19" s="1"/>
  <c r="O186" i="19" s="1"/>
  <c r="L186" i="19"/>
  <c r="I186" i="19"/>
  <c r="M186" i="19" s="1"/>
  <c r="CI185" i="19"/>
  <c r="J185" i="19" s="1"/>
  <c r="L185" i="19"/>
  <c r="I185" i="19"/>
  <c r="M185" i="19" s="1"/>
  <c r="CI184" i="19"/>
  <c r="J184" i="19" s="1"/>
  <c r="L184" i="19"/>
  <c r="I184" i="19"/>
  <c r="M184" i="19" s="1"/>
  <c r="CI183" i="19"/>
  <c r="J183" i="19" s="1"/>
  <c r="L183" i="19"/>
  <c r="I183" i="19"/>
  <c r="M183" i="19" s="1"/>
  <c r="CI182" i="19"/>
  <c r="J182" i="19" s="1"/>
  <c r="K182" i="19" s="1"/>
  <c r="O182" i="19" s="1"/>
  <c r="L182" i="19"/>
  <c r="I182" i="19"/>
  <c r="M182" i="19" s="1"/>
  <c r="CI181" i="19"/>
  <c r="CI180" i="19"/>
  <c r="J180" i="19" s="1"/>
  <c r="L180" i="19"/>
  <c r="I180" i="19"/>
  <c r="M180" i="19" s="1"/>
  <c r="CI179" i="19"/>
  <c r="J179" i="19" s="1"/>
  <c r="N179" i="19" s="1"/>
  <c r="L179" i="19"/>
  <c r="I179" i="19"/>
  <c r="M179" i="19" s="1"/>
  <c r="CI178" i="19"/>
  <c r="J178" i="19" s="1"/>
  <c r="N178" i="19" s="1"/>
  <c r="L178" i="19"/>
  <c r="I178" i="19"/>
  <c r="M178" i="19" s="1"/>
  <c r="CI177" i="19"/>
  <c r="J177" i="19" s="1"/>
  <c r="L177" i="19"/>
  <c r="N177" i="19"/>
  <c r="I177" i="19"/>
  <c r="M177" i="19" s="1"/>
  <c r="CI176" i="19"/>
  <c r="J176" i="19" s="1"/>
  <c r="K176" i="19" s="1"/>
  <c r="L176" i="19"/>
  <c r="O176" i="19"/>
  <c r="I176" i="19"/>
  <c r="M176" i="19" s="1"/>
  <c r="CI175" i="19"/>
  <c r="J175" i="19"/>
  <c r="L175" i="19"/>
  <c r="I175" i="19"/>
  <c r="M175" i="19" s="1"/>
  <c r="CI174" i="19"/>
  <c r="J174" i="19" s="1"/>
  <c r="N174" i="19" s="1"/>
  <c r="L174" i="19"/>
  <c r="I174" i="19"/>
  <c r="M174" i="19" s="1"/>
  <c r="CI173" i="19"/>
  <c r="J173" i="19" s="1"/>
  <c r="L173" i="19"/>
  <c r="I173" i="19"/>
  <c r="M173" i="19" s="1"/>
  <c r="CI172" i="19"/>
  <c r="J172" i="19" s="1"/>
  <c r="K172" i="19" s="1"/>
  <c r="O172" i="19" s="1"/>
  <c r="L172" i="19"/>
  <c r="I172" i="19"/>
  <c r="M172" i="19" s="1"/>
  <c r="CI171" i="19"/>
  <c r="J171" i="19" s="1"/>
  <c r="N171" i="19" s="1"/>
  <c r="P171" i="19" s="1"/>
  <c r="L171" i="19"/>
  <c r="I171" i="19"/>
  <c r="M171" i="19" s="1"/>
  <c r="CI170" i="19"/>
  <c r="J170" i="19" s="1"/>
  <c r="N170" i="19" s="1"/>
  <c r="L170" i="19"/>
  <c r="I170" i="19"/>
  <c r="M170" i="19" s="1"/>
  <c r="CI169" i="19"/>
  <c r="CI168" i="19"/>
  <c r="CI167" i="19"/>
  <c r="J167" i="19" s="1"/>
  <c r="L167" i="19"/>
  <c r="I167" i="19"/>
  <c r="M167" i="19" s="1"/>
  <c r="CI166" i="19"/>
  <c r="J166" i="19" s="1"/>
  <c r="K166" i="19" s="1"/>
  <c r="O166" i="19" s="1"/>
  <c r="L166" i="19"/>
  <c r="I166" i="19"/>
  <c r="M166" i="19" s="1"/>
  <c r="M152" i="19" s="1"/>
  <c r="CI165" i="19"/>
  <c r="J165" i="19" s="1"/>
  <c r="N165" i="19" s="1"/>
  <c r="L165" i="19"/>
  <c r="I165" i="19"/>
  <c r="M165" i="19" s="1"/>
  <c r="CI164" i="19"/>
  <c r="J164" i="19" s="1"/>
  <c r="N164" i="19" s="1"/>
  <c r="L164" i="19"/>
  <c r="I164" i="19"/>
  <c r="M164" i="19" s="1"/>
  <c r="CI163" i="19"/>
  <c r="J163" i="19" s="1"/>
  <c r="L163" i="19"/>
  <c r="I163" i="19"/>
  <c r="M163" i="19" s="1"/>
  <c r="CI162" i="19"/>
  <c r="J162" i="19" s="1"/>
  <c r="L162" i="19"/>
  <c r="I162" i="19"/>
  <c r="M162" i="19" s="1"/>
  <c r="CI161" i="19"/>
  <c r="J161" i="19" s="1"/>
  <c r="N161" i="19" s="1"/>
  <c r="L161" i="19"/>
  <c r="I161" i="19"/>
  <c r="M161" i="19" s="1"/>
  <c r="CI160" i="19"/>
  <c r="J160" i="19" s="1"/>
  <c r="N160" i="19" s="1"/>
  <c r="L160" i="19"/>
  <c r="I160" i="19"/>
  <c r="M160" i="19" s="1"/>
  <c r="CI159" i="19"/>
  <c r="J159" i="19" s="1"/>
  <c r="L159" i="19"/>
  <c r="I159" i="19"/>
  <c r="M159" i="19" s="1"/>
  <c r="CI158" i="19"/>
  <c r="J158" i="19" s="1"/>
  <c r="K158" i="19" s="1"/>
  <c r="O158" i="19" s="1"/>
  <c r="L158" i="19"/>
  <c r="I158" i="19"/>
  <c r="M158" i="19" s="1"/>
  <c r="CI157" i="19"/>
  <c r="J157" i="19" s="1"/>
  <c r="N157" i="19" s="1"/>
  <c r="L157" i="19"/>
  <c r="I157" i="19"/>
  <c r="M157" i="19" s="1"/>
  <c r="CI156" i="19"/>
  <c r="J156" i="19" s="1"/>
  <c r="N156" i="19" s="1"/>
  <c r="L156" i="19"/>
  <c r="I156" i="19"/>
  <c r="M156" i="19" s="1"/>
  <c r="CI155" i="19"/>
  <c r="J155" i="19"/>
  <c r="L155" i="19"/>
  <c r="I155" i="19"/>
  <c r="M155" i="19" s="1"/>
  <c r="CI154" i="19"/>
  <c r="J154" i="19" s="1"/>
  <c r="L154" i="19"/>
  <c r="I154" i="19"/>
  <c r="M154" i="19" s="1"/>
  <c r="CI153" i="19"/>
  <c r="J153" i="19" s="1"/>
  <c r="L153" i="19"/>
  <c r="I153" i="19"/>
  <c r="M153" i="19" s="1"/>
  <c r="CI152" i="19"/>
  <c r="CI151" i="19"/>
  <c r="J151" i="19" s="1"/>
  <c r="L151" i="19"/>
  <c r="I151" i="19"/>
  <c r="M151" i="19" s="1"/>
  <c r="CI150" i="19"/>
  <c r="J150" i="19" s="1"/>
  <c r="K150" i="19" s="1"/>
  <c r="O150" i="19" s="1"/>
  <c r="L150" i="19"/>
  <c r="I150" i="19"/>
  <c r="M150" i="19" s="1"/>
  <c r="CI149" i="19"/>
  <c r="J149" i="19" s="1"/>
  <c r="N149" i="19" s="1"/>
  <c r="L149" i="19"/>
  <c r="I149" i="19"/>
  <c r="M149" i="19" s="1"/>
  <c r="CI148" i="19"/>
  <c r="J148" i="19" s="1"/>
  <c r="L148" i="19"/>
  <c r="I148" i="19"/>
  <c r="M148" i="19" s="1"/>
  <c r="CI147" i="19"/>
  <c r="J147" i="19" s="1"/>
  <c r="L147" i="19"/>
  <c r="I147" i="19"/>
  <c r="M147" i="19" s="1"/>
  <c r="CI146" i="19"/>
  <c r="J146" i="19" s="1"/>
  <c r="K146" i="19" s="1"/>
  <c r="O146" i="19" s="1"/>
  <c r="L146" i="19"/>
  <c r="I146" i="19"/>
  <c r="M146" i="19" s="1"/>
  <c r="CI145" i="19"/>
  <c r="J145" i="19" s="1"/>
  <c r="L145" i="19"/>
  <c r="I145" i="19"/>
  <c r="M145" i="19" s="1"/>
  <c r="CI144" i="19"/>
  <c r="J144" i="19" s="1"/>
  <c r="L144" i="19"/>
  <c r="I144" i="19"/>
  <c r="M144" i="19" s="1"/>
  <c r="CI143" i="19"/>
  <c r="J143" i="19" s="1"/>
  <c r="L143" i="19"/>
  <c r="I143" i="19"/>
  <c r="M143" i="19" s="1"/>
  <c r="CI142" i="19"/>
  <c r="J142" i="19" s="1"/>
  <c r="K142" i="19" s="1"/>
  <c r="O142" i="19" s="1"/>
  <c r="L142" i="19"/>
  <c r="I142" i="19"/>
  <c r="M142" i="19" s="1"/>
  <c r="CI141" i="19"/>
  <c r="J141" i="19" s="1"/>
  <c r="L141" i="19"/>
  <c r="I141" i="19"/>
  <c r="M141" i="19" s="1"/>
  <c r="CI140" i="19"/>
  <c r="J140" i="19" s="1"/>
  <c r="L140" i="19"/>
  <c r="I140" i="19"/>
  <c r="M140" i="19" s="1"/>
  <c r="CI139" i="19"/>
  <c r="J139" i="19" s="1"/>
  <c r="L139" i="19"/>
  <c r="I139" i="19"/>
  <c r="M139" i="19" s="1"/>
  <c r="CI138" i="19"/>
  <c r="J138" i="19" s="1"/>
  <c r="K138" i="19" s="1"/>
  <c r="O138" i="19" s="1"/>
  <c r="L138" i="19"/>
  <c r="I138" i="19"/>
  <c r="M138" i="19" s="1"/>
  <c r="CI137" i="19"/>
  <c r="J137" i="19" s="1"/>
  <c r="N137" i="19" s="1"/>
  <c r="L137" i="19"/>
  <c r="I137" i="19"/>
  <c r="M137" i="19" s="1"/>
  <c r="CI136" i="19"/>
  <c r="J136" i="19" s="1"/>
  <c r="N136" i="19" s="1"/>
  <c r="P136" i="19" s="1"/>
  <c r="L136" i="19"/>
  <c r="I136" i="19"/>
  <c r="M136" i="19" s="1"/>
  <c r="CI135" i="19"/>
  <c r="J135" i="19" s="1"/>
  <c r="L135" i="19"/>
  <c r="I135" i="19"/>
  <c r="M135" i="19" s="1"/>
  <c r="CI134" i="19"/>
  <c r="J134" i="19" s="1"/>
  <c r="K134" i="19" s="1"/>
  <c r="O134" i="19" s="1"/>
  <c r="L134" i="19"/>
  <c r="I134" i="19"/>
  <c r="M134" i="19" s="1"/>
  <c r="CI133" i="19"/>
  <c r="J133" i="19" s="1"/>
  <c r="L133" i="19"/>
  <c r="I133" i="19"/>
  <c r="M133" i="19" s="1"/>
  <c r="CI132" i="19"/>
  <c r="J132" i="19" s="1"/>
  <c r="L132" i="19"/>
  <c r="I132" i="19"/>
  <c r="M132" i="19" s="1"/>
  <c r="CI131" i="19"/>
  <c r="J131" i="19" s="1"/>
  <c r="L131" i="19"/>
  <c r="I131" i="19"/>
  <c r="M131" i="19" s="1"/>
  <c r="CI130" i="19"/>
  <c r="CI129" i="19"/>
  <c r="CI128" i="19"/>
  <c r="J128" i="19" s="1"/>
  <c r="K128" i="19" s="1"/>
  <c r="O128" i="19" s="1"/>
  <c r="L128" i="19"/>
  <c r="I128" i="19"/>
  <c r="M128" i="19" s="1"/>
  <c r="CI127" i="19"/>
  <c r="J127" i="19" s="1"/>
  <c r="L127" i="19"/>
  <c r="I127" i="19"/>
  <c r="M127" i="19" s="1"/>
  <c r="CI126" i="19"/>
  <c r="J126" i="19" s="1"/>
  <c r="N126" i="19" s="1"/>
  <c r="L126" i="19"/>
  <c r="I126" i="19"/>
  <c r="M126" i="19" s="1"/>
  <c r="CI125" i="19"/>
  <c r="J125" i="19" s="1"/>
  <c r="L125" i="19"/>
  <c r="I125" i="19"/>
  <c r="M125" i="19" s="1"/>
  <c r="CI124" i="19"/>
  <c r="J124" i="19" s="1"/>
  <c r="L124" i="19"/>
  <c r="I124" i="19"/>
  <c r="M124" i="19" s="1"/>
  <c r="CI123" i="19"/>
  <c r="J123" i="19" s="1"/>
  <c r="N123" i="19" s="1"/>
  <c r="L123" i="19"/>
  <c r="I123" i="19"/>
  <c r="M123" i="19" s="1"/>
  <c r="CI122" i="19"/>
  <c r="J122" i="19" s="1"/>
  <c r="N122" i="19" s="1"/>
  <c r="L122" i="19"/>
  <c r="I122" i="19"/>
  <c r="M122" i="19" s="1"/>
  <c r="CI121" i="19"/>
  <c r="J121" i="19" s="1"/>
  <c r="L121" i="19"/>
  <c r="I121" i="19"/>
  <c r="M121" i="19" s="1"/>
  <c r="CI120" i="19"/>
  <c r="CI119" i="19"/>
  <c r="J119" i="19" s="1"/>
  <c r="N119" i="19" s="1"/>
  <c r="L119" i="19"/>
  <c r="I119" i="19"/>
  <c r="M119" i="19" s="1"/>
  <c r="CI118" i="19"/>
  <c r="J118" i="19" s="1"/>
  <c r="L118" i="19"/>
  <c r="I118" i="19"/>
  <c r="M118" i="19" s="1"/>
  <c r="CI117" i="19"/>
  <c r="J117" i="19" s="1"/>
  <c r="L117" i="19"/>
  <c r="I117" i="19"/>
  <c r="M117" i="19" s="1"/>
  <c r="CI116" i="19"/>
  <c r="CI115" i="19"/>
  <c r="J115" i="19" s="1"/>
  <c r="L115" i="19"/>
  <c r="I115" i="19"/>
  <c r="M115" i="19"/>
  <c r="CI114" i="19"/>
  <c r="J114" i="19" s="1"/>
  <c r="N114" i="19" s="1"/>
  <c r="L114" i="19"/>
  <c r="I114" i="19"/>
  <c r="M114" i="19" s="1"/>
  <c r="CI113" i="19"/>
  <c r="J113" i="19" s="1"/>
  <c r="L113" i="19"/>
  <c r="I113" i="19"/>
  <c r="M113" i="19" s="1"/>
  <c r="CI112" i="19"/>
  <c r="J112" i="19" s="1"/>
  <c r="N112" i="19" s="1"/>
  <c r="L112" i="19"/>
  <c r="I112" i="19"/>
  <c r="M112" i="19" s="1"/>
  <c r="CI111" i="19"/>
  <c r="J111" i="19" s="1"/>
  <c r="L111" i="19"/>
  <c r="I111" i="19"/>
  <c r="M111" i="19" s="1"/>
  <c r="CI110" i="19"/>
  <c r="CI109" i="19"/>
  <c r="CI108" i="19"/>
  <c r="J108" i="19" s="1"/>
  <c r="L108" i="19"/>
  <c r="I108" i="19"/>
  <c r="M108" i="19" s="1"/>
  <c r="CI107" i="19"/>
  <c r="J107" i="19" s="1"/>
  <c r="K107" i="19" s="1"/>
  <c r="L107" i="19"/>
  <c r="I107" i="19"/>
  <c r="M107" i="19" s="1"/>
  <c r="CI106" i="19"/>
  <c r="J106" i="19" s="1"/>
  <c r="N106" i="19" s="1"/>
  <c r="L106" i="19"/>
  <c r="I106" i="19"/>
  <c r="M106" i="19" s="1"/>
  <c r="CI105" i="19"/>
  <c r="J105" i="19" s="1"/>
  <c r="K105" i="19" s="1"/>
  <c r="O105" i="19" s="1"/>
  <c r="L105" i="19"/>
  <c r="I105" i="19"/>
  <c r="M105" i="19" s="1"/>
  <c r="CI104" i="19"/>
  <c r="J104" i="19" s="1"/>
  <c r="L104" i="19"/>
  <c r="I104" i="19"/>
  <c r="M104" i="19" s="1"/>
  <c r="CI103" i="19"/>
  <c r="J103" i="19" s="1"/>
  <c r="K103" i="19" s="1"/>
  <c r="O103" i="19" s="1"/>
  <c r="L103" i="19"/>
  <c r="I103" i="19"/>
  <c r="M103" i="19" s="1"/>
  <c r="CI102" i="19"/>
  <c r="J102" i="19" s="1"/>
  <c r="N102" i="19" s="1"/>
  <c r="L102" i="19"/>
  <c r="I102" i="19"/>
  <c r="M102" i="19" s="1"/>
  <c r="CI101" i="19"/>
  <c r="J101" i="19" s="1"/>
  <c r="K101" i="19" s="1"/>
  <c r="O101" i="19" s="1"/>
  <c r="L101" i="19"/>
  <c r="I101" i="19"/>
  <c r="M101" i="19" s="1"/>
  <c r="CI100" i="19"/>
  <c r="J100" i="19" s="1"/>
  <c r="L100" i="19"/>
  <c r="I100" i="19"/>
  <c r="M100" i="19" s="1"/>
  <c r="CI99" i="19"/>
  <c r="J99" i="19" s="1"/>
  <c r="N99" i="19" s="1"/>
  <c r="P99" i="19" s="1"/>
  <c r="L99" i="19"/>
  <c r="I99" i="19"/>
  <c r="M99" i="19" s="1"/>
  <c r="CI98" i="19"/>
  <c r="CI97" i="19"/>
  <c r="J97" i="19" s="1"/>
  <c r="K97" i="19" s="1"/>
  <c r="O97" i="19" s="1"/>
  <c r="O95" i="19" s="1"/>
  <c r="L97" i="19"/>
  <c r="I97" i="19"/>
  <c r="M97" i="19" s="1"/>
  <c r="CI96" i="19"/>
  <c r="J96" i="19" s="1"/>
  <c r="K96" i="19" s="1"/>
  <c r="O96" i="19" s="1"/>
  <c r="L96" i="19"/>
  <c r="I96" i="19"/>
  <c r="M96" i="19" s="1"/>
  <c r="CI95" i="19"/>
  <c r="CI94" i="19"/>
  <c r="J94" i="19" s="1"/>
  <c r="K94" i="19" s="1"/>
  <c r="O94" i="19" s="1"/>
  <c r="L94" i="19"/>
  <c r="I94" i="19"/>
  <c r="M94" i="19" s="1"/>
  <c r="CI93" i="19"/>
  <c r="J93" i="19" s="1"/>
  <c r="K93" i="19" s="1"/>
  <c r="O93" i="19" s="1"/>
  <c r="L93" i="19"/>
  <c r="I93" i="19"/>
  <c r="M93" i="19" s="1"/>
  <c r="M92" i="19" s="1"/>
  <c r="CI92" i="19"/>
  <c r="CI91" i="19"/>
  <c r="J91" i="19" s="1"/>
  <c r="L91" i="19"/>
  <c r="L90" i="19" s="1"/>
  <c r="I91" i="19"/>
  <c r="M91" i="19" s="1"/>
  <c r="M90" i="19" s="1"/>
  <c r="CI90" i="19"/>
  <c r="CI89" i="19"/>
  <c r="J89" i="19" s="1"/>
  <c r="L89" i="19"/>
  <c r="L87" i="19" s="1"/>
  <c r="I89" i="19"/>
  <c r="M89" i="19" s="1"/>
  <c r="M87" i="19" s="1"/>
  <c r="CI88" i="19"/>
  <c r="J88" i="19" s="1"/>
  <c r="L88" i="19"/>
  <c r="I88" i="19"/>
  <c r="M88" i="19" s="1"/>
  <c r="CI87" i="19"/>
  <c r="CI86" i="19"/>
  <c r="J86" i="19"/>
  <c r="N86" i="19" s="1"/>
  <c r="L86" i="19"/>
  <c r="I86" i="19"/>
  <c r="M86" i="19" s="1"/>
  <c r="CI85" i="19"/>
  <c r="J85" i="19" s="1"/>
  <c r="L85" i="19"/>
  <c r="I85" i="19"/>
  <c r="M85" i="19" s="1"/>
  <c r="CI84" i="19"/>
  <c r="J84" i="19" s="1"/>
  <c r="K84" i="19" s="1"/>
  <c r="O84" i="19" s="1"/>
  <c r="L84" i="19"/>
  <c r="I84" i="19"/>
  <c r="M84" i="19" s="1"/>
  <c r="CI83" i="19"/>
  <c r="CI82" i="19"/>
  <c r="J82" i="19" s="1"/>
  <c r="L82" i="19"/>
  <c r="I82" i="19"/>
  <c r="M82" i="19" s="1"/>
  <c r="CI81" i="19"/>
  <c r="J81" i="19" s="1"/>
  <c r="L81" i="19"/>
  <c r="I81" i="19"/>
  <c r="M81" i="19" s="1"/>
  <c r="CI80" i="19"/>
  <c r="J80" i="19" s="1"/>
  <c r="L80" i="19"/>
  <c r="I80" i="19"/>
  <c r="M80" i="19"/>
  <c r="CI79" i="19"/>
  <c r="J79" i="19" s="1"/>
  <c r="K79" i="19" s="1"/>
  <c r="O79" i="19" s="1"/>
  <c r="L79" i="19"/>
  <c r="I79" i="19"/>
  <c r="M79" i="19" s="1"/>
  <c r="CI78" i="19"/>
  <c r="CI77" i="19"/>
  <c r="CI76" i="19"/>
  <c r="J76" i="19" s="1"/>
  <c r="N76" i="19" s="1"/>
  <c r="N75" i="19" s="1"/>
  <c r="L76" i="19"/>
  <c r="L75" i="19" s="1"/>
  <c r="I76" i="19"/>
  <c r="M76" i="19" s="1"/>
  <c r="M75" i="19" s="1"/>
  <c r="CI75" i="19"/>
  <c r="CI74" i="19"/>
  <c r="J74" i="19" s="1"/>
  <c r="N74" i="19" s="1"/>
  <c r="L74" i="19"/>
  <c r="I74" i="19"/>
  <c r="M74" i="19" s="1"/>
  <c r="CI73" i="19"/>
  <c r="J73" i="19" s="1"/>
  <c r="N73" i="19" s="1"/>
  <c r="L73" i="19"/>
  <c r="I73" i="19"/>
  <c r="M73" i="19" s="1"/>
  <c r="CI72" i="19"/>
  <c r="CI71" i="19"/>
  <c r="J71" i="19" s="1"/>
  <c r="L71" i="19"/>
  <c r="L70" i="19" s="1"/>
  <c r="I71" i="19"/>
  <c r="M71" i="19" s="1"/>
  <c r="M70" i="19" s="1"/>
  <c r="CI70" i="19"/>
  <c r="CI69" i="19"/>
  <c r="CI68" i="19"/>
  <c r="J68" i="19" s="1"/>
  <c r="L68" i="19"/>
  <c r="L67" i="19" s="1"/>
  <c r="I68" i="19"/>
  <c r="M68" i="19" s="1"/>
  <c r="M67" i="19" s="1"/>
  <c r="CI67" i="19"/>
  <c r="CI66" i="19"/>
  <c r="J66" i="19" s="1"/>
  <c r="L66" i="19"/>
  <c r="I66" i="19"/>
  <c r="M66" i="19" s="1"/>
  <c r="CI65" i="19"/>
  <c r="J65" i="19" s="1"/>
  <c r="L65" i="19"/>
  <c r="I65" i="19"/>
  <c r="M65" i="19" s="1"/>
  <c r="CI64" i="19"/>
  <c r="J64" i="19"/>
  <c r="L64" i="19"/>
  <c r="I64" i="19"/>
  <c r="M64" i="19" s="1"/>
  <c r="CI63" i="19"/>
  <c r="J63" i="19" s="1"/>
  <c r="K63" i="19" s="1"/>
  <c r="O63" i="19" s="1"/>
  <c r="L63" i="19"/>
  <c r="I63" i="19"/>
  <c r="M63" i="19" s="1"/>
  <c r="CI62" i="19"/>
  <c r="CI61" i="19"/>
  <c r="J61" i="19" s="1"/>
  <c r="L61" i="19"/>
  <c r="I61" i="19"/>
  <c r="M61" i="19" s="1"/>
  <c r="CI60" i="19"/>
  <c r="J60" i="19" s="1"/>
  <c r="M60" i="19"/>
  <c r="L60" i="19"/>
  <c r="I60" i="19"/>
  <c r="CI59" i="19"/>
  <c r="J59" i="19" s="1"/>
  <c r="L59" i="19"/>
  <c r="I59" i="19"/>
  <c r="M59" i="19" s="1"/>
  <c r="CI58" i="19"/>
  <c r="J58" i="19" s="1"/>
  <c r="N58" i="19" s="1"/>
  <c r="L58" i="19"/>
  <c r="I58" i="19"/>
  <c r="M58" i="19" s="1"/>
  <c r="CI57" i="19"/>
  <c r="CI56" i="19"/>
  <c r="J56" i="19" s="1"/>
  <c r="L56" i="19"/>
  <c r="I56" i="19"/>
  <c r="M56" i="19" s="1"/>
  <c r="CI55" i="19"/>
  <c r="J55" i="19" s="1"/>
  <c r="L55" i="19"/>
  <c r="I55" i="19"/>
  <c r="M55" i="19" s="1"/>
  <c r="CI54" i="19"/>
  <c r="J54" i="19" s="1"/>
  <c r="L54" i="19"/>
  <c r="I54" i="19"/>
  <c r="M54" i="19" s="1"/>
  <c r="CI53" i="19"/>
  <c r="J53" i="19" s="1"/>
  <c r="K53" i="19" s="1"/>
  <c r="O53" i="19" s="1"/>
  <c r="L53" i="19"/>
  <c r="I53" i="19"/>
  <c r="M53" i="19" s="1"/>
  <c r="CI52" i="19"/>
  <c r="J52" i="19" s="1"/>
  <c r="L52" i="19"/>
  <c r="I52" i="19"/>
  <c r="M52" i="19" s="1"/>
  <c r="M51" i="19" s="1"/>
  <c r="CI51" i="19"/>
  <c r="CI50" i="19"/>
  <c r="J50" i="19" s="1"/>
  <c r="K50" i="19" s="1"/>
  <c r="O50" i="19" s="1"/>
  <c r="L50" i="19"/>
  <c r="I50" i="19"/>
  <c r="M50" i="19" s="1"/>
  <c r="CI49" i="19"/>
  <c r="J49" i="19" s="1"/>
  <c r="K49" i="19" s="1"/>
  <c r="O49" i="19" s="1"/>
  <c r="L49" i="19"/>
  <c r="I49" i="19"/>
  <c r="M49" i="19" s="1"/>
  <c r="CI48" i="19"/>
  <c r="J48" i="19"/>
  <c r="N48" i="19" s="1"/>
  <c r="L48" i="19"/>
  <c r="I48" i="19"/>
  <c r="M48" i="19" s="1"/>
  <c r="CI47" i="19"/>
  <c r="J47" i="19" s="1"/>
  <c r="L47" i="19"/>
  <c r="I47" i="19"/>
  <c r="M47" i="19" s="1"/>
  <c r="CI46" i="19"/>
  <c r="I46" i="19"/>
  <c r="F46" i="19"/>
  <c r="CI45" i="19"/>
  <c r="I45" i="19"/>
  <c r="CI44" i="19"/>
  <c r="J44" i="19" s="1"/>
  <c r="L44" i="19"/>
  <c r="I44" i="19"/>
  <c r="M44" i="19" s="1"/>
  <c r="CI43" i="19"/>
  <c r="J43" i="19" s="1"/>
  <c r="K43" i="19" s="1"/>
  <c r="O43" i="19" s="1"/>
  <c r="L43" i="19"/>
  <c r="I43" i="19"/>
  <c r="M43" i="19" s="1"/>
  <c r="CI42" i="19"/>
  <c r="J42" i="19" s="1"/>
  <c r="L42" i="19"/>
  <c r="I42" i="19"/>
  <c r="M42" i="19" s="1"/>
  <c r="CI41" i="19"/>
  <c r="J41" i="19" s="1"/>
  <c r="N41" i="19" s="1"/>
  <c r="L41" i="19"/>
  <c r="I41" i="19"/>
  <c r="M41" i="19" s="1"/>
  <c r="CI40" i="19"/>
  <c r="J40" i="19" s="1"/>
  <c r="K40" i="19" s="1"/>
  <c r="O40" i="19" s="1"/>
  <c r="L40" i="19"/>
  <c r="I40" i="19"/>
  <c r="M40" i="19" s="1"/>
  <c r="CI39" i="19"/>
  <c r="I39" i="19"/>
  <c r="CI38" i="19"/>
  <c r="J38" i="19" s="1"/>
  <c r="L38" i="19"/>
  <c r="I38" i="19"/>
  <c r="M38" i="19" s="1"/>
  <c r="CI37" i="19"/>
  <c r="J37" i="19" s="1"/>
  <c r="L37" i="19"/>
  <c r="I37" i="19"/>
  <c r="M37" i="19" s="1"/>
  <c r="CI36" i="19"/>
  <c r="J36" i="19" s="1"/>
  <c r="K36" i="19" s="1"/>
  <c r="O36" i="19" s="1"/>
  <c r="L36" i="19"/>
  <c r="I36" i="19"/>
  <c r="M36" i="19" s="1"/>
  <c r="CI35" i="19"/>
  <c r="J35" i="19" s="1"/>
  <c r="L35" i="19"/>
  <c r="I35" i="19"/>
  <c r="M35" i="19" s="1"/>
  <c r="CI34" i="19"/>
  <c r="J34" i="19" s="1"/>
  <c r="L34" i="19"/>
  <c r="I34" i="19"/>
  <c r="M34" i="19" s="1"/>
  <c r="CI33" i="19"/>
  <c r="CI32" i="19"/>
  <c r="CI31" i="19"/>
  <c r="J31" i="19" s="1"/>
  <c r="L31" i="19"/>
  <c r="I31" i="19"/>
  <c r="M31" i="19" s="1"/>
  <c r="CI30" i="19"/>
  <c r="J30" i="19" s="1"/>
  <c r="K30" i="19" s="1"/>
  <c r="O30" i="19" s="1"/>
  <c r="L30" i="19"/>
  <c r="I30" i="19"/>
  <c r="M30" i="19" s="1"/>
  <c r="CI29" i="19"/>
  <c r="J29" i="19" s="1"/>
  <c r="L29" i="19"/>
  <c r="I29" i="19"/>
  <c r="M29" i="19" s="1"/>
  <c r="CI28" i="19"/>
  <c r="J28" i="19" s="1"/>
  <c r="L28" i="19"/>
  <c r="I28" i="19"/>
  <c r="M28" i="19" s="1"/>
  <c r="CI27" i="19"/>
  <c r="J27" i="19" s="1"/>
  <c r="L27" i="19"/>
  <c r="I27" i="19"/>
  <c r="M27" i="19"/>
  <c r="CI26" i="19"/>
  <c r="CI25" i="19"/>
  <c r="J25" i="19" s="1"/>
  <c r="L25" i="19"/>
  <c r="I25" i="19"/>
  <c r="M25" i="19" s="1"/>
  <c r="CI24" i="19"/>
  <c r="J24" i="19" s="1"/>
  <c r="L24" i="19"/>
  <c r="I24" i="19"/>
  <c r="M24" i="19" s="1"/>
  <c r="CI23" i="19"/>
  <c r="J23" i="19" s="1"/>
  <c r="N23" i="19" s="1"/>
  <c r="L23" i="19"/>
  <c r="I23" i="19"/>
  <c r="M23" i="19" s="1"/>
  <c r="CI22" i="19"/>
  <c r="J22" i="19" s="1"/>
  <c r="L22" i="19"/>
  <c r="I22" i="19"/>
  <c r="M22" i="19" s="1"/>
  <c r="CI21" i="19"/>
  <c r="J21" i="19" s="1"/>
  <c r="L21" i="19"/>
  <c r="I21" i="19"/>
  <c r="M21" i="19" s="1"/>
  <c r="CI20" i="19"/>
  <c r="J20" i="19" s="1"/>
  <c r="K20" i="19" s="1"/>
  <c r="L20" i="19"/>
  <c r="I20" i="19"/>
  <c r="M20" i="19" s="1"/>
  <c r="CI19" i="19"/>
  <c r="J19" i="19" s="1"/>
  <c r="L19" i="19"/>
  <c r="I19" i="19"/>
  <c r="M19" i="19" s="1"/>
  <c r="CI18" i="19"/>
  <c r="J18" i="19" s="1"/>
  <c r="L18" i="19"/>
  <c r="I18" i="19"/>
  <c r="M18" i="19" s="1"/>
  <c r="CI17" i="19"/>
  <c r="J17" i="19" s="1"/>
  <c r="N17" i="19" s="1"/>
  <c r="L17" i="19"/>
  <c r="I17" i="19"/>
  <c r="M17" i="19" s="1"/>
  <c r="CI16" i="19"/>
  <c r="J16" i="19" s="1"/>
  <c r="K16" i="19" s="1"/>
  <c r="O16" i="19" s="1"/>
  <c r="L16" i="19"/>
  <c r="I16" i="19"/>
  <c r="M16" i="19" s="1"/>
  <c r="CI15" i="19"/>
  <c r="J15" i="19" s="1"/>
  <c r="L15" i="19"/>
  <c r="I15" i="19"/>
  <c r="M15" i="19" s="1"/>
  <c r="CI14" i="19"/>
  <c r="H8" i="19"/>
  <c r="AE8" i="19"/>
  <c r="AF6" i="19"/>
  <c r="L283" i="16"/>
  <c r="L282" i="16"/>
  <c r="L281" i="16"/>
  <c r="L280" i="16"/>
  <c r="L279" i="16"/>
  <c r="L277" i="16"/>
  <c r="L276" i="16"/>
  <c r="L274" i="16"/>
  <c r="L273" i="16"/>
  <c r="L272" i="16"/>
  <c r="L271" i="16"/>
  <c r="L270" i="16"/>
  <c r="L267" i="16"/>
  <c r="L266" i="16"/>
  <c r="L265" i="16"/>
  <c r="L264" i="16"/>
  <c r="L263" i="16"/>
  <c r="L262" i="16"/>
  <c r="L261" i="16"/>
  <c r="L260" i="16"/>
  <c r="L258" i="16"/>
  <c r="L257" i="16"/>
  <c r="L256" i="16"/>
  <c r="L255" i="16"/>
  <c r="L254" i="16"/>
  <c r="L253" i="16"/>
  <c r="L251" i="16"/>
  <c r="L250" i="16"/>
  <c r="L249" i="16"/>
  <c r="L248" i="16"/>
  <c r="L246" i="16"/>
  <c r="L245" i="16"/>
  <c r="L244" i="16"/>
  <c r="L243" i="16"/>
  <c r="L242" i="16"/>
  <c r="L241" i="16"/>
  <c r="L240" i="16"/>
  <c r="L239" i="16"/>
  <c r="L238" i="16"/>
  <c r="L237" i="16"/>
  <c r="L236" i="16"/>
  <c r="L235" i="16"/>
  <c r="L234" i="16"/>
  <c r="L233" i="16"/>
  <c r="L232" i="16"/>
  <c r="L231" i="16"/>
  <c r="L230" i="16"/>
  <c r="L229" i="16"/>
  <c r="L228" i="16"/>
  <c r="L227" i="16"/>
  <c r="L226" i="16"/>
  <c r="L224" i="16"/>
  <c r="L223" i="16"/>
  <c r="L222" i="16"/>
  <c r="L221" i="16"/>
  <c r="L220" i="16"/>
  <c r="L219" i="16"/>
  <c r="L218" i="16"/>
  <c r="L217" i="16"/>
  <c r="L216" i="16"/>
  <c r="L213" i="16"/>
  <c r="L212" i="16"/>
  <c r="L211" i="16"/>
  <c r="L210" i="16"/>
  <c r="L209" i="16"/>
  <c r="L207" i="16"/>
  <c r="L206" i="16"/>
  <c r="L205" i="16"/>
  <c r="L204" i="16"/>
  <c r="L203" i="16"/>
  <c r="L202" i="16"/>
  <c r="L201" i="16"/>
  <c r="L200" i="16"/>
  <c r="L199" i="16"/>
  <c r="L198" i="16"/>
  <c r="L197" i="16"/>
  <c r="L196" i="16"/>
  <c r="L195" i="16"/>
  <c r="L193" i="16"/>
  <c r="L192" i="16"/>
  <c r="L191" i="16"/>
  <c r="L189" i="16"/>
  <c r="L188" i="16"/>
  <c r="L187" i="16"/>
  <c r="L186" i="16"/>
  <c r="L185" i="16"/>
  <c r="L184" i="16"/>
  <c r="L183" i="16"/>
  <c r="L182" i="16"/>
  <c r="L180" i="16"/>
  <c r="L179" i="16"/>
  <c r="L178" i="16"/>
  <c r="L177" i="16"/>
  <c r="L176" i="16"/>
  <c r="L175" i="16"/>
  <c r="L174" i="16"/>
  <c r="L173" i="16"/>
  <c r="L172" i="16"/>
  <c r="L171" i="16"/>
  <c r="L170" i="16"/>
  <c r="L167" i="16"/>
  <c r="L166" i="16"/>
  <c r="L165" i="16"/>
  <c r="L164" i="16"/>
  <c r="L163" i="16"/>
  <c r="L162" i="16"/>
  <c r="L161" i="16"/>
  <c r="L160" i="16"/>
  <c r="L159" i="16"/>
  <c r="L158" i="16"/>
  <c r="L157" i="16"/>
  <c r="L156" i="16"/>
  <c r="L155" i="16"/>
  <c r="L154" i="16"/>
  <c r="L153" i="16"/>
  <c r="L151" i="16"/>
  <c r="L150" i="16"/>
  <c r="L149" i="16"/>
  <c r="L148" i="16"/>
  <c r="L147" i="16"/>
  <c r="L146" i="16"/>
  <c r="L145" i="16"/>
  <c r="L144" i="16"/>
  <c r="L143" i="16"/>
  <c r="L142" i="16"/>
  <c r="L141" i="16"/>
  <c r="L140" i="16"/>
  <c r="L139" i="16"/>
  <c r="L138" i="16"/>
  <c r="L137" i="16"/>
  <c r="L136" i="16"/>
  <c r="L135" i="16"/>
  <c r="L134" i="16"/>
  <c r="L133" i="16"/>
  <c r="L132" i="16"/>
  <c r="L131" i="16"/>
  <c r="L128" i="16"/>
  <c r="L127" i="16"/>
  <c r="L126" i="16"/>
  <c r="L125" i="16"/>
  <c r="L124" i="16"/>
  <c r="L123" i="16"/>
  <c r="L122" i="16"/>
  <c r="L121" i="16"/>
  <c r="L119" i="16"/>
  <c r="L118" i="16"/>
  <c r="L117" i="16"/>
  <c r="L115" i="16"/>
  <c r="L114" i="16"/>
  <c r="L113" i="16"/>
  <c r="L112" i="16"/>
  <c r="L111" i="16"/>
  <c r="L108" i="16"/>
  <c r="L107" i="16"/>
  <c r="L106" i="16"/>
  <c r="L105" i="16"/>
  <c r="L104" i="16"/>
  <c r="L103" i="16"/>
  <c r="L102" i="16"/>
  <c r="L101" i="16"/>
  <c r="L100" i="16"/>
  <c r="L99" i="16"/>
  <c r="L97" i="16"/>
  <c r="L96" i="16"/>
  <c r="L94" i="16"/>
  <c r="L93" i="16"/>
  <c r="L91" i="16"/>
  <c r="L89" i="16"/>
  <c r="L88" i="16"/>
  <c r="L86" i="16"/>
  <c r="L85" i="16"/>
  <c r="L84" i="16"/>
  <c r="L82" i="16"/>
  <c r="L81" i="16"/>
  <c r="L80" i="16"/>
  <c r="L79" i="16"/>
  <c r="L76" i="16"/>
  <c r="L74" i="16"/>
  <c r="L73" i="16"/>
  <c r="L71" i="16"/>
  <c r="L70" i="16" s="1"/>
  <c r="L68" i="16"/>
  <c r="L66" i="16"/>
  <c r="M65" i="16"/>
  <c r="L65" i="16"/>
  <c r="L64" i="16"/>
  <c r="L63" i="16"/>
  <c r="L61" i="16"/>
  <c r="L60" i="16"/>
  <c r="L59" i="16"/>
  <c r="L58" i="16"/>
  <c r="L55" i="16"/>
  <c r="L56" i="16"/>
  <c r="L54" i="16"/>
  <c r="L53" i="16"/>
  <c r="L52" i="16"/>
  <c r="L50" i="16"/>
  <c r="L49" i="16"/>
  <c r="L48" i="16"/>
  <c r="L47" i="16"/>
  <c r="L44" i="16"/>
  <c r="L43" i="16"/>
  <c r="L42" i="16"/>
  <c r="L41" i="16"/>
  <c r="L40" i="16"/>
  <c r="L38" i="16"/>
  <c r="L37" i="16"/>
  <c r="L36" i="16"/>
  <c r="L35" i="16"/>
  <c r="L34" i="16"/>
  <c r="L31" i="16"/>
  <c r="L30" i="16"/>
  <c r="L29" i="16"/>
  <c r="L28" i="16"/>
  <c r="L27" i="16"/>
  <c r="L16" i="16"/>
  <c r="L17" i="16"/>
  <c r="L18" i="16"/>
  <c r="L19" i="16"/>
  <c r="L20" i="16"/>
  <c r="L21" i="16"/>
  <c r="L22" i="16"/>
  <c r="L23" i="16"/>
  <c r="L24" i="16"/>
  <c r="L25" i="16"/>
  <c r="L15" i="16"/>
  <c r="I16" i="16"/>
  <c r="M16" i="16" s="1"/>
  <c r="I17" i="16"/>
  <c r="M17" i="16" s="1"/>
  <c r="I18" i="16"/>
  <c r="M18" i="16" s="1"/>
  <c r="I19" i="16"/>
  <c r="M19" i="16" s="1"/>
  <c r="I20" i="16"/>
  <c r="M20" i="16" s="1"/>
  <c r="I21" i="16"/>
  <c r="M21" i="16" s="1"/>
  <c r="I22" i="16"/>
  <c r="M22" i="16" s="1"/>
  <c r="I23" i="16"/>
  <c r="M23" i="16" s="1"/>
  <c r="I24" i="16"/>
  <c r="M24" i="16" s="1"/>
  <c r="I25" i="16"/>
  <c r="M25" i="16" s="1"/>
  <c r="I27" i="16"/>
  <c r="M27" i="16" s="1"/>
  <c r="I28" i="16"/>
  <c r="M28" i="16" s="1"/>
  <c r="I29" i="16"/>
  <c r="M29" i="16" s="1"/>
  <c r="I30" i="16"/>
  <c r="M30" i="16" s="1"/>
  <c r="I31" i="16"/>
  <c r="M31" i="16" s="1"/>
  <c r="I34" i="16"/>
  <c r="M34" i="16" s="1"/>
  <c r="I35" i="16"/>
  <c r="M35" i="16" s="1"/>
  <c r="I36" i="16"/>
  <c r="M36" i="16" s="1"/>
  <c r="I37" i="16"/>
  <c r="M37" i="16" s="1"/>
  <c r="I38" i="16"/>
  <c r="M38" i="16" s="1"/>
  <c r="I39" i="16"/>
  <c r="I40" i="16"/>
  <c r="M40" i="16" s="1"/>
  <c r="I41" i="16"/>
  <c r="M41" i="16" s="1"/>
  <c r="I42" i="16"/>
  <c r="M42" i="16" s="1"/>
  <c r="I43" i="16"/>
  <c r="M43" i="16" s="1"/>
  <c r="I44" i="16"/>
  <c r="M44" i="16" s="1"/>
  <c r="I45" i="16"/>
  <c r="I46" i="16"/>
  <c r="I47" i="16"/>
  <c r="M47" i="16" s="1"/>
  <c r="I48" i="16"/>
  <c r="M48" i="16" s="1"/>
  <c r="I49" i="16"/>
  <c r="M49" i="16" s="1"/>
  <c r="I50" i="16"/>
  <c r="M50" i="16" s="1"/>
  <c r="I52" i="16"/>
  <c r="M52" i="16" s="1"/>
  <c r="I53" i="16"/>
  <c r="M53" i="16" s="1"/>
  <c r="I54" i="16"/>
  <c r="M54" i="16" s="1"/>
  <c r="I55" i="16"/>
  <c r="M55" i="16" s="1"/>
  <c r="I56" i="16"/>
  <c r="M56" i="16" s="1"/>
  <c r="I58" i="16"/>
  <c r="M58" i="16" s="1"/>
  <c r="I59" i="16"/>
  <c r="M59" i="16" s="1"/>
  <c r="I60" i="16"/>
  <c r="M60" i="16" s="1"/>
  <c r="I61" i="16"/>
  <c r="M61" i="16" s="1"/>
  <c r="I63" i="16"/>
  <c r="M63" i="16" s="1"/>
  <c r="I64" i="16"/>
  <c r="M64" i="16" s="1"/>
  <c r="I65" i="16"/>
  <c r="I66" i="16"/>
  <c r="M66" i="16" s="1"/>
  <c r="I68" i="16"/>
  <c r="M68" i="16" s="1"/>
  <c r="M67" i="16" s="1"/>
  <c r="I71" i="16"/>
  <c r="M71" i="16" s="1"/>
  <c r="M70" i="16" s="1"/>
  <c r="I73" i="16"/>
  <c r="M73" i="16" s="1"/>
  <c r="I74" i="16"/>
  <c r="M74" i="16" s="1"/>
  <c r="I76" i="16"/>
  <c r="M76" i="16" s="1"/>
  <c r="M75" i="16" s="1"/>
  <c r="I79" i="16"/>
  <c r="M79" i="16" s="1"/>
  <c r="I80" i="16"/>
  <c r="M80" i="16" s="1"/>
  <c r="I81" i="16"/>
  <c r="M81" i="16" s="1"/>
  <c r="I82" i="16"/>
  <c r="M82" i="16" s="1"/>
  <c r="I84" i="16"/>
  <c r="M84" i="16" s="1"/>
  <c r="I85" i="16"/>
  <c r="M85" i="16" s="1"/>
  <c r="I86" i="16"/>
  <c r="M86" i="16" s="1"/>
  <c r="I88" i="16"/>
  <c r="M88" i="16" s="1"/>
  <c r="I89" i="16"/>
  <c r="M89" i="16" s="1"/>
  <c r="M87" i="16" s="1"/>
  <c r="I91" i="16"/>
  <c r="M91" i="16" s="1"/>
  <c r="M90" i="16" s="1"/>
  <c r="I93" i="16"/>
  <c r="M93" i="16" s="1"/>
  <c r="I94" i="16"/>
  <c r="M94" i="16" s="1"/>
  <c r="I96" i="16"/>
  <c r="M96" i="16" s="1"/>
  <c r="I97" i="16"/>
  <c r="M97" i="16" s="1"/>
  <c r="I99" i="16"/>
  <c r="M99" i="16" s="1"/>
  <c r="I100" i="16"/>
  <c r="M100" i="16" s="1"/>
  <c r="I101" i="16"/>
  <c r="M101" i="16" s="1"/>
  <c r="I102" i="16"/>
  <c r="M102" i="16" s="1"/>
  <c r="I103" i="16"/>
  <c r="M103" i="16" s="1"/>
  <c r="I104" i="16"/>
  <c r="M104" i="16" s="1"/>
  <c r="I105" i="16"/>
  <c r="M105" i="16" s="1"/>
  <c r="I106" i="16"/>
  <c r="M106" i="16" s="1"/>
  <c r="I107" i="16"/>
  <c r="M107" i="16" s="1"/>
  <c r="I108" i="16"/>
  <c r="M108" i="16" s="1"/>
  <c r="I111" i="16"/>
  <c r="M111" i="16" s="1"/>
  <c r="I112" i="16"/>
  <c r="M112" i="16" s="1"/>
  <c r="I113" i="16"/>
  <c r="M113" i="16" s="1"/>
  <c r="I114" i="16"/>
  <c r="M114" i="16" s="1"/>
  <c r="I115" i="16"/>
  <c r="M115" i="16" s="1"/>
  <c r="I117" i="16"/>
  <c r="M117" i="16" s="1"/>
  <c r="I118" i="16"/>
  <c r="M118" i="16" s="1"/>
  <c r="I119" i="16"/>
  <c r="M119" i="16" s="1"/>
  <c r="I121" i="16"/>
  <c r="M121" i="16" s="1"/>
  <c r="I122" i="16"/>
  <c r="M122" i="16" s="1"/>
  <c r="I123" i="16"/>
  <c r="M123" i="16" s="1"/>
  <c r="I124" i="16"/>
  <c r="M124" i="16" s="1"/>
  <c r="I125" i="16"/>
  <c r="M125" i="16" s="1"/>
  <c r="I126" i="16"/>
  <c r="M126" i="16" s="1"/>
  <c r="I127" i="16"/>
  <c r="M127" i="16" s="1"/>
  <c r="I128" i="16"/>
  <c r="M128" i="16" s="1"/>
  <c r="I131" i="16"/>
  <c r="M131" i="16" s="1"/>
  <c r="I132" i="16"/>
  <c r="M132" i="16" s="1"/>
  <c r="I133" i="16"/>
  <c r="M133" i="16" s="1"/>
  <c r="I134" i="16"/>
  <c r="M134" i="16" s="1"/>
  <c r="I135" i="16"/>
  <c r="M135" i="16" s="1"/>
  <c r="I136" i="16"/>
  <c r="M136" i="16" s="1"/>
  <c r="I137" i="16"/>
  <c r="M137" i="16" s="1"/>
  <c r="I138" i="16"/>
  <c r="M138" i="16" s="1"/>
  <c r="I139" i="16"/>
  <c r="M139" i="16" s="1"/>
  <c r="I140" i="16"/>
  <c r="M140" i="16" s="1"/>
  <c r="I141" i="16"/>
  <c r="M141" i="16" s="1"/>
  <c r="I142" i="16"/>
  <c r="M142" i="16" s="1"/>
  <c r="I143" i="16"/>
  <c r="M143" i="16" s="1"/>
  <c r="I144" i="16"/>
  <c r="M144" i="16" s="1"/>
  <c r="I145" i="16"/>
  <c r="M145" i="16" s="1"/>
  <c r="I146" i="16"/>
  <c r="M146" i="16" s="1"/>
  <c r="I147" i="16"/>
  <c r="M147" i="16" s="1"/>
  <c r="I148" i="16"/>
  <c r="M148" i="16" s="1"/>
  <c r="I149" i="16"/>
  <c r="M149" i="16" s="1"/>
  <c r="I150" i="16"/>
  <c r="M150" i="16" s="1"/>
  <c r="I151" i="16"/>
  <c r="M151" i="16" s="1"/>
  <c r="I153" i="16"/>
  <c r="M153" i="16" s="1"/>
  <c r="I154" i="16"/>
  <c r="M154" i="16" s="1"/>
  <c r="I155" i="16"/>
  <c r="M155" i="16" s="1"/>
  <c r="I156" i="16"/>
  <c r="M156" i="16" s="1"/>
  <c r="I157" i="16"/>
  <c r="M157" i="16" s="1"/>
  <c r="I158" i="16"/>
  <c r="M158" i="16" s="1"/>
  <c r="I159" i="16"/>
  <c r="M159" i="16" s="1"/>
  <c r="I160" i="16"/>
  <c r="M160" i="16" s="1"/>
  <c r="I161" i="16"/>
  <c r="M161" i="16" s="1"/>
  <c r="I162" i="16"/>
  <c r="M162" i="16" s="1"/>
  <c r="I163" i="16"/>
  <c r="M163" i="16" s="1"/>
  <c r="I164" i="16"/>
  <c r="M164" i="16" s="1"/>
  <c r="I165" i="16"/>
  <c r="M165" i="16" s="1"/>
  <c r="I166" i="16"/>
  <c r="M166" i="16" s="1"/>
  <c r="I167" i="16"/>
  <c r="M167" i="16" s="1"/>
  <c r="I170" i="16"/>
  <c r="M170" i="16" s="1"/>
  <c r="I171" i="16"/>
  <c r="M171" i="16" s="1"/>
  <c r="I172" i="16"/>
  <c r="M172" i="16" s="1"/>
  <c r="I173" i="16"/>
  <c r="M173" i="16" s="1"/>
  <c r="I174" i="16"/>
  <c r="M174" i="16" s="1"/>
  <c r="I175" i="16"/>
  <c r="M175" i="16" s="1"/>
  <c r="I176" i="16"/>
  <c r="M176" i="16" s="1"/>
  <c r="I177" i="16"/>
  <c r="M177" i="16" s="1"/>
  <c r="I178" i="16"/>
  <c r="M178" i="16" s="1"/>
  <c r="I179" i="16"/>
  <c r="M179" i="16" s="1"/>
  <c r="I180" i="16"/>
  <c r="M180" i="16" s="1"/>
  <c r="I182" i="16"/>
  <c r="M182" i="16" s="1"/>
  <c r="I183" i="16"/>
  <c r="M183" i="16" s="1"/>
  <c r="I184" i="16"/>
  <c r="M184" i="16" s="1"/>
  <c r="I185" i="16"/>
  <c r="M185" i="16" s="1"/>
  <c r="I186" i="16"/>
  <c r="M186" i="16" s="1"/>
  <c r="I187" i="16"/>
  <c r="M187" i="16" s="1"/>
  <c r="I188" i="16"/>
  <c r="M188" i="16" s="1"/>
  <c r="I189" i="16"/>
  <c r="M189" i="16" s="1"/>
  <c r="I191" i="16"/>
  <c r="M191" i="16" s="1"/>
  <c r="I192" i="16"/>
  <c r="M192" i="16" s="1"/>
  <c r="I193" i="16"/>
  <c r="M193" i="16" s="1"/>
  <c r="I195" i="16"/>
  <c r="M195" i="16" s="1"/>
  <c r="I196" i="16"/>
  <c r="M196" i="16" s="1"/>
  <c r="I197" i="16"/>
  <c r="M197" i="16" s="1"/>
  <c r="I198" i="16"/>
  <c r="M198" i="16" s="1"/>
  <c r="I199" i="16"/>
  <c r="M199" i="16" s="1"/>
  <c r="I200" i="16"/>
  <c r="M200" i="16" s="1"/>
  <c r="I201" i="16"/>
  <c r="M201" i="16" s="1"/>
  <c r="I202" i="16"/>
  <c r="M202" i="16" s="1"/>
  <c r="I203" i="16"/>
  <c r="M203" i="16" s="1"/>
  <c r="I204" i="16"/>
  <c r="M204" i="16" s="1"/>
  <c r="I205" i="16"/>
  <c r="M205" i="16" s="1"/>
  <c r="I206" i="16"/>
  <c r="M206" i="16" s="1"/>
  <c r="I207" i="16"/>
  <c r="M207" i="16" s="1"/>
  <c r="I209" i="16"/>
  <c r="M209" i="16" s="1"/>
  <c r="I210" i="16"/>
  <c r="M210" i="16" s="1"/>
  <c r="I211" i="16"/>
  <c r="M211" i="16" s="1"/>
  <c r="I212" i="16"/>
  <c r="M212" i="16" s="1"/>
  <c r="I213" i="16"/>
  <c r="M213" i="16" s="1"/>
  <c r="I216" i="16"/>
  <c r="M216" i="16" s="1"/>
  <c r="I217" i="16"/>
  <c r="M217" i="16" s="1"/>
  <c r="I218" i="16"/>
  <c r="M218" i="16" s="1"/>
  <c r="I219" i="16"/>
  <c r="M219" i="16" s="1"/>
  <c r="I220" i="16"/>
  <c r="M220" i="16" s="1"/>
  <c r="I221" i="16"/>
  <c r="M221" i="16" s="1"/>
  <c r="I222" i="16"/>
  <c r="M222" i="16" s="1"/>
  <c r="I223" i="16"/>
  <c r="M223" i="16" s="1"/>
  <c r="I224" i="16"/>
  <c r="M224" i="16" s="1"/>
  <c r="I225" i="16"/>
  <c r="I226" i="16"/>
  <c r="M226" i="16" s="1"/>
  <c r="I227" i="16"/>
  <c r="M227" i="16" s="1"/>
  <c r="I228" i="16"/>
  <c r="M228" i="16" s="1"/>
  <c r="I229" i="16"/>
  <c r="M229" i="16" s="1"/>
  <c r="I230" i="16"/>
  <c r="M230" i="16" s="1"/>
  <c r="I231" i="16"/>
  <c r="M231" i="16" s="1"/>
  <c r="I232" i="16"/>
  <c r="M232" i="16" s="1"/>
  <c r="I233" i="16"/>
  <c r="M233" i="16" s="1"/>
  <c r="I234" i="16"/>
  <c r="M234" i="16" s="1"/>
  <c r="I235" i="16"/>
  <c r="M235" i="16" s="1"/>
  <c r="I236" i="16"/>
  <c r="M236" i="16" s="1"/>
  <c r="I237" i="16"/>
  <c r="M237" i="16" s="1"/>
  <c r="I238" i="16"/>
  <c r="M238" i="16" s="1"/>
  <c r="I239" i="16"/>
  <c r="M239" i="16" s="1"/>
  <c r="I240" i="16"/>
  <c r="M240" i="16" s="1"/>
  <c r="I241" i="16"/>
  <c r="M241" i="16" s="1"/>
  <c r="I242" i="16"/>
  <c r="M242" i="16" s="1"/>
  <c r="I243" i="16"/>
  <c r="M243" i="16" s="1"/>
  <c r="I244" i="16"/>
  <c r="M244" i="16" s="1"/>
  <c r="I245" i="16"/>
  <c r="M245" i="16" s="1"/>
  <c r="I246" i="16"/>
  <c r="M246" i="16" s="1"/>
  <c r="I248" i="16"/>
  <c r="M248" i="16" s="1"/>
  <c r="I249" i="16"/>
  <c r="M249" i="16" s="1"/>
  <c r="I250" i="16"/>
  <c r="M250" i="16" s="1"/>
  <c r="I251" i="16"/>
  <c r="M251" i="16" s="1"/>
  <c r="I253" i="16"/>
  <c r="M253" i="16" s="1"/>
  <c r="I254" i="16"/>
  <c r="M254" i="16" s="1"/>
  <c r="I255" i="16"/>
  <c r="M255" i="16" s="1"/>
  <c r="I256" i="16"/>
  <c r="M256" i="16" s="1"/>
  <c r="I257" i="16"/>
  <c r="M257" i="16" s="1"/>
  <c r="I258" i="16"/>
  <c r="M258" i="16" s="1"/>
  <c r="I260" i="16"/>
  <c r="M260" i="16" s="1"/>
  <c r="I261" i="16"/>
  <c r="M261" i="16" s="1"/>
  <c r="I262" i="16"/>
  <c r="M262" i="16" s="1"/>
  <c r="I263" i="16"/>
  <c r="M263" i="16" s="1"/>
  <c r="I264" i="16"/>
  <c r="M264" i="16" s="1"/>
  <c r="I265" i="16"/>
  <c r="M265" i="16" s="1"/>
  <c r="I266" i="16"/>
  <c r="M266" i="16" s="1"/>
  <c r="I267" i="16"/>
  <c r="M267" i="16" s="1"/>
  <c r="I270" i="16"/>
  <c r="M270" i="16" s="1"/>
  <c r="I271" i="16"/>
  <c r="M271" i="16" s="1"/>
  <c r="I272" i="16"/>
  <c r="M272" i="16" s="1"/>
  <c r="I273" i="16"/>
  <c r="M273" i="16" s="1"/>
  <c r="I274" i="16"/>
  <c r="M274" i="16" s="1"/>
  <c r="I276" i="16"/>
  <c r="M276" i="16" s="1"/>
  <c r="I277" i="16"/>
  <c r="M277" i="16" s="1"/>
  <c r="I279" i="16"/>
  <c r="M279" i="16" s="1"/>
  <c r="I280" i="16"/>
  <c r="M280" i="16" s="1"/>
  <c r="I281" i="16"/>
  <c r="M281" i="16" s="1"/>
  <c r="I282" i="16"/>
  <c r="M282" i="16" s="1"/>
  <c r="I283" i="16"/>
  <c r="M283" i="16" s="1"/>
  <c r="I284" i="16"/>
  <c r="I15" i="16"/>
  <c r="M15" i="16" s="1"/>
  <c r="CI284" i="18"/>
  <c r="J284" i="18" s="1"/>
  <c r="CI283" i="18"/>
  <c r="J283" i="18" s="1"/>
  <c r="L283" i="18"/>
  <c r="I283" i="18"/>
  <c r="M283" i="18" s="1"/>
  <c r="CI282" i="18"/>
  <c r="J282" i="18" s="1"/>
  <c r="L282" i="18"/>
  <c r="I282" i="18"/>
  <c r="M282" i="18" s="1"/>
  <c r="CI281" i="18"/>
  <c r="J281" i="18" s="1"/>
  <c r="L281" i="18"/>
  <c r="I281" i="18"/>
  <c r="M281" i="18"/>
  <c r="CI280" i="18"/>
  <c r="J280" i="18" s="1"/>
  <c r="L280" i="18"/>
  <c r="I280" i="18"/>
  <c r="M280" i="18"/>
  <c r="CI279" i="18"/>
  <c r="J279" i="18" s="1"/>
  <c r="L279" i="18"/>
  <c r="I279" i="18"/>
  <c r="M279" i="18" s="1"/>
  <c r="CI278" i="18"/>
  <c r="J278" i="18" s="1"/>
  <c r="CI277" i="18"/>
  <c r="J277" i="18" s="1"/>
  <c r="K277" i="18" s="1"/>
  <c r="L277" i="18"/>
  <c r="I277" i="18"/>
  <c r="M277" i="18" s="1"/>
  <c r="CI276" i="18"/>
  <c r="J276" i="18" s="1"/>
  <c r="L276" i="18"/>
  <c r="I276" i="18"/>
  <c r="M276" i="18" s="1"/>
  <c r="CI275" i="18"/>
  <c r="J275" i="18" s="1"/>
  <c r="F275" i="18"/>
  <c r="CI274" i="18"/>
  <c r="J274" i="18" s="1"/>
  <c r="L274" i="18"/>
  <c r="I274" i="18"/>
  <c r="M274" i="18" s="1"/>
  <c r="CI273" i="18"/>
  <c r="J273" i="18" s="1"/>
  <c r="L273" i="18"/>
  <c r="I273" i="18"/>
  <c r="M273" i="18" s="1"/>
  <c r="CI272" i="18"/>
  <c r="J272" i="18" s="1"/>
  <c r="L272" i="18"/>
  <c r="I272" i="18"/>
  <c r="M272" i="18" s="1"/>
  <c r="CI271" i="18"/>
  <c r="J271" i="18" s="1"/>
  <c r="L271" i="18"/>
  <c r="I271" i="18"/>
  <c r="M271" i="18" s="1"/>
  <c r="CI270" i="18"/>
  <c r="J270" i="18" s="1"/>
  <c r="N270" i="18" s="1"/>
  <c r="L270" i="18"/>
  <c r="I270" i="18"/>
  <c r="M270" i="18" s="1"/>
  <c r="CI269" i="18"/>
  <c r="J269" i="18" s="1"/>
  <c r="I269" i="18"/>
  <c r="H269" i="18"/>
  <c r="G269" i="18"/>
  <c r="F269" i="18"/>
  <c r="CI268" i="18"/>
  <c r="J268" i="18" s="1"/>
  <c r="CI267" i="18"/>
  <c r="J267" i="18" s="1"/>
  <c r="K267" i="18" s="1"/>
  <c r="L267" i="18"/>
  <c r="I267" i="18"/>
  <c r="M267" i="18" s="1"/>
  <c r="CI266" i="18"/>
  <c r="J266" i="18" s="1"/>
  <c r="N266" i="18" s="1"/>
  <c r="L266" i="18"/>
  <c r="I266" i="18"/>
  <c r="M266" i="18" s="1"/>
  <c r="CI265" i="18"/>
  <c r="J265" i="18" s="1"/>
  <c r="L265" i="18"/>
  <c r="I265" i="18"/>
  <c r="M265" i="18" s="1"/>
  <c r="CI264" i="18"/>
  <c r="J264" i="18" s="1"/>
  <c r="L264" i="18"/>
  <c r="I264" i="18"/>
  <c r="M264" i="18" s="1"/>
  <c r="CI263" i="18"/>
  <c r="J263" i="18" s="1"/>
  <c r="L263" i="18"/>
  <c r="I263" i="18"/>
  <c r="M263" i="18" s="1"/>
  <c r="CI262" i="18"/>
  <c r="J262" i="18" s="1"/>
  <c r="L262" i="18"/>
  <c r="I262" i="18"/>
  <c r="M262" i="18" s="1"/>
  <c r="CI261" i="18"/>
  <c r="J261" i="18" s="1"/>
  <c r="N261" i="18" s="1"/>
  <c r="L261" i="18"/>
  <c r="I261" i="18"/>
  <c r="M261" i="18" s="1"/>
  <c r="CI260" i="18"/>
  <c r="J260" i="18" s="1"/>
  <c r="N260" i="18" s="1"/>
  <c r="L260" i="18"/>
  <c r="I260" i="18"/>
  <c r="M260" i="18" s="1"/>
  <c r="CI259" i="18"/>
  <c r="J259" i="18" s="1"/>
  <c r="CI258" i="18"/>
  <c r="J258" i="18" s="1"/>
  <c r="K258" i="18" s="1"/>
  <c r="L258" i="18"/>
  <c r="I258" i="18"/>
  <c r="M258" i="18" s="1"/>
  <c r="CI257" i="18"/>
  <c r="J257" i="18" s="1"/>
  <c r="N257" i="18" s="1"/>
  <c r="L257" i="18"/>
  <c r="I257" i="18"/>
  <c r="M257" i="18" s="1"/>
  <c r="CI256" i="18"/>
  <c r="J256" i="18" s="1"/>
  <c r="L256" i="18"/>
  <c r="I256" i="18"/>
  <c r="M256" i="18" s="1"/>
  <c r="CI255" i="18"/>
  <c r="J255" i="18" s="1"/>
  <c r="K255" i="18" s="1"/>
  <c r="L255" i="18"/>
  <c r="I255" i="18"/>
  <c r="M255" i="18" s="1"/>
  <c r="CI254" i="18"/>
  <c r="J254" i="18" s="1"/>
  <c r="K254" i="18" s="1"/>
  <c r="L254" i="18"/>
  <c r="I254" i="18"/>
  <c r="M254" i="18" s="1"/>
  <c r="CI253" i="18"/>
  <c r="J253" i="18" s="1"/>
  <c r="L253" i="18"/>
  <c r="I253" i="18"/>
  <c r="M253" i="18" s="1"/>
  <c r="CI252" i="18"/>
  <c r="J252" i="18" s="1"/>
  <c r="H252" i="18"/>
  <c r="G252" i="18"/>
  <c r="F252" i="18"/>
  <c r="CI251" i="18"/>
  <c r="J251" i="18" s="1"/>
  <c r="L251" i="18"/>
  <c r="I251" i="18"/>
  <c r="M251" i="18" s="1"/>
  <c r="CI250" i="18"/>
  <c r="J250" i="18" s="1"/>
  <c r="N250" i="18" s="1"/>
  <c r="L250" i="18"/>
  <c r="I250" i="18"/>
  <c r="M250" i="18" s="1"/>
  <c r="CI249" i="18"/>
  <c r="J249" i="18" s="1"/>
  <c r="K249" i="18" s="1"/>
  <c r="L249" i="18"/>
  <c r="I249" i="18"/>
  <c r="M249" i="18" s="1"/>
  <c r="CI248" i="18"/>
  <c r="J248" i="18"/>
  <c r="L248" i="18"/>
  <c r="I248" i="18"/>
  <c r="M248" i="18" s="1"/>
  <c r="CI247" i="18"/>
  <c r="J247" i="18"/>
  <c r="H247" i="18"/>
  <c r="G247" i="18"/>
  <c r="F247" i="18"/>
  <c r="CI246" i="18"/>
  <c r="J246" i="18" s="1"/>
  <c r="L246" i="18"/>
  <c r="I246" i="18"/>
  <c r="M246" i="18" s="1"/>
  <c r="CI245" i="18"/>
  <c r="J245" i="18" s="1"/>
  <c r="L245" i="18"/>
  <c r="I245" i="18"/>
  <c r="M245" i="18" s="1"/>
  <c r="CI244" i="18"/>
  <c r="J244" i="18" s="1"/>
  <c r="L244" i="18"/>
  <c r="I244" i="18"/>
  <c r="M244" i="18" s="1"/>
  <c r="CI243" i="18"/>
  <c r="J243" i="18" s="1"/>
  <c r="K243" i="18" s="1"/>
  <c r="L243" i="18"/>
  <c r="I243" i="18"/>
  <c r="M243" i="18" s="1"/>
  <c r="CI242" i="18"/>
  <c r="J242" i="18" s="1"/>
  <c r="L242" i="18"/>
  <c r="I242" i="18"/>
  <c r="M242" i="18" s="1"/>
  <c r="CI241" i="18"/>
  <c r="J241" i="18" s="1"/>
  <c r="L241" i="18"/>
  <c r="I241" i="18"/>
  <c r="M241" i="18" s="1"/>
  <c r="CI240" i="18"/>
  <c r="J240" i="18" s="1"/>
  <c r="N240" i="18" s="1"/>
  <c r="L240" i="18"/>
  <c r="I240" i="18"/>
  <c r="M240" i="18" s="1"/>
  <c r="CI239" i="18"/>
  <c r="J239" i="18" s="1"/>
  <c r="K239" i="18" s="1"/>
  <c r="L239" i="18"/>
  <c r="I239" i="18"/>
  <c r="M239" i="18" s="1"/>
  <c r="CI238" i="18"/>
  <c r="J238" i="18" s="1"/>
  <c r="N238" i="18" s="1"/>
  <c r="L238" i="18"/>
  <c r="I238" i="18"/>
  <c r="M238" i="18" s="1"/>
  <c r="CI237" i="18"/>
  <c r="J237" i="18" s="1"/>
  <c r="L237" i="18"/>
  <c r="I237" i="18"/>
  <c r="M237" i="18" s="1"/>
  <c r="CI236" i="18"/>
  <c r="J236" i="18" s="1"/>
  <c r="L236" i="18"/>
  <c r="I236" i="18"/>
  <c r="M236" i="18" s="1"/>
  <c r="CI235" i="18"/>
  <c r="J235" i="18" s="1"/>
  <c r="N235" i="18" s="1"/>
  <c r="L235" i="18"/>
  <c r="I235" i="18"/>
  <c r="M235" i="18" s="1"/>
  <c r="CI234" i="18"/>
  <c r="J234" i="18" s="1"/>
  <c r="L234" i="18"/>
  <c r="I234" i="18"/>
  <c r="M234" i="18" s="1"/>
  <c r="CI233" i="18"/>
  <c r="J233" i="18" s="1"/>
  <c r="L233" i="18"/>
  <c r="I233" i="18"/>
  <c r="M233" i="18" s="1"/>
  <c r="CI232" i="18"/>
  <c r="J232" i="18" s="1"/>
  <c r="L232" i="18"/>
  <c r="I232" i="18"/>
  <c r="M232" i="18" s="1"/>
  <c r="CI231" i="18"/>
  <c r="J231" i="18" s="1"/>
  <c r="N231" i="18" s="1"/>
  <c r="L231" i="18"/>
  <c r="I231" i="18"/>
  <c r="M231" i="18" s="1"/>
  <c r="CI230" i="18"/>
  <c r="J230" i="18" s="1"/>
  <c r="N230" i="18" s="1"/>
  <c r="L230" i="18"/>
  <c r="I230" i="18"/>
  <c r="M230" i="18" s="1"/>
  <c r="CI229" i="18"/>
  <c r="J229" i="18"/>
  <c r="L229" i="18"/>
  <c r="I229" i="18"/>
  <c r="M229" i="18" s="1"/>
  <c r="CI228" i="18"/>
  <c r="J228" i="18" s="1"/>
  <c r="K228" i="18" s="1"/>
  <c r="L228" i="18"/>
  <c r="I228" i="18"/>
  <c r="M228" i="18" s="1"/>
  <c r="CI227" i="18"/>
  <c r="J227" i="18" s="1"/>
  <c r="L227" i="18"/>
  <c r="I227" i="18"/>
  <c r="M227" i="18" s="1"/>
  <c r="CI226" i="18"/>
  <c r="J226" i="18" s="1"/>
  <c r="L226" i="18"/>
  <c r="I226" i="18"/>
  <c r="M226" i="18" s="1"/>
  <c r="CI225" i="18"/>
  <c r="J225" i="18" s="1"/>
  <c r="H225" i="18"/>
  <c r="G225" i="18"/>
  <c r="F225" i="18"/>
  <c r="CI224" i="18"/>
  <c r="J224" i="18" s="1"/>
  <c r="L224" i="18"/>
  <c r="I224" i="18"/>
  <c r="M224" i="18" s="1"/>
  <c r="CI223" i="18"/>
  <c r="J223" i="18" s="1"/>
  <c r="L223" i="18"/>
  <c r="I223" i="18"/>
  <c r="M223" i="18" s="1"/>
  <c r="CI222" i="18"/>
  <c r="J222" i="18" s="1"/>
  <c r="K222" i="18" s="1"/>
  <c r="L222" i="18"/>
  <c r="I222" i="18"/>
  <c r="M222" i="18" s="1"/>
  <c r="CI221" i="18"/>
  <c r="J221" i="18" s="1"/>
  <c r="L221" i="18"/>
  <c r="I221" i="18"/>
  <c r="M221" i="18" s="1"/>
  <c r="CI220" i="18"/>
  <c r="J220" i="18" s="1"/>
  <c r="K220" i="18" s="1"/>
  <c r="L220" i="18"/>
  <c r="I220" i="18"/>
  <c r="M220" i="18" s="1"/>
  <c r="CI219" i="18"/>
  <c r="J219" i="18" s="1"/>
  <c r="N219" i="18" s="1"/>
  <c r="L219" i="18"/>
  <c r="I219" i="18"/>
  <c r="CI218" i="18"/>
  <c r="J218" i="18" s="1"/>
  <c r="L218" i="18"/>
  <c r="I218" i="18"/>
  <c r="M218" i="18" s="1"/>
  <c r="CI217" i="18"/>
  <c r="J217" i="18" s="1"/>
  <c r="L217" i="18"/>
  <c r="I217" i="18"/>
  <c r="M217" i="18" s="1"/>
  <c r="CI216" i="18"/>
  <c r="J216" i="18" s="1"/>
  <c r="L216" i="18"/>
  <c r="I216" i="18"/>
  <c r="M216" i="18" s="1"/>
  <c r="CI215" i="18"/>
  <c r="J215" i="18" s="1"/>
  <c r="H215" i="18"/>
  <c r="G215" i="18"/>
  <c r="F215" i="18"/>
  <c r="CI214" i="18"/>
  <c r="J214" i="18" s="1"/>
  <c r="CI213" i="18"/>
  <c r="L213" i="18"/>
  <c r="J213" i="18"/>
  <c r="N213" i="18" s="1"/>
  <c r="I213" i="18"/>
  <c r="M213" i="18" s="1"/>
  <c r="CI212" i="18"/>
  <c r="J212" i="18" s="1"/>
  <c r="L212" i="18"/>
  <c r="I212" i="18"/>
  <c r="M212" i="18" s="1"/>
  <c r="CI211" i="18"/>
  <c r="J211" i="18" s="1"/>
  <c r="L211" i="18"/>
  <c r="I211" i="18"/>
  <c r="M211" i="18" s="1"/>
  <c r="CI210" i="18"/>
  <c r="J210" i="18" s="1"/>
  <c r="M210" i="18"/>
  <c r="L210" i="18"/>
  <c r="I210" i="18"/>
  <c r="CI209" i="18"/>
  <c r="J209" i="18" s="1"/>
  <c r="L209" i="18"/>
  <c r="I209" i="18"/>
  <c r="M209" i="18" s="1"/>
  <c r="CI208" i="18"/>
  <c r="J208" i="18" s="1"/>
  <c r="N208" i="18" s="1"/>
  <c r="CI207" i="18"/>
  <c r="J207" i="18" s="1"/>
  <c r="K207" i="18" s="1"/>
  <c r="L207" i="18"/>
  <c r="I207" i="18"/>
  <c r="M207" i="18" s="1"/>
  <c r="CI206" i="18"/>
  <c r="J206" i="18" s="1"/>
  <c r="N206" i="18" s="1"/>
  <c r="L206" i="18"/>
  <c r="I206" i="18"/>
  <c r="M206" i="18"/>
  <c r="CI205" i="18"/>
  <c r="J205" i="18" s="1"/>
  <c r="L205" i="18"/>
  <c r="I205" i="18"/>
  <c r="M205" i="18"/>
  <c r="CI204" i="18"/>
  <c r="J204" i="18" s="1"/>
  <c r="L204" i="18"/>
  <c r="I204" i="18"/>
  <c r="M204" i="18" s="1"/>
  <c r="CI203" i="18"/>
  <c r="J203" i="18" s="1"/>
  <c r="N203" i="18" s="1"/>
  <c r="P203" i="18" s="1"/>
  <c r="L203" i="18"/>
  <c r="I203" i="18"/>
  <c r="M203" i="18" s="1"/>
  <c r="CI202" i="18"/>
  <c r="J202" i="18" s="1"/>
  <c r="N202" i="18" s="1"/>
  <c r="L202" i="18"/>
  <c r="I202" i="18"/>
  <c r="M202" i="18" s="1"/>
  <c r="CI201" i="18"/>
  <c r="J201" i="18" s="1"/>
  <c r="K201" i="18" s="1"/>
  <c r="L201" i="18"/>
  <c r="I201" i="18"/>
  <c r="M201" i="18" s="1"/>
  <c r="CI200" i="18"/>
  <c r="J200" i="18" s="1"/>
  <c r="N200" i="18" s="1"/>
  <c r="P200" i="18" s="1"/>
  <c r="L200" i="18"/>
  <c r="I200" i="18"/>
  <c r="M200" i="18" s="1"/>
  <c r="CI199" i="18"/>
  <c r="J199" i="18" s="1"/>
  <c r="L199" i="18"/>
  <c r="I199" i="18"/>
  <c r="M199" i="18"/>
  <c r="CI198" i="18"/>
  <c r="J198" i="18" s="1"/>
  <c r="L198" i="18"/>
  <c r="I198" i="18"/>
  <c r="M198" i="18"/>
  <c r="CI197" i="18"/>
  <c r="J197" i="18" s="1"/>
  <c r="L197" i="18"/>
  <c r="I197" i="18"/>
  <c r="M197" i="18" s="1"/>
  <c r="CI196" i="18"/>
  <c r="J196" i="18" s="1"/>
  <c r="L196" i="18"/>
  <c r="I196" i="18"/>
  <c r="M196" i="18" s="1"/>
  <c r="CI195" i="18"/>
  <c r="J195" i="18" s="1"/>
  <c r="L195" i="18"/>
  <c r="I195" i="18"/>
  <c r="M195" i="18" s="1"/>
  <c r="CI194" i="18"/>
  <c r="J194" i="18" s="1"/>
  <c r="M194" i="18"/>
  <c r="CI193" i="18"/>
  <c r="J193" i="18" s="1"/>
  <c r="N193" i="18" s="1"/>
  <c r="P193" i="18" s="1"/>
  <c r="L193" i="18"/>
  <c r="I193" i="18"/>
  <c r="M193" i="18" s="1"/>
  <c r="CI192" i="18"/>
  <c r="J192" i="18" s="1"/>
  <c r="L192" i="18"/>
  <c r="L190" i="18" s="1"/>
  <c r="I192" i="18"/>
  <c r="M192" i="18" s="1"/>
  <c r="CI191" i="18"/>
  <c r="J191" i="18" s="1"/>
  <c r="L191" i="18"/>
  <c r="I191" i="18"/>
  <c r="M191" i="18" s="1"/>
  <c r="CI190" i="18"/>
  <c r="J190" i="18" s="1"/>
  <c r="CI189" i="18"/>
  <c r="J189" i="18" s="1"/>
  <c r="L189" i="18"/>
  <c r="I189" i="18"/>
  <c r="M189" i="18" s="1"/>
  <c r="CI188" i="18"/>
  <c r="J188" i="18" s="1"/>
  <c r="L188" i="18"/>
  <c r="I188" i="18"/>
  <c r="M188" i="18" s="1"/>
  <c r="CI187" i="18"/>
  <c r="J187" i="18" s="1"/>
  <c r="N187" i="18" s="1"/>
  <c r="P187" i="18" s="1"/>
  <c r="L187" i="18"/>
  <c r="I187" i="18"/>
  <c r="M187" i="18" s="1"/>
  <c r="CI186" i="18"/>
  <c r="J186" i="18" s="1"/>
  <c r="L186" i="18"/>
  <c r="I186" i="18"/>
  <c r="M186" i="18" s="1"/>
  <c r="CI185" i="18"/>
  <c r="J185" i="18" s="1"/>
  <c r="K185" i="18" s="1"/>
  <c r="L185" i="18"/>
  <c r="I185" i="18"/>
  <c r="M185" i="18" s="1"/>
  <c r="CI184" i="18"/>
  <c r="J184" i="18" s="1"/>
  <c r="L184" i="18"/>
  <c r="I184" i="18"/>
  <c r="M184" i="18" s="1"/>
  <c r="CI183" i="18"/>
  <c r="J183" i="18" s="1"/>
  <c r="L183" i="18"/>
  <c r="I183" i="18"/>
  <c r="M183" i="18" s="1"/>
  <c r="CI182" i="18"/>
  <c r="J182" i="18" s="1"/>
  <c r="K182" i="18" s="1"/>
  <c r="L182" i="18"/>
  <c r="I182" i="18"/>
  <c r="M182" i="18" s="1"/>
  <c r="CI181" i="18"/>
  <c r="CI180" i="18"/>
  <c r="J180" i="18" s="1"/>
  <c r="N180" i="18" s="1"/>
  <c r="O180" i="18"/>
  <c r="L180" i="18"/>
  <c r="K180" i="18"/>
  <c r="I180" i="18"/>
  <c r="M180" i="18" s="1"/>
  <c r="CI179" i="18"/>
  <c r="J179" i="18" s="1"/>
  <c r="N179" i="18" s="1"/>
  <c r="O179" i="18"/>
  <c r="L179" i="18"/>
  <c r="K179" i="18"/>
  <c r="I179" i="18"/>
  <c r="M179" i="18" s="1"/>
  <c r="CI178" i="18"/>
  <c r="O178" i="18"/>
  <c r="L178" i="18"/>
  <c r="K178" i="18"/>
  <c r="J178" i="18"/>
  <c r="N178" i="18" s="1"/>
  <c r="I178" i="18"/>
  <c r="M178" i="18" s="1"/>
  <c r="CI177" i="18"/>
  <c r="O177" i="18"/>
  <c r="L177" i="18"/>
  <c r="K177" i="18"/>
  <c r="J177" i="18"/>
  <c r="N177" i="18" s="1"/>
  <c r="I177" i="18"/>
  <c r="M177" i="18" s="1"/>
  <c r="CI176" i="18"/>
  <c r="J176" i="18" s="1"/>
  <c r="N176" i="18" s="1"/>
  <c r="O176" i="18"/>
  <c r="L176" i="18"/>
  <c r="K176" i="18"/>
  <c r="I176" i="18"/>
  <c r="M176" i="18" s="1"/>
  <c r="CI175" i="18"/>
  <c r="J175" i="18" s="1"/>
  <c r="N175" i="18" s="1"/>
  <c r="O175" i="18"/>
  <c r="L175" i="18"/>
  <c r="K175" i="18"/>
  <c r="I175" i="18"/>
  <c r="M175" i="18" s="1"/>
  <c r="CI174" i="18"/>
  <c r="O174" i="18"/>
  <c r="L174" i="18"/>
  <c r="K174" i="18"/>
  <c r="J174" i="18"/>
  <c r="N174" i="18" s="1"/>
  <c r="I174" i="18"/>
  <c r="M174" i="18" s="1"/>
  <c r="CI173" i="18"/>
  <c r="O173" i="18"/>
  <c r="L173" i="18"/>
  <c r="K173" i="18"/>
  <c r="J173" i="18"/>
  <c r="N173" i="18" s="1"/>
  <c r="P173" i="18" s="1"/>
  <c r="I173" i="18"/>
  <c r="M173" i="18" s="1"/>
  <c r="CI172" i="18"/>
  <c r="J172" i="18" s="1"/>
  <c r="N172" i="18" s="1"/>
  <c r="O172" i="18"/>
  <c r="L172" i="18"/>
  <c r="K172" i="18"/>
  <c r="I172" i="18"/>
  <c r="M172" i="18" s="1"/>
  <c r="CI171" i="18"/>
  <c r="O171" i="18"/>
  <c r="L171" i="18"/>
  <c r="K171" i="18"/>
  <c r="J171" i="18"/>
  <c r="N171" i="18" s="1"/>
  <c r="I171" i="18"/>
  <c r="M171" i="18" s="1"/>
  <c r="CI170" i="18"/>
  <c r="O170" i="18"/>
  <c r="L170" i="18"/>
  <c r="K170" i="18"/>
  <c r="J170" i="18"/>
  <c r="N170" i="18" s="1"/>
  <c r="I170" i="18"/>
  <c r="M170" i="18" s="1"/>
  <c r="CI169" i="18"/>
  <c r="O169" i="18"/>
  <c r="K169" i="18"/>
  <c r="F169" i="18"/>
  <c r="CI168" i="18"/>
  <c r="CI167" i="18"/>
  <c r="J167" i="18" s="1"/>
  <c r="N167" i="18" s="1"/>
  <c r="L167" i="18"/>
  <c r="K167" i="18"/>
  <c r="I167" i="18"/>
  <c r="M167" i="18" s="1"/>
  <c r="CI166" i="18"/>
  <c r="J166" i="18" s="1"/>
  <c r="N166" i="18" s="1"/>
  <c r="L166" i="18"/>
  <c r="K166" i="18"/>
  <c r="I166" i="18"/>
  <c r="M166" i="18" s="1"/>
  <c r="CI165" i="18"/>
  <c r="J165" i="18" s="1"/>
  <c r="N165" i="18" s="1"/>
  <c r="L165" i="18"/>
  <c r="K165" i="18"/>
  <c r="I165" i="18"/>
  <c r="M165" i="18" s="1"/>
  <c r="CI164" i="18"/>
  <c r="J164" i="18" s="1"/>
  <c r="N164" i="18" s="1"/>
  <c r="O164" i="18"/>
  <c r="L164" i="18"/>
  <c r="K164" i="18"/>
  <c r="I164" i="18"/>
  <c r="M164" i="18" s="1"/>
  <c r="CI163" i="18"/>
  <c r="J163" i="18" s="1"/>
  <c r="N163" i="18" s="1"/>
  <c r="O163" i="18"/>
  <c r="L163" i="18"/>
  <c r="K163" i="18"/>
  <c r="I163" i="18"/>
  <c r="M163" i="18" s="1"/>
  <c r="CI162" i="18"/>
  <c r="O162" i="18"/>
  <c r="L162" i="18"/>
  <c r="K162" i="18"/>
  <c r="J162" i="18"/>
  <c r="N162" i="18" s="1"/>
  <c r="I162" i="18"/>
  <c r="M162" i="18" s="1"/>
  <c r="CI161" i="18"/>
  <c r="O161" i="18"/>
  <c r="L161" i="18"/>
  <c r="K161" i="18"/>
  <c r="J161" i="18"/>
  <c r="N161" i="18" s="1"/>
  <c r="I161" i="18"/>
  <c r="M161" i="18" s="1"/>
  <c r="CI160" i="18"/>
  <c r="J160" i="18" s="1"/>
  <c r="N160" i="18" s="1"/>
  <c r="O160" i="18"/>
  <c r="L160" i="18"/>
  <c r="K160" i="18"/>
  <c r="I160" i="18"/>
  <c r="M160" i="18" s="1"/>
  <c r="CI159" i="18"/>
  <c r="N159" i="18"/>
  <c r="P159" i="18" s="1"/>
  <c r="L159" i="18"/>
  <c r="K159" i="18"/>
  <c r="J159" i="18"/>
  <c r="I159" i="18"/>
  <c r="M159" i="18" s="1"/>
  <c r="CI158" i="18"/>
  <c r="L158" i="18"/>
  <c r="K158" i="18"/>
  <c r="J158" i="18"/>
  <c r="N158" i="18" s="1"/>
  <c r="I158" i="18"/>
  <c r="M158" i="18" s="1"/>
  <c r="CI157" i="18"/>
  <c r="J157" i="18" s="1"/>
  <c r="N157" i="18" s="1"/>
  <c r="L157" i="18"/>
  <c r="K157" i="18"/>
  <c r="I157" i="18"/>
  <c r="M157" i="18" s="1"/>
  <c r="CI156" i="18"/>
  <c r="J156" i="18" s="1"/>
  <c r="N156" i="18" s="1"/>
  <c r="P156" i="18" s="1"/>
  <c r="L156" i="18"/>
  <c r="K156" i="18"/>
  <c r="I156" i="18"/>
  <c r="M156" i="18" s="1"/>
  <c r="CI155" i="18"/>
  <c r="J155" i="18" s="1"/>
  <c r="N155" i="18" s="1"/>
  <c r="O155" i="18" s="1"/>
  <c r="L155" i="18"/>
  <c r="K155" i="18"/>
  <c r="I155" i="18"/>
  <c r="M155" i="18" s="1"/>
  <c r="CI154" i="18"/>
  <c r="J154" i="18" s="1"/>
  <c r="N154" i="18" s="1"/>
  <c r="P154" i="18" s="1"/>
  <c r="L154" i="18"/>
  <c r="K154" i="18"/>
  <c r="I154" i="18"/>
  <c r="M154" i="18" s="1"/>
  <c r="CI153" i="18"/>
  <c r="J153" i="18" s="1"/>
  <c r="N153" i="18" s="1"/>
  <c r="P153" i="18" s="1"/>
  <c r="L153" i="18"/>
  <c r="K153" i="18"/>
  <c r="I153" i="18"/>
  <c r="M153" i="18" s="1"/>
  <c r="CI152" i="18"/>
  <c r="CI151" i="18"/>
  <c r="J151" i="18" s="1"/>
  <c r="N151" i="18" s="1"/>
  <c r="L151" i="18"/>
  <c r="K151" i="18"/>
  <c r="I151" i="18"/>
  <c r="M151" i="18" s="1"/>
  <c r="CI150" i="18"/>
  <c r="J150" i="18" s="1"/>
  <c r="N150" i="18" s="1"/>
  <c r="L150" i="18"/>
  <c r="K150" i="18"/>
  <c r="I150" i="18"/>
  <c r="M150" i="18" s="1"/>
  <c r="CI149" i="18"/>
  <c r="J149" i="18" s="1"/>
  <c r="N149" i="18" s="1"/>
  <c r="L149" i="18"/>
  <c r="K149" i="18"/>
  <c r="I149" i="18"/>
  <c r="M149" i="18" s="1"/>
  <c r="CI148" i="18"/>
  <c r="J148" i="18" s="1"/>
  <c r="N148" i="18" s="1"/>
  <c r="L148" i="18"/>
  <c r="K148" i="18"/>
  <c r="I148" i="18"/>
  <c r="M148" i="18" s="1"/>
  <c r="CI147" i="18"/>
  <c r="J147" i="18" s="1"/>
  <c r="N147" i="18" s="1"/>
  <c r="L147" i="18"/>
  <c r="K147" i="18"/>
  <c r="I147" i="18"/>
  <c r="M147" i="18" s="1"/>
  <c r="CI146" i="18"/>
  <c r="J146" i="18" s="1"/>
  <c r="N146" i="18" s="1"/>
  <c r="L146" i="18"/>
  <c r="K146" i="18"/>
  <c r="I146" i="18"/>
  <c r="M146" i="18" s="1"/>
  <c r="CI145" i="18"/>
  <c r="J145" i="18" s="1"/>
  <c r="N145" i="18" s="1"/>
  <c r="L145" i="18"/>
  <c r="K145" i="18"/>
  <c r="I145" i="18"/>
  <c r="M145" i="18"/>
  <c r="CI144" i="18"/>
  <c r="J144" i="18" s="1"/>
  <c r="N144" i="18" s="1"/>
  <c r="L144" i="18"/>
  <c r="K144" i="18"/>
  <c r="I144" i="18"/>
  <c r="M144" i="18" s="1"/>
  <c r="CI143" i="18"/>
  <c r="J143" i="18" s="1"/>
  <c r="N143" i="18" s="1"/>
  <c r="L143" i="18"/>
  <c r="K143" i="18"/>
  <c r="I143" i="18"/>
  <c r="M143" i="18" s="1"/>
  <c r="CI142" i="18"/>
  <c r="J142" i="18" s="1"/>
  <c r="N142" i="18" s="1"/>
  <c r="L142" i="18"/>
  <c r="K142" i="18"/>
  <c r="I142" i="18"/>
  <c r="M142" i="18" s="1"/>
  <c r="CI141" i="18"/>
  <c r="J141" i="18" s="1"/>
  <c r="N141" i="18" s="1"/>
  <c r="L141" i="18"/>
  <c r="K141" i="18"/>
  <c r="I141" i="18"/>
  <c r="M141" i="18" s="1"/>
  <c r="CI140" i="18"/>
  <c r="O140" i="18"/>
  <c r="L140" i="18"/>
  <c r="K140" i="18"/>
  <c r="J140" i="18"/>
  <c r="N140" i="18" s="1"/>
  <c r="I140" i="18"/>
  <c r="M140" i="18" s="1"/>
  <c r="CI139" i="18"/>
  <c r="J139" i="18" s="1"/>
  <c r="N139" i="18" s="1"/>
  <c r="P139" i="18" s="1"/>
  <c r="L139" i="18"/>
  <c r="K139" i="18"/>
  <c r="I139" i="18"/>
  <c r="M139" i="18"/>
  <c r="CI138" i="18"/>
  <c r="J138" i="18" s="1"/>
  <c r="N138" i="18" s="1"/>
  <c r="L138" i="18"/>
  <c r="K138" i="18"/>
  <c r="I138" i="18"/>
  <c r="M138" i="18" s="1"/>
  <c r="CI137" i="18"/>
  <c r="J137" i="18" s="1"/>
  <c r="N137" i="18" s="1"/>
  <c r="L137" i="18"/>
  <c r="K137" i="18"/>
  <c r="I137" i="18"/>
  <c r="M137" i="18" s="1"/>
  <c r="CI136" i="18"/>
  <c r="J136" i="18"/>
  <c r="N136" i="18" s="1"/>
  <c r="P136" i="18" s="1"/>
  <c r="L136" i="18"/>
  <c r="K136" i="18"/>
  <c r="I136" i="18"/>
  <c r="M136" i="18" s="1"/>
  <c r="CI135" i="18"/>
  <c r="J135" i="18" s="1"/>
  <c r="N135" i="18" s="1"/>
  <c r="P135" i="18" s="1"/>
  <c r="L135" i="18"/>
  <c r="K135" i="18"/>
  <c r="I135" i="18"/>
  <c r="M135" i="18" s="1"/>
  <c r="CI134" i="18"/>
  <c r="J134" i="18" s="1"/>
  <c r="N134" i="18" s="1"/>
  <c r="P134" i="18" s="1"/>
  <c r="L134" i="18"/>
  <c r="K134" i="18"/>
  <c r="I134" i="18"/>
  <c r="M134" i="18" s="1"/>
  <c r="CI133" i="18"/>
  <c r="J133" i="18" s="1"/>
  <c r="N133" i="18" s="1"/>
  <c r="L133" i="18"/>
  <c r="K133" i="18"/>
  <c r="I133" i="18"/>
  <c r="M133" i="18" s="1"/>
  <c r="CI132" i="18"/>
  <c r="J132" i="18" s="1"/>
  <c r="N132" i="18" s="1"/>
  <c r="L132" i="18"/>
  <c r="K132" i="18"/>
  <c r="I132" i="18"/>
  <c r="M132" i="18" s="1"/>
  <c r="CI131" i="18"/>
  <c r="J131" i="18" s="1"/>
  <c r="N131" i="18" s="1"/>
  <c r="L131" i="18"/>
  <c r="K131" i="18"/>
  <c r="I131" i="18"/>
  <c r="M131" i="18" s="1"/>
  <c r="CI130" i="18"/>
  <c r="CI129" i="18"/>
  <c r="CI128" i="18"/>
  <c r="J128" i="18" s="1"/>
  <c r="L128" i="18"/>
  <c r="I128" i="18"/>
  <c r="M128" i="18" s="1"/>
  <c r="CI127" i="18"/>
  <c r="J127" i="18" s="1"/>
  <c r="L127" i="18"/>
  <c r="I127" i="18"/>
  <c r="M127" i="18" s="1"/>
  <c r="CI126" i="18"/>
  <c r="J126" i="18" s="1"/>
  <c r="L126" i="18"/>
  <c r="I126" i="18"/>
  <c r="M126" i="18" s="1"/>
  <c r="CI125" i="18"/>
  <c r="J125" i="18" s="1"/>
  <c r="K125" i="18" s="1"/>
  <c r="L125" i="18"/>
  <c r="I125" i="18"/>
  <c r="M125" i="18" s="1"/>
  <c r="CI124" i="18"/>
  <c r="J124" i="18" s="1"/>
  <c r="L124" i="18"/>
  <c r="I124" i="18"/>
  <c r="M124" i="18" s="1"/>
  <c r="CI123" i="18"/>
  <c r="J123" i="18" s="1"/>
  <c r="L123" i="18"/>
  <c r="I123" i="18"/>
  <c r="M123" i="18" s="1"/>
  <c r="M120" i="18" s="1"/>
  <c r="CI122" i="18"/>
  <c r="J122" i="18" s="1"/>
  <c r="N122" i="18" s="1"/>
  <c r="L122" i="18"/>
  <c r="I122" i="18"/>
  <c r="M122" i="18" s="1"/>
  <c r="CI121" i="18"/>
  <c r="J121" i="18" s="1"/>
  <c r="N121" i="18" s="1"/>
  <c r="L121" i="18"/>
  <c r="I121" i="18"/>
  <c r="M121" i="18" s="1"/>
  <c r="CI120" i="18"/>
  <c r="J120" i="18" s="1"/>
  <c r="I120" i="18"/>
  <c r="CI119" i="18"/>
  <c r="J119" i="18" s="1"/>
  <c r="K119" i="18" s="1"/>
  <c r="M119" i="18"/>
  <c r="L119" i="18"/>
  <c r="I119" i="18"/>
  <c r="CI118" i="18"/>
  <c r="J118" i="18" s="1"/>
  <c r="K118" i="18" s="1"/>
  <c r="M118" i="18"/>
  <c r="L118" i="18"/>
  <c r="I118" i="18"/>
  <c r="CI117" i="18"/>
  <c r="J117" i="18" s="1"/>
  <c r="K117" i="18" s="1"/>
  <c r="M117" i="18"/>
  <c r="M116" i="18" s="1"/>
  <c r="L117" i="18"/>
  <c r="I117" i="18"/>
  <c r="CI116" i="18"/>
  <c r="CI115" i="18"/>
  <c r="J115" i="18" s="1"/>
  <c r="K115" i="18" s="1"/>
  <c r="L115" i="18"/>
  <c r="I115" i="18"/>
  <c r="M115" i="18" s="1"/>
  <c r="CI114" i="18"/>
  <c r="J114" i="18" s="1"/>
  <c r="K114" i="18" s="1"/>
  <c r="L114" i="18"/>
  <c r="I114" i="18"/>
  <c r="M114" i="18" s="1"/>
  <c r="CI113" i="18"/>
  <c r="J113" i="18" s="1"/>
  <c r="K113" i="18" s="1"/>
  <c r="L113" i="18"/>
  <c r="I113" i="18"/>
  <c r="M113" i="18" s="1"/>
  <c r="CI112" i="18"/>
  <c r="J112" i="18" s="1"/>
  <c r="K112" i="18" s="1"/>
  <c r="L112" i="18"/>
  <c r="I112" i="18"/>
  <c r="M112" i="18" s="1"/>
  <c r="CI111" i="18"/>
  <c r="J111" i="18"/>
  <c r="K111" i="18" s="1"/>
  <c r="L111" i="18"/>
  <c r="I111" i="18"/>
  <c r="M111" i="18" s="1"/>
  <c r="CI110" i="18"/>
  <c r="CI109" i="18"/>
  <c r="CI108" i="18"/>
  <c r="J108" i="18" s="1"/>
  <c r="N108" i="18" s="1"/>
  <c r="O108" i="18" s="1"/>
  <c r="L108" i="18"/>
  <c r="I108" i="18"/>
  <c r="M108" i="18" s="1"/>
  <c r="CI107" i="18"/>
  <c r="J107" i="18" s="1"/>
  <c r="N107" i="18" s="1"/>
  <c r="L107" i="18"/>
  <c r="I107" i="18"/>
  <c r="M107" i="18" s="1"/>
  <c r="CI106" i="18"/>
  <c r="J106" i="18"/>
  <c r="N106" i="18" s="1"/>
  <c r="L106" i="18"/>
  <c r="I106" i="18"/>
  <c r="M106" i="18" s="1"/>
  <c r="CI105" i="18"/>
  <c r="J105" i="18" s="1"/>
  <c r="L105" i="18"/>
  <c r="I105" i="18"/>
  <c r="M105" i="18" s="1"/>
  <c r="CI104" i="18"/>
  <c r="J104" i="18" s="1"/>
  <c r="L104" i="18"/>
  <c r="I104" i="18"/>
  <c r="M104" i="18" s="1"/>
  <c r="CI103" i="18"/>
  <c r="J103" i="18" s="1"/>
  <c r="K103" i="18" s="1"/>
  <c r="L103" i="18"/>
  <c r="I103" i="18"/>
  <c r="M103" i="18" s="1"/>
  <c r="CI102" i="18"/>
  <c r="J102" i="18" s="1"/>
  <c r="L102" i="18"/>
  <c r="I102" i="18"/>
  <c r="M102" i="18" s="1"/>
  <c r="CI101" i="18"/>
  <c r="J101" i="18"/>
  <c r="K101" i="18" s="1"/>
  <c r="L101" i="18"/>
  <c r="I101" i="18"/>
  <c r="M101" i="18" s="1"/>
  <c r="CI100" i="18"/>
  <c r="J100" i="18" s="1"/>
  <c r="N100" i="18" s="1"/>
  <c r="L100" i="18"/>
  <c r="I100" i="18"/>
  <c r="M100" i="18" s="1"/>
  <c r="CI99" i="18"/>
  <c r="J99" i="18" s="1"/>
  <c r="L99" i="18"/>
  <c r="I99" i="18"/>
  <c r="M99" i="18" s="1"/>
  <c r="CI98" i="18"/>
  <c r="CI97" i="18"/>
  <c r="J97" i="18"/>
  <c r="K97" i="18" s="1"/>
  <c r="L97" i="18"/>
  <c r="I97" i="18"/>
  <c r="M97" i="18" s="1"/>
  <c r="CI96" i="18"/>
  <c r="O96" i="18"/>
  <c r="L96" i="18"/>
  <c r="J96" i="18"/>
  <c r="N96" i="18" s="1"/>
  <c r="I96" i="18"/>
  <c r="M96" i="18" s="1"/>
  <c r="CI95" i="18"/>
  <c r="J95" i="18" s="1"/>
  <c r="CI94" i="18"/>
  <c r="J94" i="18" s="1"/>
  <c r="L94" i="18"/>
  <c r="I94" i="18"/>
  <c r="M94" i="18" s="1"/>
  <c r="CI93" i="18"/>
  <c r="J93" i="18" s="1"/>
  <c r="L93" i="18"/>
  <c r="I93" i="18"/>
  <c r="M93" i="18" s="1"/>
  <c r="CI92" i="18"/>
  <c r="J92" i="18" s="1"/>
  <c r="CI91" i="18"/>
  <c r="J91" i="18" s="1"/>
  <c r="K91" i="18" s="1"/>
  <c r="L91" i="18"/>
  <c r="L90" i="18" s="1"/>
  <c r="I91" i="18"/>
  <c r="M91" i="18" s="1"/>
  <c r="CI90" i="18"/>
  <c r="N90" i="18"/>
  <c r="M90" i="18"/>
  <c r="CI89" i="18"/>
  <c r="J89" i="18" s="1"/>
  <c r="K89" i="18" s="1"/>
  <c r="L89" i="18"/>
  <c r="I89" i="18"/>
  <c r="M89" i="18" s="1"/>
  <c r="CI88" i="18"/>
  <c r="J88" i="18" s="1"/>
  <c r="L88" i="18"/>
  <c r="I88" i="18"/>
  <c r="M88" i="18" s="1"/>
  <c r="CI87" i="18"/>
  <c r="N87" i="18"/>
  <c r="M87" i="18"/>
  <c r="L87" i="18"/>
  <c r="CI86" i="18"/>
  <c r="J86" i="18" s="1"/>
  <c r="L86" i="18"/>
  <c r="I86" i="18"/>
  <c r="M86" i="18" s="1"/>
  <c r="CI85" i="18"/>
  <c r="J85" i="18" s="1"/>
  <c r="L85" i="18"/>
  <c r="I85" i="18"/>
  <c r="M85" i="18" s="1"/>
  <c r="CI84" i="18"/>
  <c r="J84" i="18" s="1"/>
  <c r="K84" i="18" s="1"/>
  <c r="L84" i="18"/>
  <c r="I84" i="18"/>
  <c r="M84" i="18" s="1"/>
  <c r="M83" i="18" s="1"/>
  <c r="CI83" i="18"/>
  <c r="CI82" i="18"/>
  <c r="J82" i="18" s="1"/>
  <c r="N82" i="18" s="1"/>
  <c r="P82" i="18" s="1"/>
  <c r="L82" i="18"/>
  <c r="I82" i="18"/>
  <c r="M82" i="18" s="1"/>
  <c r="CI81" i="18"/>
  <c r="J81" i="18" s="1"/>
  <c r="N81" i="18" s="1"/>
  <c r="L81" i="18"/>
  <c r="I81" i="18"/>
  <c r="M81" i="18" s="1"/>
  <c r="CI80" i="18"/>
  <c r="J80" i="18" s="1"/>
  <c r="L80" i="18"/>
  <c r="I80" i="18"/>
  <c r="M80" i="18" s="1"/>
  <c r="CI79" i="18"/>
  <c r="J79" i="18" s="1"/>
  <c r="L79" i="18"/>
  <c r="I79" i="18"/>
  <c r="M79" i="18" s="1"/>
  <c r="CI78" i="18"/>
  <c r="CI77" i="18"/>
  <c r="CI76" i="18"/>
  <c r="J76" i="18" s="1"/>
  <c r="L76" i="18"/>
  <c r="L75" i="18" s="1"/>
  <c r="O75" i="18" s="1"/>
  <c r="K76" i="18"/>
  <c r="I76" i="18"/>
  <c r="CI75" i="18"/>
  <c r="CI74" i="18"/>
  <c r="J74" i="18" s="1"/>
  <c r="N74" i="18" s="1"/>
  <c r="O74" i="18"/>
  <c r="L74" i="18"/>
  <c r="K74" i="18"/>
  <c r="I74" i="18"/>
  <c r="M74" i="18" s="1"/>
  <c r="CI73" i="18"/>
  <c r="J73" i="18" s="1"/>
  <c r="N73" i="18" s="1"/>
  <c r="O73" i="18"/>
  <c r="L73" i="18"/>
  <c r="L72" i="18" s="1"/>
  <c r="K73" i="18"/>
  <c r="I73" i="18"/>
  <c r="M73" i="18" s="1"/>
  <c r="M72" i="18" s="1"/>
  <c r="CI72" i="18"/>
  <c r="CI71" i="18"/>
  <c r="J71" i="18" s="1"/>
  <c r="N71" i="18" s="1"/>
  <c r="O71" i="18" s="1"/>
  <c r="O70" i="18" s="1"/>
  <c r="L71" i="18"/>
  <c r="I71" i="18"/>
  <c r="M71" i="18" s="1"/>
  <c r="M70" i="18" s="1"/>
  <c r="CI70" i="18"/>
  <c r="CI69" i="18"/>
  <c r="N69" i="18"/>
  <c r="CI68" i="18"/>
  <c r="J68" i="18" s="1"/>
  <c r="N68" i="18" s="1"/>
  <c r="N67" i="18" s="1"/>
  <c r="O68" i="18"/>
  <c r="O67" i="18" s="1"/>
  <c r="L68" i="18"/>
  <c r="K68" i="18"/>
  <c r="I68" i="18"/>
  <c r="M68" i="18" s="1"/>
  <c r="M67" i="18" s="1"/>
  <c r="CI67" i="18"/>
  <c r="L67" i="18"/>
  <c r="CI66" i="18"/>
  <c r="J66" i="18" s="1"/>
  <c r="L66" i="18"/>
  <c r="I66" i="18"/>
  <c r="M66" i="18" s="1"/>
  <c r="CI65" i="18"/>
  <c r="J65" i="18" s="1"/>
  <c r="L65" i="18"/>
  <c r="I65" i="18"/>
  <c r="M65" i="18" s="1"/>
  <c r="CI64" i="18"/>
  <c r="J64" i="18" s="1"/>
  <c r="N64" i="18" s="1"/>
  <c r="L64" i="18"/>
  <c r="O64" i="18" s="1"/>
  <c r="I64" i="18"/>
  <c r="M64" i="18" s="1"/>
  <c r="CI63" i="18"/>
  <c r="J63" i="18" s="1"/>
  <c r="L63" i="18"/>
  <c r="I63" i="18"/>
  <c r="M63" i="18" s="1"/>
  <c r="CI62" i="18"/>
  <c r="N62" i="18"/>
  <c r="M62" i="18"/>
  <c r="CI61" i="18"/>
  <c r="J61" i="18" s="1"/>
  <c r="L61" i="18"/>
  <c r="I61" i="18"/>
  <c r="M61" i="18" s="1"/>
  <c r="CI60" i="18"/>
  <c r="J60" i="18" s="1"/>
  <c r="L60" i="18"/>
  <c r="I60" i="18"/>
  <c r="M60" i="18"/>
  <c r="CI59" i="18"/>
  <c r="J59" i="18" s="1"/>
  <c r="L59" i="18"/>
  <c r="I59" i="18"/>
  <c r="M59" i="18" s="1"/>
  <c r="CI58" i="18"/>
  <c r="J58" i="18" s="1"/>
  <c r="N58" i="18" s="1"/>
  <c r="L58" i="18"/>
  <c r="I58" i="18"/>
  <c r="M58" i="18" s="1"/>
  <c r="CI57" i="18"/>
  <c r="CI56" i="18"/>
  <c r="J56" i="18" s="1"/>
  <c r="N56" i="18" s="1"/>
  <c r="L56" i="18"/>
  <c r="I56" i="18"/>
  <c r="M56" i="18" s="1"/>
  <c r="CI55" i="18"/>
  <c r="J55" i="18" s="1"/>
  <c r="N55" i="18" s="1"/>
  <c r="L55" i="18"/>
  <c r="I55" i="18"/>
  <c r="M55" i="18" s="1"/>
  <c r="CI54" i="18"/>
  <c r="J54" i="18" s="1"/>
  <c r="N54" i="18" s="1"/>
  <c r="L54" i="18"/>
  <c r="I54" i="18"/>
  <c r="M54" i="18" s="1"/>
  <c r="CI53" i="18"/>
  <c r="J53" i="18" s="1"/>
  <c r="N53" i="18" s="1"/>
  <c r="L53" i="18"/>
  <c r="I53" i="18"/>
  <c r="M53" i="18" s="1"/>
  <c r="CI52" i="18"/>
  <c r="J52" i="18" s="1"/>
  <c r="N52" i="18" s="1"/>
  <c r="L52" i="18"/>
  <c r="L51" i="18" s="1"/>
  <c r="I52" i="18"/>
  <c r="M52" i="18" s="1"/>
  <c r="CI51" i="18"/>
  <c r="CI50" i="18"/>
  <c r="J50" i="18" s="1"/>
  <c r="N50" i="18" s="1"/>
  <c r="L50" i="18"/>
  <c r="L46" i="18" s="1"/>
  <c r="I50" i="18"/>
  <c r="M50" i="18" s="1"/>
  <c r="CI49" i="18"/>
  <c r="J49" i="18" s="1"/>
  <c r="N49" i="18" s="1"/>
  <c r="O49" i="18" s="1"/>
  <c r="L49" i="18"/>
  <c r="I49" i="18"/>
  <c r="M49" i="18" s="1"/>
  <c r="CI48" i="18"/>
  <c r="J48" i="18" s="1"/>
  <c r="N48" i="18" s="1"/>
  <c r="L48" i="18"/>
  <c r="K48" i="18"/>
  <c r="I48" i="18"/>
  <c r="M48" i="18" s="1"/>
  <c r="CI47" i="18"/>
  <c r="J47" i="18" s="1"/>
  <c r="N47" i="18" s="1"/>
  <c r="L47" i="18"/>
  <c r="O47" i="18" s="1"/>
  <c r="I47" i="18"/>
  <c r="M47" i="18" s="1"/>
  <c r="CI46" i="18"/>
  <c r="H46" i="18"/>
  <c r="G46" i="18"/>
  <c r="F46" i="18"/>
  <c r="CI45" i="18"/>
  <c r="CI44" i="18"/>
  <c r="J44" i="18" s="1"/>
  <c r="N44" i="18" s="1"/>
  <c r="L44" i="18"/>
  <c r="I44" i="18"/>
  <c r="M44" i="18" s="1"/>
  <c r="CI43" i="18"/>
  <c r="J43" i="18" s="1"/>
  <c r="N43" i="18" s="1"/>
  <c r="O43" i="18" s="1"/>
  <c r="L43" i="18"/>
  <c r="I43" i="18"/>
  <c r="M43" i="18" s="1"/>
  <c r="CI42" i="18"/>
  <c r="J42" i="18" s="1"/>
  <c r="N42" i="18" s="1"/>
  <c r="L42" i="18"/>
  <c r="L39" i="18" s="1"/>
  <c r="I42" i="18"/>
  <c r="M42" i="18" s="1"/>
  <c r="CI41" i="18"/>
  <c r="J41" i="18" s="1"/>
  <c r="N41" i="18" s="1"/>
  <c r="L41" i="18"/>
  <c r="I41" i="18"/>
  <c r="M41" i="18" s="1"/>
  <c r="CI40" i="18"/>
  <c r="J40" i="18" s="1"/>
  <c r="N40" i="18" s="1"/>
  <c r="L40" i="18"/>
  <c r="I40" i="18"/>
  <c r="M40" i="18" s="1"/>
  <c r="CI39" i="18"/>
  <c r="O39" i="18"/>
  <c r="CI38" i="18"/>
  <c r="J38" i="18" s="1"/>
  <c r="N38" i="18" s="1"/>
  <c r="O38" i="18" s="1"/>
  <c r="L38" i="18"/>
  <c r="I38" i="18"/>
  <c r="M38" i="18" s="1"/>
  <c r="CI37" i="18"/>
  <c r="J37" i="18" s="1"/>
  <c r="N37" i="18" s="1"/>
  <c r="L37" i="18"/>
  <c r="I37" i="18"/>
  <c r="M37" i="18" s="1"/>
  <c r="CI36" i="18"/>
  <c r="J36" i="18" s="1"/>
  <c r="N36" i="18" s="1"/>
  <c r="P36" i="18" s="1"/>
  <c r="L36" i="18"/>
  <c r="I36" i="18"/>
  <c r="M36" i="18" s="1"/>
  <c r="CI35" i="18"/>
  <c r="J35" i="18" s="1"/>
  <c r="N35" i="18" s="1"/>
  <c r="L35" i="18"/>
  <c r="P35" i="18" s="1"/>
  <c r="I35" i="18"/>
  <c r="M35" i="18" s="1"/>
  <c r="CI34" i="18"/>
  <c r="J34" i="18" s="1"/>
  <c r="N34" i="18" s="1"/>
  <c r="L34" i="18"/>
  <c r="I34" i="18"/>
  <c r="M34" i="18" s="1"/>
  <c r="CI33" i="18"/>
  <c r="CI32" i="18"/>
  <c r="CI31" i="18"/>
  <c r="J31" i="18" s="1"/>
  <c r="L31" i="18"/>
  <c r="L26" i="18" s="1"/>
  <c r="I31" i="18"/>
  <c r="M31" i="18" s="1"/>
  <c r="CI30" i="18"/>
  <c r="L30" i="18"/>
  <c r="J30" i="18"/>
  <c r="N30" i="18" s="1"/>
  <c r="I30" i="18"/>
  <c r="M30" i="18" s="1"/>
  <c r="CI29" i="18"/>
  <c r="J29" i="18" s="1"/>
  <c r="N29" i="18" s="1"/>
  <c r="L29" i="18"/>
  <c r="I29" i="18"/>
  <c r="M29" i="18" s="1"/>
  <c r="CI28" i="18"/>
  <c r="J28" i="18" s="1"/>
  <c r="N28" i="18" s="1"/>
  <c r="L28" i="18"/>
  <c r="I28" i="18"/>
  <c r="M28" i="18" s="1"/>
  <c r="M26" i="18" s="1"/>
  <c r="CI27" i="18"/>
  <c r="J27" i="18" s="1"/>
  <c r="N27" i="18" s="1"/>
  <c r="L27" i="18"/>
  <c r="I27" i="18"/>
  <c r="M27" i="18" s="1"/>
  <c r="CI26" i="18"/>
  <c r="CI25" i="18"/>
  <c r="J25" i="18" s="1"/>
  <c r="N25" i="18" s="1"/>
  <c r="L25" i="18"/>
  <c r="I25" i="18"/>
  <c r="CI24" i="18"/>
  <c r="J24" i="18" s="1"/>
  <c r="N24" i="18" s="1"/>
  <c r="P24" i="18" s="1"/>
  <c r="L24" i="18"/>
  <c r="I24" i="18"/>
  <c r="CI23" i="18"/>
  <c r="J23" i="18" s="1"/>
  <c r="N23" i="18" s="1"/>
  <c r="L23" i="18"/>
  <c r="O23" i="18" s="1"/>
  <c r="I23" i="18"/>
  <c r="CI22" i="18"/>
  <c r="J22" i="18" s="1"/>
  <c r="N22" i="18" s="1"/>
  <c r="L22" i="18"/>
  <c r="I22" i="18"/>
  <c r="CI21" i="18"/>
  <c r="J21" i="18" s="1"/>
  <c r="N21" i="18" s="1"/>
  <c r="L21" i="18"/>
  <c r="I21" i="18"/>
  <c r="CI20" i="18"/>
  <c r="J20" i="18" s="1"/>
  <c r="N20" i="18" s="1"/>
  <c r="L20" i="18"/>
  <c r="I20" i="18"/>
  <c r="CI19" i="18"/>
  <c r="J19" i="18" s="1"/>
  <c r="N19" i="18" s="1"/>
  <c r="L19" i="18"/>
  <c r="O19" i="18" s="1"/>
  <c r="I19" i="18"/>
  <c r="CI18" i="18"/>
  <c r="J18" i="18"/>
  <c r="N18" i="18" s="1"/>
  <c r="L18" i="18"/>
  <c r="I18" i="18"/>
  <c r="CI17" i="18"/>
  <c r="J17" i="18" s="1"/>
  <c r="N17" i="18" s="1"/>
  <c r="L17" i="18"/>
  <c r="O17" i="18" s="1"/>
  <c r="I17" i="18"/>
  <c r="CI16" i="18"/>
  <c r="J16" i="18" s="1"/>
  <c r="N16" i="18" s="1"/>
  <c r="P16" i="18" s="1"/>
  <c r="L16" i="18"/>
  <c r="I16" i="18"/>
  <c r="CI15" i="18"/>
  <c r="J15" i="18" s="1"/>
  <c r="N15" i="18" s="1"/>
  <c r="L15" i="18"/>
  <c r="O15" i="18" s="1"/>
  <c r="I15" i="18"/>
  <c r="CI14" i="18"/>
  <c r="M14" i="18"/>
  <c r="H8" i="18"/>
  <c r="L284" i="18" s="1"/>
  <c r="AF6" i="18"/>
  <c r="CI52" i="16"/>
  <c r="J52" i="16" s="1"/>
  <c r="CI67" i="16"/>
  <c r="CI77" i="16"/>
  <c r="CI95" i="16"/>
  <c r="CI138" i="16"/>
  <c r="J138" i="16" s="1"/>
  <c r="CI142" i="16"/>
  <c r="J142" i="16"/>
  <c r="CI146" i="16"/>
  <c r="J146" i="16" s="1"/>
  <c r="CI152" i="16"/>
  <c r="CI172" i="16"/>
  <c r="J172" i="16" s="1"/>
  <c r="CI176" i="16"/>
  <c r="J176" i="16" s="1"/>
  <c r="CI180" i="16"/>
  <c r="J180" i="16" s="1"/>
  <c r="CI150" i="16"/>
  <c r="J150" i="16" s="1"/>
  <c r="CI134" i="16"/>
  <c r="J134" i="16" s="1"/>
  <c r="CI17" i="16"/>
  <c r="J17" i="16" s="1"/>
  <c r="CI14" i="16"/>
  <c r="CI37" i="16"/>
  <c r="J37" i="16" s="1"/>
  <c r="N37" i="16" s="1"/>
  <c r="P37" i="16" s="1"/>
  <c r="CI36" i="16"/>
  <c r="J36" i="16" s="1"/>
  <c r="N36" i="16" s="1"/>
  <c r="CI15" i="16"/>
  <c r="J15" i="16" s="1"/>
  <c r="CI18" i="16"/>
  <c r="J18" i="16" s="1"/>
  <c r="CI19" i="16"/>
  <c r="J19" i="16" s="1"/>
  <c r="CI20" i="16"/>
  <c r="CI21" i="16"/>
  <c r="J21" i="16" s="1"/>
  <c r="CI22" i="16"/>
  <c r="J22" i="16" s="1"/>
  <c r="CI23" i="16"/>
  <c r="J23" i="16" s="1"/>
  <c r="CI24" i="16"/>
  <c r="CI25" i="16"/>
  <c r="J25" i="16" s="1"/>
  <c r="CI27" i="16"/>
  <c r="J27" i="16" s="1"/>
  <c r="CI30" i="16"/>
  <c r="J30" i="16" s="1"/>
  <c r="CI31" i="16"/>
  <c r="J31" i="16" s="1"/>
  <c r="CI34" i="16"/>
  <c r="J34" i="16" s="1"/>
  <c r="K34" i="16" s="1"/>
  <c r="O34" i="16" s="1"/>
  <c r="CI39" i="16"/>
  <c r="CI40" i="16"/>
  <c r="J40" i="16" s="1"/>
  <c r="CI41" i="16"/>
  <c r="J41" i="16" s="1"/>
  <c r="CI42" i="16"/>
  <c r="J42" i="16" s="1"/>
  <c r="CI43" i="16"/>
  <c r="J43" i="16" s="1"/>
  <c r="N43" i="16" s="1"/>
  <c r="P43" i="16" s="1"/>
  <c r="CI44" i="16"/>
  <c r="J44" i="16" s="1"/>
  <c r="CI46" i="16"/>
  <c r="CI47" i="16"/>
  <c r="J47" i="16" s="1"/>
  <c r="CI48" i="16"/>
  <c r="J48" i="16" s="1"/>
  <c r="CI49" i="16"/>
  <c r="J49" i="16" s="1"/>
  <c r="CI50" i="16"/>
  <c r="J50" i="16" s="1"/>
  <c r="CI53" i="16"/>
  <c r="J53" i="16" s="1"/>
  <c r="CI54" i="16"/>
  <c r="J54" i="16" s="1"/>
  <c r="CI55" i="16"/>
  <c r="J55" i="16" s="1"/>
  <c r="CI56" i="16"/>
  <c r="J56" i="16" s="1"/>
  <c r="N56" i="16" s="1"/>
  <c r="CI57" i="16"/>
  <c r="CI58" i="16"/>
  <c r="J58" i="16" s="1"/>
  <c r="N58" i="16" s="1"/>
  <c r="CI59" i="16"/>
  <c r="J59" i="16" s="1"/>
  <c r="N59" i="16" s="1"/>
  <c r="CI60" i="16"/>
  <c r="J60" i="16" s="1"/>
  <c r="N60" i="16" s="1"/>
  <c r="CI61" i="16"/>
  <c r="J61" i="16" s="1"/>
  <c r="CI62" i="16"/>
  <c r="CI63" i="16"/>
  <c r="J63" i="16" s="1"/>
  <c r="CI64" i="16"/>
  <c r="J64" i="16" s="1"/>
  <c r="CI65" i="16"/>
  <c r="J65" i="16" s="1"/>
  <c r="CI66" i="16"/>
  <c r="J66" i="16" s="1"/>
  <c r="CI68" i="16"/>
  <c r="J68" i="16" s="1"/>
  <c r="CI69" i="16"/>
  <c r="CI70" i="16"/>
  <c r="CI71" i="16"/>
  <c r="J71" i="16" s="1"/>
  <c r="CI72" i="16"/>
  <c r="CI74" i="16"/>
  <c r="J74" i="16" s="1"/>
  <c r="CI75" i="16"/>
  <c r="CI76" i="16"/>
  <c r="J76" i="16" s="1"/>
  <c r="N76" i="16" s="1"/>
  <c r="N75" i="16" s="1"/>
  <c r="CI78" i="16"/>
  <c r="CI79" i="16"/>
  <c r="J79" i="16" s="1"/>
  <c r="CI80" i="16"/>
  <c r="J80" i="16" s="1"/>
  <c r="CI81" i="16"/>
  <c r="J81" i="16" s="1"/>
  <c r="CI82" i="16"/>
  <c r="J82" i="16" s="1"/>
  <c r="CI83" i="16"/>
  <c r="CI84" i="16"/>
  <c r="J84" i="16" s="1"/>
  <c r="N84" i="16" s="1"/>
  <c r="CI85" i="16"/>
  <c r="J85" i="16" s="1"/>
  <c r="N85" i="16" s="1"/>
  <c r="CI86" i="16"/>
  <c r="J86" i="16" s="1"/>
  <c r="N86" i="16" s="1"/>
  <c r="CI87" i="16"/>
  <c r="CI88" i="16"/>
  <c r="J88" i="16" s="1"/>
  <c r="N88" i="16" s="1"/>
  <c r="CI89" i="16"/>
  <c r="J89" i="16" s="1"/>
  <c r="N89" i="16" s="1"/>
  <c r="N87" i="16" s="1"/>
  <c r="CI90" i="16"/>
  <c r="CI91" i="16"/>
  <c r="J91" i="16" s="1"/>
  <c r="N91" i="16" s="1"/>
  <c r="CI92" i="16"/>
  <c r="CI93" i="16"/>
  <c r="J93" i="16" s="1"/>
  <c r="N93" i="16" s="1"/>
  <c r="CI94" i="16"/>
  <c r="J94" i="16" s="1"/>
  <c r="N94" i="16" s="1"/>
  <c r="P94" i="16" s="1"/>
  <c r="CI96" i="16"/>
  <c r="J96" i="16" s="1"/>
  <c r="CI97" i="16"/>
  <c r="J97" i="16" s="1"/>
  <c r="N97" i="16" s="1"/>
  <c r="CI98" i="16"/>
  <c r="CI99" i="16"/>
  <c r="J99" i="16" s="1"/>
  <c r="CI100" i="16"/>
  <c r="J100" i="16" s="1"/>
  <c r="CI101" i="16"/>
  <c r="J101" i="16" s="1"/>
  <c r="CI102" i="16"/>
  <c r="J102" i="16" s="1"/>
  <c r="CI103" i="16"/>
  <c r="J103" i="16" s="1"/>
  <c r="CI104" i="16"/>
  <c r="J104" i="16" s="1"/>
  <c r="CI105" i="16"/>
  <c r="J105" i="16" s="1"/>
  <c r="CI106" i="16"/>
  <c r="J106" i="16" s="1"/>
  <c r="CI107" i="16"/>
  <c r="J107" i="16" s="1"/>
  <c r="CI108" i="16"/>
  <c r="J108" i="16" s="1"/>
  <c r="CI109" i="16"/>
  <c r="CI110" i="16"/>
  <c r="CI111" i="16"/>
  <c r="J111" i="16" s="1"/>
  <c r="N111" i="16" s="1"/>
  <c r="CI112" i="16"/>
  <c r="J112" i="16" s="1"/>
  <c r="N112" i="16" s="1"/>
  <c r="CI113" i="16"/>
  <c r="J113" i="16" s="1"/>
  <c r="N113" i="16" s="1"/>
  <c r="CI114" i="16"/>
  <c r="J114" i="16" s="1"/>
  <c r="N114" i="16" s="1"/>
  <c r="CI115" i="16"/>
  <c r="J115" i="16" s="1"/>
  <c r="N115" i="16" s="1"/>
  <c r="CI116" i="16"/>
  <c r="CI117" i="16"/>
  <c r="J117" i="16" s="1"/>
  <c r="N117" i="16" s="1"/>
  <c r="CI118" i="16"/>
  <c r="J118" i="16" s="1"/>
  <c r="N118" i="16" s="1"/>
  <c r="CI119" i="16"/>
  <c r="J119" i="16" s="1"/>
  <c r="N119" i="16" s="1"/>
  <c r="CI120" i="16"/>
  <c r="CI121" i="16"/>
  <c r="J121" i="16" s="1"/>
  <c r="CI122" i="16"/>
  <c r="J122" i="16" s="1"/>
  <c r="N122" i="16" s="1"/>
  <c r="CI123" i="16"/>
  <c r="J123" i="16" s="1"/>
  <c r="CI124" i="16"/>
  <c r="J124" i="16" s="1"/>
  <c r="N124" i="16" s="1"/>
  <c r="CI125" i="16"/>
  <c r="J125" i="16" s="1"/>
  <c r="N125" i="16" s="1"/>
  <c r="CI126" i="16"/>
  <c r="J126" i="16" s="1"/>
  <c r="N126" i="16" s="1"/>
  <c r="CI127" i="16"/>
  <c r="J127" i="16" s="1"/>
  <c r="N127" i="16" s="1"/>
  <c r="CI128" i="16"/>
  <c r="J128" i="16" s="1"/>
  <c r="N128" i="16" s="1"/>
  <c r="CI131" i="16"/>
  <c r="J131" i="16" s="1"/>
  <c r="CI132" i="16"/>
  <c r="J132" i="16" s="1"/>
  <c r="N132" i="16" s="1"/>
  <c r="P132" i="16" s="1"/>
  <c r="CI133" i="16"/>
  <c r="J133" i="16" s="1"/>
  <c r="CI135" i="16"/>
  <c r="J135" i="16" s="1"/>
  <c r="CI136" i="16"/>
  <c r="J136" i="16" s="1"/>
  <c r="CI137" i="16"/>
  <c r="J137" i="16" s="1"/>
  <c r="CI139" i="16"/>
  <c r="J139" i="16" s="1"/>
  <c r="CI140" i="16"/>
  <c r="J140" i="16"/>
  <c r="N140" i="16" s="1"/>
  <c r="CI141" i="16"/>
  <c r="J141" i="16" s="1"/>
  <c r="CI143" i="16"/>
  <c r="J143" i="16" s="1"/>
  <c r="CI144" i="16"/>
  <c r="J144" i="16" s="1"/>
  <c r="N144" i="16" s="1"/>
  <c r="CI145" i="16"/>
  <c r="J145" i="16"/>
  <c r="CI147" i="16"/>
  <c r="J147" i="16" s="1"/>
  <c r="CI148" i="16"/>
  <c r="J148" i="16" s="1"/>
  <c r="CI149" i="16"/>
  <c r="J149" i="16" s="1"/>
  <c r="CI151" i="16"/>
  <c r="J151" i="16" s="1"/>
  <c r="CI153" i="16"/>
  <c r="J153" i="16" s="1"/>
  <c r="N153" i="16" s="1"/>
  <c r="CI154" i="16"/>
  <c r="J154" i="16" s="1"/>
  <c r="CI155" i="16"/>
  <c r="J155" i="16" s="1"/>
  <c r="CI156" i="16"/>
  <c r="J156" i="16" s="1"/>
  <c r="CI157" i="16"/>
  <c r="J157" i="16" s="1"/>
  <c r="CI158" i="16"/>
  <c r="J158" i="16" s="1"/>
  <c r="CI159" i="16"/>
  <c r="J159" i="16" s="1"/>
  <c r="CI160" i="16"/>
  <c r="J160" i="16" s="1"/>
  <c r="CI161" i="16"/>
  <c r="J161" i="16" s="1"/>
  <c r="N161" i="16" s="1"/>
  <c r="CI162" i="16"/>
  <c r="J162" i="16" s="1"/>
  <c r="CI163" i="16"/>
  <c r="J163" i="16" s="1"/>
  <c r="CI164" i="16"/>
  <c r="J164" i="16" s="1"/>
  <c r="CI165" i="16"/>
  <c r="J165" i="16" s="1"/>
  <c r="CI166" i="16"/>
  <c r="J166" i="16" s="1"/>
  <c r="CI167" i="16"/>
  <c r="J167" i="16" s="1"/>
  <c r="CI170" i="16"/>
  <c r="J170" i="16" s="1"/>
  <c r="CI171" i="16"/>
  <c r="J171" i="16" s="1"/>
  <c r="N171" i="16" s="1"/>
  <c r="P171" i="16" s="1"/>
  <c r="CI173" i="16"/>
  <c r="J173" i="16" s="1"/>
  <c r="CI174" i="16"/>
  <c r="J174" i="16" s="1"/>
  <c r="CI175" i="16"/>
  <c r="J175" i="16" s="1"/>
  <c r="CI177" i="16"/>
  <c r="J177" i="16" s="1"/>
  <c r="CI178" i="16"/>
  <c r="J178" i="16" s="1"/>
  <c r="CI179" i="16"/>
  <c r="J179" i="16" s="1"/>
  <c r="CI283" i="16"/>
  <c r="J283" i="16" s="1"/>
  <c r="CI284" i="16"/>
  <c r="J284" i="16" s="1"/>
  <c r="K284" i="16" s="1"/>
  <c r="CI73" i="16"/>
  <c r="J73" i="16"/>
  <c r="CI38" i="16"/>
  <c r="J38" i="16" s="1"/>
  <c r="N86" i="22"/>
  <c r="P86" i="22" s="1"/>
  <c r="K226" i="22"/>
  <c r="O226" i="22" s="1"/>
  <c r="L83" i="22"/>
  <c r="N174" i="21"/>
  <c r="K174" i="21"/>
  <c r="O174" i="21" s="1"/>
  <c r="K156" i="21"/>
  <c r="O156" i="21" s="1"/>
  <c r="N156" i="21"/>
  <c r="P156" i="21" s="1"/>
  <c r="L72" i="21"/>
  <c r="L69" i="21" s="1"/>
  <c r="N162" i="20"/>
  <c r="K162" i="20"/>
  <c r="O162" i="20"/>
  <c r="K47" i="20"/>
  <c r="O47" i="20"/>
  <c r="N180" i="20"/>
  <c r="K180" i="20"/>
  <c r="O180" i="20" s="1"/>
  <c r="K16" i="20"/>
  <c r="O16" i="20" s="1"/>
  <c r="N25" i="20"/>
  <c r="M57" i="20"/>
  <c r="N140" i="20"/>
  <c r="K166" i="20"/>
  <c r="O166" i="20" s="1"/>
  <c r="N206" i="20"/>
  <c r="P206" i="20" s="1"/>
  <c r="K263" i="20"/>
  <c r="O263" i="20" s="1"/>
  <c r="M275" i="20"/>
  <c r="N55" i="20"/>
  <c r="P55" i="20"/>
  <c r="M98" i="20"/>
  <c r="K187" i="20"/>
  <c r="O187" i="20" s="1"/>
  <c r="K189" i="20"/>
  <c r="O189" i="20" s="1"/>
  <c r="K234" i="20"/>
  <c r="O234" i="20" s="1"/>
  <c r="K105" i="20"/>
  <c r="O105" i="20" s="1"/>
  <c r="N105" i="20"/>
  <c r="P105" i="20" s="1"/>
  <c r="K21" i="20"/>
  <c r="O21" i="20" s="1"/>
  <c r="K28" i="20"/>
  <c r="O28" i="20" s="1"/>
  <c r="N28" i="20"/>
  <c r="P28" i="20" s="1"/>
  <c r="K40" i="20"/>
  <c r="O40" i="20" s="1"/>
  <c r="N40" i="20"/>
  <c r="N94" i="20"/>
  <c r="P94" i="20" s="1"/>
  <c r="K94" i="20"/>
  <c r="O94" i="20" s="1"/>
  <c r="N104" i="20"/>
  <c r="P104" i="20" s="1"/>
  <c r="K104" i="20"/>
  <c r="O104" i="20" s="1"/>
  <c r="K111" i="20"/>
  <c r="O111" i="20" s="1"/>
  <c r="N111" i="20"/>
  <c r="N128" i="20"/>
  <c r="K128" i="20"/>
  <c r="O128" i="20" s="1"/>
  <c r="N135" i="20"/>
  <c r="P135" i="20" s="1"/>
  <c r="N138" i="20"/>
  <c r="P138" i="20" s="1"/>
  <c r="K138" i="20"/>
  <c r="O138" i="20" s="1"/>
  <c r="N188" i="20"/>
  <c r="P188" i="20" s="1"/>
  <c r="K188" i="20"/>
  <c r="O188" i="20" s="1"/>
  <c r="N204" i="20"/>
  <c r="P204" i="20" s="1"/>
  <c r="K204" i="20"/>
  <c r="O204" i="20" s="1"/>
  <c r="N211" i="20"/>
  <c r="P211" i="20" s="1"/>
  <c r="K211" i="20"/>
  <c r="O211" i="20" s="1"/>
  <c r="K270" i="20"/>
  <c r="O270" i="20"/>
  <c r="N270" i="20"/>
  <c r="P270" i="20" s="1"/>
  <c r="K34" i="20"/>
  <c r="O34" i="20" s="1"/>
  <c r="N34" i="20"/>
  <c r="P34" i="20" s="1"/>
  <c r="N20" i="20"/>
  <c r="K20" i="20"/>
  <c r="O20" i="20" s="1"/>
  <c r="K125" i="20"/>
  <c r="O125" i="20" s="1"/>
  <c r="N125" i="20"/>
  <c r="P125" i="20" s="1"/>
  <c r="K132" i="20"/>
  <c r="O132" i="20" s="1"/>
  <c r="N132" i="20"/>
  <c r="P132" i="20" s="1"/>
  <c r="N176" i="20"/>
  <c r="P176" i="20" s="1"/>
  <c r="N17" i="20"/>
  <c r="P17" i="20" s="1"/>
  <c r="K74" i="20"/>
  <c r="O74" i="20" s="1"/>
  <c r="O72" i="20" s="1"/>
  <c r="N74" i="20"/>
  <c r="P74" i="20" s="1"/>
  <c r="K38" i="20"/>
  <c r="O38" i="20" s="1"/>
  <c r="N38" i="20"/>
  <c r="N43" i="20"/>
  <c r="P43" i="20" s="1"/>
  <c r="K43" i="20"/>
  <c r="O43" i="20" s="1"/>
  <c r="N108" i="20"/>
  <c r="P108" i="20" s="1"/>
  <c r="K108" i="20"/>
  <c r="O108" i="20" s="1"/>
  <c r="K121" i="20"/>
  <c r="O121" i="20" s="1"/>
  <c r="N121" i="20"/>
  <c r="N276" i="20"/>
  <c r="P276" i="20" s="1"/>
  <c r="K280" i="20"/>
  <c r="O280" i="20" s="1"/>
  <c r="N280" i="20"/>
  <c r="P280" i="20" s="1"/>
  <c r="N22" i="20"/>
  <c r="P22" i="20" s="1"/>
  <c r="K24" i="20"/>
  <c r="O24" i="20" s="1"/>
  <c r="K37" i="20"/>
  <c r="O37" i="20" s="1"/>
  <c r="N44" i="20"/>
  <c r="P44" i="20" s="1"/>
  <c r="K76" i="20"/>
  <c r="O76" i="20" s="1"/>
  <c r="O75" i="20" s="1"/>
  <c r="N88" i="20"/>
  <c r="N136" i="20"/>
  <c r="P136" i="20" s="1"/>
  <c r="N177" i="20"/>
  <c r="P177" i="20" s="1"/>
  <c r="N184" i="20"/>
  <c r="P184" i="20" s="1"/>
  <c r="K196" i="20"/>
  <c r="O196" i="20" s="1"/>
  <c r="K217" i="20"/>
  <c r="O217" i="20" s="1"/>
  <c r="K230" i="20"/>
  <c r="O230" i="20" s="1"/>
  <c r="K238" i="20"/>
  <c r="O238" i="20" s="1"/>
  <c r="K246" i="20"/>
  <c r="O246" i="20" s="1"/>
  <c r="K279" i="20"/>
  <c r="O279" i="20" s="1"/>
  <c r="N61" i="20"/>
  <c r="P61" i="20" s="1"/>
  <c r="N73" i="20"/>
  <c r="N72" i="20" s="1"/>
  <c r="N115" i="20"/>
  <c r="N126" i="20"/>
  <c r="P126" i="20" s="1"/>
  <c r="N141" i="20"/>
  <c r="P141" i="20" s="1"/>
  <c r="N243" i="20"/>
  <c r="P243" i="20" s="1"/>
  <c r="K50" i="20"/>
  <c r="O50" i="20" s="1"/>
  <c r="K60" i="20"/>
  <c r="O60" i="20" s="1"/>
  <c r="K124" i="20"/>
  <c r="O124" i="20" s="1"/>
  <c r="K134" i="20"/>
  <c r="O134" i="20" s="1"/>
  <c r="K151" i="20"/>
  <c r="O151" i="20" s="1"/>
  <c r="K199" i="20"/>
  <c r="O199" i="20" s="1"/>
  <c r="K18" i="20"/>
  <c r="O18" i="20" s="1"/>
  <c r="N18" i="20"/>
  <c r="P18" i="20" s="1"/>
  <c r="K71" i="20"/>
  <c r="O71" i="20" s="1"/>
  <c r="O70" i="20" s="1"/>
  <c r="N71" i="20"/>
  <c r="K112" i="20"/>
  <c r="O112" i="20" s="1"/>
  <c r="N112" i="20"/>
  <c r="P112" i="20" s="1"/>
  <c r="K160" i="20"/>
  <c r="O160" i="20" s="1"/>
  <c r="N160" i="20"/>
  <c r="P160" i="20" s="1"/>
  <c r="M14" i="20"/>
  <c r="K41" i="20"/>
  <c r="O41" i="20" s="1"/>
  <c r="N41" i="20"/>
  <c r="P41" i="20" s="1"/>
  <c r="K86" i="20"/>
  <c r="O86" i="20" s="1"/>
  <c r="N86" i="20"/>
  <c r="P86" i="20" s="1"/>
  <c r="K15" i="20"/>
  <c r="O15" i="20" s="1"/>
  <c r="N15" i="20"/>
  <c r="K19" i="20"/>
  <c r="O19" i="20" s="1"/>
  <c r="N19" i="20"/>
  <c r="P19" i="20" s="1"/>
  <c r="K30" i="20"/>
  <c r="O30" i="20" s="1"/>
  <c r="N30" i="20"/>
  <c r="P30" i="20" s="1"/>
  <c r="K36" i="20"/>
  <c r="O36" i="20" s="1"/>
  <c r="N36" i="20"/>
  <c r="P36" i="20" s="1"/>
  <c r="N118" i="20"/>
  <c r="P118" i="20" s="1"/>
  <c r="K118" i="20"/>
  <c r="O118" i="20" s="1"/>
  <c r="N148" i="20"/>
  <c r="P148" i="20" s="1"/>
  <c r="K148" i="20"/>
  <c r="O148" i="20" s="1"/>
  <c r="K150" i="20"/>
  <c r="O150" i="20" s="1"/>
  <c r="N150" i="20"/>
  <c r="P150" i="20" s="1"/>
  <c r="K178" i="20"/>
  <c r="O178" i="20" s="1"/>
  <c r="N178" i="20"/>
  <c r="P178" i="20" s="1"/>
  <c r="N239" i="20"/>
  <c r="P239" i="20" s="1"/>
  <c r="N267" i="20"/>
  <c r="P267" i="20" s="1"/>
  <c r="K267" i="20"/>
  <c r="O267" i="20" s="1"/>
  <c r="K23" i="20"/>
  <c r="O23" i="20" s="1"/>
  <c r="N23" i="20"/>
  <c r="P23" i="20" s="1"/>
  <c r="K42" i="20"/>
  <c r="O42" i="20" s="1"/>
  <c r="N42" i="20"/>
  <c r="P42" i="20" s="1"/>
  <c r="L57" i="20"/>
  <c r="N64" i="20"/>
  <c r="P64" i="20" s="1"/>
  <c r="K174" i="20"/>
  <c r="O174" i="20" s="1"/>
  <c r="M33" i="20"/>
  <c r="M46" i="20"/>
  <c r="P47" i="20"/>
  <c r="K106" i="20"/>
  <c r="O106" i="20" s="1"/>
  <c r="N106" i="20"/>
  <c r="P106" i="20" s="1"/>
  <c r="P121" i="20"/>
  <c r="N161" i="20"/>
  <c r="K161" i="20"/>
  <c r="O161" i="20" s="1"/>
  <c r="N216" i="20"/>
  <c r="K219" i="20"/>
  <c r="O219" i="20" s="1"/>
  <c r="N219" i="20"/>
  <c r="N221" i="20"/>
  <c r="P221" i="20" s="1"/>
  <c r="K221" i="20"/>
  <c r="O221" i="20" s="1"/>
  <c r="K59" i="20"/>
  <c r="O59" i="20" s="1"/>
  <c r="N59" i="20"/>
  <c r="P59" i="20" s="1"/>
  <c r="N139" i="20"/>
  <c r="P139" i="20" s="1"/>
  <c r="K139" i="20"/>
  <c r="O139" i="20" s="1"/>
  <c r="N29" i="20"/>
  <c r="P29" i="20" s="1"/>
  <c r="N35" i="20"/>
  <c r="P35" i="20" s="1"/>
  <c r="N48" i="20"/>
  <c r="P48" i="20" s="1"/>
  <c r="K52" i="20"/>
  <c r="O52" i="20" s="1"/>
  <c r="N52" i="20"/>
  <c r="K56" i="20"/>
  <c r="O56" i="20" s="1"/>
  <c r="N56" i="20"/>
  <c r="P56" i="20" s="1"/>
  <c r="N58" i="20"/>
  <c r="K65" i="20"/>
  <c r="O65" i="20" s="1"/>
  <c r="N65" i="20"/>
  <c r="P65" i="20" s="1"/>
  <c r="K66" i="20"/>
  <c r="O66" i="20" s="1"/>
  <c r="N66" i="20"/>
  <c r="P66" i="20" s="1"/>
  <c r="N96" i="20"/>
  <c r="K103" i="20"/>
  <c r="O103" i="20" s="1"/>
  <c r="N103" i="20"/>
  <c r="P103" i="20" s="1"/>
  <c r="P111" i="20"/>
  <c r="K122" i="20"/>
  <c r="O122" i="20" s="1"/>
  <c r="N122" i="20"/>
  <c r="P151" i="20"/>
  <c r="M72" i="20"/>
  <c r="L95" i="20"/>
  <c r="K107" i="20"/>
  <c r="O107" i="20" s="1"/>
  <c r="N107" i="20"/>
  <c r="P107" i="20" s="1"/>
  <c r="K123" i="20"/>
  <c r="O123" i="20" s="1"/>
  <c r="K205" i="20"/>
  <c r="O205" i="20" s="1"/>
  <c r="N205" i="20"/>
  <c r="N75" i="20"/>
  <c r="K80" i="20"/>
  <c r="O80" i="20" s="1"/>
  <c r="N80" i="20"/>
  <c r="P80" i="20" s="1"/>
  <c r="L92" i="20"/>
  <c r="K127" i="20"/>
  <c r="O127" i="20" s="1"/>
  <c r="N127" i="20"/>
  <c r="P127" i="20" s="1"/>
  <c r="K133" i="20"/>
  <c r="O133" i="20" s="1"/>
  <c r="N133" i="20"/>
  <c r="P133" i="20" s="1"/>
  <c r="K142" i="20"/>
  <c r="O142" i="20" s="1"/>
  <c r="N142" i="20"/>
  <c r="P142" i="20" s="1"/>
  <c r="K175" i="20"/>
  <c r="O175" i="20" s="1"/>
  <c r="K182" i="20"/>
  <c r="O182" i="20" s="1"/>
  <c r="N182" i="20"/>
  <c r="K113" i="20"/>
  <c r="O113" i="20" s="1"/>
  <c r="N113" i="20"/>
  <c r="P113" i="20" s="1"/>
  <c r="K165" i="20"/>
  <c r="O165" i="20" s="1"/>
  <c r="N165" i="20"/>
  <c r="P165" i="20" s="1"/>
  <c r="K197" i="20"/>
  <c r="O197" i="20" s="1"/>
  <c r="N197" i="20"/>
  <c r="P197" i="20" s="1"/>
  <c r="N210" i="20"/>
  <c r="P210" i="20" s="1"/>
  <c r="K210" i="20"/>
  <c r="O210" i="20" s="1"/>
  <c r="K223" i="20"/>
  <c r="O223" i="20" s="1"/>
  <c r="N223" i="20"/>
  <c r="P223" i="20" s="1"/>
  <c r="K277" i="20"/>
  <c r="O277" i="20" s="1"/>
  <c r="N277" i="20"/>
  <c r="P277" i="20" s="1"/>
  <c r="K99" i="20"/>
  <c r="O99" i="20" s="1"/>
  <c r="N99" i="20"/>
  <c r="K137" i="20"/>
  <c r="O137" i="20" s="1"/>
  <c r="N137" i="20"/>
  <c r="P137" i="20" s="1"/>
  <c r="K146" i="20"/>
  <c r="O146" i="20" s="1"/>
  <c r="N146" i="20"/>
  <c r="P146" i="20" s="1"/>
  <c r="K153" i="20"/>
  <c r="O153" i="20" s="1"/>
  <c r="N153" i="20"/>
  <c r="P166" i="20"/>
  <c r="N167" i="20"/>
  <c r="P167" i="20" s="1"/>
  <c r="N249" i="20"/>
  <c r="P249" i="20" s="1"/>
  <c r="K249" i="20"/>
  <c r="O249" i="20" s="1"/>
  <c r="K253" i="20"/>
  <c r="O253" i="20" s="1"/>
  <c r="N253" i="20"/>
  <c r="N164" i="20"/>
  <c r="P164" i="20" s="1"/>
  <c r="N170" i="20"/>
  <c r="K179" i="20"/>
  <c r="O179" i="20" s="1"/>
  <c r="N179" i="20"/>
  <c r="P179" i="20" s="1"/>
  <c r="K186" i="20"/>
  <c r="O186" i="20" s="1"/>
  <c r="N186" i="20"/>
  <c r="P186" i="20" s="1"/>
  <c r="M190" i="20"/>
  <c r="N192" i="20"/>
  <c r="P192" i="20" s="1"/>
  <c r="K192" i="20"/>
  <c r="O192" i="20" s="1"/>
  <c r="L208" i="20"/>
  <c r="K212" i="20"/>
  <c r="O212" i="20" s="1"/>
  <c r="N212" i="20"/>
  <c r="P212" i="20" s="1"/>
  <c r="N213" i="20"/>
  <c r="P213" i="20" s="1"/>
  <c r="P217" i="20"/>
  <c r="N242" i="20"/>
  <c r="P242" i="20" s="1"/>
  <c r="K242" i="20"/>
  <c r="O242" i="20" s="1"/>
  <c r="N273" i="20"/>
  <c r="K273" i="20"/>
  <c r="O273" i="20" s="1"/>
  <c r="K191" i="20"/>
  <c r="O191" i="20" s="1"/>
  <c r="N191" i="20"/>
  <c r="N195" i="20"/>
  <c r="K195" i="20"/>
  <c r="O195" i="20" s="1"/>
  <c r="N203" i="20"/>
  <c r="P203" i="20" s="1"/>
  <c r="K203" i="20"/>
  <c r="O203" i="20" s="1"/>
  <c r="K218" i="20"/>
  <c r="O218" i="20" s="1"/>
  <c r="N218" i="20"/>
  <c r="P218" i="20" s="1"/>
  <c r="K264" i="20"/>
  <c r="O264" i="20" s="1"/>
  <c r="N264" i="20"/>
  <c r="P264" i="20" s="1"/>
  <c r="K224" i="20"/>
  <c r="O224" i="20" s="1"/>
  <c r="N224" i="20"/>
  <c r="P224" i="20" s="1"/>
  <c r="N226" i="20"/>
  <c r="K251" i="20"/>
  <c r="O251" i="20" s="1"/>
  <c r="N251" i="20"/>
  <c r="P251" i="20" s="1"/>
  <c r="K254" i="20"/>
  <c r="O254" i="20" s="1"/>
  <c r="N254" i="20"/>
  <c r="P254" i="20" s="1"/>
  <c r="N257" i="20"/>
  <c r="P257" i="20" s="1"/>
  <c r="K228" i="20"/>
  <c r="O228" i="20" s="1"/>
  <c r="N228" i="20"/>
  <c r="P228" i="20" s="1"/>
  <c r="K232" i="20"/>
  <c r="O232" i="20" s="1"/>
  <c r="N232" i="20"/>
  <c r="P232" i="20" s="1"/>
  <c r="N235" i="20"/>
  <c r="P235" i="20" s="1"/>
  <c r="K258" i="20"/>
  <c r="O258" i="20" s="1"/>
  <c r="N258" i="20"/>
  <c r="P258" i="20" s="1"/>
  <c r="K260" i="20"/>
  <c r="O260" i="20" s="1"/>
  <c r="N260" i="20"/>
  <c r="P279" i="20"/>
  <c r="K281" i="20"/>
  <c r="O281" i="20" s="1"/>
  <c r="N281" i="20"/>
  <c r="P281" i="20" s="1"/>
  <c r="K282" i="20"/>
  <c r="O282" i="20" s="1"/>
  <c r="N282" i="20"/>
  <c r="K245" i="20"/>
  <c r="O245" i="20" s="1"/>
  <c r="N245" i="20"/>
  <c r="P245" i="20" s="1"/>
  <c r="L252" i="20"/>
  <c r="K271" i="20"/>
  <c r="O271" i="20" s="1"/>
  <c r="N271" i="20"/>
  <c r="P271" i="20" s="1"/>
  <c r="K236" i="20"/>
  <c r="O236" i="20" s="1"/>
  <c r="N236" i="20"/>
  <c r="P236" i="20" s="1"/>
  <c r="N240" i="20"/>
  <c r="P240" i="20" s="1"/>
  <c r="K261" i="20"/>
  <c r="O261" i="20" s="1"/>
  <c r="N261" i="20"/>
  <c r="P261" i="20" s="1"/>
  <c r="K265" i="20"/>
  <c r="O265" i="20" s="1"/>
  <c r="N265" i="20"/>
  <c r="P265" i="20" s="1"/>
  <c r="N229" i="20"/>
  <c r="P229" i="20" s="1"/>
  <c r="N233" i="20"/>
  <c r="P233" i="20" s="1"/>
  <c r="N237" i="20"/>
  <c r="P237" i="20" s="1"/>
  <c r="N241" i="20"/>
  <c r="P241" i="20" s="1"/>
  <c r="N248" i="20"/>
  <c r="N262" i="20"/>
  <c r="P262" i="20" s="1"/>
  <c r="N266" i="20"/>
  <c r="P266" i="20" s="1"/>
  <c r="N272" i="20"/>
  <c r="K119" i="19"/>
  <c r="O119" i="19" s="1"/>
  <c r="N133" i="19"/>
  <c r="P133" i="19" s="1"/>
  <c r="K133" i="19"/>
  <c r="O133" i="19" s="1"/>
  <c r="K178" i="19"/>
  <c r="O178" i="19" s="1"/>
  <c r="K180" i="19"/>
  <c r="O180" i="19" s="1"/>
  <c r="N180" i="19"/>
  <c r="P180" i="19" s="1"/>
  <c r="K71" i="19"/>
  <c r="O71" i="19" s="1"/>
  <c r="O70" i="19" s="1"/>
  <c r="N71" i="19"/>
  <c r="K154" i="19"/>
  <c r="O154" i="19" s="1"/>
  <c r="N154" i="19"/>
  <c r="P154" i="19" s="1"/>
  <c r="K151" i="19"/>
  <c r="O151" i="19" s="1"/>
  <c r="N151" i="19"/>
  <c r="P151" i="19" s="1"/>
  <c r="N182" i="19"/>
  <c r="P182" i="19" s="1"/>
  <c r="K126" i="19"/>
  <c r="O126" i="19" s="1"/>
  <c r="K160" i="19"/>
  <c r="O160" i="19" s="1"/>
  <c r="N217" i="19"/>
  <c r="P217" i="19" s="1"/>
  <c r="K48" i="19"/>
  <c r="O48" i="19" s="1"/>
  <c r="K136" i="19"/>
  <c r="O136" i="19" s="1"/>
  <c r="K156" i="19"/>
  <c r="O156" i="19" s="1"/>
  <c r="N59" i="19"/>
  <c r="P59" i="19" s="1"/>
  <c r="K59" i="19"/>
  <c r="O59" i="19" s="1"/>
  <c r="N200" i="19"/>
  <c r="P200" i="19" s="1"/>
  <c r="N127" i="19"/>
  <c r="P127" i="19" s="1"/>
  <c r="K127" i="19"/>
  <c r="O127" i="19" s="1"/>
  <c r="K162" i="19"/>
  <c r="O162" i="19" s="1"/>
  <c r="N162" i="19"/>
  <c r="P162" i="19" s="1"/>
  <c r="N132" i="19"/>
  <c r="P132" i="19" s="1"/>
  <c r="K132" i="19"/>
  <c r="O132" i="19" s="1"/>
  <c r="N189" i="19"/>
  <c r="P189" i="19" s="1"/>
  <c r="K189" i="19"/>
  <c r="O189" i="19" s="1"/>
  <c r="M215" i="19"/>
  <c r="N42" i="19"/>
  <c r="P42" i="19" s="1"/>
  <c r="K42" i="19"/>
  <c r="O42" i="19" s="1"/>
  <c r="M46" i="19"/>
  <c r="N43" i="19"/>
  <c r="P43" i="19" s="1"/>
  <c r="K76" i="19"/>
  <c r="O76" i="19" s="1"/>
  <c r="O75" i="19" s="1"/>
  <c r="N103" i="19"/>
  <c r="P103" i="19" s="1"/>
  <c r="N158" i="19"/>
  <c r="P158" i="19" s="1"/>
  <c r="K164" i="19"/>
  <c r="O164" i="19" s="1"/>
  <c r="K207" i="19"/>
  <c r="O207" i="19" s="1"/>
  <c r="K210" i="19"/>
  <c r="O210" i="19" s="1"/>
  <c r="M57" i="19"/>
  <c r="N84" i="19"/>
  <c r="P84" i="19" s="1"/>
  <c r="K86" i="19"/>
  <c r="O86" i="19" s="1"/>
  <c r="N138" i="19"/>
  <c r="P138" i="19" s="1"/>
  <c r="N146" i="19"/>
  <c r="P146" i="19" s="1"/>
  <c r="N150" i="19"/>
  <c r="P150" i="19" s="1"/>
  <c r="N172" i="19"/>
  <c r="P172" i="19" s="1"/>
  <c r="N204" i="19"/>
  <c r="P204" i="19"/>
  <c r="N218" i="19"/>
  <c r="N221" i="19"/>
  <c r="P221" i="19" s="1"/>
  <c r="K261" i="19"/>
  <c r="O261" i="19" s="1"/>
  <c r="N261" i="19"/>
  <c r="P261" i="19" s="1"/>
  <c r="N276" i="19"/>
  <c r="P276" i="19" s="1"/>
  <c r="K276" i="19"/>
  <c r="O276" i="19" s="1"/>
  <c r="O20" i="19"/>
  <c r="N20" i="19"/>
  <c r="P20" i="19" s="1"/>
  <c r="K24" i="19"/>
  <c r="O24" i="19" s="1"/>
  <c r="N24" i="19"/>
  <c r="P24" i="19" s="1"/>
  <c r="K74" i="19"/>
  <c r="O74" i="19" s="1"/>
  <c r="K80" i="19"/>
  <c r="O80" i="19" s="1"/>
  <c r="N80" i="19"/>
  <c r="P80" i="19" s="1"/>
  <c r="O107" i="19"/>
  <c r="N107" i="19"/>
  <c r="P107" i="19" s="1"/>
  <c r="N175" i="19"/>
  <c r="P175" i="19" s="1"/>
  <c r="K175" i="19"/>
  <c r="O175" i="19" s="1"/>
  <c r="K228" i="19"/>
  <c r="O228" i="19" s="1"/>
  <c r="N228" i="19"/>
  <c r="P228" i="19" s="1"/>
  <c r="N280" i="19"/>
  <c r="P280" i="19" s="1"/>
  <c r="K280" i="19"/>
  <c r="O280" i="19" s="1"/>
  <c r="K113" i="19"/>
  <c r="O113" i="19" s="1"/>
  <c r="N113" i="19"/>
  <c r="P113" i="19" s="1"/>
  <c r="K117" i="19"/>
  <c r="O117" i="19" s="1"/>
  <c r="N117" i="19"/>
  <c r="P117" i="19" s="1"/>
  <c r="N141" i="19"/>
  <c r="P141" i="19" s="1"/>
  <c r="K141" i="19"/>
  <c r="O141" i="19" s="1"/>
  <c r="N274" i="19"/>
  <c r="P274" i="19" s="1"/>
  <c r="K274" i="19"/>
  <c r="O274" i="19" s="1"/>
  <c r="N145" i="19"/>
  <c r="P145" i="19" s="1"/>
  <c r="K145" i="19"/>
  <c r="O145" i="19" s="1"/>
  <c r="N211" i="19"/>
  <c r="P211" i="19" s="1"/>
  <c r="K211" i="19"/>
  <c r="O211" i="19" s="1"/>
  <c r="K236" i="19"/>
  <c r="O236" i="19" s="1"/>
  <c r="N236" i="19"/>
  <c r="P236" i="19" s="1"/>
  <c r="K240" i="19"/>
  <c r="O240" i="19" s="1"/>
  <c r="N240" i="19"/>
  <c r="P240" i="19" s="1"/>
  <c r="K254" i="19"/>
  <c r="O254" i="19" s="1"/>
  <c r="N254" i="19"/>
  <c r="P254" i="19" s="1"/>
  <c r="K264" i="19"/>
  <c r="O264" i="19" s="1"/>
  <c r="K271" i="19"/>
  <c r="O271" i="19" s="1"/>
  <c r="N271" i="19"/>
  <c r="P271" i="19" s="1"/>
  <c r="N166" i="19"/>
  <c r="P166" i="19" s="1"/>
  <c r="N257" i="19"/>
  <c r="P257" i="19" s="1"/>
  <c r="K257" i="19"/>
  <c r="O257" i="19" s="1"/>
  <c r="N29" i="19"/>
  <c r="P29" i="19" s="1"/>
  <c r="K29" i="19"/>
  <c r="O29" i="19" s="1"/>
  <c r="K31" i="19"/>
  <c r="O31" i="19" s="1"/>
  <c r="N31" i="19"/>
  <c r="N53" i="19"/>
  <c r="P53" i="19" s="1"/>
  <c r="N97" i="19"/>
  <c r="K147" i="19"/>
  <c r="O147" i="19"/>
  <c r="N147" i="19"/>
  <c r="P147" i="19" s="1"/>
  <c r="N185" i="19"/>
  <c r="P185" i="19" s="1"/>
  <c r="K185" i="19"/>
  <c r="O185" i="19" s="1"/>
  <c r="K193" i="19"/>
  <c r="O193" i="19" s="1"/>
  <c r="N193" i="19"/>
  <c r="K232" i="19"/>
  <c r="O232" i="19" s="1"/>
  <c r="N232" i="19"/>
  <c r="P232" i="19" s="1"/>
  <c r="K244" i="19"/>
  <c r="O244" i="19" s="1"/>
  <c r="N244" i="19"/>
  <c r="P244" i="19" s="1"/>
  <c r="N263" i="19"/>
  <c r="P263" i="19" s="1"/>
  <c r="K263" i="19"/>
  <c r="O263" i="19" s="1"/>
  <c r="N270" i="19"/>
  <c r="P270" i="19" s="1"/>
  <c r="K270" i="19"/>
  <c r="O270" i="19" s="1"/>
  <c r="N283" i="19"/>
  <c r="P283" i="19" s="1"/>
  <c r="K283" i="19"/>
  <c r="O283" i="19"/>
  <c r="N30" i="19"/>
  <c r="P30" i="19" s="1"/>
  <c r="K58" i="19"/>
  <c r="O58" i="19" s="1"/>
  <c r="K73" i="19"/>
  <c r="O73" i="19" s="1"/>
  <c r="N96" i="19"/>
  <c r="K102" i="19"/>
  <c r="O102" i="19" s="1"/>
  <c r="K106" i="19"/>
  <c r="O106" i="19" s="1"/>
  <c r="K123" i="19"/>
  <c r="O123" i="19"/>
  <c r="K161" i="19"/>
  <c r="O161" i="19" s="1"/>
  <c r="N176" i="19"/>
  <c r="P176" i="19" s="1"/>
  <c r="K220" i="19"/>
  <c r="O220" i="19"/>
  <c r="K253" i="19"/>
  <c r="O253" i="19" s="1"/>
  <c r="K260" i="19"/>
  <c r="O260" i="19" s="1"/>
  <c r="N36" i="19"/>
  <c r="N49" i="19"/>
  <c r="P49" i="19" s="1"/>
  <c r="P76" i="19"/>
  <c r="N79" i="19"/>
  <c r="P79" i="19" s="1"/>
  <c r="N93" i="19"/>
  <c r="N128" i="19"/>
  <c r="P128" i="19" s="1"/>
  <c r="N134" i="19"/>
  <c r="P134" i="19" s="1"/>
  <c r="N142" i="19"/>
  <c r="P142" i="19" s="1"/>
  <c r="N186" i="19"/>
  <c r="P186" i="19" s="1"/>
  <c r="K203" i="19"/>
  <c r="O203" i="19" s="1"/>
  <c r="K224" i="19"/>
  <c r="O224" i="19" s="1"/>
  <c r="K227" i="19"/>
  <c r="O227" i="19" s="1"/>
  <c r="K267" i="19"/>
  <c r="O267" i="19" s="1"/>
  <c r="K279" i="19"/>
  <c r="O279" i="19" s="1"/>
  <c r="K112" i="19"/>
  <c r="O112" i="19" s="1"/>
  <c r="N222" i="19"/>
  <c r="P222" i="19" s="1"/>
  <c r="K238" i="19"/>
  <c r="O238" i="19" s="1"/>
  <c r="K37" i="16"/>
  <c r="O37" i="16" s="1"/>
  <c r="K108" i="19"/>
  <c r="O108" i="19" s="1"/>
  <c r="N108" i="19"/>
  <c r="K91" i="19"/>
  <c r="O91" i="19" s="1"/>
  <c r="O90" i="19" s="1"/>
  <c r="N91" i="19"/>
  <c r="K114" i="19"/>
  <c r="O114" i="19" s="1"/>
  <c r="P114" i="19"/>
  <c r="N15" i="19"/>
  <c r="K15" i="19"/>
  <c r="O15" i="19" s="1"/>
  <c r="N94" i="19"/>
  <c r="P94" i="19" s="1"/>
  <c r="K143" i="19"/>
  <c r="O143" i="19" s="1"/>
  <c r="N143" i="19"/>
  <c r="P143" i="19" s="1"/>
  <c r="K25" i="19"/>
  <c r="O25" i="19" s="1"/>
  <c r="N25" i="19"/>
  <c r="P25" i="19" s="1"/>
  <c r="P253" i="19"/>
  <c r="K23" i="19"/>
  <c r="O23" i="19" s="1"/>
  <c r="K64" i="19"/>
  <c r="O64" i="19" s="1"/>
  <c r="N64" i="19"/>
  <c r="P64" i="19" s="1"/>
  <c r="K111" i="19"/>
  <c r="O111" i="19" s="1"/>
  <c r="N111" i="19"/>
  <c r="K137" i="19"/>
  <c r="O137" i="19" s="1"/>
  <c r="N140" i="19"/>
  <c r="K140" i="19"/>
  <c r="O140" i="19" s="1"/>
  <c r="K167" i="19"/>
  <c r="O167" i="19" s="1"/>
  <c r="N167" i="19"/>
  <c r="P167" i="19" s="1"/>
  <c r="K17" i="19"/>
  <c r="O17" i="19" s="1"/>
  <c r="K28" i="19"/>
  <c r="O28" i="19" s="1"/>
  <c r="N28" i="19"/>
  <c r="P28" i="19" s="1"/>
  <c r="K34" i="19"/>
  <c r="O34" i="19" s="1"/>
  <c r="N34" i="19"/>
  <c r="K38" i="19"/>
  <c r="O38" i="19" s="1"/>
  <c r="N38" i="19"/>
  <c r="P38" i="19" s="1"/>
  <c r="L46" i="19"/>
  <c r="K54" i="19"/>
  <c r="O54" i="19" s="1"/>
  <c r="N54" i="19"/>
  <c r="P54" i="19" s="1"/>
  <c r="L62" i="19"/>
  <c r="K81" i="19"/>
  <c r="O81" i="19" s="1"/>
  <c r="N81" i="19"/>
  <c r="P81" i="19" s="1"/>
  <c r="N101" i="19"/>
  <c r="P101" i="19" s="1"/>
  <c r="L116" i="19"/>
  <c r="K155" i="19"/>
  <c r="O155" i="19" s="1"/>
  <c r="N155" i="19"/>
  <c r="P155" i="19" s="1"/>
  <c r="K213" i="19"/>
  <c r="O213" i="19" s="1"/>
  <c r="N213" i="19"/>
  <c r="P213" i="19" s="1"/>
  <c r="N243" i="19"/>
  <c r="P243" i="19" s="1"/>
  <c r="K104" i="19"/>
  <c r="O104" i="19"/>
  <c r="N104" i="19"/>
  <c r="P104" i="19" s="1"/>
  <c r="K118" i="19"/>
  <c r="O118" i="19" s="1"/>
  <c r="N118" i="19"/>
  <c r="P118" i="19" s="1"/>
  <c r="K163" i="19"/>
  <c r="O163" i="19" s="1"/>
  <c r="N163" i="19"/>
  <c r="P163" i="19" s="1"/>
  <c r="K255" i="19"/>
  <c r="O255" i="19" s="1"/>
  <c r="N255" i="19"/>
  <c r="P255" i="19" s="1"/>
  <c r="P260" i="19"/>
  <c r="K47" i="19"/>
  <c r="O47" i="19" s="1"/>
  <c r="N47" i="19"/>
  <c r="K139" i="19"/>
  <c r="O139" i="19" s="1"/>
  <c r="N139" i="19"/>
  <c r="P139" i="19" s="1"/>
  <c r="K149" i="19"/>
  <c r="O149" i="19" s="1"/>
  <c r="L152" i="19"/>
  <c r="K165" i="19"/>
  <c r="O165" i="19" s="1"/>
  <c r="K174" i="19"/>
  <c r="O174" i="19" s="1"/>
  <c r="K251" i="19"/>
  <c r="O251" i="19" s="1"/>
  <c r="N251" i="19"/>
  <c r="P251" i="19" s="1"/>
  <c r="K281" i="19"/>
  <c r="O281" i="19" s="1"/>
  <c r="N281" i="19"/>
  <c r="P281" i="19" s="1"/>
  <c r="K21" i="19"/>
  <c r="O21" i="19" s="1"/>
  <c r="N21" i="19"/>
  <c r="P21" i="19" s="1"/>
  <c r="K44" i="19"/>
  <c r="O44" i="19" s="1"/>
  <c r="N44" i="19"/>
  <c r="P44" i="19" s="1"/>
  <c r="K61" i="19"/>
  <c r="O61" i="19" s="1"/>
  <c r="N61" i="19"/>
  <c r="P61" i="19" s="1"/>
  <c r="N63" i="19"/>
  <c r="P73" i="19"/>
  <c r="K88" i="19"/>
  <c r="O88" i="19" s="1"/>
  <c r="N88" i="19"/>
  <c r="N105" i="19"/>
  <c r="P105" i="19" s="1"/>
  <c r="P112" i="19"/>
  <c r="M116" i="19"/>
  <c r="L120" i="19"/>
  <c r="K122" i="19"/>
  <c r="O122" i="19" s="1"/>
  <c r="M130" i="19"/>
  <c r="K157" i="19"/>
  <c r="O157" i="19" s="1"/>
  <c r="K159" i="19"/>
  <c r="O159" i="19" s="1"/>
  <c r="N159" i="19"/>
  <c r="P159" i="19" s="1"/>
  <c r="K179" i="19"/>
  <c r="O179" i="19" s="1"/>
  <c r="K187" i="19"/>
  <c r="O187" i="19"/>
  <c r="N187" i="19"/>
  <c r="P187" i="19" s="1"/>
  <c r="N195" i="19"/>
  <c r="K195" i="19"/>
  <c r="O195" i="19" s="1"/>
  <c r="N199" i="19"/>
  <c r="P199" i="19" s="1"/>
  <c r="K199" i="19"/>
  <c r="O199" i="19" s="1"/>
  <c r="N201" i="19"/>
  <c r="P201" i="19" s="1"/>
  <c r="K89" i="19"/>
  <c r="O89" i="19" s="1"/>
  <c r="O87" i="19" s="1"/>
  <c r="N89" i="19"/>
  <c r="K115" i="19"/>
  <c r="O115" i="19" s="1"/>
  <c r="N115" i="19"/>
  <c r="P115" i="19" s="1"/>
  <c r="K131" i="19"/>
  <c r="O131" i="19" s="1"/>
  <c r="N131" i="19"/>
  <c r="K144" i="19"/>
  <c r="O144" i="19" s="1"/>
  <c r="N144" i="19"/>
  <c r="P144" i="19" s="1"/>
  <c r="P207" i="19"/>
  <c r="K231" i="19"/>
  <c r="O231" i="19" s="1"/>
  <c r="K237" i="19"/>
  <c r="O237" i="19" s="1"/>
  <c r="N237" i="19"/>
  <c r="P237" i="19" s="1"/>
  <c r="K245" i="19"/>
  <c r="O245" i="19" s="1"/>
  <c r="N245" i="19"/>
  <c r="P245" i="19" s="1"/>
  <c r="N273" i="19"/>
  <c r="P273" i="19" s="1"/>
  <c r="K273" i="19"/>
  <c r="O273" i="19" s="1"/>
  <c r="K282" i="19"/>
  <c r="O282" i="19" s="1"/>
  <c r="N282" i="19"/>
  <c r="P282" i="19" s="1"/>
  <c r="K85" i="19"/>
  <c r="O85" i="19" s="1"/>
  <c r="N85" i="19"/>
  <c r="P85" i="19" s="1"/>
  <c r="M98" i="19"/>
  <c r="K121" i="19"/>
  <c r="O121" i="19" s="1"/>
  <c r="N121" i="19"/>
  <c r="K125" i="19"/>
  <c r="O125" i="19" s="1"/>
  <c r="N125" i="19"/>
  <c r="P125" i="19" s="1"/>
  <c r="L130" i="19"/>
  <c r="K135" i="19"/>
  <c r="O135" i="19" s="1"/>
  <c r="N135" i="19"/>
  <c r="P135" i="19" s="1"/>
  <c r="K148" i="19"/>
  <c r="O148" i="19" s="1"/>
  <c r="N148" i="19"/>
  <c r="P148" i="19" s="1"/>
  <c r="K173" i="19"/>
  <c r="O173" i="19" s="1"/>
  <c r="N173" i="19"/>
  <c r="P173" i="19" s="1"/>
  <c r="P203" i="19"/>
  <c r="N209" i="19"/>
  <c r="K216" i="19"/>
  <c r="O216" i="19" s="1"/>
  <c r="K233" i="19"/>
  <c r="O233" i="19" s="1"/>
  <c r="N233" i="19"/>
  <c r="P233" i="19" s="1"/>
  <c r="N256" i="19"/>
  <c r="P256" i="19" s="1"/>
  <c r="K256" i="19"/>
  <c r="O256" i="19" s="1"/>
  <c r="M259" i="19"/>
  <c r="K272" i="19"/>
  <c r="O272" i="19" s="1"/>
  <c r="N272" i="19"/>
  <c r="P272" i="19" s="1"/>
  <c r="K188" i="19"/>
  <c r="O188" i="19" s="1"/>
  <c r="N188" i="19"/>
  <c r="P188" i="19" s="1"/>
  <c r="K198" i="19"/>
  <c r="O198" i="19" s="1"/>
  <c r="N198" i="19"/>
  <c r="P198" i="19" s="1"/>
  <c r="K202" i="19"/>
  <c r="O202" i="19" s="1"/>
  <c r="N202" i="19"/>
  <c r="P202" i="19" s="1"/>
  <c r="K248" i="19"/>
  <c r="O248" i="19" s="1"/>
  <c r="N248" i="19"/>
  <c r="K177" i="19"/>
  <c r="O177" i="19" s="1"/>
  <c r="N219" i="19"/>
  <c r="P219" i="19" s="1"/>
  <c r="K258" i="19"/>
  <c r="O258" i="19" s="1"/>
  <c r="N258" i="19"/>
  <c r="P258" i="19" s="1"/>
  <c r="K265" i="19"/>
  <c r="O265" i="19" s="1"/>
  <c r="N265" i="19"/>
  <c r="P265" i="19" s="1"/>
  <c r="L275" i="19"/>
  <c r="K229" i="19"/>
  <c r="O229" i="19" s="1"/>
  <c r="N229" i="19"/>
  <c r="P229" i="19" s="1"/>
  <c r="K241" i="19"/>
  <c r="O241" i="19" s="1"/>
  <c r="N241" i="19"/>
  <c r="P241" i="19" s="1"/>
  <c r="K262" i="19"/>
  <c r="O262" i="19" s="1"/>
  <c r="N262" i="19"/>
  <c r="P262" i="19" s="1"/>
  <c r="K250" i="19"/>
  <c r="O250" i="19" s="1"/>
  <c r="M252" i="19"/>
  <c r="K266" i="19"/>
  <c r="O266" i="19" s="1"/>
  <c r="N266" i="19"/>
  <c r="P266" i="19" s="1"/>
  <c r="M269" i="19"/>
  <c r="L278" i="19"/>
  <c r="K226" i="19"/>
  <c r="O226" i="19" s="1"/>
  <c r="K230" i="19"/>
  <c r="O230" i="19" s="1"/>
  <c r="K234" i="19"/>
  <c r="O234" i="19" s="1"/>
  <c r="K242" i="19"/>
  <c r="O242" i="19" s="1"/>
  <c r="K246" i="19"/>
  <c r="O246" i="19" s="1"/>
  <c r="K249" i="19"/>
  <c r="O249" i="19" s="1"/>
  <c r="L278" i="16"/>
  <c r="L247" i="16"/>
  <c r="L215" i="16"/>
  <c r="L208" i="16"/>
  <c r="L194" i="16"/>
  <c r="L190" i="16"/>
  <c r="J24" i="16"/>
  <c r="J20" i="16"/>
  <c r="P27" i="18"/>
  <c r="O25" i="18"/>
  <c r="P38" i="18"/>
  <c r="P40" i="18"/>
  <c r="K64" i="18"/>
  <c r="K66" i="18"/>
  <c r="N66" i="18"/>
  <c r="N84" i="18"/>
  <c r="K86" i="18"/>
  <c r="N86" i="18"/>
  <c r="P86" i="18" s="1"/>
  <c r="O136" i="18"/>
  <c r="N189" i="18"/>
  <c r="K189" i="18"/>
  <c r="K261" i="18"/>
  <c r="K265" i="18"/>
  <c r="N265" i="18"/>
  <c r="P265" i="18" s="1"/>
  <c r="K283" i="18"/>
  <c r="N283" i="18"/>
  <c r="O21" i="18"/>
  <c r="K94" i="18"/>
  <c r="N94" i="18"/>
  <c r="P29" i="18"/>
  <c r="K104" i="18"/>
  <c r="N104" i="18"/>
  <c r="N182" i="18"/>
  <c r="O182" i="18" s="1"/>
  <c r="K199" i="18"/>
  <c r="N199" i="18"/>
  <c r="P199" i="18" s="1"/>
  <c r="K229" i="18"/>
  <c r="N229" i="18"/>
  <c r="P229" i="18" s="1"/>
  <c r="P132" i="18"/>
  <c r="O132" i="18"/>
  <c r="O18" i="18"/>
  <c r="O40" i="18"/>
  <c r="K71" i="18"/>
  <c r="N89" i="18"/>
  <c r="P145" i="18"/>
  <c r="O145" i="18"/>
  <c r="K193" i="18"/>
  <c r="O133" i="18"/>
  <c r="O149" i="18"/>
  <c r="K59" i="18"/>
  <c r="N59" i="18"/>
  <c r="L70" i="18"/>
  <c r="L57" i="18"/>
  <c r="L83" i="18"/>
  <c r="N101" i="18"/>
  <c r="P101" i="18" s="1"/>
  <c r="K105" i="18"/>
  <c r="N105" i="18"/>
  <c r="P105" i="18" s="1"/>
  <c r="L110" i="18"/>
  <c r="K123" i="18"/>
  <c r="N123" i="18"/>
  <c r="O123" i="18" s="1"/>
  <c r="K127" i="18"/>
  <c r="N127" i="18"/>
  <c r="P127" i="18" s="1"/>
  <c r="O146" i="18"/>
  <c r="K266" i="18"/>
  <c r="P100" i="18"/>
  <c r="O100" i="18"/>
  <c r="P108" i="18"/>
  <c r="L116" i="18"/>
  <c r="P122" i="18"/>
  <c r="O122" i="18"/>
  <c r="K226" i="18"/>
  <c r="N226" i="18"/>
  <c r="O226" i="18" s="1"/>
  <c r="O139" i="18"/>
  <c r="O148" i="18"/>
  <c r="P161" i="18"/>
  <c r="K195" i="18"/>
  <c r="N195" i="18"/>
  <c r="P202" i="18"/>
  <c r="O202" i="18"/>
  <c r="K217" i="18"/>
  <c r="N217" i="18"/>
  <c r="O217" i="18" s="1"/>
  <c r="O159" i="18"/>
  <c r="K183" i="18"/>
  <c r="N183" i="18"/>
  <c r="P183" i="18" s="1"/>
  <c r="K218" i="18"/>
  <c r="N218" i="18"/>
  <c r="P218" i="18" s="1"/>
  <c r="K227" i="18"/>
  <c r="N227" i="18"/>
  <c r="K248" i="18"/>
  <c r="N248" i="18"/>
  <c r="O248" i="18" s="1"/>
  <c r="K260" i="18"/>
  <c r="K264" i="18"/>
  <c r="N264" i="18"/>
  <c r="L275" i="18"/>
  <c r="K187" i="18"/>
  <c r="K196" i="18"/>
  <c r="N196" i="18"/>
  <c r="P196" i="18" s="1"/>
  <c r="K206" i="18"/>
  <c r="P257" i="18"/>
  <c r="O257" i="18"/>
  <c r="K200" i="18"/>
  <c r="K210" i="18"/>
  <c r="N210" i="18"/>
  <c r="K236" i="18"/>
  <c r="N236" i="18"/>
  <c r="P236" i="18" s="1"/>
  <c r="K241" i="18"/>
  <c r="N241" i="18"/>
  <c r="P241" i="18" s="1"/>
  <c r="M247" i="18"/>
  <c r="K253" i="18"/>
  <c r="N253" i="18"/>
  <c r="K280" i="18"/>
  <c r="N280" i="18"/>
  <c r="K204" i="18"/>
  <c r="N204" i="18"/>
  <c r="P204" i="18" s="1"/>
  <c r="O213" i="18"/>
  <c r="K224" i="18"/>
  <c r="N224" i="18"/>
  <c r="P224" i="18" s="1"/>
  <c r="P231" i="18"/>
  <c r="O231" i="18"/>
  <c r="N244" i="18"/>
  <c r="K244" i="18"/>
  <c r="K251" i="18"/>
  <c r="N251" i="18"/>
  <c r="P251" i="18" s="1"/>
  <c r="M259" i="18"/>
  <c r="P270" i="18"/>
  <c r="O270" i="18"/>
  <c r="K274" i="18"/>
  <c r="N274" i="18"/>
  <c r="P274" i="18" s="1"/>
  <c r="O238" i="18"/>
  <c r="K246" i="18"/>
  <c r="N246" i="18"/>
  <c r="O265" i="18"/>
  <c r="K271" i="18"/>
  <c r="N271" i="18"/>
  <c r="O271" i="18" s="1"/>
  <c r="K272" i="18"/>
  <c r="N272" i="18"/>
  <c r="P272" i="18" s="1"/>
  <c r="K282" i="18"/>
  <c r="N282" i="18"/>
  <c r="O282" i="18" s="1"/>
  <c r="K240" i="18"/>
  <c r="K242" i="18"/>
  <c r="N242" i="18"/>
  <c r="L247" i="18"/>
  <c r="N255" i="18"/>
  <c r="P255" i="18" s="1"/>
  <c r="K281" i="18"/>
  <c r="N281" i="18"/>
  <c r="P281" i="18" s="1"/>
  <c r="N239" i="18"/>
  <c r="P239" i="18" s="1"/>
  <c r="N249" i="18"/>
  <c r="P249" i="18" s="1"/>
  <c r="CI169" i="16"/>
  <c r="CI129" i="16"/>
  <c r="CI282" i="16"/>
  <c r="J282" i="16" s="1"/>
  <c r="CI130" i="16"/>
  <c r="CI29" i="16"/>
  <c r="J29" i="16" s="1"/>
  <c r="CI28" i="16"/>
  <c r="J28" i="16" s="1"/>
  <c r="CI16" i="16"/>
  <c r="CI35" i="16"/>
  <c r="J35" i="16" s="1"/>
  <c r="P161" i="16"/>
  <c r="P59" i="16"/>
  <c r="P144" i="16"/>
  <c r="K84" i="16"/>
  <c r="O84" i="16" s="1"/>
  <c r="L275" i="16"/>
  <c r="L269" i="16"/>
  <c r="L259" i="16"/>
  <c r="L252" i="16"/>
  <c r="F225" i="16"/>
  <c r="L181" i="16"/>
  <c r="L169" i="16"/>
  <c r="K126" i="16"/>
  <c r="O126" i="16" s="1"/>
  <c r="P125" i="16"/>
  <c r="K122" i="16"/>
  <c r="O122" i="16" s="1"/>
  <c r="K118" i="16"/>
  <c r="O118" i="16" s="1"/>
  <c r="L116" i="16"/>
  <c r="K114" i="16"/>
  <c r="O114" i="16" s="1"/>
  <c r="K97" i="16"/>
  <c r="O97" i="16" s="1"/>
  <c r="L95" i="16"/>
  <c r="L92" i="16"/>
  <c r="L90" i="16"/>
  <c r="P89" i="16"/>
  <c r="L87" i="16"/>
  <c r="P85" i="16"/>
  <c r="L78" i="16"/>
  <c r="L75" i="16"/>
  <c r="L72" i="16"/>
  <c r="L67" i="16"/>
  <c r="L62" i="16"/>
  <c r="K60" i="16"/>
  <c r="O60" i="16" s="1"/>
  <c r="K58" i="16"/>
  <c r="O58" i="16" s="1"/>
  <c r="P56" i="16"/>
  <c r="F46" i="16"/>
  <c r="P36" i="16"/>
  <c r="L33" i="16"/>
  <c r="L14" i="16"/>
  <c r="H8" i="16"/>
  <c r="AF6" i="16"/>
  <c r="L171" i="8"/>
  <c r="L172" i="8"/>
  <c r="L173" i="8"/>
  <c r="L174" i="8"/>
  <c r="L175" i="8"/>
  <c r="L176" i="8"/>
  <c r="L177" i="8"/>
  <c r="L178" i="8"/>
  <c r="L179" i="8"/>
  <c r="L180" i="8"/>
  <c r="L41" i="8"/>
  <c r="L42" i="8"/>
  <c r="L43" i="8"/>
  <c r="L44" i="8"/>
  <c r="L40" i="8"/>
  <c r="L35" i="8"/>
  <c r="L36" i="8"/>
  <c r="L37" i="8"/>
  <c r="L38" i="8"/>
  <c r="N38" i="8" s="1"/>
  <c r="P38" i="8" s="1"/>
  <c r="L34" i="8"/>
  <c r="L28" i="8"/>
  <c r="L29" i="8"/>
  <c r="L30" i="8"/>
  <c r="L31" i="8"/>
  <c r="L27" i="8"/>
  <c r="L16" i="8"/>
  <c r="L17" i="8"/>
  <c r="L18" i="8"/>
  <c r="N18" i="8" s="1"/>
  <c r="L19" i="8"/>
  <c r="L20" i="8"/>
  <c r="L21" i="8"/>
  <c r="L22" i="8"/>
  <c r="L23" i="8"/>
  <c r="L24" i="8"/>
  <c r="L25" i="8"/>
  <c r="M38" i="8"/>
  <c r="M34" i="8"/>
  <c r="H8" i="8"/>
  <c r="L284" i="8" s="1"/>
  <c r="I21" i="10"/>
  <c r="I18" i="10"/>
  <c r="J16" i="10"/>
  <c r="J17" i="8" s="1"/>
  <c r="F46" i="8"/>
  <c r="F169" i="8"/>
  <c r="F215" i="8"/>
  <c r="F225" i="8"/>
  <c r="F247" i="8"/>
  <c r="F252" i="8"/>
  <c r="F269" i="8"/>
  <c r="F275" i="8"/>
  <c r="L15" i="8"/>
  <c r="N15" i="8" s="1"/>
  <c r="N22" i="8"/>
  <c r="N23" i="8"/>
  <c r="P23" i="8" s="1"/>
  <c r="L47" i="8"/>
  <c r="L48" i="8"/>
  <c r="L49" i="8"/>
  <c r="L50" i="8"/>
  <c r="L52" i="8"/>
  <c r="L53" i="8"/>
  <c r="L54" i="8"/>
  <c r="L55" i="8"/>
  <c r="L56" i="8"/>
  <c r="L58" i="8"/>
  <c r="L59" i="8"/>
  <c r="L60" i="8"/>
  <c r="L61" i="8"/>
  <c r="L63" i="8"/>
  <c r="L64" i="8"/>
  <c r="L65" i="8"/>
  <c r="L66" i="8"/>
  <c r="L68" i="8"/>
  <c r="L67" i="8" s="1"/>
  <c r="L71" i="8"/>
  <c r="L73" i="8"/>
  <c r="L74" i="8"/>
  <c r="L76" i="8"/>
  <c r="L75" i="8" s="1"/>
  <c r="O75" i="8" s="1"/>
  <c r="L79" i="8"/>
  <c r="L80" i="8"/>
  <c r="L81" i="8"/>
  <c r="L82" i="8"/>
  <c r="L84" i="8"/>
  <c r="L85" i="8"/>
  <c r="L86" i="8"/>
  <c r="L88" i="8"/>
  <c r="L89" i="8"/>
  <c r="L87" i="8" s="1"/>
  <c r="L91" i="8"/>
  <c r="L90" i="8" s="1"/>
  <c r="L93" i="8"/>
  <c r="L94" i="8"/>
  <c r="L96" i="8"/>
  <c r="L97" i="8"/>
  <c r="L99" i="8"/>
  <c r="L100" i="8"/>
  <c r="L101" i="8"/>
  <c r="L102" i="8"/>
  <c r="L103" i="8"/>
  <c r="L104" i="8"/>
  <c r="L105" i="8"/>
  <c r="L106" i="8"/>
  <c r="L107" i="8"/>
  <c r="L108" i="8"/>
  <c r="L111" i="8"/>
  <c r="L112" i="8"/>
  <c r="L113" i="8"/>
  <c r="L114" i="8"/>
  <c r="L115" i="8"/>
  <c r="L117" i="8"/>
  <c r="L118" i="8"/>
  <c r="L119" i="8"/>
  <c r="L121" i="8"/>
  <c r="L122" i="8"/>
  <c r="L123" i="8"/>
  <c r="L124" i="8"/>
  <c r="L125" i="8"/>
  <c r="L126" i="8"/>
  <c r="L127" i="8"/>
  <c r="L128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70" i="8"/>
  <c r="L182" i="8"/>
  <c r="L183" i="8"/>
  <c r="L184" i="8"/>
  <c r="L185" i="8"/>
  <c r="L186" i="8"/>
  <c r="L187" i="8"/>
  <c r="L188" i="8"/>
  <c r="L189" i="8"/>
  <c r="L191" i="8"/>
  <c r="L192" i="8"/>
  <c r="L193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9" i="8"/>
  <c r="L210" i="8"/>
  <c r="L211" i="8"/>
  <c r="L212" i="8"/>
  <c r="L213" i="8"/>
  <c r="L216" i="8"/>
  <c r="L217" i="8"/>
  <c r="L218" i="8"/>
  <c r="L219" i="8"/>
  <c r="L220" i="8"/>
  <c r="L221" i="8"/>
  <c r="L222" i="8"/>
  <c r="L223" i="8"/>
  <c r="L224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8" i="8"/>
  <c r="L249" i="8"/>
  <c r="L250" i="8"/>
  <c r="L251" i="8"/>
  <c r="L253" i="8"/>
  <c r="L254" i="8"/>
  <c r="L255" i="8"/>
  <c r="L256" i="8"/>
  <c r="L257" i="8"/>
  <c r="L258" i="8"/>
  <c r="L260" i="8"/>
  <c r="L261" i="8"/>
  <c r="L262" i="8"/>
  <c r="L263" i="8"/>
  <c r="L264" i="8"/>
  <c r="L265" i="8"/>
  <c r="L266" i="8"/>
  <c r="L267" i="8"/>
  <c r="L270" i="8"/>
  <c r="L271" i="8"/>
  <c r="L272" i="8"/>
  <c r="L273" i="8"/>
  <c r="L274" i="8"/>
  <c r="L276" i="8"/>
  <c r="L277" i="8"/>
  <c r="L279" i="8"/>
  <c r="L280" i="8"/>
  <c r="L281" i="8"/>
  <c r="L282" i="8"/>
  <c r="L283" i="8"/>
  <c r="O39" i="8"/>
  <c r="O96" i="8"/>
  <c r="I225" i="8"/>
  <c r="K48" i="8"/>
  <c r="J27" i="8"/>
  <c r="N27" i="8" s="1"/>
  <c r="J30" i="8"/>
  <c r="N30" i="8" s="1"/>
  <c r="J31" i="8"/>
  <c r="J34" i="8"/>
  <c r="J40" i="8"/>
  <c r="N40" i="8" s="1"/>
  <c r="J41" i="8"/>
  <c r="J42" i="8"/>
  <c r="J43" i="8"/>
  <c r="N43" i="8" s="1"/>
  <c r="J44" i="8"/>
  <c r="N44" i="8" s="1"/>
  <c r="J49" i="8"/>
  <c r="N49" i="8" s="1"/>
  <c r="J50" i="8"/>
  <c r="N50" i="8" s="1"/>
  <c r="P50" i="8" s="1"/>
  <c r="J56" i="8"/>
  <c r="N56" i="8" s="1"/>
  <c r="J58" i="8"/>
  <c r="J59" i="8"/>
  <c r="J60" i="8"/>
  <c r="K60" i="8" s="1"/>
  <c r="J61" i="8"/>
  <c r="K61" i="8" s="1"/>
  <c r="J63" i="8"/>
  <c r="J64" i="8"/>
  <c r="K64" i="8" s="1"/>
  <c r="J65" i="8"/>
  <c r="N65" i="8" s="1"/>
  <c r="J66" i="8"/>
  <c r="N66" i="8" s="1"/>
  <c r="J68" i="8"/>
  <c r="N68" i="8" s="1"/>
  <c r="J71" i="8"/>
  <c r="J74" i="8"/>
  <c r="N74" i="8" s="1"/>
  <c r="J76" i="8"/>
  <c r="J79" i="8"/>
  <c r="K79" i="8" s="1"/>
  <c r="J80" i="8"/>
  <c r="K80" i="8" s="1"/>
  <c r="J81" i="8"/>
  <c r="J82" i="8"/>
  <c r="J84" i="8"/>
  <c r="N84" i="8" s="1"/>
  <c r="J85" i="8"/>
  <c r="J86" i="8"/>
  <c r="K86" i="8" s="1"/>
  <c r="J88" i="8"/>
  <c r="K88" i="8" s="1"/>
  <c r="J89" i="8"/>
  <c r="J91" i="8"/>
  <c r="J93" i="8"/>
  <c r="K93" i="8" s="1"/>
  <c r="J94" i="8"/>
  <c r="N94" i="8" s="1"/>
  <c r="J96" i="8"/>
  <c r="N96" i="8" s="1"/>
  <c r="J97" i="8"/>
  <c r="K97" i="8" s="1"/>
  <c r="J99" i="8"/>
  <c r="J100" i="8"/>
  <c r="J101" i="8"/>
  <c r="J102" i="8"/>
  <c r="N102" i="8" s="1"/>
  <c r="J103" i="8"/>
  <c r="J104" i="8"/>
  <c r="J105" i="8"/>
  <c r="J106" i="8"/>
  <c r="K106" i="8" s="1"/>
  <c r="J107" i="8"/>
  <c r="J108" i="8"/>
  <c r="N108" i="8" s="1"/>
  <c r="J111" i="8"/>
  <c r="K111" i="8" s="1"/>
  <c r="J112" i="8"/>
  <c r="K112" i="8" s="1"/>
  <c r="J113" i="8"/>
  <c r="K113" i="8" s="1"/>
  <c r="J114" i="8"/>
  <c r="K114" i="8" s="1"/>
  <c r="J115" i="8"/>
  <c r="K115" i="8" s="1"/>
  <c r="J117" i="8"/>
  <c r="K117" i="8" s="1"/>
  <c r="J118" i="8"/>
  <c r="K118" i="8" s="1"/>
  <c r="J119" i="8"/>
  <c r="K119" i="8" s="1"/>
  <c r="J121" i="8"/>
  <c r="J122" i="8"/>
  <c r="J123" i="8"/>
  <c r="N123" i="8" s="1"/>
  <c r="J124" i="8"/>
  <c r="J125" i="8"/>
  <c r="N125" i="8" s="1"/>
  <c r="J126" i="8"/>
  <c r="J127" i="8"/>
  <c r="N127" i="8" s="1"/>
  <c r="J128" i="8"/>
  <c r="K128" i="8" s="1"/>
  <c r="J153" i="8"/>
  <c r="N153" i="8" s="1"/>
  <c r="J154" i="8"/>
  <c r="N154" i="8" s="1"/>
  <c r="J155" i="8"/>
  <c r="N155" i="8" s="1"/>
  <c r="J156" i="8"/>
  <c r="N156" i="8" s="1"/>
  <c r="J157" i="8"/>
  <c r="N157" i="8" s="1"/>
  <c r="J158" i="8"/>
  <c r="N158" i="8" s="1"/>
  <c r="P158" i="8" s="1"/>
  <c r="J159" i="8"/>
  <c r="N159" i="8" s="1"/>
  <c r="J165" i="8"/>
  <c r="N165" i="8"/>
  <c r="J166" i="8"/>
  <c r="N166" i="8" s="1"/>
  <c r="J167" i="8"/>
  <c r="N167" i="8" s="1"/>
  <c r="J284" i="8"/>
  <c r="J18" i="8"/>
  <c r="J19" i="8"/>
  <c r="J20" i="8"/>
  <c r="J21" i="8"/>
  <c r="J22" i="8"/>
  <c r="J23" i="8"/>
  <c r="J24" i="8"/>
  <c r="J25" i="8"/>
  <c r="J15" i="8"/>
  <c r="J47" i="8"/>
  <c r="N47" i="8" s="1"/>
  <c r="F284" i="15"/>
  <c r="P284" i="15" s="1"/>
  <c r="F283" i="15"/>
  <c r="F282" i="15"/>
  <c r="P282" i="15" s="1"/>
  <c r="F281" i="15"/>
  <c r="F280" i="15"/>
  <c r="P280" i="15" s="1"/>
  <c r="O279" i="15"/>
  <c r="F278" i="15"/>
  <c r="K278" i="15" s="1"/>
  <c r="F277" i="15"/>
  <c r="P277" i="15" s="1"/>
  <c r="F275" i="15"/>
  <c r="P275" i="15" s="1"/>
  <c r="F274" i="15"/>
  <c r="K274" i="15" s="1"/>
  <c r="F273" i="15"/>
  <c r="P273" i="15" s="1"/>
  <c r="F272" i="15"/>
  <c r="K272" i="15" s="1"/>
  <c r="F271" i="15"/>
  <c r="P271" i="15" s="1"/>
  <c r="O270" i="15"/>
  <c r="O269" i="15"/>
  <c r="F268" i="15"/>
  <c r="K268" i="15" s="1"/>
  <c r="F267" i="15"/>
  <c r="P267" i="15" s="1"/>
  <c r="F266" i="15"/>
  <c r="K266" i="15" s="1"/>
  <c r="F265" i="15"/>
  <c r="P265" i="15" s="1"/>
  <c r="F264" i="15"/>
  <c r="F263" i="15"/>
  <c r="P263" i="15" s="1"/>
  <c r="F262" i="15"/>
  <c r="K262" i="15" s="1"/>
  <c r="F261" i="15"/>
  <c r="P261" i="15" s="1"/>
  <c r="F259" i="15"/>
  <c r="P259" i="15" s="1"/>
  <c r="F258" i="15"/>
  <c r="F257" i="15"/>
  <c r="P257" i="15" s="1"/>
  <c r="F256" i="15"/>
  <c r="F255" i="15"/>
  <c r="F254" i="15"/>
  <c r="P254" i="15" s="1"/>
  <c r="O253" i="15"/>
  <c r="F252" i="15"/>
  <c r="F251" i="15"/>
  <c r="K251" i="15" s="1"/>
  <c r="F250" i="15"/>
  <c r="K250" i="15" s="1"/>
  <c r="F249" i="15"/>
  <c r="K249" i="15" s="1"/>
  <c r="F247" i="15"/>
  <c r="K247" i="15" s="1"/>
  <c r="F246" i="15"/>
  <c r="P246" i="15" s="1"/>
  <c r="F245" i="15"/>
  <c r="K245" i="15" s="1"/>
  <c r="F244" i="15"/>
  <c r="P244" i="15" s="1"/>
  <c r="F243" i="15"/>
  <c r="K243" i="15" s="1"/>
  <c r="F242" i="15"/>
  <c r="P242" i="15" s="1"/>
  <c r="F241" i="15"/>
  <c r="K241" i="15" s="1"/>
  <c r="F240" i="15"/>
  <c r="P240" i="15" s="1"/>
  <c r="F239" i="15"/>
  <c r="K239" i="15" s="1"/>
  <c r="F238" i="15"/>
  <c r="P238" i="15" s="1"/>
  <c r="F237" i="15"/>
  <c r="K237" i="15" s="1"/>
  <c r="F236" i="15"/>
  <c r="P236" i="15" s="1"/>
  <c r="F235" i="15"/>
  <c r="K235" i="15" s="1"/>
  <c r="F234" i="15"/>
  <c r="P234" i="15" s="1"/>
  <c r="F233" i="15"/>
  <c r="K233" i="15" s="1"/>
  <c r="F232" i="15"/>
  <c r="P232" i="15" s="1"/>
  <c r="F231" i="15"/>
  <c r="K231" i="15" s="1"/>
  <c r="F230" i="15"/>
  <c r="F229" i="15"/>
  <c r="K229" i="15" s="1"/>
  <c r="F228" i="15"/>
  <c r="F227" i="15"/>
  <c r="K227" i="15" s="1"/>
  <c r="O226" i="15"/>
  <c r="F225" i="15"/>
  <c r="K225" i="15" s="1"/>
  <c r="F224" i="15"/>
  <c r="P224" i="15" s="1"/>
  <c r="F223" i="15"/>
  <c r="K223" i="15" s="1"/>
  <c r="F222" i="15"/>
  <c r="P222" i="15" s="1"/>
  <c r="F221" i="15"/>
  <c r="F220" i="15"/>
  <c r="P220" i="15" s="1"/>
  <c r="F219" i="15"/>
  <c r="K219" i="15" s="1"/>
  <c r="F218" i="15"/>
  <c r="P218" i="15" s="1"/>
  <c r="F217" i="15"/>
  <c r="K217" i="15" s="1"/>
  <c r="O216" i="15"/>
  <c r="O215" i="15"/>
  <c r="F214" i="15"/>
  <c r="P214" i="15" s="1"/>
  <c r="F213" i="15"/>
  <c r="K213" i="15" s="1"/>
  <c r="F212" i="15"/>
  <c r="P212" i="15" s="1"/>
  <c r="F211" i="15"/>
  <c r="K211" i="15" s="1"/>
  <c r="F210" i="15"/>
  <c r="P210" i="15" s="1"/>
  <c r="O209" i="15"/>
  <c r="F208" i="15"/>
  <c r="K208" i="15" s="1"/>
  <c r="F207" i="15"/>
  <c r="P207" i="15" s="1"/>
  <c r="F206" i="15"/>
  <c r="K206" i="15" s="1"/>
  <c r="F205" i="15"/>
  <c r="P205" i="15" s="1"/>
  <c r="F204" i="15"/>
  <c r="K204" i="15" s="1"/>
  <c r="F203" i="15"/>
  <c r="P203" i="15" s="1"/>
  <c r="F202" i="15"/>
  <c r="K202" i="15" s="1"/>
  <c r="F201" i="15"/>
  <c r="P201" i="15" s="1"/>
  <c r="F200" i="15"/>
  <c r="K200" i="15" s="1"/>
  <c r="F199" i="15"/>
  <c r="P199" i="15"/>
  <c r="F198" i="15"/>
  <c r="K198" i="15" s="1"/>
  <c r="F197" i="15"/>
  <c r="P197" i="15" s="1"/>
  <c r="F196" i="15"/>
  <c r="K196" i="15" s="1"/>
  <c r="O195" i="15"/>
  <c r="F194" i="15"/>
  <c r="P194" i="15" s="1"/>
  <c r="F193" i="15"/>
  <c r="K193" i="15" s="1"/>
  <c r="F192" i="15"/>
  <c r="P192" i="15" s="1"/>
  <c r="O191" i="15"/>
  <c r="F190" i="15"/>
  <c r="K190" i="15" s="1"/>
  <c r="F189" i="15"/>
  <c r="P189" i="15" s="1"/>
  <c r="F188" i="15"/>
  <c r="K188" i="15" s="1"/>
  <c r="F187" i="15"/>
  <c r="P187" i="15" s="1"/>
  <c r="F186" i="15"/>
  <c r="K186" i="15" s="1"/>
  <c r="F185" i="15"/>
  <c r="P185" i="15" s="1"/>
  <c r="F184" i="15"/>
  <c r="K184" i="15" s="1"/>
  <c r="F183" i="15"/>
  <c r="P183" i="15" s="1"/>
  <c r="O182" i="15"/>
  <c r="F181" i="15"/>
  <c r="K181" i="15" s="1"/>
  <c r="F180" i="15"/>
  <c r="P180" i="15" s="1"/>
  <c r="F179" i="15"/>
  <c r="K179" i="15" s="1"/>
  <c r="F178" i="15"/>
  <c r="P178" i="15" s="1"/>
  <c r="F177" i="15"/>
  <c r="K177" i="15" s="1"/>
  <c r="F176" i="15"/>
  <c r="P176" i="15" s="1"/>
  <c r="F175" i="15"/>
  <c r="F174" i="15"/>
  <c r="P174" i="15" s="1"/>
  <c r="F173" i="15"/>
  <c r="K173" i="15" s="1"/>
  <c r="F172" i="15"/>
  <c r="P172" i="15" s="1"/>
  <c r="F171" i="15"/>
  <c r="K171" i="15" s="1"/>
  <c r="O170" i="15"/>
  <c r="O169" i="15"/>
  <c r="F168" i="15"/>
  <c r="P168" i="15" s="1"/>
  <c r="F167" i="15"/>
  <c r="K167" i="15" s="1"/>
  <c r="F166" i="15"/>
  <c r="P166" i="15" s="1"/>
  <c r="F165" i="15"/>
  <c r="F164" i="15"/>
  <c r="F163" i="15"/>
  <c r="K163" i="15" s="1"/>
  <c r="F162" i="15"/>
  <c r="F161" i="15"/>
  <c r="K161" i="15" s="1"/>
  <c r="F160" i="15"/>
  <c r="K160" i="15" s="1"/>
  <c r="F159" i="15"/>
  <c r="K159" i="15" s="1"/>
  <c r="F158" i="15"/>
  <c r="K158" i="15" s="1"/>
  <c r="F157" i="15"/>
  <c r="K157" i="15" s="1"/>
  <c r="F156" i="15"/>
  <c r="F155" i="15"/>
  <c r="K155" i="15" s="1"/>
  <c r="F154" i="15"/>
  <c r="K154" i="15" s="1"/>
  <c r="O153" i="15"/>
  <c r="F152" i="15"/>
  <c r="K152" i="15" s="1"/>
  <c r="F151" i="15"/>
  <c r="F150" i="15"/>
  <c r="K150" i="15" s="1"/>
  <c r="F149" i="15"/>
  <c r="F148" i="15"/>
  <c r="K148" i="15" s="1"/>
  <c r="F147" i="15"/>
  <c r="F146" i="15"/>
  <c r="K146" i="15" s="1"/>
  <c r="F145" i="15"/>
  <c r="K145" i="15" s="1"/>
  <c r="F144" i="15"/>
  <c r="K144" i="15" s="1"/>
  <c r="F143" i="15"/>
  <c r="F142" i="15"/>
  <c r="K142" i="15" s="1"/>
  <c r="F141" i="15"/>
  <c r="F140" i="15"/>
  <c r="K140" i="15" s="1"/>
  <c r="F139" i="15"/>
  <c r="F138" i="15"/>
  <c r="K138" i="15" s="1"/>
  <c r="F137" i="15"/>
  <c r="K137" i="15" s="1"/>
  <c r="F136" i="15"/>
  <c r="K136" i="15" s="1"/>
  <c r="F135" i="15"/>
  <c r="K135" i="15" s="1"/>
  <c r="F134" i="15"/>
  <c r="K134" i="15" s="1"/>
  <c r="F133" i="15"/>
  <c r="F132" i="15"/>
  <c r="K132" i="15"/>
  <c r="O131" i="15"/>
  <c r="O130" i="15"/>
  <c r="F129" i="15"/>
  <c r="F128" i="15"/>
  <c r="K128" i="15" s="1"/>
  <c r="F127" i="15"/>
  <c r="F126" i="15"/>
  <c r="K126" i="15" s="1"/>
  <c r="F125" i="15"/>
  <c r="F124" i="15"/>
  <c r="K124" i="15" s="1"/>
  <c r="F123" i="15"/>
  <c r="F122" i="15"/>
  <c r="K122" i="15" s="1"/>
  <c r="O121" i="15"/>
  <c r="F120" i="15"/>
  <c r="P120" i="15" s="1"/>
  <c r="F119" i="15"/>
  <c r="K119" i="15" s="1"/>
  <c r="F118" i="15"/>
  <c r="O117" i="15"/>
  <c r="F116" i="15"/>
  <c r="K116" i="15" s="1"/>
  <c r="F115" i="15"/>
  <c r="F114" i="15"/>
  <c r="K114" i="15" s="1"/>
  <c r="F113" i="15"/>
  <c r="K113" i="15" s="1"/>
  <c r="F112" i="15"/>
  <c r="K112" i="15" s="1"/>
  <c r="O111" i="15"/>
  <c r="O110" i="15"/>
  <c r="P109" i="15"/>
  <c r="L109" i="15"/>
  <c r="M109" i="15" s="1"/>
  <c r="N109" i="15" s="1"/>
  <c r="K109" i="15"/>
  <c r="F108" i="15"/>
  <c r="F107" i="15"/>
  <c r="K107" i="15" s="1"/>
  <c r="F106" i="15"/>
  <c r="P106" i="15" s="1"/>
  <c r="F105" i="15"/>
  <c r="L105" i="15" s="1"/>
  <c r="M105" i="15" s="1"/>
  <c r="F104" i="15"/>
  <c r="K104" i="15" s="1"/>
  <c r="F103" i="15"/>
  <c r="P103" i="15" s="1"/>
  <c r="F102" i="15"/>
  <c r="K102" i="15" s="1"/>
  <c r="F101" i="15"/>
  <c r="P101" i="15" s="1"/>
  <c r="F100" i="15"/>
  <c r="O99" i="15"/>
  <c r="F98" i="15"/>
  <c r="P98" i="15" s="1"/>
  <c r="F97" i="15"/>
  <c r="O96" i="15"/>
  <c r="F95" i="15"/>
  <c r="P95" i="15" s="1"/>
  <c r="F94" i="15"/>
  <c r="P94" i="15" s="1"/>
  <c r="O93" i="15"/>
  <c r="F92" i="15"/>
  <c r="P92" i="15" s="1"/>
  <c r="O91" i="15"/>
  <c r="F90" i="15"/>
  <c r="K90" i="15" s="1"/>
  <c r="F89" i="15"/>
  <c r="K89" i="15" s="1"/>
  <c r="O88" i="15"/>
  <c r="F87" i="15"/>
  <c r="P87" i="15" s="1"/>
  <c r="F86" i="15"/>
  <c r="P86" i="15" s="1"/>
  <c r="F85" i="15"/>
  <c r="P85" i="15" s="1"/>
  <c r="F83" i="15"/>
  <c r="P83" i="15" s="1"/>
  <c r="F82" i="15"/>
  <c r="F81" i="15"/>
  <c r="P81" i="15" s="1"/>
  <c r="F80" i="15"/>
  <c r="P80" i="15" s="1"/>
  <c r="O79" i="15"/>
  <c r="O78" i="15"/>
  <c r="F77" i="15"/>
  <c r="P77" i="15" s="1"/>
  <c r="O76" i="15"/>
  <c r="F75" i="15"/>
  <c r="K75" i="15" s="1"/>
  <c r="J74" i="15"/>
  <c r="F74" i="15"/>
  <c r="P74" i="15" s="1"/>
  <c r="F72" i="15"/>
  <c r="P72" i="15" s="1"/>
  <c r="O71" i="15"/>
  <c r="F69" i="15"/>
  <c r="P69" i="15" s="1"/>
  <c r="O68" i="15"/>
  <c r="F67" i="15"/>
  <c r="P67" i="15" s="1"/>
  <c r="F66" i="15"/>
  <c r="K66" i="15" s="1"/>
  <c r="F65" i="15"/>
  <c r="P65" i="15" s="1"/>
  <c r="F64" i="15"/>
  <c r="K64" i="15" s="1"/>
  <c r="O63" i="15"/>
  <c r="F62" i="15"/>
  <c r="P62" i="15" s="1"/>
  <c r="F61" i="15"/>
  <c r="K61" i="15" s="1"/>
  <c r="F60" i="15"/>
  <c r="P60" i="15" s="1"/>
  <c r="F59" i="15"/>
  <c r="K59" i="15" s="1"/>
  <c r="O58" i="15"/>
  <c r="F57" i="15"/>
  <c r="P57" i="15" s="1"/>
  <c r="J56" i="15"/>
  <c r="F56" i="15"/>
  <c r="M56" i="15" s="1"/>
  <c r="J55" i="15"/>
  <c r="F55" i="15"/>
  <c r="M55" i="15" s="1"/>
  <c r="J54" i="15"/>
  <c r="F54" i="15"/>
  <c r="M54" i="15" s="1"/>
  <c r="J53" i="15"/>
  <c r="F53" i="15"/>
  <c r="M53" i="15"/>
  <c r="F51" i="15"/>
  <c r="K51" i="15" s="1"/>
  <c r="J50" i="15"/>
  <c r="F50" i="15"/>
  <c r="P50" i="15" s="1"/>
  <c r="J49" i="15"/>
  <c r="F49" i="15"/>
  <c r="P49" i="15" s="1"/>
  <c r="F48" i="15"/>
  <c r="P48" i="15" s="1"/>
  <c r="I45" i="15"/>
  <c r="J45" i="15" s="1"/>
  <c r="F45" i="15"/>
  <c r="K45" i="15" s="1"/>
  <c r="I44" i="15"/>
  <c r="J44" i="15" s="1"/>
  <c r="F44" i="15"/>
  <c r="P44" i="15" s="1"/>
  <c r="I43" i="15"/>
  <c r="J43" i="15" s="1"/>
  <c r="F43" i="15"/>
  <c r="K43" i="15" s="1"/>
  <c r="L43" i="15" s="1"/>
  <c r="I42" i="15"/>
  <c r="J42" i="15"/>
  <c r="F42" i="15"/>
  <c r="P42" i="15" s="1"/>
  <c r="I41" i="15"/>
  <c r="J41" i="15" s="1"/>
  <c r="F41" i="15"/>
  <c r="K41" i="15" s="1"/>
  <c r="H40" i="15"/>
  <c r="G40" i="15"/>
  <c r="F39" i="15"/>
  <c r="P39" i="15" s="1"/>
  <c r="J38" i="15"/>
  <c r="F38" i="15"/>
  <c r="P38" i="15" s="1"/>
  <c r="I37" i="15"/>
  <c r="J37" i="15" s="1"/>
  <c r="F37" i="15"/>
  <c r="M37" i="15" s="1"/>
  <c r="I36" i="15"/>
  <c r="J36" i="15" s="1"/>
  <c r="F36" i="15"/>
  <c r="M36" i="15" s="1"/>
  <c r="I35" i="15"/>
  <c r="J35" i="15" s="1"/>
  <c r="F35" i="15"/>
  <c r="M35" i="15" s="1"/>
  <c r="K33" i="15"/>
  <c r="H33" i="15"/>
  <c r="G33" i="15"/>
  <c r="F33" i="15"/>
  <c r="N32" i="15"/>
  <c r="I31" i="15"/>
  <c r="J31" i="15" s="1"/>
  <c r="F31" i="15"/>
  <c r="P31" i="15" s="1"/>
  <c r="O31" i="15" s="1"/>
  <c r="I30" i="15"/>
  <c r="J30" i="15" s="1"/>
  <c r="F30" i="15"/>
  <c r="P30" i="15" s="1"/>
  <c r="I29" i="15"/>
  <c r="J29" i="15" s="1"/>
  <c r="F29" i="15"/>
  <c r="P29" i="15" s="1"/>
  <c r="I28" i="15"/>
  <c r="J28" i="15" s="1"/>
  <c r="F28" i="15"/>
  <c r="M28" i="15" s="1"/>
  <c r="I27" i="15"/>
  <c r="F27" i="15"/>
  <c r="P27" i="15" s="1"/>
  <c r="H26" i="15"/>
  <c r="G26" i="15"/>
  <c r="I25" i="15"/>
  <c r="J25" i="15" s="1"/>
  <c r="F25" i="15"/>
  <c r="P25" i="15" s="1"/>
  <c r="I24" i="15"/>
  <c r="J24" i="15" s="1"/>
  <c r="F24" i="15"/>
  <c r="M24" i="15" s="1"/>
  <c r="I23" i="15"/>
  <c r="J23" i="15" s="1"/>
  <c r="F23" i="15"/>
  <c r="P23" i="15" s="1"/>
  <c r="I22" i="15"/>
  <c r="J22" i="15" s="1"/>
  <c r="F22" i="15"/>
  <c r="M22" i="15" s="1"/>
  <c r="I21" i="15"/>
  <c r="J21" i="15" s="1"/>
  <c r="F21" i="15"/>
  <c r="P21" i="15" s="1"/>
  <c r="I20" i="15"/>
  <c r="J20" i="15" s="1"/>
  <c r="F20" i="15"/>
  <c r="M20" i="15" s="1"/>
  <c r="I19" i="15"/>
  <c r="J19" i="15" s="1"/>
  <c r="F19" i="15"/>
  <c r="P19" i="15"/>
  <c r="I18" i="15"/>
  <c r="J18" i="15" s="1"/>
  <c r="F18" i="15"/>
  <c r="M18" i="15" s="1"/>
  <c r="I17" i="15"/>
  <c r="J17" i="15" s="1"/>
  <c r="F17" i="15"/>
  <c r="P17" i="15" s="1"/>
  <c r="I16" i="15"/>
  <c r="J16" i="15" s="1"/>
  <c r="F16" i="15"/>
  <c r="M16" i="15" s="1"/>
  <c r="I15" i="15"/>
  <c r="J15" i="15" s="1"/>
  <c r="F15" i="15"/>
  <c r="P15" i="15" s="1"/>
  <c r="H14" i="15"/>
  <c r="G14" i="15"/>
  <c r="M13" i="15"/>
  <c r="B9" i="15"/>
  <c r="D13" i="15" s="1"/>
  <c r="B8" i="15"/>
  <c r="F283" i="14"/>
  <c r="P283" i="14" s="1"/>
  <c r="F282" i="14"/>
  <c r="F281" i="14"/>
  <c r="F280" i="14"/>
  <c r="P280" i="14" s="1"/>
  <c r="F279" i="14"/>
  <c r="P279" i="14" s="1"/>
  <c r="O278" i="14"/>
  <c r="F277" i="14"/>
  <c r="F276" i="14"/>
  <c r="P276" i="14" s="1"/>
  <c r="F274" i="14"/>
  <c r="P274" i="14" s="1"/>
  <c r="F273" i="14"/>
  <c r="F272" i="14"/>
  <c r="F271" i="14"/>
  <c r="K271" i="14" s="1"/>
  <c r="F270" i="14"/>
  <c r="P270" i="14" s="1"/>
  <c r="O269" i="14"/>
  <c r="O268" i="14"/>
  <c r="F267" i="14"/>
  <c r="K267" i="14" s="1"/>
  <c r="F266" i="14"/>
  <c r="P266" i="14" s="1"/>
  <c r="F265" i="14"/>
  <c r="F264" i="14"/>
  <c r="F263" i="14"/>
  <c r="P263" i="14" s="1"/>
  <c r="F262" i="14"/>
  <c r="P262" i="14" s="1"/>
  <c r="F261" i="14"/>
  <c r="F260" i="14"/>
  <c r="K260" i="14" s="1"/>
  <c r="F258" i="14"/>
  <c r="P258" i="14" s="1"/>
  <c r="F257" i="14"/>
  <c r="P257" i="14" s="1"/>
  <c r="F256" i="14"/>
  <c r="K256" i="14" s="1"/>
  <c r="P256" i="14"/>
  <c r="F255" i="14"/>
  <c r="F254" i="14"/>
  <c r="P254" i="14" s="1"/>
  <c r="F253" i="14"/>
  <c r="K253" i="14"/>
  <c r="O252" i="14"/>
  <c r="F251" i="14"/>
  <c r="K251" i="14" s="1"/>
  <c r="F250" i="14"/>
  <c r="P250" i="14" s="1"/>
  <c r="F249" i="14"/>
  <c r="F248" i="14"/>
  <c r="F246" i="14"/>
  <c r="F245" i="14"/>
  <c r="K245" i="14" s="1"/>
  <c r="F244" i="14"/>
  <c r="L244" i="14" s="1"/>
  <c r="M244" i="14" s="1"/>
  <c r="F243" i="14"/>
  <c r="K243" i="14" s="1"/>
  <c r="F242" i="14"/>
  <c r="K242" i="14" s="1"/>
  <c r="F241" i="14"/>
  <c r="L241" i="14" s="1"/>
  <c r="M241" i="14" s="1"/>
  <c r="K241" i="14"/>
  <c r="F240" i="14"/>
  <c r="K240" i="14" s="1"/>
  <c r="F239" i="14"/>
  <c r="K239" i="14" s="1"/>
  <c r="F238" i="14"/>
  <c r="F237" i="14"/>
  <c r="K237" i="14" s="1"/>
  <c r="F236" i="14"/>
  <c r="P236" i="14" s="1"/>
  <c r="F235" i="14"/>
  <c r="F234" i="14"/>
  <c r="P234" i="14" s="1"/>
  <c r="F233" i="14"/>
  <c r="K233" i="14" s="1"/>
  <c r="F232" i="14"/>
  <c r="F231" i="14"/>
  <c r="F230" i="14"/>
  <c r="F229" i="14"/>
  <c r="K229" i="14" s="1"/>
  <c r="F228" i="14"/>
  <c r="F227" i="14"/>
  <c r="F226" i="14"/>
  <c r="O225" i="14"/>
  <c r="F224" i="14"/>
  <c r="K224" i="14" s="1"/>
  <c r="F223" i="14"/>
  <c r="K223" i="14" s="1"/>
  <c r="F222" i="14"/>
  <c r="K222" i="14" s="1"/>
  <c r="F221" i="14"/>
  <c r="F220" i="14"/>
  <c r="K220" i="14" s="1"/>
  <c r="F219" i="14"/>
  <c r="P219" i="14" s="1"/>
  <c r="F218" i="14"/>
  <c r="K218" i="14" s="1"/>
  <c r="F217" i="14"/>
  <c r="P217" i="14" s="1"/>
  <c r="F216" i="14"/>
  <c r="K216" i="14" s="1"/>
  <c r="O215" i="14"/>
  <c r="O214" i="14"/>
  <c r="F213" i="14"/>
  <c r="F212" i="14"/>
  <c r="K212" i="14" s="1"/>
  <c r="F211" i="14"/>
  <c r="K211" i="14" s="1"/>
  <c r="F210" i="14"/>
  <c r="K210" i="14" s="1"/>
  <c r="F209" i="14"/>
  <c r="O208" i="14"/>
  <c r="F207" i="14"/>
  <c r="K207" i="14" s="1"/>
  <c r="F206" i="14"/>
  <c r="F205" i="14"/>
  <c r="K205" i="14" s="1"/>
  <c r="F204" i="14"/>
  <c r="P204" i="14" s="1"/>
  <c r="F203" i="14"/>
  <c r="K203" i="14" s="1"/>
  <c r="F202" i="14"/>
  <c r="L202" i="14" s="1"/>
  <c r="M202" i="14" s="1"/>
  <c r="F201" i="14"/>
  <c r="K201" i="14" s="1"/>
  <c r="F200" i="14"/>
  <c r="K200" i="14" s="1"/>
  <c r="F199" i="14"/>
  <c r="K199" i="14" s="1"/>
  <c r="F198" i="14"/>
  <c r="F197" i="14"/>
  <c r="K197" i="14" s="1"/>
  <c r="F196" i="14"/>
  <c r="F195" i="14"/>
  <c r="K195" i="14" s="1"/>
  <c r="O194" i="14"/>
  <c r="F193" i="14"/>
  <c r="F192" i="14"/>
  <c r="K192" i="14" s="1"/>
  <c r="F191" i="14"/>
  <c r="O190" i="14"/>
  <c r="F189" i="14"/>
  <c r="K189" i="14" s="1"/>
  <c r="F188" i="14"/>
  <c r="K188" i="14" s="1"/>
  <c r="F187" i="14"/>
  <c r="F186" i="14"/>
  <c r="F185" i="14"/>
  <c r="K185" i="14" s="1"/>
  <c r="F184" i="14"/>
  <c r="F183" i="14"/>
  <c r="F182" i="14"/>
  <c r="O181" i="14"/>
  <c r="F180" i="14"/>
  <c r="K180" i="14" s="1"/>
  <c r="F179" i="14"/>
  <c r="F178" i="14"/>
  <c r="F177" i="14"/>
  <c r="F176" i="14"/>
  <c r="K176" i="14" s="1"/>
  <c r="F175" i="14"/>
  <c r="K175" i="14" s="1"/>
  <c r="F174" i="14"/>
  <c r="K174" i="14" s="1"/>
  <c r="F173" i="14"/>
  <c r="K173" i="14" s="1"/>
  <c r="F172" i="14"/>
  <c r="K172" i="14"/>
  <c r="F171" i="14"/>
  <c r="K171" i="14" s="1"/>
  <c r="F170" i="14"/>
  <c r="O169" i="14"/>
  <c r="O168" i="14"/>
  <c r="F167" i="14"/>
  <c r="K167" i="14" s="1"/>
  <c r="F166" i="14"/>
  <c r="L166" i="14" s="1"/>
  <c r="M166" i="14" s="1"/>
  <c r="F165" i="14"/>
  <c r="P165" i="14" s="1"/>
  <c r="F164" i="14"/>
  <c r="F163" i="14"/>
  <c r="P163" i="14" s="1"/>
  <c r="F162" i="14"/>
  <c r="K162" i="14" s="1"/>
  <c r="F161" i="14"/>
  <c r="P161" i="14" s="1"/>
  <c r="F160" i="14"/>
  <c r="K160" i="14" s="1"/>
  <c r="F159" i="14"/>
  <c r="P159" i="14" s="1"/>
  <c r="F158" i="14"/>
  <c r="F157" i="14"/>
  <c r="P157" i="14" s="1"/>
  <c r="F156" i="14"/>
  <c r="K156" i="14" s="1"/>
  <c r="F155" i="14"/>
  <c r="P155" i="14" s="1"/>
  <c r="F154" i="14"/>
  <c r="K154" i="14" s="1"/>
  <c r="F153" i="14"/>
  <c r="P153" i="14" s="1"/>
  <c r="O152" i="14"/>
  <c r="F151" i="14"/>
  <c r="F150" i="14"/>
  <c r="P150" i="14" s="1"/>
  <c r="F149" i="14"/>
  <c r="P149" i="14" s="1"/>
  <c r="F148" i="14"/>
  <c r="F147" i="14"/>
  <c r="K147" i="14" s="1"/>
  <c r="F146" i="14"/>
  <c r="P146" i="14"/>
  <c r="K145" i="14"/>
  <c r="F145" i="14"/>
  <c r="P145" i="14" s="1"/>
  <c r="F144" i="14"/>
  <c r="P144" i="14" s="1"/>
  <c r="F143" i="14"/>
  <c r="P143" i="14" s="1"/>
  <c r="F142" i="14"/>
  <c r="F141" i="14"/>
  <c r="F140" i="14"/>
  <c r="P140" i="14" s="1"/>
  <c r="F139" i="14"/>
  <c r="K139" i="14" s="1"/>
  <c r="F138" i="14"/>
  <c r="P138" i="14" s="1"/>
  <c r="F137" i="14"/>
  <c r="K137" i="14" s="1"/>
  <c r="P137" i="14"/>
  <c r="F136" i="14"/>
  <c r="F135" i="14"/>
  <c r="F134" i="14"/>
  <c r="P134" i="14" s="1"/>
  <c r="F133" i="14"/>
  <c r="F132" i="14"/>
  <c r="P132" i="14" s="1"/>
  <c r="F131" i="14"/>
  <c r="K131" i="14" s="1"/>
  <c r="O130" i="14"/>
  <c r="O129" i="14"/>
  <c r="F128" i="14"/>
  <c r="F127" i="14"/>
  <c r="K127" i="14" s="1"/>
  <c r="F126" i="14"/>
  <c r="P126" i="14" s="1"/>
  <c r="F125" i="14"/>
  <c r="K125" i="14" s="1"/>
  <c r="F124" i="14"/>
  <c r="P124" i="14" s="1"/>
  <c r="F123" i="14"/>
  <c r="K123" i="14" s="1"/>
  <c r="F122" i="14"/>
  <c r="P122" i="14" s="1"/>
  <c r="F121" i="14"/>
  <c r="O120" i="14"/>
  <c r="F119" i="14"/>
  <c r="P119" i="14" s="1"/>
  <c r="F118" i="14"/>
  <c r="K118" i="14" s="1"/>
  <c r="F117" i="14"/>
  <c r="P117" i="14" s="1"/>
  <c r="O116" i="14"/>
  <c r="F115" i="14"/>
  <c r="F114" i="14"/>
  <c r="K114" i="14" s="1"/>
  <c r="F113" i="14"/>
  <c r="K113" i="14" s="1"/>
  <c r="F112" i="14"/>
  <c r="K112" i="14" s="1"/>
  <c r="F111" i="14"/>
  <c r="K111" i="14" s="1"/>
  <c r="O110" i="14"/>
  <c r="O109" i="14"/>
  <c r="P108" i="14"/>
  <c r="L108" i="14"/>
  <c r="M108" i="14" s="1"/>
  <c r="K108" i="14"/>
  <c r="F107" i="14"/>
  <c r="K107" i="14" s="1"/>
  <c r="F106" i="14"/>
  <c r="P106" i="14" s="1"/>
  <c r="F105" i="14"/>
  <c r="F104" i="14"/>
  <c r="K104" i="14" s="1"/>
  <c r="F103" i="14"/>
  <c r="P103" i="14" s="1"/>
  <c r="F102" i="14"/>
  <c r="F101" i="14"/>
  <c r="F100" i="14"/>
  <c r="F99" i="14"/>
  <c r="P99" i="14" s="1"/>
  <c r="O98" i="14"/>
  <c r="F97" i="14"/>
  <c r="K97" i="14" s="1"/>
  <c r="F96" i="14"/>
  <c r="P96" i="14" s="1"/>
  <c r="O95" i="14"/>
  <c r="F94" i="14"/>
  <c r="F93" i="14"/>
  <c r="L93" i="14" s="1"/>
  <c r="M93" i="14" s="1"/>
  <c r="N93" i="14" s="1"/>
  <c r="O92" i="14"/>
  <c r="F91" i="14"/>
  <c r="K91" i="14"/>
  <c r="K90" i="14" s="1"/>
  <c r="F90" i="14" s="1"/>
  <c r="O90" i="14"/>
  <c r="F89" i="14"/>
  <c r="P89" i="14" s="1"/>
  <c r="F88" i="14"/>
  <c r="O87" i="14"/>
  <c r="F86" i="14"/>
  <c r="L86" i="14" s="1"/>
  <c r="M86" i="14" s="1"/>
  <c r="F85" i="14"/>
  <c r="P85" i="14" s="1"/>
  <c r="F84" i="14"/>
  <c r="K84" i="14" s="1"/>
  <c r="F82" i="14"/>
  <c r="F81" i="14"/>
  <c r="F80" i="14"/>
  <c r="P80" i="14" s="1"/>
  <c r="F79" i="14"/>
  <c r="P79" i="14"/>
  <c r="O78" i="14"/>
  <c r="O77" i="14"/>
  <c r="F76" i="14"/>
  <c r="O75" i="14"/>
  <c r="F74" i="14"/>
  <c r="H73" i="14"/>
  <c r="F73" i="14"/>
  <c r="K73" i="14" s="1"/>
  <c r="F71" i="14"/>
  <c r="O70" i="14"/>
  <c r="F68" i="14"/>
  <c r="P68" i="14" s="1"/>
  <c r="O67" i="14"/>
  <c r="F66" i="14"/>
  <c r="K66" i="14" s="1"/>
  <c r="F65" i="14"/>
  <c r="F64" i="14"/>
  <c r="K64" i="14" s="1"/>
  <c r="F63" i="14"/>
  <c r="P63" i="14" s="1"/>
  <c r="O62" i="14"/>
  <c r="F61" i="14"/>
  <c r="L61" i="14" s="1"/>
  <c r="M61" i="14" s="1"/>
  <c r="N61" i="14" s="1"/>
  <c r="F60" i="14"/>
  <c r="P60" i="14" s="1"/>
  <c r="F59" i="14"/>
  <c r="P59" i="14" s="1"/>
  <c r="F58" i="14"/>
  <c r="P58" i="14" s="1"/>
  <c r="O57" i="14"/>
  <c r="F56" i="14"/>
  <c r="K56" i="14" s="1"/>
  <c r="F55" i="14"/>
  <c r="P55" i="14" s="1"/>
  <c r="F54" i="14"/>
  <c r="F53" i="14"/>
  <c r="P53" i="14" s="1"/>
  <c r="F52" i="14"/>
  <c r="F50" i="14"/>
  <c r="P50" i="14" s="1"/>
  <c r="F49" i="14"/>
  <c r="K49" i="14" s="1"/>
  <c r="F48" i="14"/>
  <c r="F47" i="14"/>
  <c r="K47" i="14" s="1"/>
  <c r="I44" i="14"/>
  <c r="J44" i="14" s="1"/>
  <c r="F44" i="14"/>
  <c r="P44" i="14" s="1"/>
  <c r="I43" i="14"/>
  <c r="J43" i="14" s="1"/>
  <c r="F43" i="14"/>
  <c r="I42" i="14"/>
  <c r="J42" i="14" s="1"/>
  <c r="F42" i="14"/>
  <c r="P42" i="14" s="1"/>
  <c r="I41" i="14"/>
  <c r="J41" i="14" s="1"/>
  <c r="F41" i="14"/>
  <c r="K41" i="14" s="1"/>
  <c r="I40" i="14"/>
  <c r="J40" i="14" s="1"/>
  <c r="F40" i="14"/>
  <c r="P40" i="14" s="1"/>
  <c r="H39" i="14"/>
  <c r="G39" i="14"/>
  <c r="I38" i="14"/>
  <c r="J38" i="14" s="1"/>
  <c r="F38" i="14"/>
  <c r="K38" i="14" s="1"/>
  <c r="I37" i="14"/>
  <c r="J37" i="14" s="1"/>
  <c r="F37" i="14"/>
  <c r="P37" i="14" s="1"/>
  <c r="I36" i="14"/>
  <c r="J36" i="14" s="1"/>
  <c r="F36" i="14"/>
  <c r="M36" i="14" s="1"/>
  <c r="I35" i="14"/>
  <c r="F35" i="14"/>
  <c r="P35" i="14" s="1"/>
  <c r="I34" i="14"/>
  <c r="J34" i="14" s="1"/>
  <c r="F34" i="14"/>
  <c r="H33" i="14"/>
  <c r="G33" i="14"/>
  <c r="N32" i="14"/>
  <c r="I31" i="14"/>
  <c r="J31" i="14" s="1"/>
  <c r="F31" i="14"/>
  <c r="L31" i="14" s="1"/>
  <c r="I30" i="14"/>
  <c r="J30" i="14"/>
  <c r="F30" i="14"/>
  <c r="I29" i="14"/>
  <c r="J29" i="14" s="1"/>
  <c r="F29" i="14"/>
  <c r="P29" i="14" s="1"/>
  <c r="I28" i="14"/>
  <c r="J28" i="14" s="1"/>
  <c r="F28" i="14"/>
  <c r="M28" i="14" s="1"/>
  <c r="I27" i="14"/>
  <c r="F27" i="14"/>
  <c r="P27" i="14" s="1"/>
  <c r="H26" i="14"/>
  <c r="G26" i="14"/>
  <c r="I25" i="14"/>
  <c r="J25" i="14" s="1"/>
  <c r="F25" i="14"/>
  <c r="P25" i="14" s="1"/>
  <c r="I24" i="14"/>
  <c r="J24" i="14" s="1"/>
  <c r="F24" i="14"/>
  <c r="M24" i="14" s="1"/>
  <c r="I23" i="14"/>
  <c r="J23" i="14" s="1"/>
  <c r="F23" i="14"/>
  <c r="I22" i="14"/>
  <c r="J22" i="14" s="1"/>
  <c r="F22" i="14"/>
  <c r="I21" i="14"/>
  <c r="J21" i="14" s="1"/>
  <c r="F21" i="14"/>
  <c r="I20" i="14"/>
  <c r="J20" i="14" s="1"/>
  <c r="F20" i="14"/>
  <c r="M20" i="14" s="1"/>
  <c r="J19" i="14"/>
  <c r="J14" i="14" s="1"/>
  <c r="I19" i="14"/>
  <c r="F19" i="14"/>
  <c r="P19" i="14" s="1"/>
  <c r="I18" i="14"/>
  <c r="J18" i="14" s="1"/>
  <c r="F18" i="14"/>
  <c r="I17" i="14"/>
  <c r="J17" i="14" s="1"/>
  <c r="F17" i="14"/>
  <c r="P17" i="14" s="1"/>
  <c r="I16" i="14"/>
  <c r="J16" i="14" s="1"/>
  <c r="F16" i="14"/>
  <c r="I15" i="14"/>
  <c r="J15" i="14" s="1"/>
  <c r="F15" i="14"/>
  <c r="P15" i="14" s="1"/>
  <c r="H14" i="14"/>
  <c r="G14" i="14"/>
  <c r="B9" i="14"/>
  <c r="D13" i="14" s="1"/>
  <c r="B8" i="14"/>
  <c r="J283" i="12"/>
  <c r="P283" i="12" s="1"/>
  <c r="J282" i="12"/>
  <c r="K282" i="12" s="1"/>
  <c r="L282" i="12" s="1"/>
  <c r="J281" i="12"/>
  <c r="P281" i="12" s="1"/>
  <c r="J280" i="12"/>
  <c r="K280" i="12"/>
  <c r="J279" i="12"/>
  <c r="O278" i="12"/>
  <c r="J277" i="12"/>
  <c r="P277" i="12"/>
  <c r="J276" i="12"/>
  <c r="J274" i="12"/>
  <c r="K274" i="12" s="1"/>
  <c r="J273" i="12"/>
  <c r="K273" i="12" s="1"/>
  <c r="J272" i="12"/>
  <c r="J271" i="12"/>
  <c r="J270" i="12"/>
  <c r="P270" i="12" s="1"/>
  <c r="O269" i="12"/>
  <c r="O268" i="12"/>
  <c r="J267" i="12"/>
  <c r="J266" i="12"/>
  <c r="P266" i="12" s="1"/>
  <c r="J265" i="12"/>
  <c r="K265" i="12" s="1"/>
  <c r="J264" i="12"/>
  <c r="P264" i="12" s="1"/>
  <c r="J263" i="12"/>
  <c r="J262" i="12"/>
  <c r="J261" i="12"/>
  <c r="K261" i="12" s="1"/>
  <c r="J260" i="12"/>
  <c r="P260" i="12" s="1"/>
  <c r="J258" i="12"/>
  <c r="J257" i="12"/>
  <c r="P257" i="12" s="1"/>
  <c r="J256" i="12"/>
  <c r="K256" i="12"/>
  <c r="L256" i="12" s="1"/>
  <c r="J255" i="12"/>
  <c r="P255" i="12" s="1"/>
  <c r="J254" i="12"/>
  <c r="K254" i="12" s="1"/>
  <c r="J253" i="12"/>
  <c r="P253" i="12" s="1"/>
  <c r="O252" i="12"/>
  <c r="J251" i="12"/>
  <c r="P251" i="12" s="1"/>
  <c r="J250" i="12"/>
  <c r="J249" i="12"/>
  <c r="J248" i="12"/>
  <c r="J246" i="12"/>
  <c r="P246" i="12" s="1"/>
  <c r="J245" i="12"/>
  <c r="J244" i="12"/>
  <c r="J243" i="12"/>
  <c r="J242" i="12"/>
  <c r="P242" i="12" s="1"/>
  <c r="J241" i="12"/>
  <c r="J240" i="12"/>
  <c r="J239" i="12"/>
  <c r="K239" i="12" s="1"/>
  <c r="L239" i="12" s="1"/>
  <c r="J238" i="12"/>
  <c r="P238" i="12" s="1"/>
  <c r="J237" i="12"/>
  <c r="K237" i="12" s="1"/>
  <c r="J236" i="12"/>
  <c r="J235" i="12"/>
  <c r="J234" i="12"/>
  <c r="P234" i="12" s="1"/>
  <c r="J233" i="12"/>
  <c r="K233" i="12" s="1"/>
  <c r="J232" i="12"/>
  <c r="J231" i="12"/>
  <c r="J230" i="12"/>
  <c r="P230" i="12" s="1"/>
  <c r="J229" i="12"/>
  <c r="K229" i="12" s="1"/>
  <c r="J228" i="12"/>
  <c r="J227" i="12"/>
  <c r="K227" i="12" s="1"/>
  <c r="J226" i="12"/>
  <c r="P226" i="12" s="1"/>
  <c r="O225" i="12"/>
  <c r="J224" i="12"/>
  <c r="J223" i="12"/>
  <c r="K223" i="12" s="1"/>
  <c r="J222" i="12"/>
  <c r="P222" i="12" s="1"/>
  <c r="J221" i="12"/>
  <c r="J220" i="12"/>
  <c r="J219" i="12"/>
  <c r="P219" i="12" s="1"/>
  <c r="J218" i="12"/>
  <c r="N218" i="12" s="1"/>
  <c r="J217" i="12"/>
  <c r="P217" i="12" s="1"/>
  <c r="J216" i="12"/>
  <c r="P216" i="12" s="1"/>
  <c r="O215" i="12"/>
  <c r="O214" i="12"/>
  <c r="J213" i="12"/>
  <c r="P213" i="12" s="1"/>
  <c r="J212" i="12"/>
  <c r="J211" i="12"/>
  <c r="P211" i="12" s="1"/>
  <c r="J210" i="12"/>
  <c r="P210" i="12" s="1"/>
  <c r="J209" i="12"/>
  <c r="P209" i="12" s="1"/>
  <c r="O208" i="12"/>
  <c r="J207" i="12"/>
  <c r="P207" i="12" s="1"/>
  <c r="J206" i="12"/>
  <c r="K206" i="12" s="1"/>
  <c r="L206" i="12" s="1"/>
  <c r="M206" i="12" s="1"/>
  <c r="J205" i="12"/>
  <c r="P205" i="12" s="1"/>
  <c r="J204" i="12"/>
  <c r="K204" i="12" s="1"/>
  <c r="J203" i="12"/>
  <c r="P203" i="12" s="1"/>
  <c r="J202" i="12"/>
  <c r="N202" i="12" s="1"/>
  <c r="J201" i="12"/>
  <c r="P201" i="12" s="1"/>
  <c r="J200" i="12"/>
  <c r="J199" i="12"/>
  <c r="P199" i="12" s="1"/>
  <c r="J198" i="12"/>
  <c r="K198" i="12" s="1"/>
  <c r="L198" i="12" s="1"/>
  <c r="M198" i="12" s="1"/>
  <c r="J197" i="12"/>
  <c r="J196" i="12"/>
  <c r="K196" i="12" s="1"/>
  <c r="J195" i="12"/>
  <c r="P195" i="12" s="1"/>
  <c r="O194" i="12"/>
  <c r="J193" i="12"/>
  <c r="J192" i="12"/>
  <c r="K192" i="12" s="1"/>
  <c r="J191" i="12"/>
  <c r="P191" i="12" s="1"/>
  <c r="O190" i="12"/>
  <c r="J189" i="12"/>
  <c r="P189" i="12" s="1"/>
  <c r="J188" i="12"/>
  <c r="J187" i="12"/>
  <c r="P187" i="12" s="1"/>
  <c r="J186" i="12"/>
  <c r="K186" i="12" s="1"/>
  <c r="J185" i="12"/>
  <c r="P185" i="12" s="1"/>
  <c r="J184" i="12"/>
  <c r="K184" i="12" s="1"/>
  <c r="J183" i="12"/>
  <c r="J182" i="12"/>
  <c r="K182" i="12" s="1"/>
  <c r="O181" i="12"/>
  <c r="J180" i="12"/>
  <c r="K180" i="12" s="1"/>
  <c r="J179" i="12"/>
  <c r="P179" i="12" s="1"/>
  <c r="J178" i="12"/>
  <c r="K178" i="12" s="1"/>
  <c r="J177" i="12"/>
  <c r="P177" i="12" s="1"/>
  <c r="J176" i="12"/>
  <c r="K176" i="12" s="1"/>
  <c r="J175" i="12"/>
  <c r="P175" i="12" s="1"/>
  <c r="J174" i="12"/>
  <c r="K174" i="12" s="1"/>
  <c r="J173" i="12"/>
  <c r="J172" i="12"/>
  <c r="P172" i="12" s="1"/>
  <c r="J171" i="12"/>
  <c r="P171" i="12" s="1"/>
  <c r="J170" i="12"/>
  <c r="K170" i="12" s="1"/>
  <c r="O169" i="12"/>
  <c r="O168" i="12"/>
  <c r="J167" i="12"/>
  <c r="P167" i="12" s="1"/>
  <c r="J166" i="12"/>
  <c r="K166" i="12" s="1"/>
  <c r="J165" i="12"/>
  <c r="J164" i="12"/>
  <c r="J163" i="12"/>
  <c r="P163" i="12" s="1"/>
  <c r="J162" i="12"/>
  <c r="K162" i="12" s="1"/>
  <c r="J161" i="12"/>
  <c r="J160" i="12"/>
  <c r="J159" i="12"/>
  <c r="P159" i="12" s="1"/>
  <c r="J158" i="12"/>
  <c r="K158" i="12" s="1"/>
  <c r="L158" i="12" s="1"/>
  <c r="J157" i="12"/>
  <c r="J156" i="12"/>
  <c r="K156" i="12" s="1"/>
  <c r="L156" i="12" s="1"/>
  <c r="J155" i="12"/>
  <c r="K155" i="12" s="1"/>
  <c r="J154" i="12"/>
  <c r="J153" i="12"/>
  <c r="O152" i="12"/>
  <c r="J151" i="12"/>
  <c r="K151" i="12" s="1"/>
  <c r="J150" i="12"/>
  <c r="P150" i="12" s="1"/>
  <c r="J149" i="12"/>
  <c r="J148" i="12"/>
  <c r="J147" i="12"/>
  <c r="J146" i="12"/>
  <c r="P146" i="12"/>
  <c r="J145" i="12"/>
  <c r="J144" i="12"/>
  <c r="J143" i="12"/>
  <c r="K143" i="12" s="1"/>
  <c r="J142" i="12"/>
  <c r="J141" i="12"/>
  <c r="J140" i="12"/>
  <c r="P140" i="12" s="1"/>
  <c r="J139" i="12"/>
  <c r="K139" i="12" s="1"/>
  <c r="J138" i="12"/>
  <c r="J137" i="12"/>
  <c r="J136" i="12"/>
  <c r="K136" i="12" s="1"/>
  <c r="J135" i="12"/>
  <c r="K135" i="12" s="1"/>
  <c r="J134" i="12"/>
  <c r="J133" i="12"/>
  <c r="K133" i="12" s="1"/>
  <c r="J132" i="12"/>
  <c r="J131" i="12"/>
  <c r="K131" i="12" s="1"/>
  <c r="O130" i="12"/>
  <c r="O129" i="12"/>
  <c r="J128" i="12"/>
  <c r="P128" i="12" s="1"/>
  <c r="J127" i="12"/>
  <c r="K127" i="12" s="1"/>
  <c r="L127" i="12" s="1"/>
  <c r="J126" i="12"/>
  <c r="P126" i="12" s="1"/>
  <c r="J125" i="12"/>
  <c r="J124" i="12"/>
  <c r="P124" i="12" s="1"/>
  <c r="J123" i="12"/>
  <c r="J122" i="12"/>
  <c r="N122" i="12" s="1"/>
  <c r="J121" i="12"/>
  <c r="O120" i="12"/>
  <c r="J119" i="12"/>
  <c r="J118" i="12"/>
  <c r="J117" i="12"/>
  <c r="O116" i="12"/>
  <c r="J115" i="12"/>
  <c r="J114" i="12"/>
  <c r="K114" i="12" s="1"/>
  <c r="L114" i="12" s="1"/>
  <c r="J113" i="12"/>
  <c r="J112" i="12"/>
  <c r="P112" i="12" s="1"/>
  <c r="J111" i="12"/>
  <c r="O110" i="12"/>
  <c r="O109" i="12"/>
  <c r="P108" i="12"/>
  <c r="N108" i="12"/>
  <c r="K108" i="12"/>
  <c r="J107" i="12"/>
  <c r="P107" i="12" s="1"/>
  <c r="J106" i="12"/>
  <c r="K106" i="12" s="1"/>
  <c r="L106" i="12" s="1"/>
  <c r="M106" i="12" s="1"/>
  <c r="J105" i="12"/>
  <c r="J104" i="12"/>
  <c r="K104" i="12" s="1"/>
  <c r="L104" i="12" s="1"/>
  <c r="M104" i="12" s="1"/>
  <c r="J103" i="12"/>
  <c r="P103" i="12" s="1"/>
  <c r="J102" i="12"/>
  <c r="K102" i="12" s="1"/>
  <c r="J101" i="12"/>
  <c r="P101" i="12" s="1"/>
  <c r="J100" i="12"/>
  <c r="N100" i="12" s="1"/>
  <c r="J99" i="12"/>
  <c r="P99" i="12" s="1"/>
  <c r="O98" i="12"/>
  <c r="J97" i="12"/>
  <c r="K97" i="12" s="1"/>
  <c r="L97" i="12" s="1"/>
  <c r="J96" i="12"/>
  <c r="K96" i="12" s="1"/>
  <c r="L96" i="12" s="1"/>
  <c r="O95" i="12"/>
  <c r="J94" i="12"/>
  <c r="N94" i="12" s="1"/>
  <c r="J93" i="12"/>
  <c r="P93" i="12" s="1"/>
  <c r="O92" i="12"/>
  <c r="J91" i="12"/>
  <c r="O90" i="12"/>
  <c r="J89" i="12"/>
  <c r="J88" i="12"/>
  <c r="O87" i="12"/>
  <c r="J86" i="12"/>
  <c r="J85" i="12"/>
  <c r="K85" i="12" s="1"/>
  <c r="J84" i="12"/>
  <c r="P84" i="12" s="1"/>
  <c r="J82" i="12"/>
  <c r="J81" i="12"/>
  <c r="J80" i="12"/>
  <c r="J79" i="12"/>
  <c r="O78" i="12"/>
  <c r="O77" i="12"/>
  <c r="J76" i="12"/>
  <c r="K76" i="12" s="1"/>
  <c r="O75" i="12"/>
  <c r="J74" i="12"/>
  <c r="K74" i="12" s="1"/>
  <c r="J73" i="12"/>
  <c r="J71" i="12"/>
  <c r="O70" i="12"/>
  <c r="O69" i="12"/>
  <c r="J68" i="12"/>
  <c r="P68" i="12" s="1"/>
  <c r="O67" i="12"/>
  <c r="J66" i="12"/>
  <c r="J65" i="12"/>
  <c r="P65" i="12" s="1"/>
  <c r="J64" i="12"/>
  <c r="P64" i="12" s="1"/>
  <c r="J63" i="12"/>
  <c r="O62" i="12"/>
  <c r="J61" i="12"/>
  <c r="K61" i="12" s="1"/>
  <c r="J60" i="12"/>
  <c r="P60" i="12" s="1"/>
  <c r="J59" i="12"/>
  <c r="J58" i="12"/>
  <c r="P58" i="12" s="1"/>
  <c r="O57" i="12"/>
  <c r="J56" i="12"/>
  <c r="P56" i="12" s="1"/>
  <c r="J55" i="12"/>
  <c r="P55" i="12" s="1"/>
  <c r="J54" i="12"/>
  <c r="P54" i="12" s="1"/>
  <c r="J53" i="12"/>
  <c r="J52" i="12"/>
  <c r="P52" i="12" s="1"/>
  <c r="O51" i="12"/>
  <c r="J50" i="12"/>
  <c r="P50" i="12" s="1"/>
  <c r="J49" i="12"/>
  <c r="J48" i="12"/>
  <c r="P48" i="12" s="1"/>
  <c r="J47" i="12"/>
  <c r="J44" i="12"/>
  <c r="H44" i="12"/>
  <c r="I44" i="12" s="1"/>
  <c r="J43" i="12"/>
  <c r="K43" i="12" s="1"/>
  <c r="H43" i="12"/>
  <c r="I43" i="12" s="1"/>
  <c r="J42" i="12"/>
  <c r="P42" i="12" s="1"/>
  <c r="H42" i="12"/>
  <c r="I42" i="12" s="1"/>
  <c r="J41" i="12"/>
  <c r="K41" i="12" s="1"/>
  <c r="H41" i="12"/>
  <c r="I41" i="12" s="1"/>
  <c r="J40" i="12"/>
  <c r="P40" i="12" s="1"/>
  <c r="H40" i="12"/>
  <c r="I40" i="12" s="1"/>
  <c r="V39" i="12"/>
  <c r="G39" i="12"/>
  <c r="F39" i="12"/>
  <c r="J38" i="12"/>
  <c r="G38" i="12"/>
  <c r="J38" i="8" s="1"/>
  <c r="J37" i="12"/>
  <c r="G37" i="12"/>
  <c r="K37" i="12" s="1"/>
  <c r="L37" i="12" s="1"/>
  <c r="J36" i="12"/>
  <c r="G36" i="12"/>
  <c r="J35" i="12"/>
  <c r="G35" i="12"/>
  <c r="G33" i="12" s="1"/>
  <c r="J34" i="12"/>
  <c r="K34" i="12" s="1"/>
  <c r="H34" i="12"/>
  <c r="I34" i="12" s="1"/>
  <c r="V33" i="12"/>
  <c r="V32" i="12" s="1"/>
  <c r="F33" i="12"/>
  <c r="F32" i="12" s="1"/>
  <c r="J31" i="12"/>
  <c r="P31" i="12" s="1"/>
  <c r="H31" i="12"/>
  <c r="I31" i="12" s="1"/>
  <c r="J30" i="12"/>
  <c r="P30" i="12" s="1"/>
  <c r="H30" i="12"/>
  <c r="I30" i="12" s="1"/>
  <c r="J29" i="12"/>
  <c r="G29" i="12"/>
  <c r="H29" i="12" s="1"/>
  <c r="I29" i="12" s="1"/>
  <c r="J28" i="12"/>
  <c r="G28" i="12"/>
  <c r="H28" i="12" s="1"/>
  <c r="I28" i="12" s="1"/>
  <c r="I26" i="12" s="1"/>
  <c r="J27" i="12"/>
  <c r="K27" i="12" s="1"/>
  <c r="H27" i="12"/>
  <c r="I27" i="12" s="1"/>
  <c r="V26" i="12"/>
  <c r="F26" i="12"/>
  <c r="J25" i="12"/>
  <c r="H25" i="12"/>
  <c r="I25" i="12"/>
  <c r="J24" i="12"/>
  <c r="P24" i="12" s="1"/>
  <c r="H24" i="12"/>
  <c r="I24" i="12" s="1"/>
  <c r="J23" i="12"/>
  <c r="K23" i="12" s="1"/>
  <c r="H23" i="12"/>
  <c r="I23" i="12" s="1"/>
  <c r="J22" i="12"/>
  <c r="K22" i="12" s="1"/>
  <c r="L22" i="12" s="1"/>
  <c r="H22" i="12"/>
  <c r="I22" i="12" s="1"/>
  <c r="J21" i="12"/>
  <c r="H21" i="12"/>
  <c r="I21" i="12" s="1"/>
  <c r="J20" i="12"/>
  <c r="H20" i="12"/>
  <c r="I20" i="12" s="1"/>
  <c r="J19" i="12"/>
  <c r="H19" i="12"/>
  <c r="I19" i="12" s="1"/>
  <c r="J18" i="12"/>
  <c r="K18" i="12" s="1"/>
  <c r="L18" i="12" s="1"/>
  <c r="H18" i="12"/>
  <c r="I18" i="12" s="1"/>
  <c r="J17" i="12"/>
  <c r="H17" i="12"/>
  <c r="I17" i="12" s="1"/>
  <c r="J16" i="12"/>
  <c r="G16" i="12"/>
  <c r="J15" i="12"/>
  <c r="H15" i="12"/>
  <c r="I15" i="12" s="1"/>
  <c r="V14" i="12"/>
  <c r="F14" i="12"/>
  <c r="B9" i="12"/>
  <c r="D13" i="12" s="1"/>
  <c r="B8" i="12"/>
  <c r="E6" i="12"/>
  <c r="E5" i="12"/>
  <c r="J4" i="12"/>
  <c r="E4" i="12"/>
  <c r="J283" i="11"/>
  <c r="N283" i="11" s="1"/>
  <c r="J282" i="11"/>
  <c r="N282" i="11" s="1"/>
  <c r="J281" i="11"/>
  <c r="N281" i="11" s="1"/>
  <c r="J280" i="11"/>
  <c r="N280" i="11" s="1"/>
  <c r="J279" i="11"/>
  <c r="N279" i="11" s="1"/>
  <c r="J277" i="11"/>
  <c r="N277" i="11" s="1"/>
  <c r="J276" i="11"/>
  <c r="N276" i="11" s="1"/>
  <c r="J274" i="11"/>
  <c r="N274" i="11" s="1"/>
  <c r="J273" i="11"/>
  <c r="N273" i="11" s="1"/>
  <c r="J272" i="11"/>
  <c r="N272" i="11" s="1"/>
  <c r="J271" i="11"/>
  <c r="N271" i="11" s="1"/>
  <c r="J270" i="11"/>
  <c r="N270" i="11" s="1"/>
  <c r="J267" i="11"/>
  <c r="N267" i="11" s="1"/>
  <c r="J266" i="11"/>
  <c r="N266" i="11" s="1"/>
  <c r="J265" i="11"/>
  <c r="N265" i="11" s="1"/>
  <c r="J264" i="11"/>
  <c r="N264" i="11" s="1"/>
  <c r="J263" i="11"/>
  <c r="N263" i="11" s="1"/>
  <c r="J262" i="11"/>
  <c r="N262" i="11" s="1"/>
  <c r="J261" i="11"/>
  <c r="N261" i="11" s="1"/>
  <c r="J260" i="11"/>
  <c r="N260" i="11" s="1"/>
  <c r="J258" i="11"/>
  <c r="N258" i="11" s="1"/>
  <c r="J257" i="11"/>
  <c r="N257" i="11" s="1"/>
  <c r="J256" i="11"/>
  <c r="N256" i="11" s="1"/>
  <c r="J255" i="11"/>
  <c r="N255" i="11" s="1"/>
  <c r="J254" i="11"/>
  <c r="N254" i="11" s="1"/>
  <c r="J253" i="11"/>
  <c r="N253" i="11" s="1"/>
  <c r="J251" i="11"/>
  <c r="N251" i="11" s="1"/>
  <c r="J250" i="11"/>
  <c r="N250" i="11" s="1"/>
  <c r="J249" i="11"/>
  <c r="N249" i="11" s="1"/>
  <c r="J248" i="11"/>
  <c r="N248" i="11" s="1"/>
  <c r="J246" i="11"/>
  <c r="N246" i="11" s="1"/>
  <c r="J245" i="11"/>
  <c r="N245" i="11" s="1"/>
  <c r="J244" i="11"/>
  <c r="N244" i="11" s="1"/>
  <c r="J243" i="11"/>
  <c r="N243" i="11" s="1"/>
  <c r="J242" i="11"/>
  <c r="N242" i="11" s="1"/>
  <c r="J241" i="11"/>
  <c r="N241" i="11" s="1"/>
  <c r="J240" i="11"/>
  <c r="N240" i="11" s="1"/>
  <c r="J239" i="11"/>
  <c r="N239" i="11" s="1"/>
  <c r="J238" i="11"/>
  <c r="N238" i="11" s="1"/>
  <c r="J237" i="11"/>
  <c r="N237" i="11" s="1"/>
  <c r="J236" i="11"/>
  <c r="N236" i="11" s="1"/>
  <c r="J235" i="11"/>
  <c r="N235" i="11" s="1"/>
  <c r="J234" i="11"/>
  <c r="N234" i="11" s="1"/>
  <c r="J233" i="11"/>
  <c r="N233" i="11" s="1"/>
  <c r="J232" i="11"/>
  <c r="N232" i="11" s="1"/>
  <c r="J231" i="11"/>
  <c r="N231" i="11" s="1"/>
  <c r="J230" i="11"/>
  <c r="N230" i="11" s="1"/>
  <c r="J229" i="11"/>
  <c r="N229" i="11" s="1"/>
  <c r="J228" i="11"/>
  <c r="N228" i="11" s="1"/>
  <c r="J227" i="11"/>
  <c r="N227" i="11" s="1"/>
  <c r="J226" i="11"/>
  <c r="N226" i="11" s="1"/>
  <c r="J224" i="11"/>
  <c r="N224" i="11" s="1"/>
  <c r="J223" i="11"/>
  <c r="N223" i="11" s="1"/>
  <c r="J222" i="11"/>
  <c r="N222" i="11" s="1"/>
  <c r="J221" i="11"/>
  <c r="N221" i="11" s="1"/>
  <c r="J220" i="11"/>
  <c r="N220" i="11" s="1"/>
  <c r="J219" i="11"/>
  <c r="N219" i="11" s="1"/>
  <c r="J218" i="11"/>
  <c r="N218" i="11" s="1"/>
  <c r="J217" i="11"/>
  <c r="N217" i="11" s="1"/>
  <c r="J216" i="11"/>
  <c r="N216" i="11" s="1"/>
  <c r="J213" i="11"/>
  <c r="N213" i="11" s="1"/>
  <c r="J212" i="11"/>
  <c r="N212" i="11" s="1"/>
  <c r="J211" i="11"/>
  <c r="N211" i="11" s="1"/>
  <c r="J210" i="11"/>
  <c r="N210" i="11" s="1"/>
  <c r="J209" i="11"/>
  <c r="N209" i="11" s="1"/>
  <c r="J207" i="11"/>
  <c r="N207" i="11" s="1"/>
  <c r="J206" i="11"/>
  <c r="N206" i="11" s="1"/>
  <c r="J205" i="11"/>
  <c r="N205" i="11" s="1"/>
  <c r="J204" i="11"/>
  <c r="N204" i="11" s="1"/>
  <c r="J203" i="11"/>
  <c r="N203" i="11" s="1"/>
  <c r="J202" i="11"/>
  <c r="N202" i="11" s="1"/>
  <c r="J201" i="11"/>
  <c r="N201" i="11" s="1"/>
  <c r="J200" i="11"/>
  <c r="N200" i="11" s="1"/>
  <c r="J199" i="11"/>
  <c r="N199" i="11" s="1"/>
  <c r="J198" i="11"/>
  <c r="N198" i="11" s="1"/>
  <c r="J197" i="11"/>
  <c r="N197" i="11" s="1"/>
  <c r="J196" i="11"/>
  <c r="N196" i="11" s="1"/>
  <c r="J195" i="11"/>
  <c r="N195" i="11" s="1"/>
  <c r="J193" i="11"/>
  <c r="N193" i="11" s="1"/>
  <c r="J192" i="11"/>
  <c r="N192" i="11" s="1"/>
  <c r="J191" i="11"/>
  <c r="N191" i="11" s="1"/>
  <c r="J189" i="11"/>
  <c r="N189" i="11" s="1"/>
  <c r="J188" i="11"/>
  <c r="N188" i="11" s="1"/>
  <c r="J187" i="11"/>
  <c r="N187" i="11" s="1"/>
  <c r="J186" i="11"/>
  <c r="N186" i="11" s="1"/>
  <c r="J185" i="11"/>
  <c r="N185" i="11" s="1"/>
  <c r="J184" i="11"/>
  <c r="N184" i="11" s="1"/>
  <c r="J183" i="11"/>
  <c r="N183" i="11" s="1"/>
  <c r="J182" i="11"/>
  <c r="N182" i="11" s="1"/>
  <c r="J180" i="11"/>
  <c r="N180" i="11" s="1"/>
  <c r="J179" i="11"/>
  <c r="N179" i="11" s="1"/>
  <c r="J178" i="11"/>
  <c r="N178" i="11" s="1"/>
  <c r="J177" i="11"/>
  <c r="N177" i="11" s="1"/>
  <c r="J176" i="11"/>
  <c r="N176" i="11" s="1"/>
  <c r="J175" i="11"/>
  <c r="N175" i="11" s="1"/>
  <c r="J174" i="11"/>
  <c r="N174" i="11" s="1"/>
  <c r="J173" i="11"/>
  <c r="N173" i="11" s="1"/>
  <c r="J172" i="11"/>
  <c r="N172" i="11" s="1"/>
  <c r="J171" i="11"/>
  <c r="N171" i="11" s="1"/>
  <c r="J170" i="11"/>
  <c r="N170" i="11" s="1"/>
  <c r="J167" i="11"/>
  <c r="N167" i="11" s="1"/>
  <c r="J166" i="11"/>
  <c r="N166" i="11" s="1"/>
  <c r="J165" i="11"/>
  <c r="N165" i="11" s="1"/>
  <c r="J164" i="11"/>
  <c r="N164" i="11" s="1"/>
  <c r="J163" i="11"/>
  <c r="N163" i="11" s="1"/>
  <c r="J162" i="11"/>
  <c r="N162" i="11" s="1"/>
  <c r="J161" i="11"/>
  <c r="N161" i="11" s="1"/>
  <c r="J160" i="11"/>
  <c r="N160" i="11" s="1"/>
  <c r="J159" i="11"/>
  <c r="N159" i="11" s="1"/>
  <c r="J158" i="11"/>
  <c r="N158" i="11" s="1"/>
  <c r="J157" i="11"/>
  <c r="N157" i="11" s="1"/>
  <c r="J156" i="11"/>
  <c r="N156" i="11" s="1"/>
  <c r="J155" i="11"/>
  <c r="N155" i="11" s="1"/>
  <c r="J154" i="11"/>
  <c r="N154" i="11" s="1"/>
  <c r="J153" i="11"/>
  <c r="N153" i="11" s="1"/>
  <c r="J151" i="11"/>
  <c r="N151" i="11" s="1"/>
  <c r="J150" i="11"/>
  <c r="N150" i="11" s="1"/>
  <c r="J149" i="11"/>
  <c r="N149" i="11" s="1"/>
  <c r="J148" i="11"/>
  <c r="N148" i="11" s="1"/>
  <c r="J147" i="11"/>
  <c r="N147" i="11" s="1"/>
  <c r="J146" i="11"/>
  <c r="N146" i="11" s="1"/>
  <c r="J145" i="11"/>
  <c r="N145" i="11" s="1"/>
  <c r="J144" i="11"/>
  <c r="N144" i="11" s="1"/>
  <c r="J143" i="11"/>
  <c r="N143" i="11" s="1"/>
  <c r="J142" i="11"/>
  <c r="N142" i="11" s="1"/>
  <c r="J141" i="11"/>
  <c r="N141" i="11" s="1"/>
  <c r="J140" i="11"/>
  <c r="N140" i="11" s="1"/>
  <c r="J139" i="11"/>
  <c r="N139" i="11" s="1"/>
  <c r="J138" i="11"/>
  <c r="N138" i="11" s="1"/>
  <c r="J137" i="11"/>
  <c r="N137" i="11" s="1"/>
  <c r="J136" i="11"/>
  <c r="N136" i="11" s="1"/>
  <c r="J135" i="11"/>
  <c r="N135" i="11" s="1"/>
  <c r="J134" i="11"/>
  <c r="N134" i="11" s="1"/>
  <c r="J133" i="11"/>
  <c r="N133" i="11" s="1"/>
  <c r="J132" i="11"/>
  <c r="N132" i="11" s="1"/>
  <c r="J131" i="11"/>
  <c r="N131" i="11" s="1"/>
  <c r="J128" i="11"/>
  <c r="N128" i="11" s="1"/>
  <c r="J127" i="11"/>
  <c r="N127" i="11" s="1"/>
  <c r="J126" i="11"/>
  <c r="N126" i="11" s="1"/>
  <c r="J125" i="11"/>
  <c r="N125" i="11" s="1"/>
  <c r="J124" i="11"/>
  <c r="N124" i="11" s="1"/>
  <c r="J123" i="11"/>
  <c r="N123" i="11" s="1"/>
  <c r="J122" i="11"/>
  <c r="N122" i="11" s="1"/>
  <c r="J121" i="11"/>
  <c r="N121" i="11" s="1"/>
  <c r="J119" i="11"/>
  <c r="N119" i="11" s="1"/>
  <c r="J118" i="11"/>
  <c r="N118" i="11" s="1"/>
  <c r="J117" i="11"/>
  <c r="N117" i="11" s="1"/>
  <c r="J115" i="11"/>
  <c r="N115" i="11" s="1"/>
  <c r="J114" i="11"/>
  <c r="N114" i="11" s="1"/>
  <c r="J113" i="11"/>
  <c r="N113" i="11" s="1"/>
  <c r="J112" i="11"/>
  <c r="N112" i="11" s="1"/>
  <c r="J111" i="11"/>
  <c r="N111" i="11" s="1"/>
  <c r="N108" i="11"/>
  <c r="J107" i="11"/>
  <c r="N107" i="11" s="1"/>
  <c r="J106" i="11"/>
  <c r="N106" i="11" s="1"/>
  <c r="J105" i="11"/>
  <c r="N105" i="11" s="1"/>
  <c r="J104" i="11"/>
  <c r="N104" i="11" s="1"/>
  <c r="J103" i="11"/>
  <c r="N103" i="11" s="1"/>
  <c r="J102" i="11"/>
  <c r="N102" i="11" s="1"/>
  <c r="J101" i="11"/>
  <c r="N101" i="11" s="1"/>
  <c r="J100" i="11"/>
  <c r="N100" i="11" s="1"/>
  <c r="J99" i="11"/>
  <c r="N99" i="11" s="1"/>
  <c r="J97" i="11"/>
  <c r="N97" i="11" s="1"/>
  <c r="J96" i="11"/>
  <c r="N96" i="11" s="1"/>
  <c r="J94" i="11"/>
  <c r="N94" i="11" s="1"/>
  <c r="J93" i="11"/>
  <c r="N93" i="11" s="1"/>
  <c r="J91" i="11"/>
  <c r="N91" i="11" s="1"/>
  <c r="N90" i="11" s="1"/>
  <c r="J90" i="11" s="1"/>
  <c r="J89" i="11"/>
  <c r="N89" i="11"/>
  <c r="J88" i="11"/>
  <c r="N88" i="11" s="1"/>
  <c r="J86" i="11"/>
  <c r="N86" i="11" s="1"/>
  <c r="J85" i="11"/>
  <c r="N85" i="11" s="1"/>
  <c r="J84" i="11"/>
  <c r="N84" i="11" s="1"/>
  <c r="J82" i="11"/>
  <c r="N82" i="11" s="1"/>
  <c r="J81" i="11"/>
  <c r="N81" i="11" s="1"/>
  <c r="J80" i="11"/>
  <c r="N80" i="11" s="1"/>
  <c r="J79" i="11"/>
  <c r="N79" i="11" s="1"/>
  <c r="J76" i="11"/>
  <c r="N76" i="11" s="1"/>
  <c r="N75" i="11" s="1"/>
  <c r="J75" i="11" s="1"/>
  <c r="J74" i="11"/>
  <c r="N74" i="11" s="1"/>
  <c r="J73" i="11"/>
  <c r="N73" i="11" s="1"/>
  <c r="J71" i="11"/>
  <c r="N71" i="11" s="1"/>
  <c r="N70" i="11" s="1"/>
  <c r="J70" i="11" s="1"/>
  <c r="J68" i="11"/>
  <c r="N68" i="11" s="1"/>
  <c r="N67" i="11" s="1"/>
  <c r="J67" i="11" s="1"/>
  <c r="J66" i="11"/>
  <c r="N66" i="11" s="1"/>
  <c r="J65" i="11"/>
  <c r="N65" i="11" s="1"/>
  <c r="J64" i="11"/>
  <c r="N64" i="11" s="1"/>
  <c r="J63" i="11"/>
  <c r="N63" i="11" s="1"/>
  <c r="J61" i="11"/>
  <c r="N61" i="11" s="1"/>
  <c r="J60" i="11"/>
  <c r="N60" i="11" s="1"/>
  <c r="J59" i="11"/>
  <c r="N59" i="11" s="1"/>
  <c r="J58" i="11"/>
  <c r="N58" i="11" s="1"/>
  <c r="J56" i="11"/>
  <c r="N56" i="11" s="1"/>
  <c r="J55" i="11"/>
  <c r="N55" i="11" s="1"/>
  <c r="J54" i="11"/>
  <c r="N54" i="11" s="1"/>
  <c r="J53" i="11"/>
  <c r="N53" i="11" s="1"/>
  <c r="J52" i="11"/>
  <c r="N52" i="11" s="1"/>
  <c r="J50" i="11"/>
  <c r="N50" i="11" s="1"/>
  <c r="J49" i="11"/>
  <c r="N49" i="11" s="1"/>
  <c r="J48" i="11"/>
  <c r="N48" i="11" s="1"/>
  <c r="J47" i="11"/>
  <c r="N47" i="11" s="1"/>
  <c r="J44" i="11"/>
  <c r="H44" i="11"/>
  <c r="I44" i="11" s="1"/>
  <c r="J43" i="11"/>
  <c r="H43" i="11"/>
  <c r="I43" i="11" s="1"/>
  <c r="J42" i="11"/>
  <c r="K42" i="11" s="1"/>
  <c r="L42" i="11" s="1"/>
  <c r="M42" i="11" s="1"/>
  <c r="H42" i="11"/>
  <c r="J41" i="11"/>
  <c r="N41" i="11" s="1"/>
  <c r="H41" i="11"/>
  <c r="I41" i="11" s="1"/>
  <c r="J40" i="11"/>
  <c r="K40" i="11" s="1"/>
  <c r="L40" i="11" s="1"/>
  <c r="H40" i="11"/>
  <c r="I40" i="11" s="1"/>
  <c r="G39" i="11"/>
  <c r="F39" i="11"/>
  <c r="J38" i="11"/>
  <c r="K38" i="11" s="1"/>
  <c r="H38" i="11"/>
  <c r="I38" i="11" s="1"/>
  <c r="J37" i="11"/>
  <c r="G37" i="11"/>
  <c r="J36" i="11"/>
  <c r="N36" i="11" s="1"/>
  <c r="G36" i="11"/>
  <c r="K36" i="11" s="1"/>
  <c r="L36" i="11" s="1"/>
  <c r="M36" i="11" s="1"/>
  <c r="J35" i="11"/>
  <c r="G35" i="11"/>
  <c r="J34" i="11"/>
  <c r="H34" i="11"/>
  <c r="I34" i="11" s="1"/>
  <c r="F33" i="11"/>
  <c r="J31" i="11"/>
  <c r="K31" i="11" s="1"/>
  <c r="H31" i="11"/>
  <c r="I31" i="11" s="1"/>
  <c r="J30" i="11"/>
  <c r="N30" i="11" s="1"/>
  <c r="H30" i="11"/>
  <c r="I30" i="11" s="1"/>
  <c r="J29" i="11"/>
  <c r="N29" i="11" s="1"/>
  <c r="G29" i="11"/>
  <c r="J28" i="11"/>
  <c r="N28" i="11" s="1"/>
  <c r="G28" i="11"/>
  <c r="J27" i="11"/>
  <c r="K27" i="11" s="1"/>
  <c r="H27" i="11"/>
  <c r="I27" i="11" s="1"/>
  <c r="F26" i="11"/>
  <c r="J25" i="11"/>
  <c r="K25" i="11" s="1"/>
  <c r="L25" i="11" s="1"/>
  <c r="M25" i="11" s="1"/>
  <c r="H25" i="11"/>
  <c r="I25" i="11" s="1"/>
  <c r="J24" i="11"/>
  <c r="K24" i="11" s="1"/>
  <c r="L24" i="11" s="1"/>
  <c r="H24" i="11"/>
  <c r="I24" i="11" s="1"/>
  <c r="J23" i="11"/>
  <c r="H23" i="11"/>
  <c r="I23" i="11" s="1"/>
  <c r="J22" i="11"/>
  <c r="K22" i="11" s="1"/>
  <c r="L22" i="11" s="1"/>
  <c r="N22" i="11"/>
  <c r="H22" i="11"/>
  <c r="I22" i="11" s="1"/>
  <c r="J21" i="11"/>
  <c r="K21" i="11" s="1"/>
  <c r="H21" i="11"/>
  <c r="I21" i="11" s="1"/>
  <c r="J20" i="11"/>
  <c r="K20" i="11" s="1"/>
  <c r="H20" i="11"/>
  <c r="I20" i="11" s="1"/>
  <c r="J19" i="11"/>
  <c r="K19" i="11" s="1"/>
  <c r="H19" i="11"/>
  <c r="I19" i="11" s="1"/>
  <c r="J18" i="11"/>
  <c r="N18" i="11" s="1"/>
  <c r="H18" i="11"/>
  <c r="I18" i="11" s="1"/>
  <c r="J17" i="11"/>
  <c r="H17" i="11"/>
  <c r="I17" i="11" s="1"/>
  <c r="K16" i="11"/>
  <c r="L16" i="11" s="1"/>
  <c r="J16" i="11"/>
  <c r="N16" i="11" s="1"/>
  <c r="H16" i="11"/>
  <c r="J15" i="11"/>
  <c r="K15" i="11" s="1"/>
  <c r="L15" i="11" s="1"/>
  <c r="M15" i="11" s="1"/>
  <c r="H15" i="11"/>
  <c r="I15" i="11" s="1"/>
  <c r="G14" i="11"/>
  <c r="F14" i="11"/>
  <c r="B9" i="11"/>
  <c r="D13" i="11" s="1"/>
  <c r="B8" i="11"/>
  <c r="E5" i="11"/>
  <c r="J4" i="11"/>
  <c r="E4" i="11"/>
  <c r="K46" i="10"/>
  <c r="O68" i="8"/>
  <c r="O67" i="8" s="1"/>
  <c r="O73" i="8"/>
  <c r="O74" i="8"/>
  <c r="O140" i="8"/>
  <c r="O160" i="8"/>
  <c r="O161" i="8"/>
  <c r="O162" i="8"/>
  <c r="O163" i="8"/>
  <c r="O164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K282" i="10"/>
  <c r="K281" i="10" s="1"/>
  <c r="J282" i="10"/>
  <c r="I282" i="10"/>
  <c r="Q282" i="10" s="1"/>
  <c r="I281" i="10"/>
  <c r="I280" i="10"/>
  <c r="I279" i="10"/>
  <c r="I278" i="10"/>
  <c r="L277" i="10"/>
  <c r="H277" i="10"/>
  <c r="G277" i="10"/>
  <c r="F277" i="10"/>
  <c r="I276" i="10"/>
  <c r="I275" i="10"/>
  <c r="L274" i="10"/>
  <c r="H274" i="10"/>
  <c r="G274" i="10"/>
  <c r="F274" i="10"/>
  <c r="I273" i="10"/>
  <c r="I272" i="10"/>
  <c r="I271" i="10"/>
  <c r="I270" i="10"/>
  <c r="I269" i="10"/>
  <c r="L268" i="10"/>
  <c r="L267" i="10" s="1"/>
  <c r="H268" i="10"/>
  <c r="G268" i="10"/>
  <c r="F268" i="10"/>
  <c r="I266" i="10"/>
  <c r="I265" i="10"/>
  <c r="I264" i="10"/>
  <c r="I263" i="10"/>
  <c r="I262" i="10"/>
  <c r="I261" i="10"/>
  <c r="I260" i="10"/>
  <c r="I259" i="10"/>
  <c r="L258" i="10"/>
  <c r="H258" i="10"/>
  <c r="G258" i="10"/>
  <c r="F258" i="10"/>
  <c r="I257" i="10"/>
  <c r="I256" i="10"/>
  <c r="I255" i="10"/>
  <c r="I254" i="10"/>
  <c r="I253" i="10"/>
  <c r="I252" i="10"/>
  <c r="L251" i="10"/>
  <c r="H251" i="10"/>
  <c r="G251" i="10"/>
  <c r="F251" i="10"/>
  <c r="I250" i="10"/>
  <c r="I249" i="10"/>
  <c r="I248" i="10"/>
  <c r="I247" i="10"/>
  <c r="L246" i="10"/>
  <c r="H246" i="10"/>
  <c r="G246" i="10"/>
  <c r="G213" i="10" s="1"/>
  <c r="F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L224" i="10"/>
  <c r="H224" i="10"/>
  <c r="G224" i="10"/>
  <c r="F224" i="10"/>
  <c r="I223" i="10"/>
  <c r="I222" i="10"/>
  <c r="I221" i="10"/>
  <c r="I220" i="10"/>
  <c r="I219" i="10"/>
  <c r="I218" i="10"/>
  <c r="I217" i="10"/>
  <c r="I216" i="10"/>
  <c r="I215" i="10"/>
  <c r="L214" i="10"/>
  <c r="H214" i="10"/>
  <c r="G214" i="10"/>
  <c r="F214" i="10"/>
  <c r="I212" i="10"/>
  <c r="I211" i="10"/>
  <c r="I210" i="10"/>
  <c r="I209" i="10"/>
  <c r="I208" i="10"/>
  <c r="L207" i="10"/>
  <c r="H207" i="10"/>
  <c r="G207" i="10"/>
  <c r="F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L193" i="10"/>
  <c r="H193" i="10"/>
  <c r="G193" i="10"/>
  <c r="F193" i="10"/>
  <c r="I192" i="10"/>
  <c r="I191" i="10"/>
  <c r="I190" i="10"/>
  <c r="L189" i="10"/>
  <c r="H189" i="10"/>
  <c r="G189" i="10"/>
  <c r="F189" i="10"/>
  <c r="I188" i="10"/>
  <c r="I187" i="10"/>
  <c r="I186" i="10"/>
  <c r="I185" i="10"/>
  <c r="I184" i="10"/>
  <c r="I183" i="10"/>
  <c r="I182" i="10"/>
  <c r="I181" i="10"/>
  <c r="L180" i="10"/>
  <c r="H180" i="10"/>
  <c r="G180" i="10"/>
  <c r="F180" i="10"/>
  <c r="P179" i="10"/>
  <c r="M179" i="10"/>
  <c r="J179" i="10"/>
  <c r="J180" i="8" s="1"/>
  <c r="N180" i="8" s="1"/>
  <c r="P180" i="8" s="1"/>
  <c r="I179" i="10"/>
  <c r="P178" i="10"/>
  <c r="M178" i="10"/>
  <c r="J178" i="10"/>
  <c r="I178" i="10"/>
  <c r="P177" i="10"/>
  <c r="M177" i="10"/>
  <c r="J177" i="10"/>
  <c r="I177" i="10"/>
  <c r="P176" i="10"/>
  <c r="M176" i="10"/>
  <c r="J176" i="10"/>
  <c r="I176" i="10"/>
  <c r="P175" i="10"/>
  <c r="M175" i="10"/>
  <c r="J175" i="10"/>
  <c r="I175" i="10"/>
  <c r="P174" i="10"/>
  <c r="M174" i="10"/>
  <c r="J174" i="10"/>
  <c r="I174" i="10"/>
  <c r="P173" i="10"/>
  <c r="M173" i="10"/>
  <c r="J173" i="10"/>
  <c r="I173" i="10"/>
  <c r="P172" i="10"/>
  <c r="M172" i="10"/>
  <c r="J172" i="10"/>
  <c r="J173" i="8" s="1"/>
  <c r="N173" i="8" s="1"/>
  <c r="I172" i="10"/>
  <c r="P171" i="10"/>
  <c r="M171" i="10"/>
  <c r="J171" i="10"/>
  <c r="I171" i="10"/>
  <c r="P170" i="10"/>
  <c r="M170" i="10"/>
  <c r="J170" i="10"/>
  <c r="K170" i="10" s="1"/>
  <c r="O170" i="10" s="1"/>
  <c r="I170" i="10"/>
  <c r="P169" i="10"/>
  <c r="M169" i="10"/>
  <c r="J169" i="10"/>
  <c r="I169" i="10"/>
  <c r="P168" i="10"/>
  <c r="M168" i="10"/>
  <c r="L168" i="10"/>
  <c r="H168" i="10"/>
  <c r="G168" i="10"/>
  <c r="F168" i="10"/>
  <c r="N166" i="10"/>
  <c r="M166" i="10"/>
  <c r="K166" i="10"/>
  <c r="O166" i="10" s="1"/>
  <c r="I166" i="10"/>
  <c r="N165" i="10"/>
  <c r="M165" i="10"/>
  <c r="K165" i="10"/>
  <c r="O165" i="10" s="1"/>
  <c r="I165" i="10"/>
  <c r="N164" i="10"/>
  <c r="M164" i="10"/>
  <c r="M151" i="10" s="1"/>
  <c r="K164" i="10"/>
  <c r="O164" i="10" s="1"/>
  <c r="I164" i="10"/>
  <c r="M163" i="10"/>
  <c r="J163" i="10"/>
  <c r="K163" i="10" s="1"/>
  <c r="O163" i="10" s="1"/>
  <c r="I163" i="10"/>
  <c r="M162" i="10"/>
  <c r="J162" i="10"/>
  <c r="J163" i="8" s="1"/>
  <c r="N163" i="8" s="1"/>
  <c r="P163" i="8" s="1"/>
  <c r="I162" i="10"/>
  <c r="M161" i="10"/>
  <c r="J161" i="10"/>
  <c r="I161" i="10"/>
  <c r="M160" i="10"/>
  <c r="J160" i="10"/>
  <c r="I160" i="10"/>
  <c r="M159" i="10"/>
  <c r="J159" i="10"/>
  <c r="J160" i="8" s="1"/>
  <c r="N160" i="8" s="1"/>
  <c r="P160" i="8" s="1"/>
  <c r="I159" i="10"/>
  <c r="N158" i="10"/>
  <c r="M158" i="10"/>
  <c r="K158" i="10"/>
  <c r="O158" i="10" s="1"/>
  <c r="I158" i="10"/>
  <c r="N157" i="10"/>
  <c r="M157" i="10"/>
  <c r="K157" i="10"/>
  <c r="O157" i="10" s="1"/>
  <c r="I157" i="10"/>
  <c r="N156" i="10"/>
  <c r="M156" i="10"/>
  <c r="K156" i="10"/>
  <c r="O156" i="10" s="1"/>
  <c r="I156" i="10"/>
  <c r="N155" i="10"/>
  <c r="M155" i="10"/>
  <c r="K155" i="10"/>
  <c r="O155" i="10" s="1"/>
  <c r="I155" i="10"/>
  <c r="N154" i="10"/>
  <c r="M154" i="10"/>
  <c r="K154" i="10"/>
  <c r="O154" i="10" s="1"/>
  <c r="I154" i="10"/>
  <c r="N153" i="10"/>
  <c r="M153" i="10"/>
  <c r="K153" i="10"/>
  <c r="O153" i="10" s="1"/>
  <c r="I153" i="10"/>
  <c r="N152" i="10"/>
  <c r="M152" i="10"/>
  <c r="K152" i="10"/>
  <c r="O152" i="10" s="1"/>
  <c r="I152" i="10"/>
  <c r="L151" i="10"/>
  <c r="H151" i="10"/>
  <c r="G151" i="10"/>
  <c r="F151" i="10"/>
  <c r="P150" i="10"/>
  <c r="M150" i="10"/>
  <c r="J150" i="10"/>
  <c r="N150" i="10" s="1"/>
  <c r="I150" i="10"/>
  <c r="P149" i="10"/>
  <c r="M149" i="10"/>
  <c r="J149" i="10"/>
  <c r="J150" i="8" s="1"/>
  <c r="N150" i="8" s="1"/>
  <c r="P150" i="8" s="1"/>
  <c r="I149" i="10"/>
  <c r="P148" i="10"/>
  <c r="M148" i="10"/>
  <c r="J148" i="10"/>
  <c r="I148" i="10"/>
  <c r="P147" i="10"/>
  <c r="M147" i="10"/>
  <c r="J147" i="10"/>
  <c r="I147" i="10"/>
  <c r="P146" i="10"/>
  <c r="M146" i="10"/>
  <c r="J146" i="10"/>
  <c r="N146" i="10" s="1"/>
  <c r="I146" i="10"/>
  <c r="P145" i="10"/>
  <c r="M145" i="10"/>
  <c r="J145" i="10"/>
  <c r="J146" i="8" s="1"/>
  <c r="N146" i="8" s="1"/>
  <c r="I145" i="10"/>
  <c r="P144" i="10"/>
  <c r="M144" i="10"/>
  <c r="J144" i="10"/>
  <c r="K144" i="10" s="1"/>
  <c r="O144" i="10" s="1"/>
  <c r="I144" i="10"/>
  <c r="P143" i="10"/>
  <c r="M143" i="10"/>
  <c r="J143" i="10"/>
  <c r="K143" i="10" s="1"/>
  <c r="O143" i="10" s="1"/>
  <c r="Q143" i="10" s="1"/>
  <c r="I143" i="10"/>
  <c r="P142" i="10"/>
  <c r="M142" i="10"/>
  <c r="J142" i="10"/>
  <c r="I142" i="10"/>
  <c r="P141" i="10"/>
  <c r="M141" i="10"/>
  <c r="J141" i="10"/>
  <c r="K141" i="10" s="1"/>
  <c r="O141" i="10" s="1"/>
  <c r="I141" i="10"/>
  <c r="P140" i="10"/>
  <c r="M140" i="10"/>
  <c r="J140" i="10"/>
  <c r="N140" i="10" s="1"/>
  <c r="I140" i="10"/>
  <c r="P139" i="10"/>
  <c r="M139" i="10"/>
  <c r="J139" i="10"/>
  <c r="K139" i="10" s="1"/>
  <c r="O139" i="10" s="1"/>
  <c r="Q139" i="10" s="1"/>
  <c r="I139" i="10"/>
  <c r="P138" i="10"/>
  <c r="M138" i="10"/>
  <c r="J138" i="10"/>
  <c r="J139" i="8" s="1"/>
  <c r="N139" i="8" s="1"/>
  <c r="I138" i="10"/>
  <c r="P137" i="10"/>
  <c r="M137" i="10"/>
  <c r="J137" i="10"/>
  <c r="K137" i="10" s="1"/>
  <c r="O137" i="10" s="1"/>
  <c r="Q137" i="10" s="1"/>
  <c r="I137" i="10"/>
  <c r="P136" i="10"/>
  <c r="M136" i="10"/>
  <c r="J136" i="10"/>
  <c r="J137" i="8" s="1"/>
  <c r="N137" i="8" s="1"/>
  <c r="O137" i="8" s="1"/>
  <c r="I136" i="10"/>
  <c r="P135" i="10"/>
  <c r="M135" i="10"/>
  <c r="J135" i="10"/>
  <c r="N135" i="10" s="1"/>
  <c r="I135" i="10"/>
  <c r="P134" i="10"/>
  <c r="M134" i="10"/>
  <c r="J134" i="10"/>
  <c r="N134" i="10" s="1"/>
  <c r="I134" i="10"/>
  <c r="P133" i="10"/>
  <c r="M133" i="10"/>
  <c r="J133" i="10"/>
  <c r="K133" i="10" s="1"/>
  <c r="O133" i="10" s="1"/>
  <c r="I133" i="10"/>
  <c r="P132" i="10"/>
  <c r="M132" i="10"/>
  <c r="J132" i="10"/>
  <c r="N132" i="10" s="1"/>
  <c r="I132" i="10"/>
  <c r="P131" i="10"/>
  <c r="M131" i="10"/>
  <c r="J131" i="10"/>
  <c r="I131" i="10"/>
  <c r="P130" i="10"/>
  <c r="M130" i="10"/>
  <c r="J130" i="10"/>
  <c r="I130" i="10"/>
  <c r="P129" i="10"/>
  <c r="M129" i="10"/>
  <c r="L129" i="10"/>
  <c r="H129" i="10"/>
  <c r="G129" i="10"/>
  <c r="F129" i="10"/>
  <c r="M128" i="10"/>
  <c r="O127" i="10"/>
  <c r="N127" i="10"/>
  <c r="M127" i="10"/>
  <c r="I127" i="10"/>
  <c r="O126" i="10"/>
  <c r="N126" i="10"/>
  <c r="M126" i="10"/>
  <c r="I126" i="10"/>
  <c r="O125" i="10"/>
  <c r="N125" i="10"/>
  <c r="M125" i="10"/>
  <c r="I125" i="10"/>
  <c r="O124" i="10"/>
  <c r="N124" i="10"/>
  <c r="M124" i="10"/>
  <c r="I124" i="10"/>
  <c r="O123" i="10"/>
  <c r="N123" i="10"/>
  <c r="M123" i="10"/>
  <c r="I123" i="10"/>
  <c r="O122" i="10"/>
  <c r="N122" i="10"/>
  <c r="M122" i="10"/>
  <c r="I122" i="10"/>
  <c r="Q122" i="10" s="1"/>
  <c r="O121" i="10"/>
  <c r="N121" i="10"/>
  <c r="M121" i="10"/>
  <c r="I121" i="10"/>
  <c r="P121" i="10" s="1"/>
  <c r="O120" i="10"/>
  <c r="N120" i="10"/>
  <c r="M120" i="10"/>
  <c r="M119" i="10" s="1"/>
  <c r="I120" i="10"/>
  <c r="Q120" i="10" s="1"/>
  <c r="L119" i="10"/>
  <c r="K119" i="10"/>
  <c r="J119" i="10"/>
  <c r="H119" i="10"/>
  <c r="G119" i="10"/>
  <c r="F119" i="10"/>
  <c r="O118" i="10"/>
  <c r="N118" i="10"/>
  <c r="M118" i="10"/>
  <c r="I118" i="10"/>
  <c r="O117" i="10"/>
  <c r="Q117" i="10" s="1"/>
  <c r="N117" i="10"/>
  <c r="M117" i="10"/>
  <c r="I117" i="10"/>
  <c r="O116" i="10"/>
  <c r="N116" i="10"/>
  <c r="N115" i="10" s="1"/>
  <c r="M116" i="10"/>
  <c r="I116" i="10"/>
  <c r="L115" i="10"/>
  <c r="H115" i="10"/>
  <c r="G115" i="10"/>
  <c r="F115" i="10"/>
  <c r="O114" i="10"/>
  <c r="Q114" i="10" s="1"/>
  <c r="N114" i="10"/>
  <c r="M114" i="10"/>
  <c r="I114" i="10"/>
  <c r="O113" i="10"/>
  <c r="Q113" i="10" s="1"/>
  <c r="N113" i="10"/>
  <c r="M113" i="10"/>
  <c r="I113" i="10"/>
  <c r="O112" i="10"/>
  <c r="N112" i="10"/>
  <c r="M112" i="10"/>
  <c r="I112" i="10"/>
  <c r="O111" i="10"/>
  <c r="Q111" i="10" s="1"/>
  <c r="N111" i="10"/>
  <c r="M111" i="10"/>
  <c r="I111" i="10"/>
  <c r="O110" i="10"/>
  <c r="N110" i="10"/>
  <c r="M110" i="10"/>
  <c r="M109" i="10" s="1"/>
  <c r="M108" i="10" s="1"/>
  <c r="I110" i="10"/>
  <c r="L109" i="10"/>
  <c r="L108" i="10" s="1"/>
  <c r="H109" i="10"/>
  <c r="H108" i="10" s="1"/>
  <c r="G109" i="10"/>
  <c r="G108" i="10" s="1"/>
  <c r="F109" i="10"/>
  <c r="F108" i="10"/>
  <c r="O107" i="10"/>
  <c r="N107" i="10"/>
  <c r="M107" i="10"/>
  <c r="I107" i="10"/>
  <c r="O106" i="10"/>
  <c r="N106" i="10"/>
  <c r="M106" i="10"/>
  <c r="I106" i="10"/>
  <c r="O105" i="10"/>
  <c r="N105" i="10"/>
  <c r="M105" i="10"/>
  <c r="I105" i="10"/>
  <c r="O104" i="10"/>
  <c r="N104" i="10"/>
  <c r="M104" i="10"/>
  <c r="I104" i="10"/>
  <c r="O103" i="10"/>
  <c r="N103" i="10"/>
  <c r="M103" i="10"/>
  <c r="I103" i="10"/>
  <c r="O102" i="10"/>
  <c r="N102" i="10"/>
  <c r="M102" i="10"/>
  <c r="I102" i="10"/>
  <c r="O101" i="10"/>
  <c r="N101" i="10"/>
  <c r="M101" i="10"/>
  <c r="I101" i="10"/>
  <c r="O100" i="10"/>
  <c r="N100" i="10"/>
  <c r="M100" i="10"/>
  <c r="I100" i="10"/>
  <c r="O99" i="10"/>
  <c r="N99" i="10"/>
  <c r="M99" i="10"/>
  <c r="I99" i="10"/>
  <c r="N98" i="10"/>
  <c r="K98" i="10"/>
  <c r="I98" i="10"/>
  <c r="L97" i="10"/>
  <c r="J97" i="10"/>
  <c r="H97" i="10"/>
  <c r="G97" i="10"/>
  <c r="F97" i="10"/>
  <c r="O96" i="10"/>
  <c r="N96" i="10"/>
  <c r="M96" i="10"/>
  <c r="I96" i="10"/>
  <c r="O95" i="10"/>
  <c r="O94" i="10" s="1"/>
  <c r="N95" i="10"/>
  <c r="N94" i="10" s="1"/>
  <c r="M95" i="10"/>
  <c r="M94" i="10" s="1"/>
  <c r="I95" i="10"/>
  <c r="L94" i="10"/>
  <c r="K94" i="10"/>
  <c r="J94" i="10"/>
  <c r="H94" i="10"/>
  <c r="G94" i="10"/>
  <c r="F94" i="10"/>
  <c r="O93" i="10"/>
  <c r="N93" i="10"/>
  <c r="M93" i="10"/>
  <c r="I93" i="10"/>
  <c r="O92" i="10"/>
  <c r="N92" i="10"/>
  <c r="M92" i="10"/>
  <c r="M91" i="10" s="1"/>
  <c r="I92" i="10"/>
  <c r="I91" i="10" s="1"/>
  <c r="L91" i="10"/>
  <c r="K91" i="10"/>
  <c r="J91" i="10"/>
  <c r="H91" i="10"/>
  <c r="G91" i="10"/>
  <c r="F91" i="10"/>
  <c r="O90" i="10"/>
  <c r="P90" i="10" s="1"/>
  <c r="N90" i="10"/>
  <c r="M90" i="10"/>
  <c r="I90" i="10"/>
  <c r="I89" i="10" s="1"/>
  <c r="O89" i="10"/>
  <c r="N89" i="10"/>
  <c r="F89" i="10"/>
  <c r="M89" i="10" s="1"/>
  <c r="O88" i="10"/>
  <c r="N88" i="10"/>
  <c r="M88" i="10"/>
  <c r="I88" i="10"/>
  <c r="O87" i="10"/>
  <c r="N87" i="10"/>
  <c r="M87" i="10"/>
  <c r="I87" i="10"/>
  <c r="O86" i="10"/>
  <c r="N86" i="10"/>
  <c r="F86" i="10"/>
  <c r="M86" i="10" s="1"/>
  <c r="O85" i="10"/>
  <c r="N85" i="10"/>
  <c r="M85" i="10"/>
  <c r="I85" i="10"/>
  <c r="O84" i="10"/>
  <c r="N84" i="10"/>
  <c r="M84" i="10"/>
  <c r="I84" i="10"/>
  <c r="O83" i="10"/>
  <c r="N83" i="10"/>
  <c r="N82" i="10" s="1"/>
  <c r="M83" i="10"/>
  <c r="I83" i="10"/>
  <c r="L82" i="10"/>
  <c r="K82" i="10"/>
  <c r="J82" i="10"/>
  <c r="H82" i="10"/>
  <c r="G82" i="10"/>
  <c r="F82" i="10"/>
  <c r="O81" i="10"/>
  <c r="Q81" i="10" s="1"/>
  <c r="N81" i="10"/>
  <c r="M81" i="10"/>
  <c r="I81" i="10"/>
  <c r="O80" i="10"/>
  <c r="N80" i="10"/>
  <c r="M80" i="10"/>
  <c r="I80" i="10"/>
  <c r="O79" i="10"/>
  <c r="P79" i="10" s="1"/>
  <c r="N79" i="10"/>
  <c r="M79" i="10"/>
  <c r="I79" i="10"/>
  <c r="O78" i="10"/>
  <c r="P78" i="10" s="1"/>
  <c r="N78" i="10"/>
  <c r="N77" i="10" s="1"/>
  <c r="M78" i="10"/>
  <c r="M77" i="10" s="1"/>
  <c r="I78" i="10"/>
  <c r="L77" i="10"/>
  <c r="K77" i="10"/>
  <c r="K76" i="10" s="1"/>
  <c r="J77" i="10"/>
  <c r="H77" i="10"/>
  <c r="G77" i="10"/>
  <c r="F77" i="10"/>
  <c r="M75" i="10"/>
  <c r="I75" i="10"/>
  <c r="P75" i="10" s="1"/>
  <c r="L74" i="10"/>
  <c r="K74" i="10"/>
  <c r="J74" i="10"/>
  <c r="H74" i="10"/>
  <c r="G74" i="10"/>
  <c r="F74" i="10"/>
  <c r="M74" i="10" s="1"/>
  <c r="P73" i="10"/>
  <c r="N73" i="10"/>
  <c r="M73" i="10"/>
  <c r="K73" i="10"/>
  <c r="I73" i="10"/>
  <c r="P72" i="10"/>
  <c r="N72" i="10"/>
  <c r="N71" i="10" s="1"/>
  <c r="M72" i="10"/>
  <c r="K72" i="10"/>
  <c r="O72" i="10" s="1"/>
  <c r="I72" i="10"/>
  <c r="L71" i="10"/>
  <c r="J71" i="10"/>
  <c r="H71" i="10"/>
  <c r="G71" i="10"/>
  <c r="F71" i="10"/>
  <c r="O70" i="10"/>
  <c r="N70" i="10"/>
  <c r="N69" i="10" s="1"/>
  <c r="M70" i="10"/>
  <c r="I70" i="10"/>
  <c r="I69" i="10" s="1"/>
  <c r="L69" i="10"/>
  <c r="K69" i="10"/>
  <c r="J69" i="10"/>
  <c r="H69" i="10"/>
  <c r="H68" i="10" s="1"/>
  <c r="O68" i="10" s="1"/>
  <c r="G69" i="10"/>
  <c r="F69" i="10"/>
  <c r="P67" i="10"/>
  <c r="P66" i="10" s="1"/>
  <c r="O67" i="10"/>
  <c r="Q67" i="10" s="1"/>
  <c r="N67" i="10"/>
  <c r="N66" i="10" s="1"/>
  <c r="M67" i="10"/>
  <c r="I67" i="10"/>
  <c r="M66" i="10"/>
  <c r="L66" i="10"/>
  <c r="K66" i="10"/>
  <c r="J66" i="10"/>
  <c r="H66" i="10"/>
  <c r="G66" i="10"/>
  <c r="F66" i="10"/>
  <c r="O65" i="10"/>
  <c r="Q65" i="10"/>
  <c r="N65" i="10"/>
  <c r="M65" i="10"/>
  <c r="I65" i="10"/>
  <c r="P65" i="10"/>
  <c r="O64" i="10"/>
  <c r="N64" i="10"/>
  <c r="M64" i="10"/>
  <c r="I64" i="10"/>
  <c r="O63" i="10"/>
  <c r="Q63" i="10"/>
  <c r="N63" i="10"/>
  <c r="M63" i="10"/>
  <c r="I63" i="10"/>
  <c r="P63" i="10"/>
  <c r="O62" i="10"/>
  <c r="N62" i="10"/>
  <c r="M62" i="10"/>
  <c r="I62" i="10"/>
  <c r="H61" i="10"/>
  <c r="N61" i="10" s="1"/>
  <c r="O61" i="10"/>
  <c r="G61" i="10"/>
  <c r="F61" i="10"/>
  <c r="M61" i="10" s="1"/>
  <c r="O60" i="10"/>
  <c r="N60" i="10"/>
  <c r="M60" i="10"/>
  <c r="I60" i="10"/>
  <c r="O59" i="10"/>
  <c r="N59" i="10"/>
  <c r="M59" i="10"/>
  <c r="I59" i="10"/>
  <c r="O58" i="10"/>
  <c r="N58" i="10"/>
  <c r="M58" i="10"/>
  <c r="I58" i="10"/>
  <c r="O57" i="10"/>
  <c r="N57" i="10"/>
  <c r="N56" i="10" s="1"/>
  <c r="M57" i="10"/>
  <c r="I57" i="10"/>
  <c r="H56" i="10"/>
  <c r="G56" i="10"/>
  <c r="F56" i="10"/>
  <c r="O55" i="10"/>
  <c r="N55" i="10"/>
  <c r="I55" i="10"/>
  <c r="Q55" i="10" s="1"/>
  <c r="J54" i="10"/>
  <c r="I54" i="10"/>
  <c r="J53" i="10"/>
  <c r="I53" i="10"/>
  <c r="J52" i="10"/>
  <c r="I52" i="10"/>
  <c r="J51" i="10"/>
  <c r="J52" i="8" s="1"/>
  <c r="N52" i="8" s="1"/>
  <c r="I51" i="10"/>
  <c r="L50" i="10"/>
  <c r="H50" i="10"/>
  <c r="G50" i="10"/>
  <c r="F50" i="10"/>
  <c r="N49" i="10"/>
  <c r="K49" i="10"/>
  <c r="I49" i="10"/>
  <c r="N48" i="10"/>
  <c r="K48" i="10"/>
  <c r="M48" i="10" s="1"/>
  <c r="I48" i="10"/>
  <c r="O47" i="10"/>
  <c r="N47" i="10"/>
  <c r="M47" i="10"/>
  <c r="I47" i="10"/>
  <c r="N46" i="10"/>
  <c r="O46" i="10" s="1"/>
  <c r="I46" i="10"/>
  <c r="L45" i="10"/>
  <c r="L44" i="10" s="1"/>
  <c r="J45" i="10"/>
  <c r="J46" i="8" s="1"/>
  <c r="H45" i="10"/>
  <c r="G45" i="10"/>
  <c r="F45" i="10"/>
  <c r="P43" i="10"/>
  <c r="N43" i="10"/>
  <c r="K43" i="10"/>
  <c r="O43" i="10" s="1"/>
  <c r="I43" i="10"/>
  <c r="P42" i="10"/>
  <c r="N42" i="10"/>
  <c r="K42" i="10"/>
  <c r="O42" i="10" s="1"/>
  <c r="I42" i="10"/>
  <c r="P41" i="10"/>
  <c r="N41" i="10"/>
  <c r="K41" i="10"/>
  <c r="O41" i="10" s="1"/>
  <c r="Q41" i="10" s="1"/>
  <c r="I41" i="10"/>
  <c r="P40" i="10"/>
  <c r="N40" i="10"/>
  <c r="K40" i="10"/>
  <c r="O40" i="10" s="1"/>
  <c r="I40" i="10"/>
  <c r="P39" i="10"/>
  <c r="N39" i="10"/>
  <c r="K39" i="10"/>
  <c r="O39" i="10" s="1"/>
  <c r="O38" i="10" s="1"/>
  <c r="I39" i="10"/>
  <c r="P38" i="10"/>
  <c r="L38" i="10"/>
  <c r="H38" i="10"/>
  <c r="F38" i="10"/>
  <c r="K38" i="10" s="1"/>
  <c r="P37" i="10"/>
  <c r="O37" i="10"/>
  <c r="Q37" i="10" s="1"/>
  <c r="N37" i="10"/>
  <c r="F37" i="10"/>
  <c r="K37" i="10" s="1"/>
  <c r="P36" i="10"/>
  <c r="N36" i="10"/>
  <c r="F36" i="10"/>
  <c r="K36" i="10" s="1"/>
  <c r="P35" i="10"/>
  <c r="N35" i="10"/>
  <c r="F35" i="10"/>
  <c r="P34" i="10"/>
  <c r="N34" i="10"/>
  <c r="I34" i="10"/>
  <c r="O34" i="10" s="1"/>
  <c r="Q34" i="10" s="1"/>
  <c r="F34" i="10"/>
  <c r="K34" i="10" s="1"/>
  <c r="P33" i="10"/>
  <c r="O33" i="10"/>
  <c r="Q33" i="10" s="1"/>
  <c r="N33" i="10"/>
  <c r="F33" i="10"/>
  <c r="K33" i="10" s="1"/>
  <c r="P32" i="10"/>
  <c r="H32" i="10"/>
  <c r="P31" i="10"/>
  <c r="N30" i="10"/>
  <c r="K30" i="10"/>
  <c r="M30" i="10" s="1"/>
  <c r="I30" i="10"/>
  <c r="N29" i="10"/>
  <c r="K29" i="10"/>
  <c r="O29" i="10" s="1"/>
  <c r="F29" i="10"/>
  <c r="I29" i="10" s="1"/>
  <c r="N28" i="10"/>
  <c r="K28" i="10"/>
  <c r="O28" i="10" s="1"/>
  <c r="F28" i="10"/>
  <c r="I28" i="10" s="1"/>
  <c r="N27" i="10"/>
  <c r="K27" i="10"/>
  <c r="O27" i="10" s="1"/>
  <c r="F27" i="10"/>
  <c r="N26" i="10"/>
  <c r="K26" i="10"/>
  <c r="I26" i="10"/>
  <c r="K24" i="10"/>
  <c r="I24" i="10"/>
  <c r="O24" i="10" s="1"/>
  <c r="Q24" i="10" s="1"/>
  <c r="K23" i="10"/>
  <c r="I23" i="10"/>
  <c r="O23" i="10" s="1"/>
  <c r="Q23" i="10" s="1"/>
  <c r="K22" i="10"/>
  <c r="I22" i="10"/>
  <c r="O22" i="10" s="1"/>
  <c r="Q22" i="10" s="1"/>
  <c r="K21" i="10"/>
  <c r="O21" i="10"/>
  <c r="Q21" i="10" s="1"/>
  <c r="K20" i="10"/>
  <c r="I20" i="10"/>
  <c r="O20" i="10" s="1"/>
  <c r="Q20" i="10" s="1"/>
  <c r="K19" i="10"/>
  <c r="I19" i="10"/>
  <c r="O19" i="10"/>
  <c r="Q19" i="10" s="1"/>
  <c r="K18" i="10"/>
  <c r="O18" i="10"/>
  <c r="Q18" i="10" s="1"/>
  <c r="K17" i="10"/>
  <c r="I17" i="10"/>
  <c r="O17" i="10" s="1"/>
  <c r="Q17" i="10" s="1"/>
  <c r="K16" i="10"/>
  <c r="I16" i="10"/>
  <c r="O16" i="10" s="1"/>
  <c r="Q16" i="10" s="1"/>
  <c r="K15" i="10"/>
  <c r="I15" i="10"/>
  <c r="O15" i="10" s="1"/>
  <c r="K14" i="10"/>
  <c r="I14" i="10"/>
  <c r="O14" i="10" s="1"/>
  <c r="Q14" i="10" s="1"/>
  <c r="H13" i="10"/>
  <c r="F13" i="10"/>
  <c r="M194" i="8"/>
  <c r="I192" i="8"/>
  <c r="M192" i="8" s="1"/>
  <c r="I193" i="8"/>
  <c r="M193" i="8" s="1"/>
  <c r="I195" i="8"/>
  <c r="M195" i="8" s="1"/>
  <c r="I196" i="8"/>
  <c r="M196" i="8" s="1"/>
  <c r="I197" i="8"/>
  <c r="M197" i="8" s="1"/>
  <c r="I198" i="8"/>
  <c r="M198" i="8" s="1"/>
  <c r="I199" i="8"/>
  <c r="M199" i="8" s="1"/>
  <c r="I200" i="8"/>
  <c r="M200" i="8" s="1"/>
  <c r="I201" i="8"/>
  <c r="M201" i="8" s="1"/>
  <c r="I202" i="8"/>
  <c r="M202" i="8" s="1"/>
  <c r="I203" i="8"/>
  <c r="M203" i="8" s="1"/>
  <c r="I204" i="8"/>
  <c r="M204" i="8" s="1"/>
  <c r="I205" i="8"/>
  <c r="M205" i="8" s="1"/>
  <c r="I206" i="8"/>
  <c r="M206" i="8" s="1"/>
  <c r="I207" i="8"/>
  <c r="M207" i="8" s="1"/>
  <c r="N208" i="8"/>
  <c r="I209" i="8"/>
  <c r="M209" i="8" s="1"/>
  <c r="I210" i="8"/>
  <c r="M210" i="8" s="1"/>
  <c r="I211" i="8"/>
  <c r="M211" i="8" s="1"/>
  <c r="I212" i="8"/>
  <c r="M212" i="8" s="1"/>
  <c r="I213" i="8"/>
  <c r="M213" i="8" s="1"/>
  <c r="I215" i="8"/>
  <c r="I216" i="8"/>
  <c r="M216" i="8" s="1"/>
  <c r="I217" i="8"/>
  <c r="M217" i="8" s="1"/>
  <c r="I218" i="8"/>
  <c r="M218" i="8" s="1"/>
  <c r="I219" i="8"/>
  <c r="I220" i="8"/>
  <c r="M220" i="8" s="1"/>
  <c r="I221" i="8"/>
  <c r="M221" i="8"/>
  <c r="I222" i="8"/>
  <c r="M222" i="8" s="1"/>
  <c r="I223" i="8"/>
  <c r="M223" i="8"/>
  <c r="I224" i="8"/>
  <c r="M224" i="8" s="1"/>
  <c r="I191" i="8"/>
  <c r="I183" i="8"/>
  <c r="M183" i="8" s="1"/>
  <c r="I184" i="8"/>
  <c r="M184" i="8" s="1"/>
  <c r="I185" i="8"/>
  <c r="M185" i="8" s="1"/>
  <c r="I186" i="8"/>
  <c r="M186" i="8" s="1"/>
  <c r="I187" i="8"/>
  <c r="M187" i="8"/>
  <c r="I188" i="8"/>
  <c r="M188" i="8" s="1"/>
  <c r="I189" i="8"/>
  <c r="M189" i="8" s="1"/>
  <c r="I182" i="8"/>
  <c r="M182" i="8" s="1"/>
  <c r="M163" i="8"/>
  <c r="M150" i="8"/>
  <c r="N36" i="8"/>
  <c r="P36" i="8" s="1"/>
  <c r="G269" i="8"/>
  <c r="H269" i="8"/>
  <c r="G252" i="8"/>
  <c r="H252" i="8"/>
  <c r="G247" i="8"/>
  <c r="H247" i="8"/>
  <c r="G225" i="8"/>
  <c r="H225" i="8"/>
  <c r="G215" i="8"/>
  <c r="H215" i="8"/>
  <c r="I283" i="8"/>
  <c r="K170" i="8"/>
  <c r="K171" i="8"/>
  <c r="K172" i="8"/>
  <c r="K173" i="8"/>
  <c r="K174" i="8"/>
  <c r="K175" i="8"/>
  <c r="K176" i="8"/>
  <c r="K177" i="8"/>
  <c r="K178" i="8"/>
  <c r="K179" i="8"/>
  <c r="K180" i="8"/>
  <c r="K169" i="8"/>
  <c r="M171" i="8"/>
  <c r="M174" i="8"/>
  <c r="M170" i="8"/>
  <c r="G169" i="8"/>
  <c r="H169" i="8"/>
  <c r="M165" i="8"/>
  <c r="M166" i="8"/>
  <c r="M167" i="8"/>
  <c r="K166" i="8"/>
  <c r="K167" i="8"/>
  <c r="K165" i="8"/>
  <c r="K153" i="8"/>
  <c r="K154" i="8"/>
  <c r="K155" i="8"/>
  <c r="K156" i="8"/>
  <c r="K157" i="8"/>
  <c r="K158" i="8"/>
  <c r="K159" i="8"/>
  <c r="K160" i="8"/>
  <c r="K161" i="8"/>
  <c r="K162" i="8"/>
  <c r="K163" i="8"/>
  <c r="K164" i="8"/>
  <c r="M158" i="8"/>
  <c r="M159" i="8"/>
  <c r="M162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43" i="8"/>
  <c r="K144" i="8"/>
  <c r="K145" i="8"/>
  <c r="K146" i="8"/>
  <c r="K147" i="8"/>
  <c r="K148" i="8"/>
  <c r="K149" i="8"/>
  <c r="K150" i="8"/>
  <c r="K151" i="8"/>
  <c r="M122" i="8"/>
  <c r="M123" i="8"/>
  <c r="M124" i="8"/>
  <c r="M125" i="8"/>
  <c r="M126" i="8"/>
  <c r="M127" i="8"/>
  <c r="M128" i="8"/>
  <c r="M118" i="8"/>
  <c r="M119" i="8"/>
  <c r="M117" i="8"/>
  <c r="M100" i="8"/>
  <c r="M101" i="8"/>
  <c r="M102" i="8"/>
  <c r="M103" i="8"/>
  <c r="M104" i="8"/>
  <c r="M105" i="8"/>
  <c r="M106" i="8"/>
  <c r="M107" i="8"/>
  <c r="M108" i="8"/>
  <c r="M79" i="8"/>
  <c r="K76" i="8"/>
  <c r="K74" i="8"/>
  <c r="K73" i="8"/>
  <c r="K68" i="8"/>
  <c r="M63" i="8"/>
  <c r="M64" i="8"/>
  <c r="M65" i="8"/>
  <c r="M66" i="8"/>
  <c r="M55" i="8"/>
  <c r="M56" i="8"/>
  <c r="M49" i="8"/>
  <c r="H46" i="8"/>
  <c r="M44" i="8"/>
  <c r="N34" i="8"/>
  <c r="O34" i="8" s="1"/>
  <c r="N20" i="8"/>
  <c r="O20" i="8" s="1"/>
  <c r="M40" i="8"/>
  <c r="F5" i="9"/>
  <c r="M27" i="8"/>
  <c r="M28" i="8"/>
  <c r="M29" i="8"/>
  <c r="M30" i="8"/>
  <c r="M31" i="8"/>
  <c r="M36" i="8"/>
  <c r="M37" i="8"/>
  <c r="M43" i="8"/>
  <c r="M50" i="8"/>
  <c r="M58" i="8"/>
  <c r="M59" i="8"/>
  <c r="M60" i="8"/>
  <c r="M61" i="8"/>
  <c r="M68" i="8"/>
  <c r="M67" i="8" s="1"/>
  <c r="M71" i="8"/>
  <c r="M70" i="8" s="1"/>
  <c r="M73" i="8"/>
  <c r="M74" i="8"/>
  <c r="M80" i="8"/>
  <c r="M81" i="8"/>
  <c r="M82" i="8"/>
  <c r="M84" i="8"/>
  <c r="M85" i="8"/>
  <c r="M86" i="8"/>
  <c r="M87" i="8"/>
  <c r="M88" i="8"/>
  <c r="M89" i="8"/>
  <c r="M90" i="8"/>
  <c r="M91" i="8"/>
  <c r="M93" i="8"/>
  <c r="M94" i="8"/>
  <c r="M96" i="8"/>
  <c r="M97" i="8"/>
  <c r="M99" i="8"/>
  <c r="M112" i="8"/>
  <c r="M113" i="8"/>
  <c r="M114" i="8"/>
  <c r="M115" i="8"/>
  <c r="M121" i="8"/>
  <c r="M153" i="8"/>
  <c r="M173" i="8"/>
  <c r="M176" i="8"/>
  <c r="M178" i="8"/>
  <c r="M180" i="8"/>
  <c r="I6" i="5"/>
  <c r="J6" i="5"/>
  <c r="I7" i="5"/>
  <c r="J7" i="5"/>
  <c r="I8" i="5"/>
  <c r="J8" i="5"/>
  <c r="I9" i="5"/>
  <c r="J9" i="5"/>
  <c r="I13" i="5"/>
  <c r="J13" i="5"/>
  <c r="I14" i="5"/>
  <c r="J14" i="5"/>
  <c r="I15" i="5"/>
  <c r="J15" i="5"/>
  <c r="I16" i="5"/>
  <c r="J16" i="5"/>
  <c r="I20" i="5"/>
  <c r="J20" i="5"/>
  <c r="I21" i="5"/>
  <c r="J21" i="5"/>
  <c r="I22" i="5"/>
  <c r="J22" i="5"/>
  <c r="I23" i="5"/>
  <c r="J23" i="5"/>
  <c r="I25" i="5"/>
  <c r="J25" i="5"/>
  <c r="I26" i="5"/>
  <c r="J26" i="5"/>
  <c r="I27" i="5"/>
  <c r="J27" i="5"/>
  <c r="I28" i="5"/>
  <c r="J28" i="5"/>
  <c r="I30" i="5"/>
  <c r="J30" i="5"/>
  <c r="I31" i="5"/>
  <c r="J31" i="5"/>
  <c r="I32" i="5"/>
  <c r="J32" i="5"/>
  <c r="I33" i="5"/>
  <c r="J33" i="5"/>
  <c r="I35" i="5"/>
  <c r="J35" i="5"/>
  <c r="I36" i="5"/>
  <c r="J36" i="5"/>
  <c r="I37" i="5"/>
  <c r="J37" i="5"/>
  <c r="I38" i="5"/>
  <c r="J38" i="5"/>
  <c r="I42" i="5"/>
  <c r="J42" i="5"/>
  <c r="I43" i="5"/>
  <c r="J43" i="5"/>
  <c r="I44" i="5"/>
  <c r="J44" i="5"/>
  <c r="I45" i="5"/>
  <c r="J45" i="5"/>
  <c r="I46" i="5"/>
  <c r="J46" i="5"/>
  <c r="I47" i="5"/>
  <c r="J47" i="5"/>
  <c r="I48" i="5"/>
  <c r="J48" i="5"/>
  <c r="I52" i="5"/>
  <c r="J52" i="5"/>
  <c r="I53" i="5"/>
  <c r="J53" i="5"/>
  <c r="I54" i="5"/>
  <c r="J54" i="5"/>
  <c r="I55" i="5"/>
  <c r="J55" i="5"/>
  <c r="I56" i="5"/>
  <c r="J56" i="5"/>
  <c r="I57" i="5"/>
  <c r="J57" i="5"/>
  <c r="I58" i="5"/>
  <c r="J58" i="5"/>
  <c r="I62" i="5"/>
  <c r="J62" i="5"/>
  <c r="I64" i="5"/>
  <c r="J64" i="5"/>
  <c r="I65" i="5"/>
  <c r="J65" i="5"/>
  <c r="I66" i="5"/>
  <c r="J66" i="5"/>
  <c r="I67" i="5"/>
  <c r="J67" i="5"/>
  <c r="I68" i="5"/>
  <c r="J68" i="5"/>
  <c r="I69" i="5"/>
  <c r="J69" i="5"/>
  <c r="I70" i="5"/>
  <c r="J70" i="5"/>
  <c r="I71" i="5"/>
  <c r="J71" i="5"/>
  <c r="I72" i="5"/>
  <c r="J72" i="5"/>
  <c r="I73" i="5"/>
  <c r="J73" i="5"/>
  <c r="I74" i="5"/>
  <c r="J74" i="5"/>
  <c r="I75" i="5"/>
  <c r="J75" i="5"/>
  <c r="I76" i="5"/>
  <c r="J76" i="5"/>
  <c r="I77" i="5"/>
  <c r="J77" i="5"/>
  <c r="I78" i="5"/>
  <c r="J78" i="5"/>
  <c r="I79" i="5"/>
  <c r="J79" i="5"/>
  <c r="I80" i="5"/>
  <c r="J80" i="5"/>
  <c r="I81" i="5"/>
  <c r="J81" i="5"/>
  <c r="I82" i="5"/>
  <c r="J82" i="5"/>
  <c r="I83" i="5"/>
  <c r="J83" i="5"/>
  <c r="I85" i="5"/>
  <c r="J85" i="5"/>
  <c r="I86" i="5"/>
  <c r="J86" i="5"/>
  <c r="I87" i="5"/>
  <c r="J87" i="5"/>
  <c r="I91" i="5"/>
  <c r="J91" i="5"/>
  <c r="I92" i="5"/>
  <c r="J92" i="5"/>
  <c r="I95" i="5"/>
  <c r="J95" i="5"/>
  <c r="I96" i="5"/>
  <c r="J96" i="5"/>
  <c r="I97" i="5"/>
  <c r="J97" i="5"/>
  <c r="I98" i="5"/>
  <c r="J98" i="5"/>
  <c r="I99" i="5"/>
  <c r="J99" i="5"/>
  <c r="I100" i="5"/>
  <c r="J100" i="5"/>
  <c r="I103" i="5"/>
  <c r="J103" i="5"/>
  <c r="I104" i="5"/>
  <c r="J104" i="5"/>
  <c r="I105" i="5"/>
  <c r="J105" i="5"/>
  <c r="I106" i="5"/>
  <c r="J106" i="5"/>
  <c r="I111" i="5"/>
  <c r="J111" i="5"/>
  <c r="I112" i="5"/>
  <c r="J112" i="5"/>
  <c r="I113" i="5"/>
  <c r="J113" i="5"/>
  <c r="I115" i="5"/>
  <c r="J115" i="5"/>
  <c r="I119" i="5"/>
  <c r="J119" i="5"/>
  <c r="I120" i="5"/>
  <c r="J120" i="5"/>
  <c r="I121" i="5"/>
  <c r="J121" i="5"/>
  <c r="I122" i="5"/>
  <c r="J122" i="5"/>
  <c r="I126" i="5"/>
  <c r="J126" i="5"/>
  <c r="I127" i="5"/>
  <c r="J127" i="5"/>
  <c r="I128" i="5"/>
  <c r="J128" i="5"/>
  <c r="I129" i="5"/>
  <c r="J129" i="5"/>
  <c r="I130" i="5"/>
  <c r="J130" i="5"/>
  <c r="I131" i="5"/>
  <c r="J131" i="5"/>
  <c r="I132" i="5"/>
  <c r="J132" i="5"/>
  <c r="I135" i="5"/>
  <c r="J135" i="5"/>
  <c r="I136" i="5"/>
  <c r="J136" i="5"/>
  <c r="I137" i="5"/>
  <c r="J137" i="5"/>
  <c r="I138" i="5"/>
  <c r="J138" i="5"/>
  <c r="I142" i="5"/>
  <c r="J142" i="5"/>
  <c r="I143" i="5"/>
  <c r="J143" i="5"/>
  <c r="I144" i="5"/>
  <c r="J144" i="5"/>
  <c r="I146" i="5"/>
  <c r="J146" i="5"/>
  <c r="I148" i="5"/>
  <c r="J148" i="5"/>
  <c r="I149" i="5"/>
  <c r="J149" i="5"/>
  <c r="I151" i="5"/>
  <c r="J151" i="5"/>
  <c r="I152" i="5"/>
  <c r="J152" i="5"/>
  <c r="I153" i="5"/>
  <c r="J153" i="5"/>
  <c r="I156" i="5"/>
  <c r="J156" i="5"/>
  <c r="I157" i="5"/>
  <c r="J157" i="5"/>
  <c r="I158" i="5"/>
  <c r="J158" i="5"/>
  <c r="I159" i="5"/>
  <c r="J159" i="5"/>
  <c r="I160" i="5"/>
  <c r="J160" i="5"/>
  <c r="I161" i="5"/>
  <c r="J161" i="5"/>
  <c r="I162" i="5"/>
  <c r="J162" i="5"/>
  <c r="I163" i="5"/>
  <c r="J163" i="5"/>
  <c r="I164" i="5"/>
  <c r="J164" i="5"/>
  <c r="I165" i="5"/>
  <c r="J165" i="5"/>
  <c r="I166" i="5"/>
  <c r="J166" i="5"/>
  <c r="I167" i="5"/>
  <c r="J167" i="5"/>
  <c r="I168" i="5"/>
  <c r="J168" i="5"/>
  <c r="I169" i="5"/>
  <c r="J169" i="5"/>
  <c r="I170" i="5"/>
  <c r="J170" i="5"/>
  <c r="I171" i="5"/>
  <c r="J171" i="5"/>
  <c r="I172" i="5"/>
  <c r="J172" i="5"/>
  <c r="I173" i="5"/>
  <c r="J173" i="5"/>
  <c r="I174" i="5"/>
  <c r="J174" i="5"/>
  <c r="I175" i="5"/>
  <c r="J175" i="5"/>
  <c r="I176" i="5"/>
  <c r="J176" i="5"/>
  <c r="I181" i="5"/>
  <c r="J181" i="5"/>
  <c r="I182" i="5"/>
  <c r="J182" i="5"/>
  <c r="I183" i="5"/>
  <c r="J183" i="5"/>
  <c r="I184" i="5"/>
  <c r="J184" i="5"/>
  <c r="I185" i="5"/>
  <c r="J185" i="5"/>
  <c r="I187" i="5"/>
  <c r="J187" i="5"/>
  <c r="I188" i="5"/>
  <c r="J188" i="5"/>
  <c r="I189" i="5"/>
  <c r="J189" i="5"/>
  <c r="I190" i="5"/>
  <c r="J190" i="5"/>
  <c r="I191" i="5"/>
  <c r="J191" i="5"/>
  <c r="I192" i="5"/>
  <c r="J192" i="5"/>
  <c r="I193" i="5"/>
  <c r="J193" i="5"/>
  <c r="I194" i="5"/>
  <c r="J194" i="5"/>
  <c r="I196" i="5"/>
  <c r="J196" i="5"/>
  <c r="I197" i="5"/>
  <c r="J197" i="5"/>
  <c r="I198" i="5"/>
  <c r="J198" i="5"/>
  <c r="I199" i="5"/>
  <c r="J199" i="5"/>
  <c r="I200" i="5"/>
  <c r="J200" i="5"/>
  <c r="I201" i="5"/>
  <c r="J201" i="5"/>
  <c r="I202" i="5"/>
  <c r="J202" i="5"/>
  <c r="I204" i="5"/>
  <c r="J204" i="5"/>
  <c r="I205" i="5"/>
  <c r="J205" i="5"/>
  <c r="I206" i="5"/>
  <c r="J206" i="5"/>
  <c r="I207" i="5"/>
  <c r="J207" i="5"/>
  <c r="I208" i="5"/>
  <c r="J208" i="5"/>
  <c r="I209" i="5"/>
  <c r="J209" i="5"/>
  <c r="I210" i="5"/>
  <c r="J210" i="5"/>
  <c r="I211" i="5"/>
  <c r="J211" i="5"/>
  <c r="I212" i="5"/>
  <c r="J212" i="5"/>
  <c r="I213" i="5"/>
  <c r="J213" i="5"/>
  <c r="I214" i="5"/>
  <c r="J214" i="5"/>
  <c r="I216" i="5"/>
  <c r="J216" i="5"/>
  <c r="I217" i="5"/>
  <c r="J217" i="5"/>
  <c r="I218" i="5"/>
  <c r="J218" i="5"/>
  <c r="I219" i="5"/>
  <c r="J219" i="5"/>
  <c r="I220" i="5"/>
  <c r="J220" i="5"/>
  <c r="I221" i="5"/>
  <c r="J221" i="5"/>
  <c r="I223" i="5"/>
  <c r="J223" i="5"/>
  <c r="I224" i="5"/>
  <c r="J224" i="5"/>
  <c r="I225" i="5"/>
  <c r="J225" i="5"/>
  <c r="I226" i="5"/>
  <c r="J226" i="5"/>
  <c r="I227" i="5"/>
  <c r="J227" i="5"/>
  <c r="I228" i="5"/>
  <c r="J228" i="5"/>
  <c r="I229" i="5"/>
  <c r="J229" i="5"/>
  <c r="I230" i="5"/>
  <c r="J230" i="5"/>
  <c r="I231" i="5"/>
  <c r="J231" i="5"/>
  <c r="I232" i="5"/>
  <c r="J232" i="5"/>
  <c r="I233" i="5"/>
  <c r="J233" i="5"/>
  <c r="I235" i="5"/>
  <c r="J235" i="5"/>
  <c r="I236" i="5"/>
  <c r="J236" i="5"/>
  <c r="I237" i="5"/>
  <c r="J237" i="5"/>
  <c r="I238" i="5"/>
  <c r="J238" i="5"/>
  <c r="I240" i="5"/>
  <c r="J240" i="5"/>
  <c r="I241" i="5"/>
  <c r="J241" i="5"/>
  <c r="I242" i="5"/>
  <c r="J242" i="5"/>
  <c r="I245" i="5"/>
  <c r="J245" i="5"/>
  <c r="I246" i="5"/>
  <c r="J246" i="5"/>
  <c r="I247" i="5"/>
  <c r="J247" i="5"/>
  <c r="I248" i="5"/>
  <c r="J248" i="5"/>
  <c r="I249" i="5"/>
  <c r="J249" i="5"/>
  <c r="I250" i="5"/>
  <c r="J250" i="5"/>
  <c r="I251" i="5"/>
  <c r="J251" i="5"/>
  <c r="I252" i="5"/>
  <c r="J252" i="5"/>
  <c r="I253" i="5"/>
  <c r="J253" i="5"/>
  <c r="I254" i="5"/>
  <c r="J254" i="5"/>
  <c r="I255" i="5"/>
  <c r="J255" i="5"/>
  <c r="I256" i="5"/>
  <c r="J256" i="5"/>
  <c r="I257" i="5"/>
  <c r="J257" i="5"/>
  <c r="I258" i="5"/>
  <c r="J258" i="5"/>
  <c r="I259" i="5"/>
  <c r="J259" i="5"/>
  <c r="I260" i="5"/>
  <c r="J260" i="5"/>
  <c r="I261" i="5"/>
  <c r="J261" i="5"/>
  <c r="I262" i="5"/>
  <c r="J262" i="5"/>
  <c r="I263" i="5"/>
  <c r="J263" i="5"/>
  <c r="I264" i="5"/>
  <c r="J264" i="5"/>
  <c r="I265" i="5"/>
  <c r="J265" i="5"/>
  <c r="I266" i="5"/>
  <c r="J266" i="5"/>
  <c r="I267" i="5"/>
  <c r="J267" i="5"/>
  <c r="I268" i="5"/>
  <c r="J268" i="5"/>
  <c r="I269" i="5"/>
  <c r="J269" i="5"/>
  <c r="I270" i="5"/>
  <c r="J270" i="5"/>
  <c r="I271" i="5"/>
  <c r="J271" i="5"/>
  <c r="I272" i="5"/>
  <c r="J272" i="5"/>
  <c r="I273" i="5"/>
  <c r="J273" i="5"/>
  <c r="I274" i="5"/>
  <c r="J274" i="5"/>
  <c r="I275" i="5"/>
  <c r="J275" i="5"/>
  <c r="I276" i="5"/>
  <c r="J276" i="5"/>
  <c r="I277" i="5"/>
  <c r="J277" i="5"/>
  <c r="I278" i="5"/>
  <c r="J278" i="5"/>
  <c r="I279" i="5"/>
  <c r="J279" i="5"/>
  <c r="I280" i="5"/>
  <c r="J280" i="5"/>
  <c r="I281" i="5"/>
  <c r="J281" i="5"/>
  <c r="I282" i="5"/>
  <c r="J282" i="5"/>
  <c r="I283" i="5"/>
  <c r="J283" i="5"/>
  <c r="I284" i="5"/>
  <c r="J284" i="5"/>
  <c r="I285" i="5"/>
  <c r="J285" i="5"/>
  <c r="I286" i="5"/>
  <c r="J286" i="5"/>
  <c r="I287" i="5"/>
  <c r="J287" i="5"/>
  <c r="I288" i="5"/>
  <c r="J288" i="5"/>
  <c r="I289" i="5"/>
  <c r="J289" i="5"/>
  <c r="I290" i="5"/>
  <c r="J290" i="5"/>
  <c r="I291" i="5"/>
  <c r="J291" i="5"/>
  <c r="I292" i="5"/>
  <c r="J292" i="5"/>
  <c r="I293" i="5"/>
  <c r="J293" i="5"/>
  <c r="I294" i="5"/>
  <c r="J294" i="5"/>
  <c r="I295" i="5"/>
  <c r="J295" i="5"/>
  <c r="I296" i="5"/>
  <c r="J296" i="5"/>
  <c r="I297" i="5"/>
  <c r="J297" i="5"/>
  <c r="I298" i="5"/>
  <c r="J298" i="5"/>
  <c r="I301" i="5"/>
  <c r="J301" i="5"/>
  <c r="I302" i="5"/>
  <c r="J302" i="5"/>
  <c r="I303" i="5"/>
  <c r="J303" i="5"/>
  <c r="I307" i="5"/>
  <c r="J307" i="5"/>
  <c r="I308" i="5"/>
  <c r="J308" i="5"/>
  <c r="I309" i="5"/>
  <c r="J309" i="5"/>
  <c r="I310" i="5"/>
  <c r="J310" i="5"/>
  <c r="I312" i="5"/>
  <c r="J312" i="5"/>
  <c r="I314" i="5"/>
  <c r="J314" i="5"/>
  <c r="I315" i="5"/>
  <c r="J315" i="5"/>
  <c r="I316" i="5"/>
  <c r="J316" i="5"/>
  <c r="I317" i="5"/>
  <c r="J317" i="5"/>
  <c r="I319" i="5"/>
  <c r="J319" i="5"/>
  <c r="I320" i="5"/>
  <c r="J320" i="5"/>
  <c r="I322" i="5"/>
  <c r="J322" i="5"/>
  <c r="I323" i="5"/>
  <c r="J323" i="5"/>
  <c r="I324" i="5"/>
  <c r="J324" i="5"/>
  <c r="I326" i="5"/>
  <c r="J326" i="5"/>
  <c r="I327" i="5"/>
  <c r="J327" i="5"/>
  <c r="I329" i="5"/>
  <c r="J329" i="5"/>
  <c r="I334" i="5"/>
  <c r="J334" i="5"/>
  <c r="I335" i="5"/>
  <c r="J335" i="5"/>
  <c r="I336" i="5"/>
  <c r="J336" i="5"/>
  <c r="I337" i="5"/>
  <c r="J337" i="5"/>
  <c r="I338" i="5"/>
  <c r="J338" i="5"/>
  <c r="I339" i="5"/>
  <c r="J339" i="5"/>
  <c r="I341" i="5"/>
  <c r="J341" i="5"/>
  <c r="I342" i="5"/>
  <c r="J342" i="5"/>
  <c r="I344" i="5"/>
  <c r="J344" i="5"/>
  <c r="I345" i="5"/>
  <c r="J345" i="5"/>
  <c r="I347" i="5"/>
  <c r="J347" i="5"/>
  <c r="I348" i="5"/>
  <c r="J348" i="5"/>
  <c r="I349" i="5"/>
  <c r="J349" i="5"/>
  <c r="I350" i="5"/>
  <c r="J350" i="5"/>
  <c r="I351" i="5"/>
  <c r="J351" i="5"/>
  <c r="I352" i="5"/>
  <c r="J352" i="5"/>
  <c r="I353" i="5"/>
  <c r="J353" i="5"/>
  <c r="I355" i="5"/>
  <c r="J355" i="5"/>
  <c r="I356" i="5"/>
  <c r="J356" i="5"/>
  <c r="I360" i="5"/>
  <c r="J360" i="5"/>
  <c r="I361" i="5"/>
  <c r="J361" i="5"/>
  <c r="I363" i="5"/>
  <c r="J363" i="5"/>
  <c r="I364" i="5"/>
  <c r="J364" i="5"/>
  <c r="I365" i="5"/>
  <c r="J365" i="5"/>
  <c r="I366" i="5"/>
  <c r="J366" i="5"/>
  <c r="I367" i="5"/>
  <c r="J367" i="5"/>
  <c r="I369" i="5"/>
  <c r="J369" i="5"/>
  <c r="I370" i="5"/>
  <c r="J370" i="5"/>
  <c r="I372" i="5"/>
  <c r="J372" i="5"/>
  <c r="I374" i="5"/>
  <c r="J374" i="5"/>
  <c r="I375" i="5"/>
  <c r="J375" i="5"/>
  <c r="I379" i="5"/>
  <c r="J379" i="5"/>
  <c r="I380" i="5"/>
  <c r="J380" i="5"/>
  <c r="I381" i="5"/>
  <c r="J381" i="5"/>
  <c r="I382" i="5"/>
  <c r="J382" i="5"/>
  <c r="I383" i="5"/>
  <c r="J383" i="5"/>
  <c r="I384" i="5"/>
  <c r="J384" i="5"/>
  <c r="I385" i="5"/>
  <c r="J385" i="5"/>
  <c r="I386" i="5"/>
  <c r="J386" i="5"/>
  <c r="I387" i="5"/>
  <c r="J387" i="5"/>
  <c r="I388" i="5"/>
  <c r="J388" i="5"/>
  <c r="I389" i="5"/>
  <c r="J389" i="5"/>
  <c r="I390" i="5"/>
  <c r="J390" i="5"/>
  <c r="I391" i="5"/>
  <c r="J391" i="5"/>
  <c r="I392" i="5"/>
  <c r="J392" i="5"/>
  <c r="I393" i="5"/>
  <c r="J393" i="5"/>
  <c r="I394" i="5"/>
  <c r="J394" i="5"/>
  <c r="I395" i="5"/>
  <c r="J395" i="5"/>
  <c r="I396" i="5"/>
  <c r="J396" i="5"/>
  <c r="I397" i="5"/>
  <c r="J397" i="5"/>
  <c r="I398" i="5"/>
  <c r="J398" i="5"/>
  <c r="I399" i="5"/>
  <c r="J399" i="5"/>
  <c r="I400" i="5"/>
  <c r="J400" i="5"/>
  <c r="I401" i="5"/>
  <c r="J401" i="5"/>
  <c r="I402" i="5"/>
  <c r="J402" i="5"/>
  <c r="I403" i="5"/>
  <c r="J403" i="5"/>
  <c r="I404" i="5"/>
  <c r="J404" i="5"/>
  <c r="I405" i="5"/>
  <c r="J405" i="5"/>
  <c r="I406" i="5"/>
  <c r="J406" i="5"/>
  <c r="I407" i="5"/>
  <c r="J407" i="5"/>
  <c r="I408" i="5"/>
  <c r="J408" i="5"/>
  <c r="I409" i="5"/>
  <c r="J409" i="5"/>
  <c r="I410" i="5"/>
  <c r="J410" i="5"/>
  <c r="I411" i="5"/>
  <c r="J411" i="5"/>
  <c r="I412" i="5"/>
  <c r="J412" i="5"/>
  <c r="I413" i="5"/>
  <c r="J413" i="5"/>
  <c r="I414" i="5"/>
  <c r="J414" i="5"/>
  <c r="I415" i="5"/>
  <c r="J415" i="5"/>
  <c r="I416" i="5"/>
  <c r="J416" i="5"/>
  <c r="I417" i="5"/>
  <c r="J417" i="5"/>
  <c r="I418" i="5"/>
  <c r="J418" i="5"/>
  <c r="I419" i="5"/>
  <c r="J419" i="5"/>
  <c r="I420" i="5"/>
  <c r="J420" i="5"/>
  <c r="I421" i="5"/>
  <c r="J421" i="5"/>
  <c r="I422" i="5"/>
  <c r="J422" i="5"/>
  <c r="I423" i="5"/>
  <c r="J423" i="5"/>
  <c r="I424" i="5"/>
  <c r="J424" i="5"/>
  <c r="I425" i="5"/>
  <c r="J425" i="5"/>
  <c r="I426" i="5"/>
  <c r="J426" i="5"/>
  <c r="I427" i="5"/>
  <c r="J427" i="5"/>
  <c r="I428" i="5"/>
  <c r="J428" i="5"/>
  <c r="I429" i="5"/>
  <c r="J429" i="5"/>
  <c r="I430" i="5"/>
  <c r="J430" i="5"/>
  <c r="I431" i="5"/>
  <c r="J431" i="5"/>
  <c r="I432" i="5"/>
  <c r="J432" i="5"/>
  <c r="I433" i="5"/>
  <c r="J433" i="5"/>
  <c r="I434" i="5"/>
  <c r="J434" i="5"/>
  <c r="I435" i="5"/>
  <c r="J435" i="5"/>
  <c r="I436" i="5"/>
  <c r="J436" i="5"/>
  <c r="I437" i="5"/>
  <c r="J437" i="5"/>
  <c r="I438" i="5"/>
  <c r="J438" i="5"/>
  <c r="I439" i="5"/>
  <c r="J439" i="5"/>
  <c r="I440" i="5"/>
  <c r="J440" i="5"/>
  <c r="I441" i="5"/>
  <c r="J441" i="5"/>
  <c r="I442" i="5"/>
  <c r="J442" i="5"/>
  <c r="I443" i="5"/>
  <c r="J443" i="5"/>
  <c r="I444" i="5"/>
  <c r="J444" i="5"/>
  <c r="I445" i="5"/>
  <c r="J445" i="5"/>
  <c r="I446" i="5"/>
  <c r="J446" i="5"/>
  <c r="I447" i="5"/>
  <c r="J447" i="5"/>
  <c r="I448" i="5"/>
  <c r="J448" i="5"/>
  <c r="I449" i="5"/>
  <c r="J449" i="5"/>
  <c r="I450" i="5"/>
  <c r="J450" i="5"/>
  <c r="I455" i="5"/>
  <c r="J455" i="5"/>
  <c r="I456" i="5"/>
  <c r="J456" i="5"/>
  <c r="I457" i="5"/>
  <c r="J457" i="5"/>
  <c r="I460" i="5"/>
  <c r="J460" i="5"/>
  <c r="I461" i="5"/>
  <c r="J461" i="5"/>
  <c r="I464" i="5"/>
  <c r="J464" i="5"/>
  <c r="I465" i="5"/>
  <c r="J465" i="5"/>
  <c r="I466" i="5"/>
  <c r="J466" i="5"/>
  <c r="I467" i="5"/>
  <c r="J467" i="5"/>
  <c r="I468" i="5"/>
  <c r="J468" i="5"/>
  <c r="I469" i="5"/>
  <c r="J469" i="5"/>
  <c r="I472" i="5"/>
  <c r="J472" i="5"/>
  <c r="I473" i="5"/>
  <c r="J473" i="5"/>
  <c r="I474" i="5"/>
  <c r="J474" i="5"/>
  <c r="I478" i="5"/>
  <c r="J478" i="5"/>
  <c r="I479" i="5"/>
  <c r="J479" i="5"/>
  <c r="I480" i="5"/>
  <c r="J480" i="5"/>
  <c r="I481" i="5"/>
  <c r="J481" i="5"/>
  <c r="I482" i="5"/>
  <c r="J482" i="5"/>
  <c r="I483" i="5"/>
  <c r="J483" i="5"/>
  <c r="I484" i="5"/>
  <c r="J484" i="5"/>
  <c r="I485" i="5"/>
  <c r="J485" i="5"/>
  <c r="I486" i="5"/>
  <c r="J486" i="5"/>
  <c r="I487" i="5"/>
  <c r="J487" i="5"/>
  <c r="I488" i="5"/>
  <c r="J488" i="5"/>
  <c r="I489" i="5"/>
  <c r="J489" i="5"/>
  <c r="I493" i="5"/>
  <c r="J493" i="5"/>
  <c r="I494" i="5"/>
  <c r="J494" i="5"/>
  <c r="I495" i="5"/>
  <c r="J495" i="5"/>
  <c r="I497" i="5"/>
  <c r="J497" i="5"/>
  <c r="I498" i="5"/>
  <c r="J498" i="5"/>
  <c r="I499" i="5"/>
  <c r="J499" i="5"/>
  <c r="I500" i="5"/>
  <c r="J500" i="5"/>
  <c r="I501" i="5"/>
  <c r="J501" i="5"/>
  <c r="I502" i="5"/>
  <c r="J502" i="5"/>
  <c r="I504" i="5"/>
  <c r="J504" i="5"/>
  <c r="I505" i="5"/>
  <c r="J505" i="5"/>
  <c r="I508" i="5"/>
  <c r="J508" i="5"/>
  <c r="I509" i="5"/>
  <c r="J509" i="5"/>
  <c r="I510" i="5"/>
  <c r="J510" i="5"/>
  <c r="I511" i="5"/>
  <c r="J511" i="5"/>
  <c r="I512" i="5"/>
  <c r="J512" i="5"/>
  <c r="I513" i="5"/>
  <c r="J513" i="5"/>
  <c r="I514" i="5"/>
  <c r="J514" i="5"/>
  <c r="I515" i="5"/>
  <c r="J515" i="5"/>
  <c r="I516" i="5"/>
  <c r="J516" i="5"/>
  <c r="I517" i="5"/>
  <c r="J517" i="5"/>
  <c r="I518" i="5"/>
  <c r="J518" i="5"/>
  <c r="I519" i="5"/>
  <c r="J519" i="5"/>
  <c r="I520" i="5"/>
  <c r="J520" i="5"/>
  <c r="I523" i="5"/>
  <c r="J523" i="5"/>
  <c r="I524" i="5"/>
  <c r="J524" i="5"/>
  <c r="I525" i="5"/>
  <c r="J525" i="5"/>
  <c r="I526" i="5"/>
  <c r="J526" i="5"/>
  <c r="I527" i="5"/>
  <c r="J527" i="5"/>
  <c r="I528" i="5"/>
  <c r="J528" i="5"/>
  <c r="I529" i="5"/>
  <c r="J529" i="5"/>
  <c r="I530" i="5"/>
  <c r="J530" i="5"/>
  <c r="I531" i="5"/>
  <c r="J531" i="5"/>
  <c r="I532" i="5"/>
  <c r="J532" i="5"/>
  <c r="I533" i="5"/>
  <c r="J533" i="5"/>
  <c r="I534" i="5"/>
  <c r="J534" i="5"/>
  <c r="I537" i="5"/>
  <c r="J537" i="5"/>
  <c r="I538" i="5"/>
  <c r="J538" i="5"/>
  <c r="I539" i="5"/>
  <c r="J539" i="5"/>
  <c r="I540" i="5"/>
  <c r="J540" i="5"/>
  <c r="I541" i="5"/>
  <c r="J541" i="5"/>
  <c r="I542" i="5"/>
  <c r="J542" i="5"/>
  <c r="I543" i="5"/>
  <c r="J543" i="5"/>
  <c r="I544" i="5"/>
  <c r="J544" i="5"/>
  <c r="I545" i="5"/>
  <c r="J545" i="5"/>
  <c r="I546" i="5"/>
  <c r="J546" i="5"/>
  <c r="I547" i="5"/>
  <c r="J547" i="5"/>
  <c r="I548" i="5"/>
  <c r="J548" i="5"/>
  <c r="I549" i="5"/>
  <c r="J549" i="5"/>
  <c r="I550" i="5"/>
  <c r="J550" i="5"/>
  <c r="I551" i="5"/>
  <c r="J551" i="5"/>
  <c r="I552" i="5"/>
  <c r="J552" i="5"/>
  <c r="I555" i="5"/>
  <c r="J555" i="5"/>
  <c r="I556" i="5"/>
  <c r="J556" i="5"/>
  <c r="I557" i="5"/>
  <c r="J557" i="5"/>
  <c r="I558" i="5"/>
  <c r="J558" i="5"/>
  <c r="I559" i="5"/>
  <c r="J559" i="5"/>
  <c r="I560" i="5"/>
  <c r="J560" i="5"/>
  <c r="I561" i="5"/>
  <c r="J561" i="5"/>
  <c r="I564" i="5"/>
  <c r="J564" i="5"/>
  <c r="I565" i="5"/>
  <c r="J565" i="5"/>
  <c r="I566" i="5"/>
  <c r="J566" i="5"/>
  <c r="I567" i="5"/>
  <c r="J567" i="5"/>
  <c r="I568" i="5"/>
  <c r="J568" i="5"/>
  <c r="I569" i="5"/>
  <c r="J569" i="5"/>
  <c r="I570" i="5"/>
  <c r="J570" i="5"/>
  <c r="I571" i="5"/>
  <c r="J571" i="5"/>
  <c r="I572" i="5"/>
  <c r="J572" i="5"/>
  <c r="I573" i="5"/>
  <c r="J573" i="5"/>
  <c r="I574" i="5"/>
  <c r="J574" i="5"/>
  <c r="I575" i="5"/>
  <c r="J575" i="5"/>
  <c r="I576" i="5"/>
  <c r="J576" i="5"/>
  <c r="I579" i="5"/>
  <c r="J579" i="5"/>
  <c r="I580" i="5"/>
  <c r="J580" i="5"/>
  <c r="I581" i="5"/>
  <c r="J581" i="5"/>
  <c r="I582" i="5"/>
  <c r="J582" i="5"/>
  <c r="I583" i="5"/>
  <c r="J583" i="5"/>
  <c r="I584" i="5"/>
  <c r="J584" i="5"/>
  <c r="I587" i="5"/>
  <c r="J587" i="5"/>
  <c r="I588" i="5"/>
  <c r="J588" i="5"/>
  <c r="I589" i="5"/>
  <c r="J589" i="5"/>
  <c r="I590" i="5"/>
  <c r="J590" i="5"/>
  <c r="I591" i="5"/>
  <c r="J591" i="5"/>
  <c r="I592" i="5"/>
  <c r="J592" i="5"/>
  <c r="I596" i="5"/>
  <c r="J596" i="5"/>
  <c r="I597" i="5"/>
  <c r="J597" i="5"/>
  <c r="I598" i="5"/>
  <c r="J598" i="5"/>
  <c r="I600" i="5"/>
  <c r="J600" i="5"/>
  <c r="I601" i="5"/>
  <c r="J601" i="5"/>
  <c r="I602" i="5"/>
  <c r="J602" i="5"/>
  <c r="I603" i="5"/>
  <c r="J603" i="5"/>
  <c r="I605" i="5"/>
  <c r="J605" i="5"/>
  <c r="I607" i="5"/>
  <c r="J607" i="5"/>
  <c r="I608" i="5"/>
  <c r="J608" i="5"/>
  <c r="I609" i="5"/>
  <c r="J609" i="5"/>
  <c r="I611" i="5"/>
  <c r="J611" i="5"/>
  <c r="I616" i="5"/>
  <c r="J616" i="5"/>
  <c r="I617" i="5"/>
  <c r="J617" i="5"/>
  <c r="I618" i="5"/>
  <c r="J618" i="5"/>
  <c r="I619" i="5"/>
  <c r="J619" i="5"/>
  <c r="I620" i="5"/>
  <c r="J620" i="5"/>
  <c r="I621" i="5"/>
  <c r="J621" i="5"/>
  <c r="I622" i="5"/>
  <c r="J622" i="5"/>
  <c r="I624" i="5"/>
  <c r="J624" i="5"/>
  <c r="I625" i="5"/>
  <c r="J625" i="5"/>
  <c r="I627" i="5"/>
  <c r="J627" i="5"/>
  <c r="I628" i="5"/>
  <c r="J628" i="5"/>
  <c r="I629" i="5"/>
  <c r="J629" i="5"/>
  <c r="I630" i="5"/>
  <c r="J630" i="5"/>
  <c r="I632" i="5"/>
  <c r="J632" i="5"/>
  <c r="I633" i="5"/>
  <c r="J633" i="5"/>
  <c r="I635" i="5"/>
  <c r="J635" i="5"/>
  <c r="I636" i="5"/>
  <c r="J636" i="5"/>
  <c r="I637" i="5"/>
  <c r="J637" i="5"/>
  <c r="I638" i="5"/>
  <c r="J638" i="5"/>
  <c r="I639" i="5"/>
  <c r="J639" i="5"/>
  <c r="I640" i="5"/>
  <c r="J640" i="5"/>
  <c r="I641" i="5"/>
  <c r="J641" i="5"/>
  <c r="I642" i="5"/>
  <c r="J642" i="5"/>
  <c r="I645" i="5"/>
  <c r="J645" i="5"/>
  <c r="I646" i="5"/>
  <c r="J646" i="5"/>
  <c r="I648" i="5"/>
  <c r="J648" i="5"/>
  <c r="I650" i="5"/>
  <c r="J650" i="5"/>
  <c r="I652" i="5"/>
  <c r="J652" i="5"/>
  <c r="I654" i="5"/>
  <c r="J654" i="5"/>
  <c r="I655" i="5"/>
  <c r="J655" i="5"/>
  <c r="I656" i="5"/>
  <c r="J656" i="5"/>
  <c r="I657" i="5"/>
  <c r="J657" i="5"/>
  <c r="I658" i="5"/>
  <c r="J658" i="5"/>
  <c r="I659" i="5"/>
  <c r="J659" i="5"/>
  <c r="I661" i="5"/>
  <c r="J661" i="5"/>
  <c r="I662" i="5"/>
  <c r="J662" i="5"/>
  <c r="I663" i="5"/>
  <c r="J663" i="5"/>
  <c r="I664" i="5"/>
  <c r="J664" i="5"/>
  <c r="I665" i="5"/>
  <c r="J665" i="5"/>
  <c r="I666" i="5"/>
  <c r="J666" i="5"/>
  <c r="I667" i="5"/>
  <c r="J667" i="5"/>
  <c r="I668" i="5"/>
  <c r="J668" i="5"/>
  <c r="I669" i="5"/>
  <c r="J669" i="5"/>
  <c r="I670" i="5"/>
  <c r="J670" i="5"/>
  <c r="I671" i="5"/>
  <c r="J671" i="5"/>
  <c r="I672" i="5"/>
  <c r="J672" i="5"/>
  <c r="I673" i="5"/>
  <c r="J673" i="5"/>
  <c r="I674" i="5"/>
  <c r="J674" i="5"/>
  <c r="I675" i="5"/>
  <c r="J675" i="5"/>
  <c r="I677" i="5"/>
  <c r="J677" i="5"/>
  <c r="I678" i="5"/>
  <c r="J678" i="5"/>
  <c r="I679" i="5"/>
  <c r="J679" i="5"/>
  <c r="I680" i="5"/>
  <c r="J680" i="5"/>
  <c r="I681" i="5"/>
  <c r="J681" i="5"/>
  <c r="I682" i="5"/>
  <c r="J682" i="5"/>
  <c r="I683" i="5"/>
  <c r="J683" i="5"/>
  <c r="I685" i="5"/>
  <c r="J685" i="5"/>
  <c r="I689" i="5"/>
  <c r="J689" i="5"/>
  <c r="I690" i="5"/>
  <c r="J690" i="5"/>
  <c r="I691" i="5"/>
  <c r="J691" i="5"/>
  <c r="I695" i="5"/>
  <c r="J695" i="5"/>
  <c r="I696" i="5"/>
  <c r="J696" i="5"/>
  <c r="I697" i="5"/>
  <c r="J697" i="5"/>
  <c r="I698" i="5"/>
  <c r="J698" i="5"/>
  <c r="I699" i="5"/>
  <c r="J699" i="5"/>
  <c r="I700" i="5"/>
  <c r="J700" i="5"/>
  <c r="I702" i="5"/>
  <c r="J702" i="5"/>
  <c r="I703" i="5"/>
  <c r="J703" i="5"/>
  <c r="I704" i="5"/>
  <c r="J704" i="5"/>
  <c r="I705" i="5"/>
  <c r="J705" i="5"/>
  <c r="I706" i="5"/>
  <c r="J706" i="5"/>
  <c r="I707" i="5"/>
  <c r="J707" i="5"/>
  <c r="I713" i="5"/>
  <c r="J713" i="5"/>
  <c r="I714" i="5"/>
  <c r="J714" i="5"/>
  <c r="I716" i="5"/>
  <c r="J716" i="5"/>
  <c r="I718" i="5"/>
  <c r="J718" i="5"/>
  <c r="I719" i="5"/>
  <c r="J719" i="5"/>
  <c r="I721" i="5"/>
  <c r="J721" i="5"/>
  <c r="I722" i="5"/>
  <c r="J722" i="5"/>
  <c r="I724" i="5"/>
  <c r="J724" i="5"/>
  <c r="I726" i="5"/>
  <c r="J726" i="5"/>
  <c r="I728" i="5"/>
  <c r="J728" i="5"/>
  <c r="I729" i="5"/>
  <c r="J729" i="5"/>
  <c r="I731" i="5"/>
  <c r="J731" i="5"/>
  <c r="I733" i="5"/>
  <c r="J733" i="5"/>
  <c r="I734" i="5"/>
  <c r="J734" i="5"/>
  <c r="I737" i="5"/>
  <c r="J737" i="5"/>
  <c r="I739" i="5"/>
  <c r="J739" i="5"/>
  <c r="I740" i="5"/>
  <c r="J740" i="5"/>
  <c r="I742" i="5"/>
  <c r="J742" i="5"/>
  <c r="I744" i="5"/>
  <c r="J744" i="5"/>
  <c r="I746" i="5"/>
  <c r="J746" i="5"/>
  <c r="I750" i="5"/>
  <c r="J750" i="5"/>
  <c r="I751" i="5"/>
  <c r="J751" i="5"/>
  <c r="I752" i="5"/>
  <c r="J752" i="5"/>
  <c r="I753" i="5"/>
  <c r="J753" i="5"/>
  <c r="I754" i="5"/>
  <c r="J754" i="5"/>
  <c r="I755" i="5"/>
  <c r="J755" i="5"/>
  <c r="I756" i="5"/>
  <c r="J756" i="5"/>
  <c r="I757" i="5"/>
  <c r="J757" i="5"/>
  <c r="I758" i="5"/>
  <c r="J758" i="5"/>
  <c r="I759" i="5"/>
  <c r="J759" i="5"/>
  <c r="I760" i="5"/>
  <c r="J760" i="5"/>
  <c r="I761" i="5"/>
  <c r="J761" i="5"/>
  <c r="I762" i="5"/>
  <c r="J762" i="5"/>
  <c r="I766" i="5"/>
  <c r="I767" i="5" s="1"/>
  <c r="J766" i="5"/>
  <c r="J767" i="5" s="1"/>
  <c r="I771" i="5"/>
  <c r="J771" i="5"/>
  <c r="I772" i="5"/>
  <c r="J772" i="5"/>
  <c r="I773" i="5"/>
  <c r="J773" i="5"/>
  <c r="I774" i="5"/>
  <c r="J774" i="5"/>
  <c r="I775" i="5"/>
  <c r="J775" i="5"/>
  <c r="I776" i="5"/>
  <c r="J776" i="5"/>
  <c r="I777" i="5"/>
  <c r="J777" i="5"/>
  <c r="I778" i="5"/>
  <c r="J778" i="5"/>
  <c r="I779" i="5"/>
  <c r="J779" i="5"/>
  <c r="I780" i="5"/>
  <c r="J780" i="5"/>
  <c r="I781" i="5"/>
  <c r="J781" i="5"/>
  <c r="I782" i="5"/>
  <c r="J782" i="5"/>
  <c r="I783" i="5"/>
  <c r="J783" i="5"/>
  <c r="I786" i="5"/>
  <c r="J786" i="5"/>
  <c r="I787" i="5"/>
  <c r="J787" i="5"/>
  <c r="I798" i="5"/>
  <c r="J798" i="5"/>
  <c r="I799" i="5"/>
  <c r="J799" i="5"/>
  <c r="I800" i="5"/>
  <c r="J800" i="5"/>
  <c r="I801" i="5"/>
  <c r="J801" i="5"/>
  <c r="I805" i="5"/>
  <c r="J805" i="5"/>
  <c r="I806" i="5"/>
  <c r="J806" i="5"/>
  <c r="I807" i="5"/>
  <c r="J807" i="5"/>
  <c r="I808" i="5"/>
  <c r="J808" i="5"/>
  <c r="I810" i="5"/>
  <c r="J810" i="5"/>
  <c r="I811" i="5"/>
  <c r="J811" i="5"/>
  <c r="I812" i="5"/>
  <c r="J812" i="5"/>
  <c r="I813" i="5"/>
  <c r="J813" i="5"/>
  <c r="I817" i="5"/>
  <c r="J817" i="5"/>
  <c r="I818" i="5"/>
  <c r="J818" i="5"/>
  <c r="I819" i="5"/>
  <c r="J819" i="5"/>
  <c r="I820" i="5"/>
  <c r="J820" i="5"/>
  <c r="I822" i="5"/>
  <c r="J822" i="5"/>
  <c r="I823" i="5"/>
  <c r="J823" i="5"/>
  <c r="I824" i="5"/>
  <c r="J824" i="5"/>
  <c r="I825" i="5"/>
  <c r="J825" i="5"/>
  <c r="I827" i="5"/>
  <c r="J827" i="5"/>
  <c r="I828" i="5"/>
  <c r="J828" i="5"/>
  <c r="I829" i="5"/>
  <c r="J829" i="5"/>
  <c r="I830" i="5"/>
  <c r="J830" i="5"/>
  <c r="I832" i="5"/>
  <c r="J832" i="5"/>
  <c r="I833" i="5"/>
  <c r="J833" i="5"/>
  <c r="I834" i="5"/>
  <c r="J834" i="5"/>
  <c r="I835" i="5"/>
  <c r="J835" i="5"/>
  <c r="I839" i="5"/>
  <c r="J839" i="5"/>
  <c r="I840" i="5"/>
  <c r="J840" i="5"/>
  <c r="I841" i="5"/>
  <c r="J841" i="5"/>
  <c r="I842" i="5"/>
  <c r="J842" i="5"/>
  <c r="I843" i="5"/>
  <c r="J843" i="5"/>
  <c r="I844" i="5"/>
  <c r="J844" i="5"/>
  <c r="I845" i="5"/>
  <c r="J845" i="5"/>
  <c r="I849" i="5"/>
  <c r="J849" i="5"/>
  <c r="I850" i="5"/>
  <c r="J850" i="5"/>
  <c r="I851" i="5"/>
  <c r="J851" i="5"/>
  <c r="I852" i="5"/>
  <c r="J852" i="5"/>
  <c r="I853" i="5"/>
  <c r="J853" i="5"/>
  <c r="I854" i="5"/>
  <c r="J854" i="5"/>
  <c r="I855" i="5"/>
  <c r="J855" i="5"/>
  <c r="I859" i="5"/>
  <c r="J859" i="5"/>
  <c r="I861" i="5"/>
  <c r="J861" i="5"/>
  <c r="I862" i="5"/>
  <c r="J862" i="5"/>
  <c r="I863" i="5"/>
  <c r="J863" i="5"/>
  <c r="I864" i="5"/>
  <c r="J864" i="5"/>
  <c r="I865" i="5"/>
  <c r="J865" i="5"/>
  <c r="I866" i="5"/>
  <c r="J866" i="5"/>
  <c r="I867" i="5"/>
  <c r="J867" i="5"/>
  <c r="I868" i="5"/>
  <c r="J868" i="5"/>
  <c r="I869" i="5"/>
  <c r="J869" i="5"/>
  <c r="I870" i="5"/>
  <c r="J870" i="5"/>
  <c r="I871" i="5"/>
  <c r="J871" i="5"/>
  <c r="I872" i="5"/>
  <c r="J872" i="5"/>
  <c r="I873" i="5"/>
  <c r="J873" i="5"/>
  <c r="I874" i="5"/>
  <c r="J874" i="5"/>
  <c r="I875" i="5"/>
  <c r="J875" i="5"/>
  <c r="I876" i="5"/>
  <c r="J876" i="5"/>
  <c r="I877" i="5"/>
  <c r="J877" i="5"/>
  <c r="I878" i="5"/>
  <c r="J878" i="5"/>
  <c r="I879" i="5"/>
  <c r="J879" i="5"/>
  <c r="I880" i="5"/>
  <c r="J880" i="5"/>
  <c r="I882" i="5"/>
  <c r="J882" i="5"/>
  <c r="I883" i="5"/>
  <c r="J883" i="5"/>
  <c r="I884" i="5"/>
  <c r="J884" i="5"/>
  <c r="I888" i="5"/>
  <c r="J888" i="5"/>
  <c r="I889" i="5"/>
  <c r="J889" i="5"/>
  <c r="I892" i="5"/>
  <c r="J892" i="5"/>
  <c r="I893" i="5"/>
  <c r="J893" i="5"/>
  <c r="I894" i="5"/>
  <c r="J894" i="5"/>
  <c r="I895" i="5"/>
  <c r="J895" i="5"/>
  <c r="I896" i="5"/>
  <c r="J896" i="5"/>
  <c r="I897" i="5"/>
  <c r="J897" i="5"/>
  <c r="I900" i="5"/>
  <c r="J900" i="5"/>
  <c r="I901" i="5"/>
  <c r="J901" i="5"/>
  <c r="I902" i="5"/>
  <c r="J902" i="5"/>
  <c r="I907" i="5"/>
  <c r="J907" i="5"/>
  <c r="I908" i="5"/>
  <c r="J908" i="5"/>
  <c r="I909" i="5"/>
  <c r="J909" i="5"/>
  <c r="I911" i="5"/>
  <c r="J911" i="5"/>
  <c r="I915" i="5"/>
  <c r="J915" i="5"/>
  <c r="I916" i="5"/>
  <c r="J916" i="5"/>
  <c r="I917" i="5"/>
  <c r="J917" i="5"/>
  <c r="I918" i="5"/>
  <c r="J918" i="5"/>
  <c r="I922" i="5"/>
  <c r="J922" i="5"/>
  <c r="I923" i="5"/>
  <c r="J923" i="5"/>
  <c r="I924" i="5"/>
  <c r="J924" i="5"/>
  <c r="I925" i="5"/>
  <c r="J925" i="5"/>
  <c r="I926" i="5"/>
  <c r="J926" i="5"/>
  <c r="I927" i="5"/>
  <c r="J927" i="5"/>
  <c r="I928" i="5"/>
  <c r="J928" i="5"/>
  <c r="I931" i="5"/>
  <c r="J931" i="5"/>
  <c r="I932" i="5"/>
  <c r="J932" i="5"/>
  <c r="I933" i="5"/>
  <c r="J933" i="5"/>
  <c r="I934" i="5"/>
  <c r="J934" i="5"/>
  <c r="I938" i="5"/>
  <c r="J938" i="5"/>
  <c r="I939" i="5"/>
  <c r="J939" i="5"/>
  <c r="I940" i="5"/>
  <c r="J940" i="5"/>
  <c r="I942" i="5"/>
  <c r="J942" i="5"/>
  <c r="I944" i="5"/>
  <c r="J944" i="5"/>
  <c r="I945" i="5"/>
  <c r="J945" i="5"/>
  <c r="I947" i="5"/>
  <c r="J947" i="5"/>
  <c r="I948" i="5"/>
  <c r="J948" i="5"/>
  <c r="I949" i="5"/>
  <c r="J949" i="5"/>
  <c r="I952" i="5"/>
  <c r="J952" i="5"/>
  <c r="I953" i="5"/>
  <c r="J953" i="5"/>
  <c r="I954" i="5"/>
  <c r="J954" i="5"/>
  <c r="I955" i="5"/>
  <c r="J955" i="5"/>
  <c r="I956" i="5"/>
  <c r="J956" i="5"/>
  <c r="I957" i="5"/>
  <c r="J957" i="5"/>
  <c r="I958" i="5"/>
  <c r="J958" i="5"/>
  <c r="I959" i="5"/>
  <c r="J959" i="5"/>
  <c r="I960" i="5"/>
  <c r="J960" i="5"/>
  <c r="I961" i="5"/>
  <c r="J961" i="5"/>
  <c r="I962" i="5"/>
  <c r="J962" i="5"/>
  <c r="I963" i="5"/>
  <c r="J963" i="5"/>
  <c r="I964" i="5"/>
  <c r="J964" i="5"/>
  <c r="I965" i="5"/>
  <c r="J965" i="5"/>
  <c r="I966" i="5"/>
  <c r="J966" i="5"/>
  <c r="I967" i="5"/>
  <c r="J967" i="5"/>
  <c r="I968" i="5"/>
  <c r="J968" i="5"/>
  <c r="I969" i="5"/>
  <c r="J969" i="5"/>
  <c r="I970" i="5"/>
  <c r="J970" i="5"/>
  <c r="I971" i="5"/>
  <c r="J971" i="5"/>
  <c r="I972" i="5"/>
  <c r="J972" i="5"/>
  <c r="I977" i="5"/>
  <c r="J977" i="5"/>
  <c r="I978" i="5"/>
  <c r="J978" i="5"/>
  <c r="I979" i="5"/>
  <c r="J979" i="5"/>
  <c r="I980" i="5"/>
  <c r="J980" i="5"/>
  <c r="I981" i="5"/>
  <c r="J981" i="5"/>
  <c r="I983" i="5"/>
  <c r="J983" i="5"/>
  <c r="I984" i="5"/>
  <c r="J984" i="5"/>
  <c r="I985" i="5"/>
  <c r="J985" i="5"/>
  <c r="I986" i="5"/>
  <c r="J986" i="5"/>
  <c r="I987" i="5"/>
  <c r="J987" i="5"/>
  <c r="I988" i="5"/>
  <c r="J988" i="5"/>
  <c r="I989" i="5"/>
  <c r="J989" i="5"/>
  <c r="I990" i="5"/>
  <c r="J990" i="5"/>
  <c r="I992" i="5"/>
  <c r="J992" i="5"/>
  <c r="I993" i="5"/>
  <c r="J993" i="5"/>
  <c r="I994" i="5"/>
  <c r="J994" i="5"/>
  <c r="I995" i="5"/>
  <c r="J995" i="5"/>
  <c r="I996" i="5"/>
  <c r="J996" i="5"/>
  <c r="I997" i="5"/>
  <c r="J997" i="5"/>
  <c r="I998" i="5"/>
  <c r="J998" i="5"/>
  <c r="I1000" i="5"/>
  <c r="J1000" i="5"/>
  <c r="I1001" i="5"/>
  <c r="J1001" i="5"/>
  <c r="I1002" i="5"/>
  <c r="J1002" i="5"/>
  <c r="I1003" i="5"/>
  <c r="J1003" i="5"/>
  <c r="I1004" i="5"/>
  <c r="J1004" i="5"/>
  <c r="I1005" i="5"/>
  <c r="J1005" i="5"/>
  <c r="I1006" i="5"/>
  <c r="J1006" i="5"/>
  <c r="I1007" i="5"/>
  <c r="J1007" i="5"/>
  <c r="I1008" i="5"/>
  <c r="J1008" i="5"/>
  <c r="I1009" i="5"/>
  <c r="J1009" i="5"/>
  <c r="I1010" i="5"/>
  <c r="J1010" i="5"/>
  <c r="I1012" i="5"/>
  <c r="J1012" i="5"/>
  <c r="I1013" i="5"/>
  <c r="J1013" i="5"/>
  <c r="I1014" i="5"/>
  <c r="J1014" i="5"/>
  <c r="I1015" i="5"/>
  <c r="J1015" i="5"/>
  <c r="I1016" i="5"/>
  <c r="J1016" i="5"/>
  <c r="I1017" i="5"/>
  <c r="J1017" i="5"/>
  <c r="I1019" i="5"/>
  <c r="J1019" i="5"/>
  <c r="I1020" i="5"/>
  <c r="J1020" i="5"/>
  <c r="I1021" i="5"/>
  <c r="J1021" i="5"/>
  <c r="I1022" i="5"/>
  <c r="J1022" i="5"/>
  <c r="I1023" i="5"/>
  <c r="J1023" i="5"/>
  <c r="I1024" i="5"/>
  <c r="J1024" i="5"/>
  <c r="I1025" i="5"/>
  <c r="J1025" i="5"/>
  <c r="I1026" i="5"/>
  <c r="J1026" i="5"/>
  <c r="I1027" i="5"/>
  <c r="J1027" i="5"/>
  <c r="I1028" i="5"/>
  <c r="J1028" i="5"/>
  <c r="I1029" i="5"/>
  <c r="J1029" i="5"/>
  <c r="I1031" i="5"/>
  <c r="J1031" i="5"/>
  <c r="I1032" i="5"/>
  <c r="J1032" i="5"/>
  <c r="I1033" i="5"/>
  <c r="J1033" i="5"/>
  <c r="I1034" i="5"/>
  <c r="J1034" i="5"/>
  <c r="I1036" i="5"/>
  <c r="J1036" i="5"/>
  <c r="I1037" i="5"/>
  <c r="J1037" i="5"/>
  <c r="I1038" i="5"/>
  <c r="J1038" i="5"/>
  <c r="I1041" i="5"/>
  <c r="J1041" i="5"/>
  <c r="I1042" i="5"/>
  <c r="J1042" i="5"/>
  <c r="I1043" i="5"/>
  <c r="J1043" i="5"/>
  <c r="I1044" i="5"/>
  <c r="J1044" i="5"/>
  <c r="I1045" i="5"/>
  <c r="J1045" i="5"/>
  <c r="I1046" i="5"/>
  <c r="J1046" i="5"/>
  <c r="I1047" i="5"/>
  <c r="J1047" i="5"/>
  <c r="I1048" i="5"/>
  <c r="J1048" i="5"/>
  <c r="I1049" i="5"/>
  <c r="J1049" i="5"/>
  <c r="I1050" i="5"/>
  <c r="J1050" i="5"/>
  <c r="I1051" i="5"/>
  <c r="J1051" i="5"/>
  <c r="I1052" i="5"/>
  <c r="J1052" i="5"/>
  <c r="I1053" i="5"/>
  <c r="J1053" i="5"/>
  <c r="I1054" i="5"/>
  <c r="J1054" i="5"/>
  <c r="I1055" i="5"/>
  <c r="J1055" i="5"/>
  <c r="I1056" i="5"/>
  <c r="J1056" i="5"/>
  <c r="I1057" i="5"/>
  <c r="J1057" i="5"/>
  <c r="I1058" i="5"/>
  <c r="J1058" i="5"/>
  <c r="I1059" i="5"/>
  <c r="J1059" i="5"/>
  <c r="I1060" i="5"/>
  <c r="J1060" i="5"/>
  <c r="I1061" i="5"/>
  <c r="J1061" i="5"/>
  <c r="I1062" i="5"/>
  <c r="J1062" i="5"/>
  <c r="I1063" i="5"/>
  <c r="J1063" i="5"/>
  <c r="I1064" i="5"/>
  <c r="J1064" i="5"/>
  <c r="I1065" i="5"/>
  <c r="J1065" i="5"/>
  <c r="I1066" i="5"/>
  <c r="J1066" i="5"/>
  <c r="I1067" i="5"/>
  <c r="J1067" i="5"/>
  <c r="I1068" i="5"/>
  <c r="J1068" i="5"/>
  <c r="I1069" i="5"/>
  <c r="J1069" i="5"/>
  <c r="I1070" i="5"/>
  <c r="J1070" i="5"/>
  <c r="I1071" i="5"/>
  <c r="J1071" i="5"/>
  <c r="I1072" i="5"/>
  <c r="J1072" i="5"/>
  <c r="I1073" i="5"/>
  <c r="J1073" i="5"/>
  <c r="I1074" i="5"/>
  <c r="J1074" i="5"/>
  <c r="I1075" i="5"/>
  <c r="J1075" i="5"/>
  <c r="I1076" i="5"/>
  <c r="J1076" i="5"/>
  <c r="I1077" i="5"/>
  <c r="J1077" i="5"/>
  <c r="I1078" i="5"/>
  <c r="J1078" i="5"/>
  <c r="I1079" i="5"/>
  <c r="J1079" i="5"/>
  <c r="I1080" i="5"/>
  <c r="J1080" i="5"/>
  <c r="I1081" i="5"/>
  <c r="J1081" i="5"/>
  <c r="I1082" i="5"/>
  <c r="J1082" i="5"/>
  <c r="I1083" i="5"/>
  <c r="J1083" i="5"/>
  <c r="I1084" i="5"/>
  <c r="J1084" i="5"/>
  <c r="I1085" i="5"/>
  <c r="J1085" i="5"/>
  <c r="I1086" i="5"/>
  <c r="J1086" i="5"/>
  <c r="I1087" i="5"/>
  <c r="J1087" i="5"/>
  <c r="I1088" i="5"/>
  <c r="J1088" i="5"/>
  <c r="I1089" i="5"/>
  <c r="J1089" i="5"/>
  <c r="I1090" i="5"/>
  <c r="J1090" i="5"/>
  <c r="I1091" i="5"/>
  <c r="J1091" i="5"/>
  <c r="I1092" i="5"/>
  <c r="J1092" i="5"/>
  <c r="I1093" i="5"/>
  <c r="J1093" i="5"/>
  <c r="I1094" i="5"/>
  <c r="J1094" i="5"/>
  <c r="I1097" i="5"/>
  <c r="J1097" i="5"/>
  <c r="I1098" i="5"/>
  <c r="J1098" i="5"/>
  <c r="I1099" i="5"/>
  <c r="J1099" i="5"/>
  <c r="I1103" i="5"/>
  <c r="J1103" i="5"/>
  <c r="I1104" i="5"/>
  <c r="J1104" i="5"/>
  <c r="I1105" i="5"/>
  <c r="J1105" i="5"/>
  <c r="I1106" i="5"/>
  <c r="J1106" i="5"/>
  <c r="I1108" i="5"/>
  <c r="J1108" i="5"/>
  <c r="I1110" i="5"/>
  <c r="J1110" i="5"/>
  <c r="I1111" i="5"/>
  <c r="J1111" i="5"/>
  <c r="I1112" i="5"/>
  <c r="J1112" i="5"/>
  <c r="I1113" i="5"/>
  <c r="J1113" i="5"/>
  <c r="I1115" i="5"/>
  <c r="J1115" i="5"/>
  <c r="I1116" i="5"/>
  <c r="J1116" i="5"/>
  <c r="I1118" i="5"/>
  <c r="J1118" i="5"/>
  <c r="I1119" i="5"/>
  <c r="J1119" i="5"/>
  <c r="I1120" i="5"/>
  <c r="J1120" i="5"/>
  <c r="I1122" i="5"/>
  <c r="J1122" i="5"/>
  <c r="I1123" i="5"/>
  <c r="J1123" i="5"/>
  <c r="I1125" i="5"/>
  <c r="J1125" i="5"/>
  <c r="I1130" i="5"/>
  <c r="J1130" i="5"/>
  <c r="I1131" i="5"/>
  <c r="J1131" i="5"/>
  <c r="I1132" i="5"/>
  <c r="J1132" i="5"/>
  <c r="I1133" i="5"/>
  <c r="J1133" i="5"/>
  <c r="I1134" i="5"/>
  <c r="J1134" i="5"/>
  <c r="I1135" i="5"/>
  <c r="J1135" i="5"/>
  <c r="I1137" i="5"/>
  <c r="J1137" i="5"/>
  <c r="I1138" i="5"/>
  <c r="J1138" i="5"/>
  <c r="I1140" i="5"/>
  <c r="J1140" i="5"/>
  <c r="I1141" i="5"/>
  <c r="J1141" i="5"/>
  <c r="I1143" i="5"/>
  <c r="J1143" i="5"/>
  <c r="I1144" i="5"/>
  <c r="J1144" i="5"/>
  <c r="I1145" i="5"/>
  <c r="J1145" i="5"/>
  <c r="I1146" i="5"/>
  <c r="J1146" i="5"/>
  <c r="I1147" i="5"/>
  <c r="J1147" i="5"/>
  <c r="I1148" i="5"/>
  <c r="J1148" i="5"/>
  <c r="I1149" i="5"/>
  <c r="J1149" i="5"/>
  <c r="I1151" i="5"/>
  <c r="J1151" i="5"/>
  <c r="I1152" i="5"/>
  <c r="J1152" i="5"/>
  <c r="I1156" i="5"/>
  <c r="J1156" i="5"/>
  <c r="I1157" i="5"/>
  <c r="J1157" i="5"/>
  <c r="I1159" i="5"/>
  <c r="J1159" i="5"/>
  <c r="I1160" i="5"/>
  <c r="J1160" i="5"/>
  <c r="I1161" i="5"/>
  <c r="J1161" i="5"/>
  <c r="I1162" i="5"/>
  <c r="J1162" i="5"/>
  <c r="I1163" i="5"/>
  <c r="J1163" i="5"/>
  <c r="I1165" i="5"/>
  <c r="J1165" i="5"/>
  <c r="I1166" i="5"/>
  <c r="J1166" i="5"/>
  <c r="I1168" i="5"/>
  <c r="J1168" i="5"/>
  <c r="I1170" i="5"/>
  <c r="J1170" i="5"/>
  <c r="I1171" i="5"/>
  <c r="J1171" i="5"/>
  <c r="I1175" i="5"/>
  <c r="J1175" i="5"/>
  <c r="I1176" i="5"/>
  <c r="J1176" i="5"/>
  <c r="I1177" i="5"/>
  <c r="J1177" i="5"/>
  <c r="I1178" i="5"/>
  <c r="J1178" i="5"/>
  <c r="I1179" i="5"/>
  <c r="J1179" i="5"/>
  <c r="I1181" i="5"/>
  <c r="J1181" i="5"/>
  <c r="I1183" i="5"/>
  <c r="J1183" i="5"/>
  <c r="I1184" i="5"/>
  <c r="J1184" i="5"/>
  <c r="I1185" i="5"/>
  <c r="J1185" i="5"/>
  <c r="I1186" i="5"/>
  <c r="J1186" i="5"/>
  <c r="I1187" i="5"/>
  <c r="J1187" i="5"/>
  <c r="I1188" i="5"/>
  <c r="J1188" i="5"/>
  <c r="I1189" i="5"/>
  <c r="J1189" i="5"/>
  <c r="I1190" i="5"/>
  <c r="J1190" i="5"/>
  <c r="I1192" i="5"/>
  <c r="J1192" i="5"/>
  <c r="I1193" i="5"/>
  <c r="J1193" i="5"/>
  <c r="I1195" i="5"/>
  <c r="J1195" i="5"/>
  <c r="I1196" i="5"/>
  <c r="J1196" i="5"/>
  <c r="I1197" i="5"/>
  <c r="J1197" i="5"/>
  <c r="I1198" i="5"/>
  <c r="J1198" i="5"/>
  <c r="I1199" i="5"/>
  <c r="J1199" i="5"/>
  <c r="I1201" i="5"/>
  <c r="J1201" i="5"/>
  <c r="I1202" i="5"/>
  <c r="J1202" i="5"/>
  <c r="I1204" i="5"/>
  <c r="J1204" i="5"/>
  <c r="I1206" i="5"/>
  <c r="J1206" i="5"/>
  <c r="I1208" i="5"/>
  <c r="J1208" i="5"/>
  <c r="I1210" i="5"/>
  <c r="J1210" i="5"/>
  <c r="I1211" i="5"/>
  <c r="J1211" i="5"/>
  <c r="I1212" i="5"/>
  <c r="J1212" i="5"/>
  <c r="I1213" i="5"/>
  <c r="J1213" i="5"/>
  <c r="I1214" i="5"/>
  <c r="J1214" i="5"/>
  <c r="I1217" i="5"/>
  <c r="J1217" i="5"/>
  <c r="I1218" i="5"/>
  <c r="J1218" i="5"/>
  <c r="I1219" i="5"/>
  <c r="J1219" i="5"/>
  <c r="I1220" i="5"/>
  <c r="J1220" i="5"/>
  <c r="I1222" i="5"/>
  <c r="J1222" i="5"/>
  <c r="I1223" i="5"/>
  <c r="J1223" i="5"/>
  <c r="I1224" i="5"/>
  <c r="J1224" i="5"/>
  <c r="I1225" i="5"/>
  <c r="J1225" i="5"/>
  <c r="I1226" i="5"/>
  <c r="J1226" i="5"/>
  <c r="I1227" i="5"/>
  <c r="J1227" i="5"/>
  <c r="I1228" i="5"/>
  <c r="J1228" i="5"/>
  <c r="I1229" i="5"/>
  <c r="J1229" i="5"/>
  <c r="I1230" i="5"/>
  <c r="J1230" i="5"/>
  <c r="I1231" i="5"/>
  <c r="J1231" i="5"/>
  <c r="I1232" i="5"/>
  <c r="J1232" i="5"/>
  <c r="I1234" i="5"/>
  <c r="J1234" i="5"/>
  <c r="I1235" i="5"/>
  <c r="J1235" i="5"/>
  <c r="I1236" i="5"/>
  <c r="J1236" i="5"/>
  <c r="I1238" i="5"/>
  <c r="J1238" i="5"/>
  <c r="I1239" i="5"/>
  <c r="J1239" i="5"/>
  <c r="I1241" i="5"/>
  <c r="J1241" i="5"/>
  <c r="I1242" i="5"/>
  <c r="J1242" i="5"/>
  <c r="I1243" i="5"/>
  <c r="J1243" i="5"/>
  <c r="I1245" i="5"/>
  <c r="J1245" i="5"/>
  <c r="I1246" i="5"/>
  <c r="J1246" i="5"/>
  <c r="I1251" i="5"/>
  <c r="J1251" i="5"/>
  <c r="I1252" i="5"/>
  <c r="J1252" i="5"/>
  <c r="I1253" i="5"/>
  <c r="J1253" i="5"/>
  <c r="I1256" i="5"/>
  <c r="J1256" i="5"/>
  <c r="I1257" i="5"/>
  <c r="J1257" i="5"/>
  <c r="I1260" i="5"/>
  <c r="J1260" i="5"/>
  <c r="I1261" i="5"/>
  <c r="J1261" i="5"/>
  <c r="I1262" i="5"/>
  <c r="J1262" i="5"/>
  <c r="I1263" i="5"/>
  <c r="J1263" i="5"/>
  <c r="I1264" i="5"/>
  <c r="J1264" i="5"/>
  <c r="I1265" i="5"/>
  <c r="J1265" i="5"/>
  <c r="I1268" i="5"/>
  <c r="J1268" i="5"/>
  <c r="I1269" i="5"/>
  <c r="J1269" i="5"/>
  <c r="I1270" i="5"/>
  <c r="J1270" i="5"/>
  <c r="I1273" i="5"/>
  <c r="J1273" i="5"/>
  <c r="I1274" i="5"/>
  <c r="J1274" i="5"/>
  <c r="I1275" i="5"/>
  <c r="J1275" i="5"/>
  <c r="I1276" i="5"/>
  <c r="J1276" i="5"/>
  <c r="I1277" i="5"/>
  <c r="J1277" i="5"/>
  <c r="I1278" i="5"/>
  <c r="J1278" i="5"/>
  <c r="I1279" i="5"/>
  <c r="J1279" i="5"/>
  <c r="I1280" i="5"/>
  <c r="J1280" i="5"/>
  <c r="I1281" i="5"/>
  <c r="J1281" i="5"/>
  <c r="I1282" i="5"/>
  <c r="J1282" i="5"/>
  <c r="I1283" i="5"/>
  <c r="J1283" i="5"/>
  <c r="I1284" i="5"/>
  <c r="J1284" i="5"/>
  <c r="I1288" i="5"/>
  <c r="J1288" i="5"/>
  <c r="I1289" i="5"/>
  <c r="J1289" i="5"/>
  <c r="I1290" i="5"/>
  <c r="J1290" i="5"/>
  <c r="I1292" i="5"/>
  <c r="J1292" i="5"/>
  <c r="I1293" i="5"/>
  <c r="J1293" i="5"/>
  <c r="I1294" i="5"/>
  <c r="J1294" i="5"/>
  <c r="I1295" i="5"/>
  <c r="J1295" i="5"/>
  <c r="I1296" i="5"/>
  <c r="J1296" i="5"/>
  <c r="I1297" i="5"/>
  <c r="J1297" i="5"/>
  <c r="I1299" i="5"/>
  <c r="J1299" i="5"/>
  <c r="I1300" i="5"/>
  <c r="J1300" i="5"/>
  <c r="I1303" i="5"/>
  <c r="J1303" i="5"/>
  <c r="I1304" i="5"/>
  <c r="J1304" i="5"/>
  <c r="I1305" i="5"/>
  <c r="J1305" i="5"/>
  <c r="I1306" i="5"/>
  <c r="J1306" i="5"/>
  <c r="I1307" i="5"/>
  <c r="J1307" i="5"/>
  <c r="I1308" i="5"/>
  <c r="J1308" i="5"/>
  <c r="I1309" i="5"/>
  <c r="J1309" i="5"/>
  <c r="I1310" i="5"/>
  <c r="J1310" i="5"/>
  <c r="I1311" i="5"/>
  <c r="J1311" i="5"/>
  <c r="I1312" i="5"/>
  <c r="J1312" i="5"/>
  <c r="I1313" i="5"/>
  <c r="J1313" i="5"/>
  <c r="I1314" i="5"/>
  <c r="J1314" i="5"/>
  <c r="I1315" i="5"/>
  <c r="J1315" i="5"/>
  <c r="I1318" i="5"/>
  <c r="J1318" i="5"/>
  <c r="I1319" i="5"/>
  <c r="J1319" i="5"/>
  <c r="I1320" i="5"/>
  <c r="J1320" i="5"/>
  <c r="I1321" i="5"/>
  <c r="J1321" i="5"/>
  <c r="I1322" i="5"/>
  <c r="J1322" i="5"/>
  <c r="I1323" i="5"/>
  <c r="J1323" i="5"/>
  <c r="I1324" i="5"/>
  <c r="J1324" i="5"/>
  <c r="I1325" i="5"/>
  <c r="J1325" i="5"/>
  <c r="I1326" i="5"/>
  <c r="J1326" i="5"/>
  <c r="I1327" i="5"/>
  <c r="J1327" i="5"/>
  <c r="I1328" i="5"/>
  <c r="J1328" i="5"/>
  <c r="I1329" i="5"/>
  <c r="J1329" i="5"/>
  <c r="I1332" i="5"/>
  <c r="J1332" i="5"/>
  <c r="I1333" i="5"/>
  <c r="J1333" i="5"/>
  <c r="I1334" i="5"/>
  <c r="J1334" i="5"/>
  <c r="I1335" i="5"/>
  <c r="J1335" i="5"/>
  <c r="I1336" i="5"/>
  <c r="J1336" i="5"/>
  <c r="I1337" i="5"/>
  <c r="J1337" i="5"/>
  <c r="I1338" i="5"/>
  <c r="J1338" i="5"/>
  <c r="I1339" i="5"/>
  <c r="J1339" i="5"/>
  <c r="I1340" i="5"/>
  <c r="J1340" i="5"/>
  <c r="I1341" i="5"/>
  <c r="J1341" i="5"/>
  <c r="I1342" i="5"/>
  <c r="J1342" i="5"/>
  <c r="I1343" i="5"/>
  <c r="J1343" i="5"/>
  <c r="I1344" i="5"/>
  <c r="J1344" i="5"/>
  <c r="I1345" i="5"/>
  <c r="J1345" i="5"/>
  <c r="I1346" i="5"/>
  <c r="J1346" i="5"/>
  <c r="I1347" i="5"/>
  <c r="J1347" i="5"/>
  <c r="I1350" i="5"/>
  <c r="J1350" i="5"/>
  <c r="I1351" i="5"/>
  <c r="J1351" i="5"/>
  <c r="I1352" i="5"/>
  <c r="J1352" i="5"/>
  <c r="I1353" i="5"/>
  <c r="J1353" i="5"/>
  <c r="I1354" i="5"/>
  <c r="J1354" i="5"/>
  <c r="I1355" i="5"/>
  <c r="J1355" i="5"/>
  <c r="I1356" i="5"/>
  <c r="J1356" i="5"/>
  <c r="I1359" i="5"/>
  <c r="J1359" i="5"/>
  <c r="I1360" i="5"/>
  <c r="J1360" i="5"/>
  <c r="I1361" i="5"/>
  <c r="J1361" i="5"/>
  <c r="I1362" i="5"/>
  <c r="J1362" i="5"/>
  <c r="I1363" i="5"/>
  <c r="J1363" i="5"/>
  <c r="I1364" i="5"/>
  <c r="J1364" i="5"/>
  <c r="I1365" i="5"/>
  <c r="J1365" i="5"/>
  <c r="I1366" i="5"/>
  <c r="J1366" i="5"/>
  <c r="I1367" i="5"/>
  <c r="J1367" i="5"/>
  <c r="I1368" i="5"/>
  <c r="J1368" i="5"/>
  <c r="I1369" i="5"/>
  <c r="J1369" i="5"/>
  <c r="I1370" i="5"/>
  <c r="J1370" i="5"/>
  <c r="I1371" i="5"/>
  <c r="J1371" i="5"/>
  <c r="I1374" i="5"/>
  <c r="J1374" i="5"/>
  <c r="I1375" i="5"/>
  <c r="J1375" i="5"/>
  <c r="I1376" i="5"/>
  <c r="J1376" i="5"/>
  <c r="I1377" i="5"/>
  <c r="J1377" i="5"/>
  <c r="I1378" i="5"/>
  <c r="J1378" i="5"/>
  <c r="I1379" i="5"/>
  <c r="J1379" i="5"/>
  <c r="I1382" i="5"/>
  <c r="J1382" i="5"/>
  <c r="I1383" i="5"/>
  <c r="J1383" i="5"/>
  <c r="I1384" i="5"/>
  <c r="J1384" i="5"/>
  <c r="I1385" i="5"/>
  <c r="J1385" i="5"/>
  <c r="I1386" i="5"/>
  <c r="J1386" i="5"/>
  <c r="I1387" i="5"/>
  <c r="J1387" i="5"/>
  <c r="I1391" i="5"/>
  <c r="J1391" i="5"/>
  <c r="I1392" i="5"/>
  <c r="J1392" i="5"/>
  <c r="I1393" i="5"/>
  <c r="J1393" i="5"/>
  <c r="I1395" i="5"/>
  <c r="J1395" i="5"/>
  <c r="I1396" i="5"/>
  <c r="J1396" i="5"/>
  <c r="I1397" i="5"/>
  <c r="J1397" i="5"/>
  <c r="I1398" i="5"/>
  <c r="J1398" i="5"/>
  <c r="I1400" i="5"/>
  <c r="J1400" i="5"/>
  <c r="I1402" i="5"/>
  <c r="J1402" i="5"/>
  <c r="I1403" i="5"/>
  <c r="J1403" i="5"/>
  <c r="I1404" i="5"/>
  <c r="J1404" i="5"/>
  <c r="I1406" i="5"/>
  <c r="J1406" i="5"/>
  <c r="I1411" i="5"/>
  <c r="J1411" i="5"/>
  <c r="I1412" i="5"/>
  <c r="J1412" i="5"/>
  <c r="I1413" i="5"/>
  <c r="J1413" i="5"/>
  <c r="I1414" i="5"/>
  <c r="J1414" i="5"/>
  <c r="I1415" i="5"/>
  <c r="J1415" i="5"/>
  <c r="I1416" i="5"/>
  <c r="J1416" i="5"/>
  <c r="I1417" i="5"/>
  <c r="J1417" i="5"/>
  <c r="I1419" i="5"/>
  <c r="J1419" i="5"/>
  <c r="I1420" i="5"/>
  <c r="J1420" i="5"/>
  <c r="I1422" i="5"/>
  <c r="J1422" i="5"/>
  <c r="I1423" i="5"/>
  <c r="J1423" i="5"/>
  <c r="I1424" i="5"/>
  <c r="J1424" i="5"/>
  <c r="I1425" i="5"/>
  <c r="J1425" i="5"/>
  <c r="I1427" i="5"/>
  <c r="J1427" i="5"/>
  <c r="I1428" i="5"/>
  <c r="J1428" i="5"/>
  <c r="I1430" i="5"/>
  <c r="J1430" i="5"/>
  <c r="I1431" i="5"/>
  <c r="J1431" i="5"/>
  <c r="I1432" i="5"/>
  <c r="J1432" i="5"/>
  <c r="I1433" i="5"/>
  <c r="J1433" i="5"/>
  <c r="I1434" i="5"/>
  <c r="J1434" i="5"/>
  <c r="I1435" i="5"/>
  <c r="J1435" i="5"/>
  <c r="I1436" i="5"/>
  <c r="J1436" i="5"/>
  <c r="I1437" i="5"/>
  <c r="J1437" i="5"/>
  <c r="I1440" i="5"/>
  <c r="J1440" i="5"/>
  <c r="I1441" i="5"/>
  <c r="J1441" i="5"/>
  <c r="I1443" i="5"/>
  <c r="J1443" i="5"/>
  <c r="I1445" i="5"/>
  <c r="J1445" i="5"/>
  <c r="I1447" i="5"/>
  <c r="J1447" i="5"/>
  <c r="I1449" i="5"/>
  <c r="J1449" i="5"/>
  <c r="I1450" i="5"/>
  <c r="J1450" i="5"/>
  <c r="I1451" i="5"/>
  <c r="J1451" i="5"/>
  <c r="I1452" i="5"/>
  <c r="J1452" i="5"/>
  <c r="I1453" i="5"/>
  <c r="J1453" i="5"/>
  <c r="I1454" i="5"/>
  <c r="J1454" i="5"/>
  <c r="I1456" i="5"/>
  <c r="J1456" i="5"/>
  <c r="I1457" i="5"/>
  <c r="J1457" i="5"/>
  <c r="I1458" i="5"/>
  <c r="J1458" i="5"/>
  <c r="I1459" i="5"/>
  <c r="J1459" i="5"/>
  <c r="I1460" i="5"/>
  <c r="J1460" i="5"/>
  <c r="I1461" i="5"/>
  <c r="J1461" i="5"/>
  <c r="I1462" i="5"/>
  <c r="J1462" i="5"/>
  <c r="I1463" i="5"/>
  <c r="J1463" i="5"/>
  <c r="I1464" i="5"/>
  <c r="J1464" i="5"/>
  <c r="I1465" i="5"/>
  <c r="J1465" i="5"/>
  <c r="I1466" i="5"/>
  <c r="J1466" i="5"/>
  <c r="I1467" i="5"/>
  <c r="J1467" i="5"/>
  <c r="I1468" i="5"/>
  <c r="J1468" i="5"/>
  <c r="I1469" i="5"/>
  <c r="J1469" i="5"/>
  <c r="I1470" i="5"/>
  <c r="J1470" i="5"/>
  <c r="I1472" i="5"/>
  <c r="J1472" i="5"/>
  <c r="I1473" i="5"/>
  <c r="J1473" i="5"/>
  <c r="I1474" i="5"/>
  <c r="J1474" i="5"/>
  <c r="I1475" i="5"/>
  <c r="J1475" i="5"/>
  <c r="I1476" i="5"/>
  <c r="J1476" i="5"/>
  <c r="I1477" i="5"/>
  <c r="J1477" i="5"/>
  <c r="I1478" i="5"/>
  <c r="J1478" i="5"/>
  <c r="I1480" i="5"/>
  <c r="J1480" i="5"/>
  <c r="I1484" i="5"/>
  <c r="J1484" i="5"/>
  <c r="I1485" i="5"/>
  <c r="J1485" i="5"/>
  <c r="I1486" i="5"/>
  <c r="J1486" i="5"/>
  <c r="I1490" i="5"/>
  <c r="J1490" i="5"/>
  <c r="I1491" i="5"/>
  <c r="J1491" i="5"/>
  <c r="I1492" i="5"/>
  <c r="J1492" i="5"/>
  <c r="I1493" i="5"/>
  <c r="J1493" i="5"/>
  <c r="I1494" i="5"/>
  <c r="J1494" i="5"/>
  <c r="I1495" i="5"/>
  <c r="J1495" i="5"/>
  <c r="I1497" i="5"/>
  <c r="J1497" i="5"/>
  <c r="I1498" i="5"/>
  <c r="J1498" i="5"/>
  <c r="I1499" i="5"/>
  <c r="J1499" i="5"/>
  <c r="I1500" i="5"/>
  <c r="J1500" i="5"/>
  <c r="I1501" i="5"/>
  <c r="J1501" i="5"/>
  <c r="I1502" i="5"/>
  <c r="J1502" i="5"/>
  <c r="I1508" i="5"/>
  <c r="J1508" i="5"/>
  <c r="I1509" i="5"/>
  <c r="J1509" i="5"/>
  <c r="I1511" i="5"/>
  <c r="J1511" i="5"/>
  <c r="I1513" i="5"/>
  <c r="J1513" i="5"/>
  <c r="I1514" i="5"/>
  <c r="J1514" i="5"/>
  <c r="I1516" i="5"/>
  <c r="J1516" i="5"/>
  <c r="I1517" i="5"/>
  <c r="J1517" i="5"/>
  <c r="I1519" i="5"/>
  <c r="J1519" i="5"/>
  <c r="I1521" i="5"/>
  <c r="J1521" i="5"/>
  <c r="I1523" i="5"/>
  <c r="J1523" i="5"/>
  <c r="I1524" i="5"/>
  <c r="J1524" i="5"/>
  <c r="I1526" i="5"/>
  <c r="J1526" i="5"/>
  <c r="I1528" i="5"/>
  <c r="J1528" i="5"/>
  <c r="I1529" i="5"/>
  <c r="J1529" i="5"/>
  <c r="I1532" i="5"/>
  <c r="J1532" i="5"/>
  <c r="I1534" i="5"/>
  <c r="J1534" i="5"/>
  <c r="I1535" i="5"/>
  <c r="J1535" i="5"/>
  <c r="I1537" i="5"/>
  <c r="J1537" i="5"/>
  <c r="I1539" i="5"/>
  <c r="J1539" i="5"/>
  <c r="I1541" i="5"/>
  <c r="J1541" i="5"/>
  <c r="I1545" i="5"/>
  <c r="J1545" i="5"/>
  <c r="I1546" i="5"/>
  <c r="J1546" i="5"/>
  <c r="I1547" i="5"/>
  <c r="J1547" i="5"/>
  <c r="I1548" i="5"/>
  <c r="J1548" i="5"/>
  <c r="I1549" i="5"/>
  <c r="J1549" i="5"/>
  <c r="I1550" i="5"/>
  <c r="J1550" i="5"/>
  <c r="I1551" i="5"/>
  <c r="J1551" i="5"/>
  <c r="I1552" i="5"/>
  <c r="J1552" i="5"/>
  <c r="I1553" i="5"/>
  <c r="J1553" i="5"/>
  <c r="I1554" i="5"/>
  <c r="J1554" i="5"/>
  <c r="I1555" i="5"/>
  <c r="J1555" i="5"/>
  <c r="I1556" i="5"/>
  <c r="J1556" i="5"/>
  <c r="I1557" i="5"/>
  <c r="J1557" i="5"/>
  <c r="I1561" i="5"/>
  <c r="I1562" i="5" s="1"/>
  <c r="J1561" i="5"/>
  <c r="J1562" i="5" s="1"/>
  <c r="I1566" i="5"/>
  <c r="J1566" i="5"/>
  <c r="I1567" i="5"/>
  <c r="J1567" i="5"/>
  <c r="I1568" i="5"/>
  <c r="J1568" i="5"/>
  <c r="I1569" i="5"/>
  <c r="J1569" i="5"/>
  <c r="I1570" i="5"/>
  <c r="J1570" i="5"/>
  <c r="I1571" i="5"/>
  <c r="J1571" i="5"/>
  <c r="I1572" i="5"/>
  <c r="J1572" i="5"/>
  <c r="I1573" i="5"/>
  <c r="J1573" i="5"/>
  <c r="I1574" i="5"/>
  <c r="J1574" i="5"/>
  <c r="I1575" i="5"/>
  <c r="J1575" i="5"/>
  <c r="I1576" i="5"/>
  <c r="J1576" i="5"/>
  <c r="I1577" i="5"/>
  <c r="J1577" i="5"/>
  <c r="I1578" i="5"/>
  <c r="J1578" i="5"/>
  <c r="I1581" i="5"/>
  <c r="J1581" i="5"/>
  <c r="I1582" i="5"/>
  <c r="J1582" i="5"/>
  <c r="I1594" i="5"/>
  <c r="J1594" i="5"/>
  <c r="I1595" i="5"/>
  <c r="J1595" i="5"/>
  <c r="I1596" i="5"/>
  <c r="J1596" i="5"/>
  <c r="I1597" i="5"/>
  <c r="J1597" i="5"/>
  <c r="I1601" i="5"/>
  <c r="I1610" i="5" s="1"/>
  <c r="J1601" i="5"/>
  <c r="I1602" i="5"/>
  <c r="J1602" i="5"/>
  <c r="I1603" i="5"/>
  <c r="J1603" i="5"/>
  <c r="I1604" i="5"/>
  <c r="J1604" i="5"/>
  <c r="I1606" i="5"/>
  <c r="J1606" i="5"/>
  <c r="I1607" i="5"/>
  <c r="J1607" i="5"/>
  <c r="I1608" i="5"/>
  <c r="J1608" i="5"/>
  <c r="I1609" i="5"/>
  <c r="J1609" i="5"/>
  <c r="I1613" i="5"/>
  <c r="J1613" i="5"/>
  <c r="I1614" i="5"/>
  <c r="J1614" i="5"/>
  <c r="I1615" i="5"/>
  <c r="J1615" i="5"/>
  <c r="I1616" i="5"/>
  <c r="J1616" i="5"/>
  <c r="I1618" i="5"/>
  <c r="J1618" i="5"/>
  <c r="I1619" i="5"/>
  <c r="J1619" i="5"/>
  <c r="I1620" i="5"/>
  <c r="J1620" i="5"/>
  <c r="I1621" i="5"/>
  <c r="J1621" i="5"/>
  <c r="I1623" i="5"/>
  <c r="J1623" i="5"/>
  <c r="I1624" i="5"/>
  <c r="J1624" i="5"/>
  <c r="I1625" i="5"/>
  <c r="J1625" i="5"/>
  <c r="I1626" i="5"/>
  <c r="J1626" i="5"/>
  <c r="I1628" i="5"/>
  <c r="J1628" i="5"/>
  <c r="I1629" i="5"/>
  <c r="J1629" i="5"/>
  <c r="I1630" i="5"/>
  <c r="J1630" i="5"/>
  <c r="I1631" i="5"/>
  <c r="J1631" i="5"/>
  <c r="I1635" i="5"/>
  <c r="J1635" i="5"/>
  <c r="I1636" i="5"/>
  <c r="J1636" i="5"/>
  <c r="I1637" i="5"/>
  <c r="J1637" i="5"/>
  <c r="I1638" i="5"/>
  <c r="J1638" i="5"/>
  <c r="I1639" i="5"/>
  <c r="J1639" i="5"/>
  <c r="I1640" i="5"/>
  <c r="J1640" i="5"/>
  <c r="I1641" i="5"/>
  <c r="J1641" i="5"/>
  <c r="I1642" i="5"/>
  <c r="J1642" i="5"/>
  <c r="I1646" i="5"/>
  <c r="J1646" i="5"/>
  <c r="I1647" i="5"/>
  <c r="J1647" i="5"/>
  <c r="I1648" i="5"/>
  <c r="J1648" i="5"/>
  <c r="I1649" i="5"/>
  <c r="J1649" i="5"/>
  <c r="I1650" i="5"/>
  <c r="J1650" i="5"/>
  <c r="I1651" i="5"/>
  <c r="J1651" i="5"/>
  <c r="I1652" i="5"/>
  <c r="J1652" i="5"/>
  <c r="I1656" i="5"/>
  <c r="J1656" i="5"/>
  <c r="I1658" i="5"/>
  <c r="J1658" i="5"/>
  <c r="I1659" i="5"/>
  <c r="J1659" i="5"/>
  <c r="I1660" i="5"/>
  <c r="J1660" i="5"/>
  <c r="I1661" i="5"/>
  <c r="J1661" i="5"/>
  <c r="I1662" i="5"/>
  <c r="J1662" i="5"/>
  <c r="I1663" i="5"/>
  <c r="J1663" i="5"/>
  <c r="I1664" i="5"/>
  <c r="J1664" i="5"/>
  <c r="I1665" i="5"/>
  <c r="J1665" i="5"/>
  <c r="I1666" i="5"/>
  <c r="J1666" i="5"/>
  <c r="I1667" i="5"/>
  <c r="J1667" i="5"/>
  <c r="I1668" i="5"/>
  <c r="J1668" i="5"/>
  <c r="I1669" i="5"/>
  <c r="J1669" i="5"/>
  <c r="I1670" i="5"/>
  <c r="J1670" i="5"/>
  <c r="I1671" i="5"/>
  <c r="J1671" i="5"/>
  <c r="I1672" i="5"/>
  <c r="J1672" i="5"/>
  <c r="I1673" i="5"/>
  <c r="J1673" i="5"/>
  <c r="I1674" i="5"/>
  <c r="J1674" i="5"/>
  <c r="I1675" i="5"/>
  <c r="J1675" i="5"/>
  <c r="I1676" i="5"/>
  <c r="J1676" i="5"/>
  <c r="I1677" i="5"/>
  <c r="J1677" i="5"/>
  <c r="I1679" i="5"/>
  <c r="J1679" i="5"/>
  <c r="I1680" i="5"/>
  <c r="J1680" i="5"/>
  <c r="I1681" i="5"/>
  <c r="J1681" i="5"/>
  <c r="I1685" i="5"/>
  <c r="J1685" i="5"/>
  <c r="I1686" i="5"/>
  <c r="J1686" i="5"/>
  <c r="I1689" i="5"/>
  <c r="J1689" i="5"/>
  <c r="I1690" i="5"/>
  <c r="J1690" i="5"/>
  <c r="I1691" i="5"/>
  <c r="J1691" i="5"/>
  <c r="I1692" i="5"/>
  <c r="J1692" i="5"/>
  <c r="I1693" i="5"/>
  <c r="J1693" i="5"/>
  <c r="I1694" i="5"/>
  <c r="J1694" i="5"/>
  <c r="I1697" i="5"/>
  <c r="J1697" i="5"/>
  <c r="I1698" i="5"/>
  <c r="J1698" i="5"/>
  <c r="I1699" i="5"/>
  <c r="J1699" i="5"/>
  <c r="I1700" i="5"/>
  <c r="J1700" i="5"/>
  <c r="I1705" i="5"/>
  <c r="J1705" i="5"/>
  <c r="I1706" i="5"/>
  <c r="J1706" i="5"/>
  <c r="I1707" i="5"/>
  <c r="J1707" i="5"/>
  <c r="I1709" i="5"/>
  <c r="J1709" i="5"/>
  <c r="I1713" i="5"/>
  <c r="J1713" i="5"/>
  <c r="I1714" i="5"/>
  <c r="J1714" i="5"/>
  <c r="I1715" i="5"/>
  <c r="J1715" i="5"/>
  <c r="I1716" i="5"/>
  <c r="J1716" i="5"/>
  <c r="I1720" i="5"/>
  <c r="J1720" i="5"/>
  <c r="I1721" i="5"/>
  <c r="J1721" i="5"/>
  <c r="I1722" i="5"/>
  <c r="J1722" i="5"/>
  <c r="I1723" i="5"/>
  <c r="J1723" i="5"/>
  <c r="I1724" i="5"/>
  <c r="J1724" i="5"/>
  <c r="I1725" i="5"/>
  <c r="J1725" i="5"/>
  <c r="I1726" i="5"/>
  <c r="J1726" i="5"/>
  <c r="I1729" i="5"/>
  <c r="J1729" i="5"/>
  <c r="I1730" i="5"/>
  <c r="J1730" i="5"/>
  <c r="I1731" i="5"/>
  <c r="J1731" i="5"/>
  <c r="I1732" i="5"/>
  <c r="J1732" i="5"/>
  <c r="I1736" i="5"/>
  <c r="J1736" i="5"/>
  <c r="I1737" i="5"/>
  <c r="J1737" i="5"/>
  <c r="I1738" i="5"/>
  <c r="J1738" i="5"/>
  <c r="I1740" i="5"/>
  <c r="J1740" i="5"/>
  <c r="I1742" i="5"/>
  <c r="J1742" i="5"/>
  <c r="I1743" i="5"/>
  <c r="J1743" i="5"/>
  <c r="I1745" i="5"/>
  <c r="J1745" i="5"/>
  <c r="I1746" i="5"/>
  <c r="J1746" i="5"/>
  <c r="I1747" i="5"/>
  <c r="J1747" i="5"/>
  <c r="I1750" i="5"/>
  <c r="J1750" i="5"/>
  <c r="I1751" i="5"/>
  <c r="J1751" i="5"/>
  <c r="I1752" i="5"/>
  <c r="J1752" i="5"/>
  <c r="I1753" i="5"/>
  <c r="J1753" i="5"/>
  <c r="I1754" i="5"/>
  <c r="J1754" i="5"/>
  <c r="I1755" i="5"/>
  <c r="J1755" i="5"/>
  <c r="I1756" i="5"/>
  <c r="J1756" i="5"/>
  <c r="I1757" i="5"/>
  <c r="J1757" i="5"/>
  <c r="I1758" i="5"/>
  <c r="J1758" i="5"/>
  <c r="I1759" i="5"/>
  <c r="J1759" i="5"/>
  <c r="I1760" i="5"/>
  <c r="J1760" i="5"/>
  <c r="I1761" i="5"/>
  <c r="J1761" i="5"/>
  <c r="I1762" i="5"/>
  <c r="J1762" i="5"/>
  <c r="I1763" i="5"/>
  <c r="J1763" i="5"/>
  <c r="I1764" i="5"/>
  <c r="J1764" i="5"/>
  <c r="I1765" i="5"/>
  <c r="J1765" i="5"/>
  <c r="I1766" i="5"/>
  <c r="J1766" i="5"/>
  <c r="I1767" i="5"/>
  <c r="J1767" i="5"/>
  <c r="I1768" i="5"/>
  <c r="J1768" i="5"/>
  <c r="I1769" i="5"/>
  <c r="J1769" i="5"/>
  <c r="I1770" i="5"/>
  <c r="J1770" i="5"/>
  <c r="I1775" i="5"/>
  <c r="I1837" i="5" s="1"/>
  <c r="J1775" i="5"/>
  <c r="I1776" i="5"/>
  <c r="J1776" i="5"/>
  <c r="I1777" i="5"/>
  <c r="J1777" i="5"/>
  <c r="I1778" i="5"/>
  <c r="J1778" i="5"/>
  <c r="I1779" i="5"/>
  <c r="J1779" i="5"/>
  <c r="I1781" i="5"/>
  <c r="J1781" i="5"/>
  <c r="I1782" i="5"/>
  <c r="J1782" i="5"/>
  <c r="I1783" i="5"/>
  <c r="J1783" i="5"/>
  <c r="I1784" i="5"/>
  <c r="J1784" i="5"/>
  <c r="I1785" i="5"/>
  <c r="J1785" i="5"/>
  <c r="I1786" i="5"/>
  <c r="J1786" i="5"/>
  <c r="I1787" i="5"/>
  <c r="J1787" i="5"/>
  <c r="I1788" i="5"/>
  <c r="J1788" i="5"/>
  <c r="I1790" i="5"/>
  <c r="J1790" i="5"/>
  <c r="I1791" i="5"/>
  <c r="J1791" i="5"/>
  <c r="I1792" i="5"/>
  <c r="J1792" i="5"/>
  <c r="I1793" i="5"/>
  <c r="J1793" i="5"/>
  <c r="I1794" i="5"/>
  <c r="J1794" i="5"/>
  <c r="I1795" i="5"/>
  <c r="J1795" i="5"/>
  <c r="I1796" i="5"/>
  <c r="J1796" i="5"/>
  <c r="I1798" i="5"/>
  <c r="J1798" i="5"/>
  <c r="I1799" i="5"/>
  <c r="J1799" i="5"/>
  <c r="I1800" i="5"/>
  <c r="J1800" i="5"/>
  <c r="I1801" i="5"/>
  <c r="J1801" i="5"/>
  <c r="I1802" i="5"/>
  <c r="J1802" i="5"/>
  <c r="I1803" i="5"/>
  <c r="J1803" i="5"/>
  <c r="I1804" i="5"/>
  <c r="J1804" i="5"/>
  <c r="I1805" i="5"/>
  <c r="J1805" i="5"/>
  <c r="I1806" i="5"/>
  <c r="J1806" i="5"/>
  <c r="I1807" i="5"/>
  <c r="J1807" i="5"/>
  <c r="I1808" i="5"/>
  <c r="J1808" i="5"/>
  <c r="I1810" i="5"/>
  <c r="J1810" i="5"/>
  <c r="I1811" i="5"/>
  <c r="J1811" i="5"/>
  <c r="I1812" i="5"/>
  <c r="J1812" i="5"/>
  <c r="I1813" i="5"/>
  <c r="J1813" i="5"/>
  <c r="I1814" i="5"/>
  <c r="J1814" i="5"/>
  <c r="I1815" i="5"/>
  <c r="J1815" i="5"/>
  <c r="I1817" i="5"/>
  <c r="J1817" i="5"/>
  <c r="I1818" i="5"/>
  <c r="J1818" i="5"/>
  <c r="I1819" i="5"/>
  <c r="J1819" i="5"/>
  <c r="I1820" i="5"/>
  <c r="J1820" i="5"/>
  <c r="I1821" i="5"/>
  <c r="J1821" i="5"/>
  <c r="I1822" i="5"/>
  <c r="J1822" i="5"/>
  <c r="I1823" i="5"/>
  <c r="J1823" i="5"/>
  <c r="I1824" i="5"/>
  <c r="J1824" i="5"/>
  <c r="I1825" i="5"/>
  <c r="J1825" i="5"/>
  <c r="I1826" i="5"/>
  <c r="J1826" i="5"/>
  <c r="I1827" i="5"/>
  <c r="J1827" i="5"/>
  <c r="I1829" i="5"/>
  <c r="J1829" i="5"/>
  <c r="I1830" i="5"/>
  <c r="J1830" i="5"/>
  <c r="I1831" i="5"/>
  <c r="J1831" i="5"/>
  <c r="I1832" i="5"/>
  <c r="J1832" i="5"/>
  <c r="I1834" i="5"/>
  <c r="J1834" i="5"/>
  <c r="I1835" i="5"/>
  <c r="J1835" i="5"/>
  <c r="I1836" i="5"/>
  <c r="J1836" i="5"/>
  <c r="I1839" i="5"/>
  <c r="J1839" i="5"/>
  <c r="I1840" i="5"/>
  <c r="J1840" i="5"/>
  <c r="I1841" i="5"/>
  <c r="J1841" i="5"/>
  <c r="I1842" i="5"/>
  <c r="J1842" i="5"/>
  <c r="I1843" i="5"/>
  <c r="J1843" i="5"/>
  <c r="I1844" i="5"/>
  <c r="J1844" i="5"/>
  <c r="I1845" i="5"/>
  <c r="J1845" i="5"/>
  <c r="I1846" i="5"/>
  <c r="J1846" i="5"/>
  <c r="I1847" i="5"/>
  <c r="J1847" i="5"/>
  <c r="I1848" i="5"/>
  <c r="J1848" i="5"/>
  <c r="I1849" i="5"/>
  <c r="J1849" i="5"/>
  <c r="I1850" i="5"/>
  <c r="J1850" i="5"/>
  <c r="I1851" i="5"/>
  <c r="J1851" i="5"/>
  <c r="I1852" i="5"/>
  <c r="J1852" i="5"/>
  <c r="I1853" i="5"/>
  <c r="J1853" i="5"/>
  <c r="I1854" i="5"/>
  <c r="J1854" i="5"/>
  <c r="I1855" i="5"/>
  <c r="J1855" i="5"/>
  <c r="I1856" i="5"/>
  <c r="J1856" i="5"/>
  <c r="I1857" i="5"/>
  <c r="J1857" i="5"/>
  <c r="I1858" i="5"/>
  <c r="J1858" i="5"/>
  <c r="I1859" i="5"/>
  <c r="J1859" i="5"/>
  <c r="I1860" i="5"/>
  <c r="J1860" i="5"/>
  <c r="I1861" i="5"/>
  <c r="J1861" i="5"/>
  <c r="I1862" i="5"/>
  <c r="J1862" i="5"/>
  <c r="I1863" i="5"/>
  <c r="J1863" i="5"/>
  <c r="I1864" i="5"/>
  <c r="J1864" i="5"/>
  <c r="I1865" i="5"/>
  <c r="J1865" i="5"/>
  <c r="I1866" i="5"/>
  <c r="J1866" i="5"/>
  <c r="I1867" i="5"/>
  <c r="J1867" i="5"/>
  <c r="I1868" i="5"/>
  <c r="J1868" i="5"/>
  <c r="I1869" i="5"/>
  <c r="J1869" i="5"/>
  <c r="I1870" i="5"/>
  <c r="J1870" i="5"/>
  <c r="I1871" i="5"/>
  <c r="J1871" i="5"/>
  <c r="I1872" i="5"/>
  <c r="J1872" i="5"/>
  <c r="I1873" i="5"/>
  <c r="J1873" i="5"/>
  <c r="I1874" i="5"/>
  <c r="J1874" i="5"/>
  <c r="I1875" i="5"/>
  <c r="J1875" i="5"/>
  <c r="I1876" i="5"/>
  <c r="J1876" i="5"/>
  <c r="I1877" i="5"/>
  <c r="J1877" i="5"/>
  <c r="I1878" i="5"/>
  <c r="J1878" i="5"/>
  <c r="I1879" i="5"/>
  <c r="J1879" i="5"/>
  <c r="I1880" i="5"/>
  <c r="J1880" i="5"/>
  <c r="I1881" i="5"/>
  <c r="J1881" i="5"/>
  <c r="I1882" i="5"/>
  <c r="J1882" i="5"/>
  <c r="I1883" i="5"/>
  <c r="J1883" i="5"/>
  <c r="I1884" i="5"/>
  <c r="J1884" i="5"/>
  <c r="I1885" i="5"/>
  <c r="J1885" i="5"/>
  <c r="I1886" i="5"/>
  <c r="J1886" i="5"/>
  <c r="I1887" i="5"/>
  <c r="J1887" i="5"/>
  <c r="I1888" i="5"/>
  <c r="J1888" i="5"/>
  <c r="I1889" i="5"/>
  <c r="J1889" i="5"/>
  <c r="I1890" i="5"/>
  <c r="J1890" i="5"/>
  <c r="I1891" i="5"/>
  <c r="J1891" i="5"/>
  <c r="I1892" i="5"/>
  <c r="J1892" i="5"/>
  <c r="I1895" i="5"/>
  <c r="J1895" i="5"/>
  <c r="I1896" i="5"/>
  <c r="J1896" i="5"/>
  <c r="J1898" i="5" s="1"/>
  <c r="I1897" i="5"/>
  <c r="J1897" i="5"/>
  <c r="I1901" i="5"/>
  <c r="I1924" i="5" s="1"/>
  <c r="J1901" i="5"/>
  <c r="I1902" i="5"/>
  <c r="J1902" i="5"/>
  <c r="I1903" i="5"/>
  <c r="J1903" i="5"/>
  <c r="I1904" i="5"/>
  <c r="J1904" i="5"/>
  <c r="I1906" i="5"/>
  <c r="J1906" i="5"/>
  <c r="I1908" i="5"/>
  <c r="J1908" i="5"/>
  <c r="I1909" i="5"/>
  <c r="J1909" i="5"/>
  <c r="I1910" i="5"/>
  <c r="J1910" i="5"/>
  <c r="I1911" i="5"/>
  <c r="J1911" i="5"/>
  <c r="I1913" i="5"/>
  <c r="J1913" i="5"/>
  <c r="I1914" i="5"/>
  <c r="J1914" i="5"/>
  <c r="I1916" i="5"/>
  <c r="J1916" i="5"/>
  <c r="I1917" i="5"/>
  <c r="J1917" i="5"/>
  <c r="I1918" i="5"/>
  <c r="J1918" i="5"/>
  <c r="I1920" i="5"/>
  <c r="J1920" i="5"/>
  <c r="I1921" i="5"/>
  <c r="J1921" i="5"/>
  <c r="I1923" i="5"/>
  <c r="J1923" i="5"/>
  <c r="I1928" i="5"/>
  <c r="J1928" i="5"/>
  <c r="I1929" i="5"/>
  <c r="J1929" i="5"/>
  <c r="I1930" i="5"/>
  <c r="J1930" i="5"/>
  <c r="I1931" i="5"/>
  <c r="J1931" i="5"/>
  <c r="I1932" i="5"/>
  <c r="J1932" i="5"/>
  <c r="I1933" i="5"/>
  <c r="J1933" i="5"/>
  <c r="I1935" i="5"/>
  <c r="J1935" i="5"/>
  <c r="I1936" i="5"/>
  <c r="J1936" i="5"/>
  <c r="I1938" i="5"/>
  <c r="J1938" i="5"/>
  <c r="I1939" i="5"/>
  <c r="J1939" i="5"/>
  <c r="I1941" i="5"/>
  <c r="J1941" i="5"/>
  <c r="I1942" i="5"/>
  <c r="J1942" i="5"/>
  <c r="I1943" i="5"/>
  <c r="J1943" i="5"/>
  <c r="I1944" i="5"/>
  <c r="J1944" i="5"/>
  <c r="I1945" i="5"/>
  <c r="J1945" i="5"/>
  <c r="I1946" i="5"/>
  <c r="J1946" i="5"/>
  <c r="I1947" i="5"/>
  <c r="J1947" i="5"/>
  <c r="I1949" i="5"/>
  <c r="J1949" i="5"/>
  <c r="I1950" i="5"/>
  <c r="J1950" i="5"/>
  <c r="I1954" i="5"/>
  <c r="J1954" i="5"/>
  <c r="I1955" i="5"/>
  <c r="J1955" i="5"/>
  <c r="I1957" i="5"/>
  <c r="J1957" i="5"/>
  <c r="I1958" i="5"/>
  <c r="J1958" i="5"/>
  <c r="I1959" i="5"/>
  <c r="J1959" i="5"/>
  <c r="I1960" i="5"/>
  <c r="J1960" i="5"/>
  <c r="I1961" i="5"/>
  <c r="J1961" i="5"/>
  <c r="I1963" i="5"/>
  <c r="J1963" i="5"/>
  <c r="I1964" i="5"/>
  <c r="J1964" i="5"/>
  <c r="I1966" i="5"/>
  <c r="J1966" i="5"/>
  <c r="I1968" i="5"/>
  <c r="J1968" i="5"/>
  <c r="I1969" i="5"/>
  <c r="J1969" i="5"/>
  <c r="I1973" i="5"/>
  <c r="J1973" i="5"/>
  <c r="I1974" i="5"/>
  <c r="J1974" i="5"/>
  <c r="I1975" i="5"/>
  <c r="J1975" i="5"/>
  <c r="I1976" i="5"/>
  <c r="J1976" i="5"/>
  <c r="I1977" i="5"/>
  <c r="J1977" i="5"/>
  <c r="I1979" i="5"/>
  <c r="J1979" i="5"/>
  <c r="I1981" i="5"/>
  <c r="J1981" i="5"/>
  <c r="I1982" i="5"/>
  <c r="J1982" i="5"/>
  <c r="I1983" i="5"/>
  <c r="J1983" i="5"/>
  <c r="I1984" i="5"/>
  <c r="J1984" i="5"/>
  <c r="I1985" i="5"/>
  <c r="J1985" i="5"/>
  <c r="I1986" i="5"/>
  <c r="J1986" i="5"/>
  <c r="I1987" i="5"/>
  <c r="J1987" i="5"/>
  <c r="I1988" i="5"/>
  <c r="J1988" i="5"/>
  <c r="I1990" i="5"/>
  <c r="J1990" i="5"/>
  <c r="I1991" i="5"/>
  <c r="J1991" i="5"/>
  <c r="I1993" i="5"/>
  <c r="J1993" i="5"/>
  <c r="I1994" i="5"/>
  <c r="J1994" i="5"/>
  <c r="I1995" i="5"/>
  <c r="J1995" i="5"/>
  <c r="I1996" i="5"/>
  <c r="J1996" i="5"/>
  <c r="I1997" i="5"/>
  <c r="J1997" i="5"/>
  <c r="I1999" i="5"/>
  <c r="J1999" i="5"/>
  <c r="I2000" i="5"/>
  <c r="J2000" i="5"/>
  <c r="I2002" i="5"/>
  <c r="J2002" i="5"/>
  <c r="I2004" i="5"/>
  <c r="J2004" i="5"/>
  <c r="I2006" i="5"/>
  <c r="J2006" i="5"/>
  <c r="I2008" i="5"/>
  <c r="J2008" i="5"/>
  <c r="I2009" i="5"/>
  <c r="J2009" i="5"/>
  <c r="I2010" i="5"/>
  <c r="J2010" i="5"/>
  <c r="I2011" i="5"/>
  <c r="J2011" i="5"/>
  <c r="I2012" i="5"/>
  <c r="J2012" i="5"/>
  <c r="I2015" i="5"/>
  <c r="J2015" i="5"/>
  <c r="I2016" i="5"/>
  <c r="J2016" i="5"/>
  <c r="I2018" i="5"/>
  <c r="J2018" i="5"/>
  <c r="I2020" i="5"/>
  <c r="J2020" i="5"/>
  <c r="I2021" i="5"/>
  <c r="J2021" i="5"/>
  <c r="I2022" i="5"/>
  <c r="J2022" i="5"/>
  <c r="I2023" i="5"/>
  <c r="J2023" i="5"/>
  <c r="I2024" i="5"/>
  <c r="J2024" i="5"/>
  <c r="I2025" i="5"/>
  <c r="J2025" i="5"/>
  <c r="I2026" i="5"/>
  <c r="J2026" i="5"/>
  <c r="I2027" i="5"/>
  <c r="J2027" i="5"/>
  <c r="I2028" i="5"/>
  <c r="J2028" i="5"/>
  <c r="I2029" i="5"/>
  <c r="J2029" i="5"/>
  <c r="I2030" i="5"/>
  <c r="J2030" i="5"/>
  <c r="I2032" i="5"/>
  <c r="J2032" i="5"/>
  <c r="I2033" i="5"/>
  <c r="J2033" i="5"/>
  <c r="I2034" i="5"/>
  <c r="J2034" i="5"/>
  <c r="I2036" i="5"/>
  <c r="J2036" i="5"/>
  <c r="I2037" i="5"/>
  <c r="J2037" i="5"/>
  <c r="I2039" i="5"/>
  <c r="J2039" i="5"/>
  <c r="I2040" i="5"/>
  <c r="J2040" i="5"/>
  <c r="I2041" i="5"/>
  <c r="J2041" i="5"/>
  <c r="I2043" i="5"/>
  <c r="J2043" i="5"/>
  <c r="I2044" i="5"/>
  <c r="J2044" i="5"/>
  <c r="I2049" i="5"/>
  <c r="J2049" i="5"/>
  <c r="I2050" i="5"/>
  <c r="J2050" i="5"/>
  <c r="I2051" i="5"/>
  <c r="J2051" i="5"/>
  <c r="I2054" i="5"/>
  <c r="J2054" i="5"/>
  <c r="J2056" i="5" s="1"/>
  <c r="I2055" i="5"/>
  <c r="J2055" i="5"/>
  <c r="I2058" i="5"/>
  <c r="J2058" i="5"/>
  <c r="I2059" i="5"/>
  <c r="J2059" i="5"/>
  <c r="I2060" i="5"/>
  <c r="J2060" i="5"/>
  <c r="I2061" i="5"/>
  <c r="J2061" i="5"/>
  <c r="I2062" i="5"/>
  <c r="J2062" i="5"/>
  <c r="I2063" i="5"/>
  <c r="J2063" i="5"/>
  <c r="I2066" i="5"/>
  <c r="J2066" i="5"/>
  <c r="I2067" i="5"/>
  <c r="J2067" i="5"/>
  <c r="I2068" i="5"/>
  <c r="J2068" i="5"/>
  <c r="I2071" i="5"/>
  <c r="J2071" i="5"/>
  <c r="I2072" i="5"/>
  <c r="I2083" i="5" s="1"/>
  <c r="J2072" i="5"/>
  <c r="I2073" i="5"/>
  <c r="J2073" i="5"/>
  <c r="I2074" i="5"/>
  <c r="J2074" i="5"/>
  <c r="I2075" i="5"/>
  <c r="J2075" i="5"/>
  <c r="I2076" i="5"/>
  <c r="J2076" i="5"/>
  <c r="I2077" i="5"/>
  <c r="J2077" i="5"/>
  <c r="I2078" i="5"/>
  <c r="J2078" i="5"/>
  <c r="I2079" i="5"/>
  <c r="J2079" i="5"/>
  <c r="I2080" i="5"/>
  <c r="J2080" i="5"/>
  <c r="I2081" i="5"/>
  <c r="J2081" i="5"/>
  <c r="I2082" i="5"/>
  <c r="J2082" i="5"/>
  <c r="I2086" i="5"/>
  <c r="J2086" i="5"/>
  <c r="I2087" i="5"/>
  <c r="J2087" i="5"/>
  <c r="I2088" i="5"/>
  <c r="J2088" i="5"/>
  <c r="I2090" i="5"/>
  <c r="J2090" i="5"/>
  <c r="I2091" i="5"/>
  <c r="J2091" i="5"/>
  <c r="I2092" i="5"/>
  <c r="J2092" i="5"/>
  <c r="I2093" i="5"/>
  <c r="J2093" i="5"/>
  <c r="I2094" i="5"/>
  <c r="J2094" i="5"/>
  <c r="I2095" i="5"/>
  <c r="J2095" i="5"/>
  <c r="I2097" i="5"/>
  <c r="J2097" i="5"/>
  <c r="I2098" i="5"/>
  <c r="J2098" i="5"/>
  <c r="I2101" i="5"/>
  <c r="J2101" i="5"/>
  <c r="I2102" i="5"/>
  <c r="J2102" i="5"/>
  <c r="I2103" i="5"/>
  <c r="J2103" i="5"/>
  <c r="I2104" i="5"/>
  <c r="J2104" i="5"/>
  <c r="I2105" i="5"/>
  <c r="J2105" i="5"/>
  <c r="I2106" i="5"/>
  <c r="J2106" i="5"/>
  <c r="I2107" i="5"/>
  <c r="J2107" i="5"/>
  <c r="I2108" i="5"/>
  <c r="J2108" i="5"/>
  <c r="I2109" i="5"/>
  <c r="J2109" i="5"/>
  <c r="I2110" i="5"/>
  <c r="J2110" i="5"/>
  <c r="I2111" i="5"/>
  <c r="J2111" i="5"/>
  <c r="I2112" i="5"/>
  <c r="J2112" i="5"/>
  <c r="I2113" i="5"/>
  <c r="J2113" i="5"/>
  <c r="I2116" i="5"/>
  <c r="J2116" i="5"/>
  <c r="I2117" i="5"/>
  <c r="J2117" i="5"/>
  <c r="I2118" i="5"/>
  <c r="J2118" i="5"/>
  <c r="I2119" i="5"/>
  <c r="J2119" i="5"/>
  <c r="I2120" i="5"/>
  <c r="J2120" i="5"/>
  <c r="I2121" i="5"/>
  <c r="J2121" i="5"/>
  <c r="I2122" i="5"/>
  <c r="J2122" i="5"/>
  <c r="I2123" i="5"/>
  <c r="J2123" i="5"/>
  <c r="I2124" i="5"/>
  <c r="J2124" i="5"/>
  <c r="I2125" i="5"/>
  <c r="J2125" i="5"/>
  <c r="I2126" i="5"/>
  <c r="J2126" i="5"/>
  <c r="I2127" i="5"/>
  <c r="J2127" i="5"/>
  <c r="I2130" i="5"/>
  <c r="J2130" i="5"/>
  <c r="I2131" i="5"/>
  <c r="J2131" i="5"/>
  <c r="I2132" i="5"/>
  <c r="J2132" i="5"/>
  <c r="I2133" i="5"/>
  <c r="J2133" i="5"/>
  <c r="I2134" i="5"/>
  <c r="J2134" i="5"/>
  <c r="I2135" i="5"/>
  <c r="J2135" i="5"/>
  <c r="I2136" i="5"/>
  <c r="J2136" i="5"/>
  <c r="I2137" i="5"/>
  <c r="J2137" i="5"/>
  <c r="I2138" i="5"/>
  <c r="J2138" i="5"/>
  <c r="I2139" i="5"/>
  <c r="J2139" i="5"/>
  <c r="I2140" i="5"/>
  <c r="J2140" i="5"/>
  <c r="I2141" i="5"/>
  <c r="J2141" i="5"/>
  <c r="I2142" i="5"/>
  <c r="J2142" i="5"/>
  <c r="I2143" i="5"/>
  <c r="J2143" i="5"/>
  <c r="I2144" i="5"/>
  <c r="J2144" i="5"/>
  <c r="I2145" i="5"/>
  <c r="J2145" i="5"/>
  <c r="I2148" i="5"/>
  <c r="J2148" i="5"/>
  <c r="I2149" i="5"/>
  <c r="J2149" i="5"/>
  <c r="I2150" i="5"/>
  <c r="J2150" i="5"/>
  <c r="I2151" i="5"/>
  <c r="J2151" i="5"/>
  <c r="I2152" i="5"/>
  <c r="J2152" i="5"/>
  <c r="I2153" i="5"/>
  <c r="J2153" i="5"/>
  <c r="I2154" i="5"/>
  <c r="J2154" i="5"/>
  <c r="I2157" i="5"/>
  <c r="J2157" i="5"/>
  <c r="I2158" i="5"/>
  <c r="J2158" i="5"/>
  <c r="I2159" i="5"/>
  <c r="J2159" i="5"/>
  <c r="I2160" i="5"/>
  <c r="J2160" i="5"/>
  <c r="I2161" i="5"/>
  <c r="J2161" i="5"/>
  <c r="I2162" i="5"/>
  <c r="J2162" i="5"/>
  <c r="I2163" i="5"/>
  <c r="J2163" i="5"/>
  <c r="I2164" i="5"/>
  <c r="J2164" i="5"/>
  <c r="I2165" i="5"/>
  <c r="J2165" i="5"/>
  <c r="I2166" i="5"/>
  <c r="J2166" i="5"/>
  <c r="I2167" i="5"/>
  <c r="J2167" i="5"/>
  <c r="I2168" i="5"/>
  <c r="J2168" i="5"/>
  <c r="I2169" i="5"/>
  <c r="J2169" i="5"/>
  <c r="I2172" i="5"/>
  <c r="J2172" i="5"/>
  <c r="I2173" i="5"/>
  <c r="J2173" i="5"/>
  <c r="I2174" i="5"/>
  <c r="J2174" i="5"/>
  <c r="I2175" i="5"/>
  <c r="J2175" i="5"/>
  <c r="I2176" i="5"/>
  <c r="J2176" i="5"/>
  <c r="I2177" i="5"/>
  <c r="J2177" i="5"/>
  <c r="I2180" i="5"/>
  <c r="J2180" i="5"/>
  <c r="I2181" i="5"/>
  <c r="J2181" i="5"/>
  <c r="I2182" i="5"/>
  <c r="J2182" i="5"/>
  <c r="I2183" i="5"/>
  <c r="J2183" i="5"/>
  <c r="I2184" i="5"/>
  <c r="J2184" i="5"/>
  <c r="I2185" i="5"/>
  <c r="J2185" i="5"/>
  <c r="I2189" i="5"/>
  <c r="J2189" i="5"/>
  <c r="I2190" i="5"/>
  <c r="J2190" i="5"/>
  <c r="I2191" i="5"/>
  <c r="J2191" i="5"/>
  <c r="I2193" i="5"/>
  <c r="J2193" i="5"/>
  <c r="I2194" i="5"/>
  <c r="J2194" i="5"/>
  <c r="I2195" i="5"/>
  <c r="J2195" i="5"/>
  <c r="I2196" i="5"/>
  <c r="J2196" i="5"/>
  <c r="I2198" i="5"/>
  <c r="J2198" i="5"/>
  <c r="I2200" i="5"/>
  <c r="J2200" i="5"/>
  <c r="I2201" i="5"/>
  <c r="J2201" i="5"/>
  <c r="I2202" i="5"/>
  <c r="J2202" i="5"/>
  <c r="I2204" i="5"/>
  <c r="J2204" i="5"/>
  <c r="I2209" i="5"/>
  <c r="J2209" i="5"/>
  <c r="I2210" i="5"/>
  <c r="J2210" i="5"/>
  <c r="I2211" i="5"/>
  <c r="J2211" i="5"/>
  <c r="I2212" i="5"/>
  <c r="J2212" i="5"/>
  <c r="I2213" i="5"/>
  <c r="J2213" i="5"/>
  <c r="I2214" i="5"/>
  <c r="J2214" i="5"/>
  <c r="I2215" i="5"/>
  <c r="J2215" i="5"/>
  <c r="I2217" i="5"/>
  <c r="J2217" i="5"/>
  <c r="I2218" i="5"/>
  <c r="J2218" i="5"/>
  <c r="I2220" i="5"/>
  <c r="J2220" i="5"/>
  <c r="I2221" i="5"/>
  <c r="J2221" i="5"/>
  <c r="I2222" i="5"/>
  <c r="J2222" i="5"/>
  <c r="I2223" i="5"/>
  <c r="J2223" i="5"/>
  <c r="I2225" i="5"/>
  <c r="J2225" i="5"/>
  <c r="I2226" i="5"/>
  <c r="J2226" i="5"/>
  <c r="I2228" i="5"/>
  <c r="J2228" i="5"/>
  <c r="I2229" i="5"/>
  <c r="J2229" i="5"/>
  <c r="I2230" i="5"/>
  <c r="J2230" i="5"/>
  <c r="I2231" i="5"/>
  <c r="J2231" i="5"/>
  <c r="I2232" i="5"/>
  <c r="J2232" i="5"/>
  <c r="I2233" i="5"/>
  <c r="J2233" i="5"/>
  <c r="I2234" i="5"/>
  <c r="J2234" i="5"/>
  <c r="I2235" i="5"/>
  <c r="J2235" i="5"/>
  <c r="I2238" i="5"/>
  <c r="J2238" i="5"/>
  <c r="I2239" i="5"/>
  <c r="J2239" i="5"/>
  <c r="I2241" i="5"/>
  <c r="J2241" i="5"/>
  <c r="I2243" i="5"/>
  <c r="J2243" i="5"/>
  <c r="I2245" i="5"/>
  <c r="J2245" i="5"/>
  <c r="I2247" i="5"/>
  <c r="J2247" i="5"/>
  <c r="I2248" i="5"/>
  <c r="J2248" i="5"/>
  <c r="I2249" i="5"/>
  <c r="J2249" i="5"/>
  <c r="I2250" i="5"/>
  <c r="J2250" i="5"/>
  <c r="I2251" i="5"/>
  <c r="J2251" i="5"/>
  <c r="I2252" i="5"/>
  <c r="J2252" i="5"/>
  <c r="I2254" i="5"/>
  <c r="J2254" i="5"/>
  <c r="I2255" i="5"/>
  <c r="J2255" i="5"/>
  <c r="I2256" i="5"/>
  <c r="J2256" i="5"/>
  <c r="I2257" i="5"/>
  <c r="J2257" i="5"/>
  <c r="I2258" i="5"/>
  <c r="J2258" i="5"/>
  <c r="I2259" i="5"/>
  <c r="J2259" i="5"/>
  <c r="I2260" i="5"/>
  <c r="J2260" i="5"/>
  <c r="I2261" i="5"/>
  <c r="J2261" i="5"/>
  <c r="I2262" i="5"/>
  <c r="J2262" i="5"/>
  <c r="I2263" i="5"/>
  <c r="J2263" i="5"/>
  <c r="I2264" i="5"/>
  <c r="J2264" i="5"/>
  <c r="I2265" i="5"/>
  <c r="J2265" i="5"/>
  <c r="I2266" i="5"/>
  <c r="J2266" i="5"/>
  <c r="I2267" i="5"/>
  <c r="J2267" i="5"/>
  <c r="I2268" i="5"/>
  <c r="J2268" i="5"/>
  <c r="I2270" i="5"/>
  <c r="J2270" i="5"/>
  <c r="I2271" i="5"/>
  <c r="J2271" i="5"/>
  <c r="I2272" i="5"/>
  <c r="J2272" i="5"/>
  <c r="I2273" i="5"/>
  <c r="J2273" i="5"/>
  <c r="I2274" i="5"/>
  <c r="J2274" i="5"/>
  <c r="I2275" i="5"/>
  <c r="J2275" i="5"/>
  <c r="I2276" i="5"/>
  <c r="J2276" i="5"/>
  <c r="I2278" i="5"/>
  <c r="J2278" i="5"/>
  <c r="I2282" i="5"/>
  <c r="J2282" i="5"/>
  <c r="I2283" i="5"/>
  <c r="J2283" i="5"/>
  <c r="I2284" i="5"/>
  <c r="J2284" i="5"/>
  <c r="I2288" i="5"/>
  <c r="J2288" i="5"/>
  <c r="I2289" i="5"/>
  <c r="J2289" i="5"/>
  <c r="J2301" i="5" s="1"/>
  <c r="I2290" i="5"/>
  <c r="J2290" i="5"/>
  <c r="I2291" i="5"/>
  <c r="J2291" i="5"/>
  <c r="I2292" i="5"/>
  <c r="J2292" i="5"/>
  <c r="I2293" i="5"/>
  <c r="J2293" i="5"/>
  <c r="I2295" i="5"/>
  <c r="J2295" i="5"/>
  <c r="I2296" i="5"/>
  <c r="J2296" i="5"/>
  <c r="I2297" i="5"/>
  <c r="J2297" i="5"/>
  <c r="I2298" i="5"/>
  <c r="J2298" i="5"/>
  <c r="I2299" i="5"/>
  <c r="J2299" i="5"/>
  <c r="I2300" i="5"/>
  <c r="J2300" i="5"/>
  <c r="I2306" i="5"/>
  <c r="J2306" i="5"/>
  <c r="I2307" i="5"/>
  <c r="J2307" i="5"/>
  <c r="I2309" i="5"/>
  <c r="J2309" i="5"/>
  <c r="I2311" i="5"/>
  <c r="J2311" i="5"/>
  <c r="I2312" i="5"/>
  <c r="J2312" i="5"/>
  <c r="I2314" i="5"/>
  <c r="J2314" i="5"/>
  <c r="I2315" i="5"/>
  <c r="J2315" i="5"/>
  <c r="I2317" i="5"/>
  <c r="J2317" i="5"/>
  <c r="I2319" i="5"/>
  <c r="J2319" i="5"/>
  <c r="I2321" i="5"/>
  <c r="J2321" i="5"/>
  <c r="I2322" i="5"/>
  <c r="J2322" i="5"/>
  <c r="I2324" i="5"/>
  <c r="J2324" i="5"/>
  <c r="I2326" i="5"/>
  <c r="J2326" i="5"/>
  <c r="I2327" i="5"/>
  <c r="J2327" i="5"/>
  <c r="I2330" i="5"/>
  <c r="J2330" i="5"/>
  <c r="I2332" i="5"/>
  <c r="J2332" i="5"/>
  <c r="I2333" i="5"/>
  <c r="J2333" i="5"/>
  <c r="I2335" i="5"/>
  <c r="J2335" i="5"/>
  <c r="I2337" i="5"/>
  <c r="J2337" i="5"/>
  <c r="I2339" i="5"/>
  <c r="J2339" i="5"/>
  <c r="I2343" i="5"/>
  <c r="J2343" i="5"/>
  <c r="I2344" i="5"/>
  <c r="J2344" i="5"/>
  <c r="I2345" i="5"/>
  <c r="J2345" i="5"/>
  <c r="I2346" i="5"/>
  <c r="J2346" i="5"/>
  <c r="I2347" i="5"/>
  <c r="J2347" i="5"/>
  <c r="I2348" i="5"/>
  <c r="J2348" i="5"/>
  <c r="I2349" i="5"/>
  <c r="J2349" i="5"/>
  <c r="I2350" i="5"/>
  <c r="J2350" i="5"/>
  <c r="I2351" i="5"/>
  <c r="J2351" i="5"/>
  <c r="I2352" i="5"/>
  <c r="J2352" i="5"/>
  <c r="I2353" i="5"/>
  <c r="J2353" i="5"/>
  <c r="I2354" i="5"/>
  <c r="J2354" i="5"/>
  <c r="I2355" i="5"/>
  <c r="J2355" i="5"/>
  <c r="I2359" i="5"/>
  <c r="I2360" i="5" s="1"/>
  <c r="J2359" i="5"/>
  <c r="J2360" i="5" s="1"/>
  <c r="I2364" i="5"/>
  <c r="J2364" i="5"/>
  <c r="I2365" i="5"/>
  <c r="J2365" i="5"/>
  <c r="I2366" i="5"/>
  <c r="J2366" i="5"/>
  <c r="I2367" i="5"/>
  <c r="J2367" i="5"/>
  <c r="I2368" i="5"/>
  <c r="J2368" i="5"/>
  <c r="I2369" i="5"/>
  <c r="J2369" i="5"/>
  <c r="I2370" i="5"/>
  <c r="J2370" i="5"/>
  <c r="I2371" i="5"/>
  <c r="J2371" i="5"/>
  <c r="I2372" i="5"/>
  <c r="J2372" i="5"/>
  <c r="I2373" i="5"/>
  <c r="J2373" i="5"/>
  <c r="I2374" i="5"/>
  <c r="J2374" i="5"/>
  <c r="I2375" i="5"/>
  <c r="J2375" i="5"/>
  <c r="I2376" i="5"/>
  <c r="J2376" i="5"/>
  <c r="M42" i="8"/>
  <c r="M111" i="8"/>
  <c r="I506" i="5"/>
  <c r="M151" i="8"/>
  <c r="M154" i="8"/>
  <c r="M157" i="8"/>
  <c r="M155" i="8"/>
  <c r="M53" i="8"/>
  <c r="M164" i="8"/>
  <c r="M161" i="8"/>
  <c r="M156" i="8"/>
  <c r="M160" i="8"/>
  <c r="M179" i="8"/>
  <c r="I169" i="8"/>
  <c r="M175" i="8"/>
  <c r="M177" i="8"/>
  <c r="M172" i="8"/>
  <c r="M227" i="8"/>
  <c r="M226" i="8"/>
  <c r="M149" i="8"/>
  <c r="M148" i="8"/>
  <c r="M52" i="8"/>
  <c r="M147" i="8"/>
  <c r="M146" i="8"/>
  <c r="M145" i="8"/>
  <c r="M144" i="8"/>
  <c r="M143" i="8"/>
  <c r="M142" i="8"/>
  <c r="M141" i="8"/>
  <c r="M140" i="8"/>
  <c r="M139" i="8"/>
  <c r="M138" i="8"/>
  <c r="M137" i="8"/>
  <c r="M136" i="8"/>
  <c r="M135" i="8"/>
  <c r="M134" i="8"/>
  <c r="M133" i="8"/>
  <c r="M132" i="8"/>
  <c r="M131" i="8"/>
  <c r="N162" i="10"/>
  <c r="K162" i="10"/>
  <c r="O162" i="10" s="1"/>
  <c r="I115" i="10"/>
  <c r="P117" i="10"/>
  <c r="P120" i="10"/>
  <c r="K161" i="10"/>
  <c r="O161" i="10" s="1"/>
  <c r="I94" i="10"/>
  <c r="Q116" i="10"/>
  <c r="I77" i="10"/>
  <c r="F32" i="10"/>
  <c r="F31" i="10" s="1"/>
  <c r="M54" i="8"/>
  <c r="L41" i="15"/>
  <c r="M43" i="15"/>
  <c r="K15" i="15"/>
  <c r="M15" i="15"/>
  <c r="L16" i="15"/>
  <c r="N16" i="15"/>
  <c r="P16" i="15"/>
  <c r="O16" i="15" s="1"/>
  <c r="K17" i="15"/>
  <c r="M17" i="15"/>
  <c r="L18" i="15"/>
  <c r="N18" i="15"/>
  <c r="P18" i="15"/>
  <c r="O18" i="15" s="1"/>
  <c r="K19" i="15"/>
  <c r="M19" i="15"/>
  <c r="L20" i="15"/>
  <c r="N20" i="15"/>
  <c r="P20" i="15"/>
  <c r="O20" i="15" s="1"/>
  <c r="K21" i="15"/>
  <c r="M21" i="15"/>
  <c r="L22" i="15"/>
  <c r="N22" i="15"/>
  <c r="P22" i="15"/>
  <c r="O22" i="15" s="1"/>
  <c r="K23" i="15"/>
  <c r="M23" i="15"/>
  <c r="L24" i="15"/>
  <c r="N24" i="15"/>
  <c r="P24" i="15"/>
  <c r="O24" i="15" s="1"/>
  <c r="K25" i="15"/>
  <c r="M25" i="15"/>
  <c r="K27" i="15"/>
  <c r="M27" i="15"/>
  <c r="N27" i="15" s="1"/>
  <c r="L28" i="15"/>
  <c r="N28" i="15"/>
  <c r="P28" i="15"/>
  <c r="O28" i="15" s="1"/>
  <c r="K29" i="15"/>
  <c r="M29" i="15"/>
  <c r="M30" i="15"/>
  <c r="O30" i="15" s="1"/>
  <c r="L31" i="15"/>
  <c r="L35" i="15"/>
  <c r="N35" i="15"/>
  <c r="P35" i="15"/>
  <c r="O35" i="15" s="1"/>
  <c r="L36" i="15"/>
  <c r="N36" i="15"/>
  <c r="P36" i="15"/>
  <c r="O36" i="15" s="1"/>
  <c r="L37" i="15"/>
  <c r="N37" i="15"/>
  <c r="P37" i="15"/>
  <c r="O37" i="15" s="1"/>
  <c r="M38" i="15"/>
  <c r="O38" i="15" s="1"/>
  <c r="M39" i="15"/>
  <c r="P41" i="15"/>
  <c r="K42" i="15"/>
  <c r="L42" i="15" s="1"/>
  <c r="P43" i="15"/>
  <c r="K44" i="15"/>
  <c r="L44" i="15" s="1"/>
  <c r="M44" i="15" s="1"/>
  <c r="O44" i="15" s="1"/>
  <c r="P45" i="15"/>
  <c r="K48" i="15"/>
  <c r="K49" i="15"/>
  <c r="M49" i="15"/>
  <c r="K50" i="15"/>
  <c r="M50" i="15"/>
  <c r="L51" i="15"/>
  <c r="M51" i="15" s="1"/>
  <c r="L53" i="15"/>
  <c r="P53" i="15"/>
  <c r="O53" i="15" s="1"/>
  <c r="L54" i="15"/>
  <c r="P54" i="15"/>
  <c r="O54" i="15" s="1"/>
  <c r="L55" i="15"/>
  <c r="P55" i="15"/>
  <c r="O55" i="15" s="1"/>
  <c r="L56" i="15"/>
  <c r="P56" i="15"/>
  <c r="O56" i="15" s="1"/>
  <c r="K57" i="15"/>
  <c r="L59" i="15"/>
  <c r="M59" i="15" s="1"/>
  <c r="N59" i="15" s="1"/>
  <c r="P59" i="15"/>
  <c r="K60" i="15"/>
  <c r="L61" i="15"/>
  <c r="M61" i="15" s="1"/>
  <c r="N61" i="15" s="1"/>
  <c r="P61" i="15"/>
  <c r="K62" i="15"/>
  <c r="L64" i="15"/>
  <c r="M64" i="15" s="1"/>
  <c r="P64" i="15"/>
  <c r="K65" i="15"/>
  <c r="L66" i="15"/>
  <c r="M66" i="15" s="1"/>
  <c r="P66" i="15"/>
  <c r="K67" i="15"/>
  <c r="K63" i="15" s="1"/>
  <c r="L69" i="15"/>
  <c r="M69" i="15" s="1"/>
  <c r="K72" i="15"/>
  <c r="K71" i="15" s="1"/>
  <c r="K74" i="15"/>
  <c r="K73" i="15" s="1"/>
  <c r="F73" i="15" s="1"/>
  <c r="P73" i="15" s="1"/>
  <c r="O73" i="15" s="1"/>
  <c r="M74" i="15"/>
  <c r="O74" i="15" s="1"/>
  <c r="L75" i="15"/>
  <c r="M75" i="15" s="1"/>
  <c r="P75" i="15"/>
  <c r="K77" i="15"/>
  <c r="K76" i="15" s="1"/>
  <c r="F76" i="15" s="1"/>
  <c r="L80" i="15"/>
  <c r="M80" i="15" s="1"/>
  <c r="O80" i="15" s="1"/>
  <c r="K81" i="15"/>
  <c r="L82" i="15"/>
  <c r="M82" i="15" s="1"/>
  <c r="N82" i="15" s="1"/>
  <c r="K83" i="15"/>
  <c r="K85" i="15"/>
  <c r="L86" i="15"/>
  <c r="M86" i="15" s="1"/>
  <c r="K87" i="15"/>
  <c r="L89" i="15"/>
  <c r="M89" i="15" s="1"/>
  <c r="L90" i="15"/>
  <c r="M90" i="15" s="1"/>
  <c r="N90" i="15" s="1"/>
  <c r="K92" i="15"/>
  <c r="K91" i="15" s="1"/>
  <c r="F91" i="15" s="1"/>
  <c r="L94" i="15"/>
  <c r="M94" i="15" s="1"/>
  <c r="K95" i="15"/>
  <c r="L97" i="15"/>
  <c r="M97" i="15" s="1"/>
  <c r="N97" i="15" s="1"/>
  <c r="K98" i="15"/>
  <c r="L100" i="15"/>
  <c r="M100" i="15" s="1"/>
  <c r="N100" i="15" s="1"/>
  <c r="K101" i="15"/>
  <c r="L102" i="15"/>
  <c r="M102" i="15" s="1"/>
  <c r="N102" i="15" s="1"/>
  <c r="K103" i="15"/>
  <c r="P104" i="15"/>
  <c r="L104" i="15"/>
  <c r="M104" i="15" s="1"/>
  <c r="L15" i="15"/>
  <c r="K16" i="15"/>
  <c r="L17" i="15"/>
  <c r="K18" i="15"/>
  <c r="L19" i="15"/>
  <c r="K20" i="15"/>
  <c r="L21" i="15"/>
  <c r="K22" i="15"/>
  <c r="L23" i="15"/>
  <c r="K24" i="15"/>
  <c r="L25" i="15"/>
  <c r="L27" i="15"/>
  <c r="K28" i="15"/>
  <c r="L29" i="15"/>
  <c r="L30" i="15"/>
  <c r="K31" i="15"/>
  <c r="N31" i="15"/>
  <c r="L38" i="15"/>
  <c r="L39" i="15"/>
  <c r="L48" i="15"/>
  <c r="M48" i="15" s="1"/>
  <c r="L49" i="15"/>
  <c r="L50" i="15"/>
  <c r="K53" i="15"/>
  <c r="N53" i="15" s="1"/>
  <c r="K54" i="15"/>
  <c r="K55" i="15"/>
  <c r="N55" i="15" s="1"/>
  <c r="K56" i="15"/>
  <c r="N56" i="15" s="1"/>
  <c r="L57" i="15"/>
  <c r="M57" i="15" s="1"/>
  <c r="L60" i="15"/>
  <c r="M60" i="15" s="1"/>
  <c r="L62" i="15"/>
  <c r="M62" i="15" s="1"/>
  <c r="N62" i="15" s="1"/>
  <c r="L65" i="15"/>
  <c r="M65" i="15" s="1"/>
  <c r="L67" i="15"/>
  <c r="M67" i="15" s="1"/>
  <c r="L72" i="15"/>
  <c r="M72" i="15" s="1"/>
  <c r="O72" i="15" s="1"/>
  <c r="L74" i="15"/>
  <c r="L73" i="15" s="1"/>
  <c r="L70" i="15" s="1"/>
  <c r="L77" i="15"/>
  <c r="M77" i="15" s="1"/>
  <c r="O77" i="15" s="1"/>
  <c r="L81" i="15"/>
  <c r="M81" i="15" s="1"/>
  <c r="L83" i="15"/>
  <c r="M83" i="15" s="1"/>
  <c r="L85" i="15"/>
  <c r="M85" i="15" s="1"/>
  <c r="L87" i="15"/>
  <c r="M87" i="15" s="1"/>
  <c r="O87" i="15" s="1"/>
  <c r="L92" i="15"/>
  <c r="M92" i="15" s="1"/>
  <c r="O92" i="15" s="1"/>
  <c r="L95" i="15"/>
  <c r="M95" i="15" s="1"/>
  <c r="O95" i="15" s="1"/>
  <c r="L98" i="15"/>
  <c r="M98" i="15" s="1"/>
  <c r="L101" i="15"/>
  <c r="M101" i="15" s="1"/>
  <c r="O101" i="15" s="1"/>
  <c r="L103" i="15"/>
  <c r="M103" i="15" s="1"/>
  <c r="O103" i="15" s="1"/>
  <c r="K105" i="15"/>
  <c r="P105" i="15"/>
  <c r="O105" i="15" s="1"/>
  <c r="N105" i="15"/>
  <c r="L107" i="15"/>
  <c r="M107" i="15" s="1"/>
  <c r="P107" i="15"/>
  <c r="O109" i="15"/>
  <c r="L112" i="15"/>
  <c r="M112" i="15" s="1"/>
  <c r="N112" i="15" s="1"/>
  <c r="P112" i="15"/>
  <c r="L114" i="15"/>
  <c r="M114" i="15" s="1"/>
  <c r="P114" i="15"/>
  <c r="L116" i="15"/>
  <c r="M116" i="15" s="1"/>
  <c r="P116" i="15"/>
  <c r="L119" i="15"/>
  <c r="M119" i="15" s="1"/>
  <c r="P119" i="15"/>
  <c r="L122" i="15"/>
  <c r="M122" i="15" s="1"/>
  <c r="P122" i="15"/>
  <c r="L124" i="15"/>
  <c r="M124" i="15" s="1"/>
  <c r="N124" i="15" s="1"/>
  <c r="P124" i="15"/>
  <c r="O124" i="15" s="1"/>
  <c r="L126" i="15"/>
  <c r="M126" i="15" s="1"/>
  <c r="P126" i="15"/>
  <c r="L128" i="15"/>
  <c r="M128" i="15" s="1"/>
  <c r="P128" i="15"/>
  <c r="O128" i="15" s="1"/>
  <c r="L132" i="15"/>
  <c r="M132" i="15" s="1"/>
  <c r="P132" i="15"/>
  <c r="L134" i="15"/>
  <c r="M134" i="15"/>
  <c r="N134" i="15" s="1"/>
  <c r="P134" i="15"/>
  <c r="L136" i="15"/>
  <c r="M136" i="15" s="1"/>
  <c r="P136" i="15"/>
  <c r="L138" i="15"/>
  <c r="M138" i="15" s="1"/>
  <c r="P138" i="15"/>
  <c r="L140" i="15"/>
  <c r="M140" i="15" s="1"/>
  <c r="N140" i="15" s="1"/>
  <c r="P140" i="15"/>
  <c r="L142" i="15"/>
  <c r="M142" i="15" s="1"/>
  <c r="N142" i="15" s="1"/>
  <c r="P142" i="15"/>
  <c r="L144" i="15"/>
  <c r="M144" i="15" s="1"/>
  <c r="P144" i="15"/>
  <c r="L146" i="15"/>
  <c r="M146" i="15" s="1"/>
  <c r="N146" i="15" s="1"/>
  <c r="P146" i="15"/>
  <c r="L148" i="15"/>
  <c r="M148" i="15" s="1"/>
  <c r="P148" i="15"/>
  <c r="L150" i="15"/>
  <c r="M150" i="15" s="1"/>
  <c r="P150" i="15"/>
  <c r="L152" i="15"/>
  <c r="M152" i="15" s="1"/>
  <c r="P152" i="15"/>
  <c r="L155" i="15"/>
  <c r="M155" i="15" s="1"/>
  <c r="P155" i="15"/>
  <c r="L157" i="15"/>
  <c r="M157" i="15" s="1"/>
  <c r="P157" i="15"/>
  <c r="L159" i="15"/>
  <c r="M159" i="15" s="1"/>
  <c r="N159" i="15" s="1"/>
  <c r="P159" i="15"/>
  <c r="L161" i="15"/>
  <c r="M161" i="15" s="1"/>
  <c r="N161" i="15" s="1"/>
  <c r="P161" i="15"/>
  <c r="L163" i="15"/>
  <c r="M163" i="15" s="1"/>
  <c r="P163" i="15"/>
  <c r="P165" i="15"/>
  <c r="L165" i="15"/>
  <c r="M165" i="15" s="1"/>
  <c r="L106" i="15"/>
  <c r="M106" i="15" s="1"/>
  <c r="N106" i="15" s="1"/>
  <c r="L108" i="15"/>
  <c r="M108" i="15" s="1"/>
  <c r="L113" i="15"/>
  <c r="M113" i="15" s="1"/>
  <c r="N113" i="15" s="1"/>
  <c r="L115" i="15"/>
  <c r="M115" i="15" s="1"/>
  <c r="N115" i="15" s="1"/>
  <c r="L118" i="15"/>
  <c r="M118" i="15" s="1"/>
  <c r="N118" i="15" s="1"/>
  <c r="L120" i="15"/>
  <c r="M120" i="15" s="1"/>
  <c r="L123" i="15"/>
  <c r="M123" i="15" s="1"/>
  <c r="L125" i="15"/>
  <c r="M125" i="15" s="1"/>
  <c r="N125" i="15" s="1"/>
  <c r="L127" i="15"/>
  <c r="M127" i="15" s="1"/>
  <c r="N127" i="15" s="1"/>
  <c r="L129" i="15"/>
  <c r="M129" i="15" s="1"/>
  <c r="L133" i="15"/>
  <c r="M133" i="15" s="1"/>
  <c r="L135" i="15"/>
  <c r="M135" i="15" s="1"/>
  <c r="N135" i="15" s="1"/>
  <c r="L137" i="15"/>
  <c r="M137" i="15" s="1"/>
  <c r="N137" i="15" s="1"/>
  <c r="L139" i="15"/>
  <c r="M139" i="15" s="1"/>
  <c r="L141" i="15"/>
  <c r="M141" i="15" s="1"/>
  <c r="L143" i="15"/>
  <c r="M143" i="15" s="1"/>
  <c r="N143" i="15" s="1"/>
  <c r="L145" i="15"/>
  <c r="M145" i="15" s="1"/>
  <c r="N145" i="15" s="1"/>
  <c r="L147" i="15"/>
  <c r="M147" i="15" s="1"/>
  <c r="L149" i="15"/>
  <c r="M149" i="15" s="1"/>
  <c r="L151" i="15"/>
  <c r="M151" i="15" s="1"/>
  <c r="N151" i="15" s="1"/>
  <c r="L154" i="15"/>
  <c r="M154" i="15" s="1"/>
  <c r="L156" i="15"/>
  <c r="M156" i="15" s="1"/>
  <c r="N156" i="15" s="1"/>
  <c r="L158" i="15"/>
  <c r="M158" i="15" s="1"/>
  <c r="N158" i="15" s="1"/>
  <c r="L160" i="15"/>
  <c r="M160" i="15" s="1"/>
  <c r="L162" i="15"/>
  <c r="M162" i="15" s="1"/>
  <c r="N162" i="15" s="1"/>
  <c r="L164" i="15"/>
  <c r="M164" i="15" s="1"/>
  <c r="K165" i="15"/>
  <c r="K166" i="15"/>
  <c r="L167" i="15"/>
  <c r="M167" i="15" s="1"/>
  <c r="N167" i="15" s="1"/>
  <c r="K168" i="15"/>
  <c r="L171" i="15"/>
  <c r="M171" i="15" s="1"/>
  <c r="K172" i="15"/>
  <c r="L173" i="15"/>
  <c r="M173" i="15" s="1"/>
  <c r="N173" i="15" s="1"/>
  <c r="K174" i="15"/>
  <c r="L175" i="15"/>
  <c r="M175" i="15" s="1"/>
  <c r="N175" i="15" s="1"/>
  <c r="K176" i="15"/>
  <c r="L177" i="15"/>
  <c r="M177" i="15" s="1"/>
  <c r="P177" i="15"/>
  <c r="K178" i="15"/>
  <c r="L179" i="15"/>
  <c r="M179" i="15" s="1"/>
  <c r="P179" i="15"/>
  <c r="K180" i="15"/>
  <c r="L181" i="15"/>
  <c r="M181" i="15" s="1"/>
  <c r="P181" i="15"/>
  <c r="K183" i="15"/>
  <c r="L184" i="15"/>
  <c r="M184" i="15" s="1"/>
  <c r="P184" i="15"/>
  <c r="K185" i="15"/>
  <c r="L186" i="15"/>
  <c r="M186" i="15" s="1"/>
  <c r="P186" i="15"/>
  <c r="K187" i="15"/>
  <c r="L188" i="15"/>
  <c r="M188" i="15" s="1"/>
  <c r="P188" i="15"/>
  <c r="K189" i="15"/>
  <c r="L190" i="15"/>
  <c r="M190" i="15" s="1"/>
  <c r="N190" i="15" s="1"/>
  <c r="P190" i="15"/>
  <c r="K192" i="15"/>
  <c r="L193" i="15"/>
  <c r="M193" i="15" s="1"/>
  <c r="P193" i="15"/>
  <c r="K194" i="15"/>
  <c r="L196" i="15"/>
  <c r="M196" i="15" s="1"/>
  <c r="P196" i="15"/>
  <c r="K197" i="15"/>
  <c r="L198" i="15"/>
  <c r="M198" i="15" s="1"/>
  <c r="P198" i="15"/>
  <c r="K199" i="15"/>
  <c r="L200" i="15"/>
  <c r="M200" i="15" s="1"/>
  <c r="N200" i="15" s="1"/>
  <c r="P200" i="15"/>
  <c r="K201" i="15"/>
  <c r="L202" i="15"/>
  <c r="M202" i="15" s="1"/>
  <c r="N202" i="15" s="1"/>
  <c r="P202" i="15"/>
  <c r="K203" i="15"/>
  <c r="L204" i="15"/>
  <c r="M204" i="15" s="1"/>
  <c r="P204" i="15"/>
  <c r="K205" i="15"/>
  <c r="L206" i="15"/>
  <c r="M206" i="15" s="1"/>
  <c r="P206" i="15"/>
  <c r="K207" i="15"/>
  <c r="L208" i="15"/>
  <c r="M208" i="15" s="1"/>
  <c r="P208" i="15"/>
  <c r="K210" i="15"/>
  <c r="L211" i="15"/>
  <c r="M211" i="15" s="1"/>
  <c r="N211" i="15" s="1"/>
  <c r="P211" i="15"/>
  <c r="K212" i="15"/>
  <c r="L213" i="15"/>
  <c r="M213" i="15" s="1"/>
  <c r="P213" i="15"/>
  <c r="K214" i="15"/>
  <c r="L217" i="15"/>
  <c r="M217" i="15" s="1"/>
  <c r="N217" i="15" s="1"/>
  <c r="K218" i="15"/>
  <c r="L219" i="15"/>
  <c r="M219" i="15" s="1"/>
  <c r="N219" i="15" s="1"/>
  <c r="K220" i="15"/>
  <c r="L221" i="15"/>
  <c r="M221" i="15" s="1"/>
  <c r="N221" i="15" s="1"/>
  <c r="K222" i="15"/>
  <c r="L223" i="15"/>
  <c r="M223" i="15" s="1"/>
  <c r="N223" i="15" s="1"/>
  <c r="K224" i="15"/>
  <c r="P225" i="15"/>
  <c r="O225" i="15" s="1"/>
  <c r="L225" i="15"/>
  <c r="M225" i="15" s="1"/>
  <c r="L166" i="15"/>
  <c r="M166" i="15" s="1"/>
  <c r="N166" i="15" s="1"/>
  <c r="L168" i="15"/>
  <c r="M168" i="15" s="1"/>
  <c r="L172" i="15"/>
  <c r="M172" i="15" s="1"/>
  <c r="L174" i="15"/>
  <c r="M174" i="15" s="1"/>
  <c r="N174" i="15" s="1"/>
  <c r="L176" i="15"/>
  <c r="M176" i="15" s="1"/>
  <c r="N176" i="15" s="1"/>
  <c r="L178" i="15"/>
  <c r="M178" i="15" s="1"/>
  <c r="L180" i="15"/>
  <c r="M180" i="15" s="1"/>
  <c r="L183" i="15"/>
  <c r="M183" i="15" s="1"/>
  <c r="L185" i="15"/>
  <c r="M185" i="15" s="1"/>
  <c r="L187" i="15"/>
  <c r="M187" i="15" s="1"/>
  <c r="O187" i="15" s="1"/>
  <c r="L189" i="15"/>
  <c r="M189" i="15" s="1"/>
  <c r="L192" i="15"/>
  <c r="M192" i="15" s="1"/>
  <c r="N192" i="15" s="1"/>
  <c r="L194" i="15"/>
  <c r="M194" i="15" s="1"/>
  <c r="N194" i="15" s="1"/>
  <c r="L197" i="15"/>
  <c r="M197" i="15" s="1"/>
  <c r="O197" i="15" s="1"/>
  <c r="L199" i="15"/>
  <c r="M199" i="15" s="1"/>
  <c r="L201" i="15"/>
  <c r="M201" i="15" s="1"/>
  <c r="N201" i="15" s="1"/>
  <c r="L203" i="15"/>
  <c r="M203" i="15" s="1"/>
  <c r="L205" i="15"/>
  <c r="M205" i="15" s="1"/>
  <c r="L207" i="15"/>
  <c r="M207" i="15" s="1"/>
  <c r="N207" i="15" s="1"/>
  <c r="L210" i="15"/>
  <c r="M210" i="15" s="1"/>
  <c r="N210" i="15" s="1"/>
  <c r="L212" i="15"/>
  <c r="M212" i="15" s="1"/>
  <c r="L214" i="15"/>
  <c r="M214" i="15" s="1"/>
  <c r="O214" i="15" s="1"/>
  <c r="L218" i="15"/>
  <c r="M218" i="15" s="1"/>
  <c r="L220" i="15"/>
  <c r="M220" i="15" s="1"/>
  <c r="O220" i="15" s="1"/>
  <c r="L222" i="15"/>
  <c r="M222" i="15" s="1"/>
  <c r="L224" i="15"/>
  <c r="M224" i="15" s="1"/>
  <c r="L227" i="15"/>
  <c r="M227" i="15" s="1"/>
  <c r="P227" i="15"/>
  <c r="L229" i="15"/>
  <c r="M229" i="15" s="1"/>
  <c r="N229" i="15" s="1"/>
  <c r="P229" i="15"/>
  <c r="L231" i="15"/>
  <c r="M231" i="15" s="1"/>
  <c r="P231" i="15"/>
  <c r="K232" i="15"/>
  <c r="L233" i="15"/>
  <c r="M233" i="15" s="1"/>
  <c r="P233" i="15"/>
  <c r="K234" i="15"/>
  <c r="L235" i="15"/>
  <c r="M235" i="15" s="1"/>
  <c r="P235" i="15"/>
  <c r="K236" i="15"/>
  <c r="L237" i="15"/>
  <c r="M237" i="15" s="1"/>
  <c r="P237" i="15"/>
  <c r="O237" i="15" s="1"/>
  <c r="K238" i="15"/>
  <c r="L239" i="15"/>
  <c r="M239" i="15" s="1"/>
  <c r="O239" i="15" s="1"/>
  <c r="P239" i="15"/>
  <c r="K240" i="15"/>
  <c r="L241" i="15"/>
  <c r="M241" i="15" s="1"/>
  <c r="N241" i="15" s="1"/>
  <c r="P241" i="15"/>
  <c r="K242" i="15"/>
  <c r="L243" i="15"/>
  <c r="M243" i="15" s="1"/>
  <c r="P243" i="15"/>
  <c r="K244" i="15"/>
  <c r="L245" i="15"/>
  <c r="M245" i="15" s="1"/>
  <c r="P245" i="15"/>
  <c r="K246" i="15"/>
  <c r="L247" i="15"/>
  <c r="M247" i="15" s="1"/>
  <c r="O247" i="15" s="1"/>
  <c r="P247" i="15"/>
  <c r="L249" i="15"/>
  <c r="M249" i="15" s="1"/>
  <c r="P249" i="15"/>
  <c r="L251" i="15"/>
  <c r="M251" i="15" s="1"/>
  <c r="N251" i="15" s="1"/>
  <c r="P251" i="15"/>
  <c r="L254" i="15"/>
  <c r="M254" i="15" s="1"/>
  <c r="O254" i="15" s="1"/>
  <c r="P255" i="15"/>
  <c r="L255" i="15"/>
  <c r="M255" i="15" s="1"/>
  <c r="K255" i="15"/>
  <c r="L228" i="15"/>
  <c r="M228" i="15" s="1"/>
  <c r="N228" i="15" s="1"/>
  <c r="L230" i="15"/>
  <c r="M230" i="15" s="1"/>
  <c r="N230" i="15" s="1"/>
  <c r="L232" i="15"/>
  <c r="M232" i="15" s="1"/>
  <c r="L234" i="15"/>
  <c r="M234" i="15" s="1"/>
  <c r="O234" i="15" s="1"/>
  <c r="L236" i="15"/>
  <c r="M236" i="15" s="1"/>
  <c r="O236" i="15" s="1"/>
  <c r="L238" i="15"/>
  <c r="M238" i="15" s="1"/>
  <c r="O238" i="15" s="1"/>
  <c r="L240" i="15"/>
  <c r="M240" i="15" s="1"/>
  <c r="L242" i="15"/>
  <c r="M242" i="15" s="1"/>
  <c r="L244" i="15"/>
  <c r="M244" i="15" s="1"/>
  <c r="L246" i="15"/>
  <c r="M246" i="15" s="1"/>
  <c r="L250" i="15"/>
  <c r="M250" i="15" s="1"/>
  <c r="L252" i="15"/>
  <c r="M252" i="15" s="1"/>
  <c r="N252" i="15" s="1"/>
  <c r="K254" i="15"/>
  <c r="L256" i="15"/>
  <c r="M256" i="15" s="1"/>
  <c r="N256" i="15" s="1"/>
  <c r="K257" i="15"/>
  <c r="L258" i="15"/>
  <c r="M258" i="15" s="1"/>
  <c r="N258" i="15" s="1"/>
  <c r="K259" i="15"/>
  <c r="K261" i="15"/>
  <c r="L262" i="15"/>
  <c r="M262" i="15" s="1"/>
  <c r="K263" i="15"/>
  <c r="L264" i="15"/>
  <c r="M264" i="15" s="1"/>
  <c r="N264" i="15" s="1"/>
  <c r="K265" i="15"/>
  <c r="L266" i="15"/>
  <c r="M266" i="15" s="1"/>
  <c r="K267" i="15"/>
  <c r="L268" i="15"/>
  <c r="M268" i="15" s="1"/>
  <c r="N268" i="15" s="1"/>
  <c r="K271" i="15"/>
  <c r="L272" i="15"/>
  <c r="M272" i="15" s="1"/>
  <c r="N272" i="15" s="1"/>
  <c r="P272" i="15"/>
  <c r="O272" i="15" s="1"/>
  <c r="K273" i="15"/>
  <c r="L274" i="15"/>
  <c r="M274" i="15" s="1"/>
  <c r="P274" i="15"/>
  <c r="K275" i="15"/>
  <c r="K277" i="15"/>
  <c r="K276" i="15" s="1"/>
  <c r="L278" i="15"/>
  <c r="M278" i="15" s="1"/>
  <c r="O278" i="15" s="1"/>
  <c r="P278" i="15"/>
  <c r="K280" i="15"/>
  <c r="L281" i="15"/>
  <c r="M281" i="15" s="1"/>
  <c r="N281" i="15" s="1"/>
  <c r="K282" i="15"/>
  <c r="L283" i="15"/>
  <c r="M283" i="15" s="1"/>
  <c r="K284" i="15"/>
  <c r="L257" i="15"/>
  <c r="M257" i="15" s="1"/>
  <c r="N257" i="15" s="1"/>
  <c r="L259" i="15"/>
  <c r="M259" i="15" s="1"/>
  <c r="N259" i="15" s="1"/>
  <c r="L261" i="15"/>
  <c r="M261" i="15" s="1"/>
  <c r="O261" i="15" s="1"/>
  <c r="L263" i="15"/>
  <c r="M263" i="15" s="1"/>
  <c r="N263" i="15" s="1"/>
  <c r="L265" i="15"/>
  <c r="M265" i="15" s="1"/>
  <c r="N265" i="15" s="1"/>
  <c r="L267" i="15"/>
  <c r="M267" i="15" s="1"/>
  <c r="N267" i="15" s="1"/>
  <c r="L271" i="15"/>
  <c r="M271" i="15" s="1"/>
  <c r="O271" i="15" s="1"/>
  <c r="L273" i="15"/>
  <c r="M273" i="15" s="1"/>
  <c r="N273" i="15" s="1"/>
  <c r="L275" i="15"/>
  <c r="M275" i="15" s="1"/>
  <c r="N275" i="15" s="1"/>
  <c r="L277" i="15"/>
  <c r="M277" i="15" s="1"/>
  <c r="L280" i="15"/>
  <c r="M280" i="15" s="1"/>
  <c r="O280" i="15" s="1"/>
  <c r="L282" i="15"/>
  <c r="M282" i="15" s="1"/>
  <c r="O282" i="15" s="1"/>
  <c r="L284" i="15"/>
  <c r="M284" i="15" s="1"/>
  <c r="O284" i="15" s="1"/>
  <c r="I14" i="14"/>
  <c r="K15" i="14"/>
  <c r="M15" i="14"/>
  <c r="N15" i="14" s="1"/>
  <c r="K17" i="14"/>
  <c r="M17" i="14"/>
  <c r="K19" i="14"/>
  <c r="M19" i="14"/>
  <c r="L20" i="14"/>
  <c r="N20" i="14"/>
  <c r="M21" i="14"/>
  <c r="L22" i="14"/>
  <c r="K23" i="14"/>
  <c r="L24" i="14"/>
  <c r="N24" i="14"/>
  <c r="K25" i="14"/>
  <c r="M25" i="14"/>
  <c r="F26" i="14"/>
  <c r="K27" i="14"/>
  <c r="M27" i="14"/>
  <c r="L28" i="14"/>
  <c r="K29" i="14"/>
  <c r="M29" i="14"/>
  <c r="K31" i="14"/>
  <c r="N31" i="14"/>
  <c r="P31" i="14"/>
  <c r="O31" i="14" s="1"/>
  <c r="K35" i="14"/>
  <c r="M35" i="14"/>
  <c r="L36" i="14"/>
  <c r="N36" i="14"/>
  <c r="K37" i="14"/>
  <c r="M37" i="14"/>
  <c r="L38" i="14"/>
  <c r="K40" i="14"/>
  <c r="L41" i="14"/>
  <c r="K42" i="14"/>
  <c r="L43" i="14"/>
  <c r="M43" i="14" s="1"/>
  <c r="N43" i="14" s="1"/>
  <c r="K44" i="14"/>
  <c r="L47" i="14"/>
  <c r="M47" i="14" s="1"/>
  <c r="N47" i="14" s="1"/>
  <c r="K48" i="14"/>
  <c r="L49" i="14"/>
  <c r="K50" i="14"/>
  <c r="K53" i="14"/>
  <c r="L54" i="14"/>
  <c r="M54" i="14" s="1"/>
  <c r="K55" i="14"/>
  <c r="L56" i="14"/>
  <c r="M56" i="14" s="1"/>
  <c r="N56" i="14" s="1"/>
  <c r="K58" i="14"/>
  <c r="L59" i="14"/>
  <c r="M59" i="14" s="1"/>
  <c r="K60" i="14"/>
  <c r="K63" i="14"/>
  <c r="L64" i="14"/>
  <c r="M64" i="14" s="1"/>
  <c r="N64" i="14" s="1"/>
  <c r="K65" i="14"/>
  <c r="L66" i="14"/>
  <c r="M66" i="14" s="1"/>
  <c r="K68" i="14"/>
  <c r="K67" i="14" s="1"/>
  <c r="F67" i="14" s="1"/>
  <c r="L71" i="14"/>
  <c r="M71" i="14" s="1"/>
  <c r="N71" i="14" s="1"/>
  <c r="N70" i="14" s="1"/>
  <c r="P73" i="14"/>
  <c r="L76" i="14"/>
  <c r="M76" i="14" s="1"/>
  <c r="N76" i="14" s="1"/>
  <c r="N75" i="14" s="1"/>
  <c r="K79" i="14"/>
  <c r="L80" i="14"/>
  <c r="M80" i="14" s="1"/>
  <c r="L82" i="14"/>
  <c r="M82" i="14" s="1"/>
  <c r="N82" i="14" s="1"/>
  <c r="L84" i="14"/>
  <c r="M84" i="14" s="1"/>
  <c r="N84" i="14" s="1"/>
  <c r="K85" i="14"/>
  <c r="K88" i="14"/>
  <c r="K89" i="14"/>
  <c r="L91" i="14"/>
  <c r="M91" i="14" s="1"/>
  <c r="N91" i="14" s="1"/>
  <c r="N90" i="14" s="1"/>
  <c r="L94" i="14"/>
  <c r="M94" i="14" s="1"/>
  <c r="N94" i="14" s="1"/>
  <c r="K96" i="14"/>
  <c r="L97" i="14"/>
  <c r="M97" i="14" s="1"/>
  <c r="K99" i="14"/>
  <c r="L100" i="14"/>
  <c r="M100" i="14" s="1"/>
  <c r="L102" i="14"/>
  <c r="M102" i="14" s="1"/>
  <c r="N102" i="14" s="1"/>
  <c r="K103" i="14"/>
  <c r="L104" i="14"/>
  <c r="M104" i="14" s="1"/>
  <c r="L106" i="14"/>
  <c r="M106" i="14" s="1"/>
  <c r="L107" i="14"/>
  <c r="M107" i="14" s="1"/>
  <c r="N107" i="14" s="1"/>
  <c r="P107" i="14"/>
  <c r="L112" i="14"/>
  <c r="M112" i="14" s="1"/>
  <c r="P112" i="14"/>
  <c r="L114" i="14"/>
  <c r="M114" i="14" s="1"/>
  <c r="P114" i="14"/>
  <c r="L15" i="14"/>
  <c r="L17" i="14"/>
  <c r="L19" i="14"/>
  <c r="L21" i="14"/>
  <c r="L25" i="14"/>
  <c r="L27" i="14"/>
  <c r="L29" i="14"/>
  <c r="L35" i="14"/>
  <c r="L37" i="14"/>
  <c r="L40" i="14"/>
  <c r="L42" i="14"/>
  <c r="L44" i="14"/>
  <c r="M44" i="14" s="1"/>
  <c r="N44" i="14" s="1"/>
  <c r="L50" i="14"/>
  <c r="M50" i="14" s="1"/>
  <c r="L53" i="14"/>
  <c r="M53" i="14" s="1"/>
  <c r="O53" i="14" s="1"/>
  <c r="L55" i="14"/>
  <c r="M55" i="14" s="1"/>
  <c r="O55" i="14" s="1"/>
  <c r="L58" i="14"/>
  <c r="M58" i="14" s="1"/>
  <c r="L60" i="14"/>
  <c r="M60" i="14" s="1"/>
  <c r="O60" i="14" s="1"/>
  <c r="L63" i="14"/>
  <c r="M63" i="14" s="1"/>
  <c r="O63" i="14" s="1"/>
  <c r="L68" i="14"/>
  <c r="M68" i="14" s="1"/>
  <c r="L74" i="14"/>
  <c r="M74" i="14" s="1"/>
  <c r="L79" i="14"/>
  <c r="M79" i="14" s="1"/>
  <c r="N79" i="14" s="1"/>
  <c r="L85" i="14"/>
  <c r="M85" i="14" s="1"/>
  <c r="N85" i="14" s="1"/>
  <c r="L88" i="14"/>
  <c r="M88" i="14" s="1"/>
  <c r="N88" i="14" s="1"/>
  <c r="L89" i="14"/>
  <c r="M89" i="14" s="1"/>
  <c r="O89" i="14" s="1"/>
  <c r="L96" i="14"/>
  <c r="M96" i="14" s="1"/>
  <c r="N96" i="14" s="1"/>
  <c r="L99" i="14"/>
  <c r="M99" i="14" s="1"/>
  <c r="O99" i="14" s="1"/>
  <c r="L103" i="14"/>
  <c r="M103" i="14" s="1"/>
  <c r="O103" i="14" s="1"/>
  <c r="L111" i="14"/>
  <c r="M111" i="14" s="1"/>
  <c r="N111" i="14" s="1"/>
  <c r="L113" i="14"/>
  <c r="M113" i="14" s="1"/>
  <c r="L115" i="14"/>
  <c r="M115" i="14" s="1"/>
  <c r="K117" i="14"/>
  <c r="L118" i="14"/>
  <c r="M118" i="14" s="1"/>
  <c r="N118" i="14" s="1"/>
  <c r="K119" i="14"/>
  <c r="L121" i="14"/>
  <c r="M121" i="14" s="1"/>
  <c r="K122" i="14"/>
  <c r="L123" i="14"/>
  <c r="M123" i="14" s="1"/>
  <c r="K124" i="14"/>
  <c r="L125" i="14"/>
  <c r="M125" i="14" s="1"/>
  <c r="N125" i="14" s="1"/>
  <c r="K126" i="14"/>
  <c r="L127" i="14"/>
  <c r="M127" i="14" s="1"/>
  <c r="L131" i="14"/>
  <c r="M131" i="14" s="1"/>
  <c r="N131" i="14" s="1"/>
  <c r="L133" i="14"/>
  <c r="M133" i="14" s="1"/>
  <c r="K134" i="14"/>
  <c r="L135" i="14"/>
  <c r="M135" i="14" s="1"/>
  <c r="L137" i="14"/>
  <c r="M137" i="14" s="1"/>
  <c r="N137" i="14" s="1"/>
  <c r="K138" i="14"/>
  <c r="L139" i="14"/>
  <c r="M139" i="14" s="1"/>
  <c r="N139" i="14" s="1"/>
  <c r="K140" i="14"/>
  <c r="L141" i="14"/>
  <c r="M141" i="14" s="1"/>
  <c r="K142" i="14"/>
  <c r="L143" i="14"/>
  <c r="M143" i="14" s="1"/>
  <c r="K144" i="14"/>
  <c r="L145" i="14"/>
  <c r="M145" i="14" s="1"/>
  <c r="K146" i="14"/>
  <c r="L147" i="14"/>
  <c r="M147" i="14" s="1"/>
  <c r="N147" i="14" s="1"/>
  <c r="K148" i="14"/>
  <c r="K150" i="14"/>
  <c r="L151" i="14"/>
  <c r="M151" i="14" s="1"/>
  <c r="L154" i="14"/>
  <c r="M154" i="14" s="1"/>
  <c r="N154" i="14" s="1"/>
  <c r="K155" i="14"/>
  <c r="L156" i="14"/>
  <c r="M156" i="14" s="1"/>
  <c r="L158" i="14"/>
  <c r="M158" i="14" s="1"/>
  <c r="N158" i="14" s="1"/>
  <c r="K159" i="14"/>
  <c r="L160" i="14"/>
  <c r="M160" i="14" s="1"/>
  <c r="N160" i="14" s="1"/>
  <c r="L162" i="14"/>
  <c r="M162" i="14" s="1"/>
  <c r="N162" i="14" s="1"/>
  <c r="K163" i="14"/>
  <c r="N166" i="14"/>
  <c r="L117" i="14"/>
  <c r="M117" i="14" s="1"/>
  <c r="L119" i="14"/>
  <c r="M119" i="14" s="1"/>
  <c r="L122" i="14"/>
  <c r="M122" i="14" s="1"/>
  <c r="L124" i="14"/>
  <c r="M124" i="14" s="1"/>
  <c r="L126" i="14"/>
  <c r="M126" i="14" s="1"/>
  <c r="O126" i="14" s="1"/>
  <c r="L128" i="14"/>
  <c r="M128" i="14" s="1"/>
  <c r="N128" i="14" s="1"/>
  <c r="L132" i="14"/>
  <c r="M132" i="14" s="1"/>
  <c r="O132" i="14" s="1"/>
  <c r="L134" i="14"/>
  <c r="M134" i="14" s="1"/>
  <c r="N134" i="14" s="1"/>
  <c r="L138" i="14"/>
  <c r="M138" i="14" s="1"/>
  <c r="O138" i="14" s="1"/>
  <c r="L140" i="14"/>
  <c r="M140" i="14" s="1"/>
  <c r="O140" i="14" s="1"/>
  <c r="L144" i="14"/>
  <c r="M144" i="14" s="1"/>
  <c r="L146" i="14"/>
  <c r="M146" i="14" s="1"/>
  <c r="N146" i="14" s="1"/>
  <c r="L150" i="14"/>
  <c r="M150" i="14" s="1"/>
  <c r="L155" i="14"/>
  <c r="M155" i="14" s="1"/>
  <c r="N155" i="14" s="1"/>
  <c r="L157" i="14"/>
  <c r="M157" i="14" s="1"/>
  <c r="O157" i="14" s="1"/>
  <c r="L159" i="14"/>
  <c r="M159" i="14" s="1"/>
  <c r="N159" i="14" s="1"/>
  <c r="L163" i="14"/>
  <c r="M163" i="14" s="1"/>
  <c r="L172" i="14"/>
  <c r="M172" i="14" s="1"/>
  <c r="O172" i="14" s="1"/>
  <c r="P172" i="14"/>
  <c r="L174" i="14"/>
  <c r="M174" i="14" s="1"/>
  <c r="P174" i="14"/>
  <c r="L176" i="14"/>
  <c r="M176" i="14" s="1"/>
  <c r="N176" i="14" s="1"/>
  <c r="P176" i="14"/>
  <c r="L178" i="14"/>
  <c r="M178" i="14" s="1"/>
  <c r="L180" i="14"/>
  <c r="M180" i="14" s="1"/>
  <c r="N180" i="14" s="1"/>
  <c r="P180" i="14"/>
  <c r="L183" i="14"/>
  <c r="M183" i="14" s="1"/>
  <c r="L185" i="14"/>
  <c r="M185" i="14" s="1"/>
  <c r="P185" i="14"/>
  <c r="L187" i="14"/>
  <c r="M187" i="14" s="1"/>
  <c r="L189" i="14"/>
  <c r="M189" i="14" s="1"/>
  <c r="O189" i="14" s="1"/>
  <c r="P189" i="14"/>
  <c r="L192" i="14"/>
  <c r="M192" i="14" s="1"/>
  <c r="P192" i="14"/>
  <c r="L195" i="14"/>
  <c r="M195" i="14" s="1"/>
  <c r="P195" i="14"/>
  <c r="L197" i="14"/>
  <c r="M197" i="14" s="1"/>
  <c r="P197" i="14"/>
  <c r="L199" i="14"/>
  <c r="M199" i="14" s="1"/>
  <c r="P199" i="14"/>
  <c r="L201" i="14"/>
  <c r="M201" i="14" s="1"/>
  <c r="P201" i="14"/>
  <c r="L203" i="14"/>
  <c r="M203" i="14" s="1"/>
  <c r="P203" i="14"/>
  <c r="L205" i="14"/>
  <c r="M205" i="14" s="1"/>
  <c r="P205" i="14"/>
  <c r="L207" i="14"/>
  <c r="M207" i="14" s="1"/>
  <c r="P207" i="14"/>
  <c r="L210" i="14"/>
  <c r="M210" i="14" s="1"/>
  <c r="P210" i="14"/>
  <c r="L212" i="14"/>
  <c r="M212" i="14" s="1"/>
  <c r="P212" i="14"/>
  <c r="L216" i="14"/>
  <c r="M216" i="14" s="1"/>
  <c r="P216" i="14"/>
  <c r="O216" i="14" s="1"/>
  <c r="L218" i="14"/>
  <c r="M218" i="14" s="1"/>
  <c r="P218" i="14"/>
  <c r="L220" i="14"/>
  <c r="M220" i="14" s="1"/>
  <c r="P220" i="14"/>
  <c r="L222" i="14"/>
  <c r="M222" i="14" s="1"/>
  <c r="P222" i="14"/>
  <c r="L224" i="14"/>
  <c r="M224" i="14" s="1"/>
  <c r="P224" i="14"/>
  <c r="L167" i="14"/>
  <c r="M167" i="14" s="1"/>
  <c r="N167" i="14" s="1"/>
  <c r="L171" i="14"/>
  <c r="M171" i="14" s="1"/>
  <c r="N171" i="14" s="1"/>
  <c r="L173" i="14"/>
  <c r="M173" i="14" s="1"/>
  <c r="L175" i="14"/>
  <c r="M175" i="14" s="1"/>
  <c r="N175" i="14" s="1"/>
  <c r="L177" i="14"/>
  <c r="M177" i="14" s="1"/>
  <c r="N177" i="14" s="1"/>
  <c r="L179" i="14"/>
  <c r="M179" i="14" s="1"/>
  <c r="N179" i="14" s="1"/>
  <c r="L182" i="14"/>
  <c r="M182" i="14" s="1"/>
  <c r="L184" i="14"/>
  <c r="M184" i="14" s="1"/>
  <c r="N184" i="14" s="1"/>
  <c r="L186" i="14"/>
  <c r="M186" i="14" s="1"/>
  <c r="L188" i="14"/>
  <c r="M188" i="14" s="1"/>
  <c r="L191" i="14"/>
  <c r="M191" i="14" s="1"/>
  <c r="L193" i="14"/>
  <c r="M193" i="14" s="1"/>
  <c r="N193" i="14" s="1"/>
  <c r="L196" i="14"/>
  <c r="M196" i="14" s="1"/>
  <c r="N196" i="14" s="1"/>
  <c r="L198" i="14"/>
  <c r="M198" i="14" s="1"/>
  <c r="N198" i="14" s="1"/>
  <c r="L200" i="14"/>
  <c r="M200" i="14" s="1"/>
  <c r="N200" i="14" s="1"/>
  <c r="L204" i="14"/>
  <c r="M204" i="14" s="1"/>
  <c r="L206" i="14"/>
  <c r="M206" i="14" s="1"/>
  <c r="N206" i="14" s="1"/>
  <c r="L209" i="14"/>
  <c r="M209" i="14" s="1"/>
  <c r="L211" i="14"/>
  <c r="M211" i="14" s="1"/>
  <c r="N211" i="14" s="1"/>
  <c r="L213" i="14"/>
  <c r="M213" i="14" s="1"/>
  <c r="N213" i="14" s="1"/>
  <c r="L217" i="14"/>
  <c r="M217" i="14" s="1"/>
  <c r="O217" i="14" s="1"/>
  <c r="L219" i="14"/>
  <c r="M219" i="14" s="1"/>
  <c r="O219" i="14" s="1"/>
  <c r="L221" i="14"/>
  <c r="M221" i="14" s="1"/>
  <c r="L223" i="14"/>
  <c r="M223" i="14" s="1"/>
  <c r="N223" i="14" s="1"/>
  <c r="L227" i="14"/>
  <c r="M227" i="14" s="1"/>
  <c r="L229" i="14"/>
  <c r="M229" i="14" s="1"/>
  <c r="N229" i="14" s="1"/>
  <c r="P229" i="14"/>
  <c r="L233" i="14"/>
  <c r="M233" i="14" s="1"/>
  <c r="P233" i="14"/>
  <c r="L237" i="14"/>
  <c r="M237" i="14" s="1"/>
  <c r="P237" i="14"/>
  <c r="L239" i="14"/>
  <c r="M239" i="14" s="1"/>
  <c r="O239" i="14" s="1"/>
  <c r="P239" i="14"/>
  <c r="P241" i="14"/>
  <c r="L243" i="14"/>
  <c r="M243" i="14" s="1"/>
  <c r="N243" i="14" s="1"/>
  <c r="P243" i="14"/>
  <c r="O243" i="14" s="1"/>
  <c r="P245" i="14"/>
  <c r="L251" i="14"/>
  <c r="M251" i="14" s="1"/>
  <c r="P251" i="14"/>
  <c r="L228" i="14"/>
  <c r="M228" i="14" s="1"/>
  <c r="L232" i="14"/>
  <c r="M232" i="14" s="1"/>
  <c r="L236" i="14"/>
  <c r="M236" i="14" s="1"/>
  <c r="L240" i="14"/>
  <c r="M240" i="14" s="1"/>
  <c r="N240" i="14" s="1"/>
  <c r="L242" i="14"/>
  <c r="M242" i="14" s="1"/>
  <c r="N242" i="14" s="1"/>
  <c r="L246" i="14"/>
  <c r="M246" i="14" s="1"/>
  <c r="N246" i="14" s="1"/>
  <c r="L248" i="14"/>
  <c r="M248" i="14" s="1"/>
  <c r="L250" i="14"/>
  <c r="M250" i="14" s="1"/>
  <c r="L253" i="14"/>
  <c r="M253" i="14" s="1"/>
  <c r="L255" i="14"/>
  <c r="M255" i="14" s="1"/>
  <c r="L257" i="14"/>
  <c r="M257" i="14" s="1"/>
  <c r="K258" i="14"/>
  <c r="L261" i="14"/>
  <c r="M261" i="14" s="1"/>
  <c r="N261" i="14" s="1"/>
  <c r="K262" i="14"/>
  <c r="L263" i="14"/>
  <c r="M263" i="14" s="1"/>
  <c r="L265" i="14"/>
  <c r="M265" i="14" s="1"/>
  <c r="K266" i="14"/>
  <c r="L267" i="14"/>
  <c r="M267" i="14" s="1"/>
  <c r="N267" i="14" s="1"/>
  <c r="K270" i="14"/>
  <c r="L271" i="14"/>
  <c r="M271" i="14" s="1"/>
  <c r="N271" i="14" s="1"/>
  <c r="P271" i="14"/>
  <c r="K272" i="14"/>
  <c r="L273" i="14"/>
  <c r="M273" i="14" s="1"/>
  <c r="K274" i="14"/>
  <c r="K276" i="14"/>
  <c r="K279" i="14"/>
  <c r="L280" i="14"/>
  <c r="M280" i="14" s="1"/>
  <c r="N280" i="14" s="1"/>
  <c r="L282" i="14"/>
  <c r="M282" i="14" s="1"/>
  <c r="K283" i="14"/>
  <c r="L258" i="14"/>
  <c r="M258" i="14" s="1"/>
  <c r="O258" i="14" s="1"/>
  <c r="L262" i="14"/>
  <c r="M262" i="14" s="1"/>
  <c r="O262" i="14" s="1"/>
  <c r="L264" i="14"/>
  <c r="M264" i="14" s="1"/>
  <c r="L266" i="14"/>
  <c r="M266" i="14" s="1"/>
  <c r="O266" i="14" s="1"/>
  <c r="L270" i="14"/>
  <c r="M270" i="14" s="1"/>
  <c r="L274" i="14"/>
  <c r="M274" i="14" s="1"/>
  <c r="O274" i="14" s="1"/>
  <c r="L276" i="14"/>
  <c r="M276" i="14" s="1"/>
  <c r="O276" i="14" s="1"/>
  <c r="L279" i="14"/>
  <c r="M279" i="14" s="1"/>
  <c r="L283" i="14"/>
  <c r="M283" i="14" s="1"/>
  <c r="N283" i="14" s="1"/>
  <c r="L34" i="12"/>
  <c r="M34" i="12" s="1"/>
  <c r="L41" i="12"/>
  <c r="L43" i="12"/>
  <c r="M43" i="12" s="1"/>
  <c r="P15" i="12"/>
  <c r="P20" i="12"/>
  <c r="N27" i="12"/>
  <c r="K29" i="12"/>
  <c r="K31" i="12"/>
  <c r="N34" i="12"/>
  <c r="P34" i="12"/>
  <c r="O34" i="12" s="1"/>
  <c r="H38" i="12"/>
  <c r="I38" i="12" s="1"/>
  <c r="N41" i="12"/>
  <c r="P41" i="12"/>
  <c r="N43" i="12"/>
  <c r="P43" i="12"/>
  <c r="K48" i="12"/>
  <c r="L48" i="12" s="1"/>
  <c r="O48" i="12" s="1"/>
  <c r="N49" i="12"/>
  <c r="K52" i="12"/>
  <c r="L52" i="12" s="1"/>
  <c r="M52" i="12" s="1"/>
  <c r="N53" i="12"/>
  <c r="N55" i="12"/>
  <c r="K56" i="12"/>
  <c r="K58" i="12"/>
  <c r="K60" i="12"/>
  <c r="L60" i="12" s="1"/>
  <c r="M60" i="12" s="1"/>
  <c r="N61" i="12"/>
  <c r="K64" i="12"/>
  <c r="L64" i="12" s="1"/>
  <c r="N65" i="12"/>
  <c r="K68" i="12"/>
  <c r="L74" i="12"/>
  <c r="M74" i="12" s="1"/>
  <c r="N74" i="12"/>
  <c r="L76" i="12"/>
  <c r="M76" i="12" s="1"/>
  <c r="N76" i="12"/>
  <c r="N75" i="12" s="1"/>
  <c r="J75" i="12" s="1"/>
  <c r="L85" i="12"/>
  <c r="M85" i="12" s="1"/>
  <c r="N85" i="12"/>
  <c r="K93" i="12"/>
  <c r="L93" i="12" s="1"/>
  <c r="N96" i="12"/>
  <c r="K99" i="12"/>
  <c r="L102" i="12"/>
  <c r="M102" i="12" s="1"/>
  <c r="L131" i="12"/>
  <c r="M131" i="12" s="1"/>
  <c r="L133" i="12"/>
  <c r="L139" i="12"/>
  <c r="M139" i="12" s="1"/>
  <c r="L143" i="12"/>
  <c r="M143" i="12" s="1"/>
  <c r="L151" i="12"/>
  <c r="N21" i="12"/>
  <c r="N23" i="12"/>
  <c r="N29" i="12"/>
  <c r="N31" i="12"/>
  <c r="N44" i="12"/>
  <c r="N48" i="12"/>
  <c r="N52" i="12"/>
  <c r="N54" i="12"/>
  <c r="N56" i="12"/>
  <c r="N60" i="12"/>
  <c r="N64" i="12"/>
  <c r="N68" i="12"/>
  <c r="N67" i="12" s="1"/>
  <c r="J67" i="12" s="1"/>
  <c r="N89" i="12"/>
  <c r="N91" i="12"/>
  <c r="N90" i="12" s="1"/>
  <c r="J90" i="12" s="1"/>
  <c r="N93" i="12"/>
  <c r="N99" i="12"/>
  <c r="L135" i="12"/>
  <c r="M135" i="12" s="1"/>
  <c r="L155" i="12"/>
  <c r="K101" i="12"/>
  <c r="N102" i="12"/>
  <c r="P102" i="12"/>
  <c r="K103" i="12"/>
  <c r="L103" i="12" s="1"/>
  <c r="N106" i="12"/>
  <c r="P106" i="12"/>
  <c r="K107" i="12"/>
  <c r="L107" i="12" s="1"/>
  <c r="O107" i="12" s="1"/>
  <c r="K112" i="12"/>
  <c r="L112" i="12" s="1"/>
  <c r="P113" i="12"/>
  <c r="N115" i="12"/>
  <c r="P117" i="12"/>
  <c r="K118" i="12"/>
  <c r="L118" i="12" s="1"/>
  <c r="P119" i="12"/>
  <c r="P121" i="12"/>
  <c r="P123" i="12"/>
  <c r="K124" i="12"/>
  <c r="L124" i="12" s="1"/>
  <c r="O124" i="12" s="1"/>
  <c r="P125" i="12"/>
  <c r="N127" i="12"/>
  <c r="P127" i="12"/>
  <c r="K128" i="12"/>
  <c r="L128" i="12" s="1"/>
  <c r="N131" i="12"/>
  <c r="P131" i="12"/>
  <c r="N133" i="12"/>
  <c r="P133" i="12"/>
  <c r="N135" i="12"/>
  <c r="P135" i="12"/>
  <c r="O135" i="12" s="1"/>
  <c r="N139" i="12"/>
  <c r="P139" i="12"/>
  <c r="K140" i="12"/>
  <c r="L140" i="12" s="1"/>
  <c r="P141" i="12"/>
  <c r="N143" i="12"/>
  <c r="P143" i="12"/>
  <c r="P145" i="12"/>
  <c r="K146" i="12"/>
  <c r="N147" i="12"/>
  <c r="K148" i="12"/>
  <c r="K150" i="12"/>
  <c r="L150" i="12" s="1"/>
  <c r="M150" i="12" s="1"/>
  <c r="N151" i="12"/>
  <c r="P151" i="12"/>
  <c r="N155" i="12"/>
  <c r="P155" i="12"/>
  <c r="M156" i="12"/>
  <c r="P157" i="12"/>
  <c r="M158" i="12"/>
  <c r="N159" i="12"/>
  <c r="P160" i="12"/>
  <c r="L162" i="12"/>
  <c r="L166" i="12"/>
  <c r="M166" i="12" s="1"/>
  <c r="L170" i="12"/>
  <c r="M170" i="12" s="1"/>
  <c r="L192" i="12"/>
  <c r="M192" i="12"/>
  <c r="L196" i="12"/>
  <c r="M196" i="12" s="1"/>
  <c r="N101" i="12"/>
  <c r="N103" i="12"/>
  <c r="N107" i="12"/>
  <c r="N112" i="12"/>
  <c r="N124" i="12"/>
  <c r="N128" i="12"/>
  <c r="N132" i="12"/>
  <c r="N136" i="12"/>
  <c r="N140" i="12"/>
  <c r="N142" i="12"/>
  <c r="N144" i="12"/>
  <c r="N146" i="12"/>
  <c r="N150" i="12"/>
  <c r="N154" i="12"/>
  <c r="N156" i="12"/>
  <c r="N158" i="12"/>
  <c r="K159" i="12"/>
  <c r="L159" i="12" s="1"/>
  <c r="L178" i="12"/>
  <c r="M178" i="12" s="1"/>
  <c r="L180" i="12"/>
  <c r="M180" i="12" s="1"/>
  <c r="L182" i="12"/>
  <c r="M182" i="12" s="1"/>
  <c r="K161" i="12"/>
  <c r="L161" i="12" s="1"/>
  <c r="N162" i="12"/>
  <c r="P162" i="12"/>
  <c r="K163" i="12"/>
  <c r="L163" i="12" s="1"/>
  <c r="O163" i="12" s="1"/>
  <c r="P164" i="12"/>
  <c r="N166" i="12"/>
  <c r="P166" i="12"/>
  <c r="K167" i="12"/>
  <c r="N170" i="12"/>
  <c r="P170" i="12"/>
  <c r="K171" i="12"/>
  <c r="L171" i="12" s="1"/>
  <c r="M171" i="12" s="1"/>
  <c r="N172" i="12"/>
  <c r="K173" i="12"/>
  <c r="L173" i="12" s="1"/>
  <c r="M173" i="12" s="1"/>
  <c r="L174" i="12"/>
  <c r="M174" i="12" s="1"/>
  <c r="N174" i="12"/>
  <c r="K175" i="12"/>
  <c r="L175" i="12" s="1"/>
  <c r="L176" i="12"/>
  <c r="M176" i="12" s="1"/>
  <c r="N176" i="12"/>
  <c r="K177" i="12"/>
  <c r="L177" i="12" s="1"/>
  <c r="O177" i="12" s="1"/>
  <c r="N178" i="12"/>
  <c r="P178" i="12"/>
  <c r="O178" i="12" s="1"/>
  <c r="K179" i="12"/>
  <c r="L179" i="12" s="1"/>
  <c r="N180" i="12"/>
  <c r="P180" i="12"/>
  <c r="N182" i="12"/>
  <c r="P182" i="12"/>
  <c r="L184" i="12"/>
  <c r="M184" i="12" s="1"/>
  <c r="N184" i="12"/>
  <c r="K185" i="12"/>
  <c r="L185" i="12" s="1"/>
  <c r="O185" i="12" s="1"/>
  <c r="L186" i="12"/>
  <c r="M186" i="12" s="1"/>
  <c r="N186" i="12"/>
  <c r="K187" i="12"/>
  <c r="L187" i="12" s="1"/>
  <c r="O187" i="12" s="1"/>
  <c r="N188" i="12"/>
  <c r="K189" i="12"/>
  <c r="L189" i="12" s="1"/>
  <c r="K191" i="12"/>
  <c r="N192" i="12"/>
  <c r="P192" i="12"/>
  <c r="K195" i="12"/>
  <c r="L195" i="12" s="1"/>
  <c r="O195" i="12" s="1"/>
  <c r="N196" i="12"/>
  <c r="P196" i="12"/>
  <c r="O196" i="12" s="1"/>
  <c r="N198" i="12"/>
  <c r="K199" i="12"/>
  <c r="L199" i="12" s="1"/>
  <c r="M199" i="12" s="1"/>
  <c r="N200" i="12"/>
  <c r="K201" i="12"/>
  <c r="L201" i="12" s="1"/>
  <c r="O201" i="12" s="1"/>
  <c r="K203" i="12"/>
  <c r="L204" i="12"/>
  <c r="N204" i="12"/>
  <c r="K205" i="12"/>
  <c r="L205" i="12" s="1"/>
  <c r="K207" i="12"/>
  <c r="K209" i="12"/>
  <c r="L209" i="12" s="1"/>
  <c r="M209" i="12" s="1"/>
  <c r="K211" i="12"/>
  <c r="N212" i="12"/>
  <c r="K213" i="12"/>
  <c r="N216" i="12"/>
  <c r="K217" i="12"/>
  <c r="L217" i="12" s="1"/>
  <c r="K219" i="12"/>
  <c r="L219" i="12" s="1"/>
  <c r="O219" i="12" s="1"/>
  <c r="N220" i="12"/>
  <c r="N163" i="12"/>
  <c r="N167" i="12"/>
  <c r="N171" i="12"/>
  <c r="N175" i="12"/>
  <c r="N177" i="12"/>
  <c r="N179" i="12"/>
  <c r="N185" i="12"/>
  <c r="N187" i="12"/>
  <c r="N189" i="12"/>
  <c r="N191" i="12"/>
  <c r="N193" i="12"/>
  <c r="N195" i="12"/>
  <c r="N199" i="12"/>
  <c r="N201" i="12"/>
  <c r="N203" i="12"/>
  <c r="N205" i="12"/>
  <c r="N207" i="12"/>
  <c r="N209" i="12"/>
  <c r="N211" i="12"/>
  <c r="N213" i="12"/>
  <c r="N217" i="12"/>
  <c r="N219" i="12"/>
  <c r="L227" i="12"/>
  <c r="M227" i="12" s="1"/>
  <c r="L229" i="12"/>
  <c r="M229" i="12" s="1"/>
  <c r="L237" i="12"/>
  <c r="M237" i="12" s="1"/>
  <c r="N221" i="12"/>
  <c r="K222" i="12"/>
  <c r="L223" i="12"/>
  <c r="M223" i="12" s="1"/>
  <c r="N223" i="12"/>
  <c r="K224" i="12"/>
  <c r="L224" i="12" s="1"/>
  <c r="K226" i="12"/>
  <c r="N227" i="12"/>
  <c r="P227" i="12"/>
  <c r="K228" i="12"/>
  <c r="L228" i="12" s="1"/>
  <c r="N229" i="12"/>
  <c r="P229" i="12"/>
  <c r="O229" i="12" s="1"/>
  <c r="K230" i="12"/>
  <c r="L230" i="12" s="1"/>
  <c r="O230" i="12" s="1"/>
  <c r="K232" i="12"/>
  <c r="L232" i="12" s="1"/>
  <c r="N233" i="12"/>
  <c r="P233" i="12"/>
  <c r="K234" i="12"/>
  <c r="K236" i="12"/>
  <c r="L236" i="12" s="1"/>
  <c r="M236" i="12" s="1"/>
  <c r="N237" i="12"/>
  <c r="P237" i="12"/>
  <c r="K238" i="12"/>
  <c r="L238" i="12" s="1"/>
  <c r="M238" i="12" s="1"/>
  <c r="N239" i="12"/>
  <c r="P239" i="12"/>
  <c r="N241" i="12"/>
  <c r="K242" i="12"/>
  <c r="L242" i="12" s="1"/>
  <c r="O242" i="12" s="1"/>
  <c r="N243" i="12"/>
  <c r="N245" i="12"/>
  <c r="K246" i="12"/>
  <c r="L246" i="12" s="1"/>
  <c r="N248" i="12"/>
  <c r="K251" i="12"/>
  <c r="L254" i="12"/>
  <c r="L261" i="12"/>
  <c r="L265" i="12"/>
  <c r="L273" i="12"/>
  <c r="N222" i="12"/>
  <c r="N226" i="12"/>
  <c r="N230" i="12"/>
  <c r="N234" i="12"/>
  <c r="N238" i="12"/>
  <c r="N242" i="12"/>
  <c r="N246" i="12"/>
  <c r="N249" i="12"/>
  <c r="N251" i="12"/>
  <c r="K253" i="12"/>
  <c r="L253" i="12" s="1"/>
  <c r="O253" i="12" s="1"/>
  <c r="K255" i="12"/>
  <c r="L255" i="12" s="1"/>
  <c r="N256" i="12"/>
  <c r="P256" i="12"/>
  <c r="K260" i="12"/>
  <c r="N261" i="12"/>
  <c r="P261" i="12"/>
  <c r="K264" i="12"/>
  <c r="L264" i="12" s="1"/>
  <c r="N265" i="12"/>
  <c r="P265" i="12"/>
  <c r="K272" i="12"/>
  <c r="L272" i="12" s="1"/>
  <c r="N273" i="12"/>
  <c r="P273" i="12"/>
  <c r="O273" i="12" s="1"/>
  <c r="K277" i="12"/>
  <c r="L277" i="12" s="1"/>
  <c r="L280" i="12"/>
  <c r="N280" i="12"/>
  <c r="K283" i="12"/>
  <c r="L283" i="12" s="1"/>
  <c r="O283" i="12" s="1"/>
  <c r="N253" i="12"/>
  <c r="N255" i="12"/>
  <c r="N260" i="12"/>
  <c r="N264" i="12"/>
  <c r="N277" i="12"/>
  <c r="N283" i="12"/>
  <c r="L19" i="11"/>
  <c r="M19" i="11" s="1"/>
  <c r="L21" i="11"/>
  <c r="M21" i="11" s="1"/>
  <c r="L27" i="11"/>
  <c r="M27" i="11" s="1"/>
  <c r="L31" i="11"/>
  <c r="M31" i="11" s="1"/>
  <c r="L38" i="11"/>
  <c r="M38" i="11" s="1"/>
  <c r="M40" i="11"/>
  <c r="N15" i="11"/>
  <c r="N19" i="11"/>
  <c r="N21" i="11"/>
  <c r="M22" i="11"/>
  <c r="M24" i="11"/>
  <c r="N25" i="11"/>
  <c r="N27" i="11"/>
  <c r="N31" i="11"/>
  <c r="N38" i="11"/>
  <c r="N40" i="11"/>
  <c r="N42" i="11"/>
  <c r="N262" i="15"/>
  <c r="N254" i="15"/>
  <c r="N197" i="15"/>
  <c r="N149" i="15"/>
  <c r="N133" i="15"/>
  <c r="N129" i="15"/>
  <c r="N108" i="15"/>
  <c r="O152" i="15"/>
  <c r="O112" i="15"/>
  <c r="M33" i="15"/>
  <c r="O33" i="15" s="1"/>
  <c r="N152" i="15"/>
  <c r="N103" i="15"/>
  <c r="N95" i="15"/>
  <c r="N87" i="15"/>
  <c r="N104" i="15"/>
  <c r="O61" i="15"/>
  <c r="M42" i="15"/>
  <c r="N42" i="15" s="1"/>
  <c r="O27" i="15"/>
  <c r="N104" i="14"/>
  <c r="N66" i="14"/>
  <c r="N205" i="14"/>
  <c r="N126" i="14"/>
  <c r="N60" i="14"/>
  <c r="M40" i="14"/>
  <c r="O40" i="14" s="1"/>
  <c r="L226" i="12"/>
  <c r="M226" i="12" s="1"/>
  <c r="L222" i="12"/>
  <c r="O222" i="12" s="1"/>
  <c r="L211" i="12"/>
  <c r="O211" i="12" s="1"/>
  <c r="L207" i="12"/>
  <c r="M204" i="12"/>
  <c r="L146" i="12"/>
  <c r="L58" i="12"/>
  <c r="M58" i="12" s="1"/>
  <c r="L260" i="12"/>
  <c r="M260" i="12" s="1"/>
  <c r="M273" i="12"/>
  <c r="L148" i="12"/>
  <c r="M148" i="12" s="1"/>
  <c r="L101" i="12"/>
  <c r="M101" i="12" s="1"/>
  <c r="L99" i="12"/>
  <c r="O99" i="12" s="1"/>
  <c r="L56" i="12"/>
  <c r="O56" i="12" s="1"/>
  <c r="O43" i="12"/>
  <c r="M232" i="12"/>
  <c r="M222" i="12"/>
  <c r="L68" i="12"/>
  <c r="N220" i="14"/>
  <c r="O159" i="14"/>
  <c r="O96" i="14"/>
  <c r="O25" i="14"/>
  <c r="N25" i="14"/>
  <c r="N271" i="15"/>
  <c r="N261" i="15"/>
  <c r="N250" i="15"/>
  <c r="N234" i="15"/>
  <c r="O192" i="15"/>
  <c r="O176" i="15"/>
  <c r="N186" i="15"/>
  <c r="N141" i="15"/>
  <c r="N123" i="15"/>
  <c r="N128" i="15"/>
  <c r="N101" i="15"/>
  <c r="O242" i="15"/>
  <c r="N242" i="15"/>
  <c r="N225" i="15"/>
  <c r="N196" i="15"/>
  <c r="N209" i="14"/>
  <c r="N138" i="14"/>
  <c r="O29" i="14"/>
  <c r="N29" i="14"/>
  <c r="N233" i="15"/>
  <c r="O210" i="15"/>
  <c r="O174" i="15"/>
  <c r="N55" i="14"/>
  <c r="N100" i="14"/>
  <c r="N219" i="14"/>
  <c r="N192" i="14"/>
  <c r="O137" i="14"/>
  <c r="M41" i="14"/>
  <c r="N41" i="14" s="1"/>
  <c r="O273" i="15"/>
  <c r="O263" i="15"/>
  <c r="N220" i="15"/>
  <c r="O183" i="15"/>
  <c r="N183" i="15"/>
  <c r="O166" i="15"/>
  <c r="N177" i="15"/>
  <c r="O177" i="15"/>
  <c r="Q72" i="10"/>
  <c r="M69" i="10"/>
  <c r="J175" i="8"/>
  <c r="N175" i="8" s="1"/>
  <c r="P175" i="8" s="1"/>
  <c r="K174" i="10"/>
  <c r="O174" i="10" s="1"/>
  <c r="N174" i="10"/>
  <c r="J176" i="8"/>
  <c r="N176" i="8" s="1"/>
  <c r="P176" i="8" s="1"/>
  <c r="K175" i="10"/>
  <c r="O175" i="10" s="1"/>
  <c r="N175" i="10"/>
  <c r="J177" i="8"/>
  <c r="N177" i="8" s="1"/>
  <c r="P177" i="8" s="1"/>
  <c r="K176" i="10"/>
  <c r="O176" i="10" s="1"/>
  <c r="J29" i="8"/>
  <c r="N29" i="8" s="1"/>
  <c r="P29" i="8" s="1"/>
  <c r="K29" i="11"/>
  <c r="L29" i="11" s="1"/>
  <c r="M29" i="11" s="1"/>
  <c r="H29" i="11"/>
  <c r="I29" i="11" s="1"/>
  <c r="P53" i="12"/>
  <c r="K53" i="12"/>
  <c r="L53" i="12" s="1"/>
  <c r="M53" i="12" s="1"/>
  <c r="I13" i="10"/>
  <c r="K51" i="10"/>
  <c r="O51" i="10" s="1"/>
  <c r="J55" i="8"/>
  <c r="N55" i="8" s="1"/>
  <c r="P55" i="8" s="1"/>
  <c r="I56" i="10"/>
  <c r="P60" i="10"/>
  <c r="N91" i="10"/>
  <c r="K134" i="10"/>
  <c r="O134" i="10" s="1"/>
  <c r="Q134" i="10" s="1"/>
  <c r="N34" i="11"/>
  <c r="K34" i="11"/>
  <c r="L34" i="11" s="1"/>
  <c r="P112" i="10"/>
  <c r="O115" i="10"/>
  <c r="P116" i="10"/>
  <c r="O119" i="10"/>
  <c r="N176" i="10"/>
  <c r="M282" i="10"/>
  <c r="O282" i="10"/>
  <c r="H35" i="11"/>
  <c r="I35" i="11" s="1"/>
  <c r="N51" i="10"/>
  <c r="I129" i="10"/>
  <c r="J168" i="10"/>
  <c r="J169" i="8" s="1"/>
  <c r="M281" i="10"/>
  <c r="N173" i="10"/>
  <c r="K179" i="10"/>
  <c r="O179" i="10" s="1"/>
  <c r="K41" i="11"/>
  <c r="L41" i="11" s="1"/>
  <c r="K19" i="12"/>
  <c r="L19" i="12" s="1"/>
  <c r="M19" i="12" s="1"/>
  <c r="P29" i="12"/>
  <c r="J26" i="12"/>
  <c r="P154" i="12"/>
  <c r="K154" i="12"/>
  <c r="P188" i="12"/>
  <c r="K188" i="12"/>
  <c r="P202" i="12"/>
  <c r="P121" i="14"/>
  <c r="K121" i="14"/>
  <c r="K138" i="10"/>
  <c r="O138" i="10" s="1"/>
  <c r="Q138" i="10" s="1"/>
  <c r="N169" i="10"/>
  <c r="N172" i="10"/>
  <c r="H35" i="12"/>
  <c r="I35" i="12" s="1"/>
  <c r="J27" i="14"/>
  <c r="J26" i="14" s="1"/>
  <c r="I26" i="14"/>
  <c r="P94" i="14"/>
  <c r="K94" i="14"/>
  <c r="N171" i="10"/>
  <c r="N177" i="10"/>
  <c r="N179" i="10"/>
  <c r="P49" i="12"/>
  <c r="K49" i="12"/>
  <c r="K172" i="12"/>
  <c r="P71" i="14"/>
  <c r="K71" i="14"/>
  <c r="K70" i="14" s="1"/>
  <c r="P23" i="12"/>
  <c r="P61" i="12"/>
  <c r="P63" i="12"/>
  <c r="P74" i="12"/>
  <c r="P76" i="12"/>
  <c r="O76" i="12" s="1"/>
  <c r="P82" i="12"/>
  <c r="P136" i="12"/>
  <c r="P156" i="12"/>
  <c r="O156" i="12" s="1"/>
  <c r="P176" i="12"/>
  <c r="P184" i="12"/>
  <c r="P221" i="12"/>
  <c r="K221" i="12"/>
  <c r="K22" i="14"/>
  <c r="P22" i="14"/>
  <c r="K28" i="14"/>
  <c r="P28" i="14"/>
  <c r="K43" i="14"/>
  <c r="K39" i="14" s="1"/>
  <c r="F39" i="14" s="1"/>
  <c r="P39" i="14" s="1"/>
  <c r="P43" i="14"/>
  <c r="P54" i="14"/>
  <c r="K54" i="14"/>
  <c r="P76" i="14"/>
  <c r="O76" i="14" s="1"/>
  <c r="K76" i="14"/>
  <c r="K75" i="14" s="1"/>
  <c r="F75" i="14" s="1"/>
  <c r="P115" i="14"/>
  <c r="K115" i="14"/>
  <c r="K110" i="14" s="1"/>
  <c r="F110" i="14" s="1"/>
  <c r="P158" i="14"/>
  <c r="K158" i="14"/>
  <c r="P179" i="14"/>
  <c r="O179" i="14" s="1"/>
  <c r="K179" i="14"/>
  <c r="P248" i="12"/>
  <c r="K248" i="12"/>
  <c r="L248" i="12" s="1"/>
  <c r="P18" i="14"/>
  <c r="J39" i="14"/>
  <c r="P61" i="14"/>
  <c r="K61" i="14"/>
  <c r="P82" i="14"/>
  <c r="K82" i="14"/>
  <c r="P100" i="14"/>
  <c r="K100" i="14"/>
  <c r="P218" i="12"/>
  <c r="K218" i="12"/>
  <c r="L218" i="12" s="1"/>
  <c r="K243" i="12"/>
  <c r="L243" i="12" s="1"/>
  <c r="P243" i="12"/>
  <c r="M22" i="14"/>
  <c r="N22" i="14" s="1"/>
  <c r="P86" i="14"/>
  <c r="K86" i="14"/>
  <c r="K83" i="14" s="1"/>
  <c r="F83" i="14" s="1"/>
  <c r="P83" i="14" s="1"/>
  <c r="O83" i="14" s="1"/>
  <c r="P135" i="14"/>
  <c r="K135" i="14"/>
  <c r="P151" i="14"/>
  <c r="K151" i="14"/>
  <c r="P280" i="12"/>
  <c r="P20" i="14"/>
  <c r="O20" i="14" s="1"/>
  <c r="K20" i="14"/>
  <c r="P24" i="14"/>
  <c r="O24" i="14" s="1"/>
  <c r="K24" i="14"/>
  <c r="P30" i="14"/>
  <c r="K30" i="14"/>
  <c r="P34" i="14"/>
  <c r="P36" i="14"/>
  <c r="O36" i="14" s="1"/>
  <c r="K36" i="14"/>
  <c r="P41" i="14"/>
  <c r="P49" i="14"/>
  <c r="P64" i="14"/>
  <c r="P91" i="14"/>
  <c r="O91" i="14" s="1"/>
  <c r="P97" i="14"/>
  <c r="P104" i="14"/>
  <c r="O104" i="14" s="1"/>
  <c r="P111" i="14"/>
  <c r="P118" i="14"/>
  <c r="O118" i="14" s="1"/>
  <c r="P125" i="14"/>
  <c r="P131" i="14"/>
  <c r="P147" i="14"/>
  <c r="P154" i="14"/>
  <c r="O154" i="14" s="1"/>
  <c r="P162" i="14"/>
  <c r="O162" i="14" s="1"/>
  <c r="P175" i="14"/>
  <c r="K186" i="14"/>
  <c r="P186" i="14"/>
  <c r="P193" i="14"/>
  <c r="K193" i="14"/>
  <c r="P196" i="14"/>
  <c r="K196" i="14"/>
  <c r="K254" i="14"/>
  <c r="L254" i="14"/>
  <c r="M254" i="14" s="1"/>
  <c r="N254" i="14" s="1"/>
  <c r="P141" i="15"/>
  <c r="K141" i="15"/>
  <c r="P164" i="15"/>
  <c r="K164" i="15"/>
  <c r="P281" i="15"/>
  <c r="K281" i="15"/>
  <c r="P200" i="14"/>
  <c r="K204" i="14"/>
  <c r="P211" i="14"/>
  <c r="O211" i="14" s="1"/>
  <c r="K219" i="14"/>
  <c r="P223" i="14"/>
  <c r="P242" i="14"/>
  <c r="K257" i="14"/>
  <c r="K263" i="14"/>
  <c r="P267" i="14"/>
  <c r="K280" i="14"/>
  <c r="F26" i="15"/>
  <c r="I40" i="15"/>
  <c r="P51" i="15"/>
  <c r="K69" i="15"/>
  <c r="K68" i="15" s="1"/>
  <c r="F68" i="15" s="1"/>
  <c r="K80" i="15"/>
  <c r="K86" i="15"/>
  <c r="P90" i="15"/>
  <c r="P102" i="15"/>
  <c r="K106" i="15"/>
  <c r="P113" i="15"/>
  <c r="O113" i="15" s="1"/>
  <c r="K120" i="15"/>
  <c r="P129" i="15"/>
  <c r="O129" i="15" s="1"/>
  <c r="K129" i="15"/>
  <c r="P252" i="15"/>
  <c r="K252" i="15"/>
  <c r="K248" i="15" s="1"/>
  <c r="P258" i="15"/>
  <c r="O258" i="15" s="1"/>
  <c r="K258" i="15"/>
  <c r="K125" i="15"/>
  <c r="P125" i="15"/>
  <c r="P133" i="15"/>
  <c r="K133" i="15"/>
  <c r="P149" i="15"/>
  <c r="O149" i="15" s="1"/>
  <c r="K149" i="15"/>
  <c r="P156" i="15"/>
  <c r="O156" i="15" s="1"/>
  <c r="K156" i="15"/>
  <c r="P264" i="15"/>
  <c r="O264" i="15" s="1"/>
  <c r="K264" i="15"/>
  <c r="I14" i="15"/>
  <c r="P221" i="15"/>
  <c r="K221" i="15"/>
  <c r="P230" i="15"/>
  <c r="K230" i="15"/>
  <c r="F248" i="15"/>
  <c r="P248" i="15" s="1"/>
  <c r="O248" i="15" s="1"/>
  <c r="P137" i="15"/>
  <c r="O137" i="15" s="1"/>
  <c r="P145" i="15"/>
  <c r="O145" i="15" s="1"/>
  <c r="P160" i="15"/>
  <c r="P167" i="15"/>
  <c r="P173" i="15"/>
  <c r="O173" i="15" s="1"/>
  <c r="P217" i="15"/>
  <c r="O217" i="15" s="1"/>
  <c r="P268" i="15"/>
  <c r="O268" i="15" s="1"/>
  <c r="M47" i="8"/>
  <c r="L154" i="12"/>
  <c r="M154" i="12" s="1"/>
  <c r="L221" i="12"/>
  <c r="O221" i="12" s="1"/>
  <c r="L172" i="12"/>
  <c r="O172" i="12" s="1"/>
  <c r="J48" i="8"/>
  <c r="N48" i="8" s="1"/>
  <c r="O48" i="8" s="1"/>
  <c r="M48" i="8"/>
  <c r="L275" i="8"/>
  <c r="O76" i="8"/>
  <c r="N35" i="8"/>
  <c r="N62" i="8"/>
  <c r="P173" i="8"/>
  <c r="N106" i="8"/>
  <c r="K102" i="8"/>
  <c r="K66" i="8"/>
  <c r="M62" i="8"/>
  <c r="K125" i="8"/>
  <c r="P125" i="8"/>
  <c r="K108" i="8"/>
  <c r="N80" i="8"/>
  <c r="O80" i="8" s="1"/>
  <c r="N60" i="8"/>
  <c r="O60" i="8" s="1"/>
  <c r="N93" i="8"/>
  <c r="P93" i="8" s="1"/>
  <c r="N128" i="8"/>
  <c r="P128" i="8" s="1"/>
  <c r="K65" i="8"/>
  <c r="N86" i="8"/>
  <c r="O155" i="8"/>
  <c r="O167" i="8"/>
  <c r="N61" i="8"/>
  <c r="K84" i="8"/>
  <c r="N97" i="8"/>
  <c r="O97" i="8" s="1"/>
  <c r="N79" i="8"/>
  <c r="P79" i="8" s="1"/>
  <c r="K124" i="8"/>
  <c r="N124" i="8"/>
  <c r="N90" i="8"/>
  <c r="O90" i="8" s="1"/>
  <c r="P66" i="8"/>
  <c r="N24" i="8"/>
  <c r="P24" i="8" s="1"/>
  <c r="N17" i="8"/>
  <c r="M191" i="8"/>
  <c r="K94" i="8"/>
  <c r="N81" i="8"/>
  <c r="O81" i="8" s="1"/>
  <c r="K81" i="8"/>
  <c r="K59" i="8"/>
  <c r="N59" i="8"/>
  <c r="O59" i="8" s="1"/>
  <c r="P15" i="8"/>
  <c r="O15" i="8"/>
  <c r="M283" i="8"/>
  <c r="N121" i="8"/>
  <c r="P121" i="8" s="1"/>
  <c r="K121" i="8"/>
  <c r="O102" i="8"/>
  <c r="O101" i="12"/>
  <c r="O179" i="12"/>
  <c r="M179" i="12"/>
  <c r="N182" i="14"/>
  <c r="N173" i="14"/>
  <c r="N172" i="14"/>
  <c r="N156" i="14"/>
  <c r="N89" i="14"/>
  <c r="N113" i="14"/>
  <c r="O271" i="14"/>
  <c r="O229" i="14"/>
  <c r="N212" i="14"/>
  <c r="O212" i="14"/>
  <c r="O88" i="14"/>
  <c r="N201" i="14"/>
  <c r="O79" i="14"/>
  <c r="N197" i="14"/>
  <c r="O257" i="14"/>
  <c r="N257" i="14"/>
  <c r="N250" i="14"/>
  <c r="N195" i="14"/>
  <c r="N183" i="14"/>
  <c r="N117" i="14"/>
  <c r="O117" i="14"/>
  <c r="O145" i="14"/>
  <c r="N145" i="14"/>
  <c r="O85" i="14"/>
  <c r="N251" i="14"/>
  <c r="N227" i="14"/>
  <c r="N191" i="14"/>
  <c r="N224" i="14"/>
  <c r="N189" i="14"/>
  <c r="N133" i="14"/>
  <c r="N127" i="14"/>
  <c r="N103" i="14"/>
  <c r="N276" i="14"/>
  <c r="N274" i="14"/>
  <c r="N262" i="14"/>
  <c r="N258" i="14"/>
  <c r="O134" i="14"/>
  <c r="N280" i="15"/>
  <c r="N278" i="15"/>
  <c r="N237" i="15"/>
  <c r="N204" i="15"/>
  <c r="O204" i="15"/>
  <c r="N266" i="15"/>
  <c r="O245" i="15"/>
  <c r="N245" i="15"/>
  <c r="O194" i="15"/>
  <c r="I1285" i="5"/>
  <c r="I1271" i="5"/>
  <c r="J2205" i="5"/>
  <c r="J2186" i="5"/>
  <c r="N35" i="14"/>
  <c r="O35" i="14"/>
  <c r="N284" i="15"/>
  <c r="N249" i="15"/>
  <c r="N222" i="15"/>
  <c r="O222" i="15"/>
  <c r="J1727" i="5"/>
  <c r="J2377" i="5"/>
  <c r="J2356" i="5"/>
  <c r="I1558" i="5"/>
  <c r="I1348" i="5"/>
  <c r="I1330" i="5"/>
  <c r="I1710" i="5"/>
  <c r="I1481" i="5"/>
  <c r="I1316" i="5"/>
  <c r="O21" i="15"/>
  <c r="N21" i="15"/>
  <c r="J2155" i="5"/>
  <c r="J2146" i="5"/>
  <c r="J1771" i="5"/>
  <c r="P47" i="10"/>
  <c r="I66" i="10"/>
  <c r="P88" i="10"/>
  <c r="I86" i="10"/>
  <c r="J141" i="8"/>
  <c r="N141" i="8" s="1"/>
  <c r="F213" i="10"/>
  <c r="H37" i="11"/>
  <c r="I37" i="11" s="1"/>
  <c r="M98" i="10"/>
  <c r="M97" i="10" s="1"/>
  <c r="K97" i="10"/>
  <c r="K136" i="10"/>
  <c r="O136" i="10" s="1"/>
  <c r="Q136" i="10" s="1"/>
  <c r="N20" i="11"/>
  <c r="H213" i="10"/>
  <c r="Q88" i="10"/>
  <c r="Q93" i="10"/>
  <c r="O98" i="10"/>
  <c r="Q118" i="10"/>
  <c r="P17" i="12"/>
  <c r="P204" i="12"/>
  <c r="O204" i="12" s="1"/>
  <c r="P166" i="14"/>
  <c r="O166" i="14" s="1"/>
  <c r="P171" i="14"/>
  <c r="O171" i="14" s="1"/>
  <c r="P240" i="14"/>
  <c r="K261" i="14"/>
  <c r="P261" i="14"/>
  <c r="K265" i="14"/>
  <c r="P265" i="14"/>
  <c r="J14" i="15"/>
  <c r="K127" i="15"/>
  <c r="P127" i="15"/>
  <c r="P47" i="12"/>
  <c r="K55" i="12"/>
  <c r="L55" i="12" s="1"/>
  <c r="K59" i="12"/>
  <c r="K65" i="12"/>
  <c r="L65" i="12" s="1"/>
  <c r="M65" i="12" s="1"/>
  <c r="P71" i="12"/>
  <c r="K80" i="12"/>
  <c r="P47" i="14"/>
  <c r="P66" i="14"/>
  <c r="O66" i="14" s="1"/>
  <c r="J73" i="8"/>
  <c r="N73" i="8" s="1"/>
  <c r="P73" i="8" s="1"/>
  <c r="P84" i="14"/>
  <c r="O84" i="14" s="1"/>
  <c r="P113" i="14"/>
  <c r="O113" i="14" s="1"/>
  <c r="P156" i="14"/>
  <c r="P160" i="14"/>
  <c r="P167" i="14"/>
  <c r="P173" i="14"/>
  <c r="O173" i="14" s="1"/>
  <c r="K97" i="15"/>
  <c r="P97" i="15"/>
  <c r="K108" i="15"/>
  <c r="P108" i="15"/>
  <c r="O108" i="15" s="1"/>
  <c r="K115" i="15"/>
  <c r="K111" i="15" s="1"/>
  <c r="P115" i="15"/>
  <c r="H36" i="12"/>
  <c r="I36" i="12" s="1"/>
  <c r="P246" i="14"/>
  <c r="O246" i="14" s="1"/>
  <c r="K246" i="14"/>
  <c r="K82" i="15"/>
  <c r="P82" i="15"/>
  <c r="K123" i="15"/>
  <c r="P123" i="15"/>
  <c r="O123" i="15" s="1"/>
  <c r="K217" i="14"/>
  <c r="K236" i="14"/>
  <c r="J27" i="15"/>
  <c r="J26" i="15" s="1"/>
  <c r="I26" i="15"/>
  <c r="O94" i="8"/>
  <c r="L59" i="12"/>
  <c r="AF6" i="8"/>
  <c r="AE8" i="8"/>
  <c r="K115" i="16"/>
  <c r="O115" i="16" s="1"/>
  <c r="K127" i="16"/>
  <c r="O127" i="16" s="1"/>
  <c r="K59" i="16"/>
  <c r="O59" i="16" s="1"/>
  <c r="K94" i="16"/>
  <c r="O94" i="16" s="1"/>
  <c r="P128" i="16"/>
  <c r="K128" i="16"/>
  <c r="O128" i="16" s="1"/>
  <c r="K111" i="16"/>
  <c r="O111" i="16" s="1"/>
  <c r="K112" i="16"/>
  <c r="O112" i="16" s="1"/>
  <c r="P86" i="16"/>
  <c r="K125" i="16"/>
  <c r="O125" i="16" s="1"/>
  <c r="K85" i="16"/>
  <c r="O85" i="16" s="1"/>
  <c r="K89" i="16"/>
  <c r="O89" i="16" s="1"/>
  <c r="O87" i="16" s="1"/>
  <c r="AE8" i="16"/>
  <c r="L26" i="16"/>
  <c r="L46" i="16"/>
  <c r="P153" i="16"/>
  <c r="L51" i="16"/>
  <c r="P60" i="16"/>
  <c r="P97" i="16"/>
  <c r="L110" i="16"/>
  <c r="L109" i="16" s="1"/>
  <c r="L83" i="16"/>
  <c r="L77" i="16" s="1"/>
  <c r="M95" i="16"/>
  <c r="L120" i="16"/>
  <c r="L130" i="16"/>
  <c r="L152" i="16"/>
  <c r="P122" i="16"/>
  <c r="P126" i="16"/>
  <c r="L225" i="16"/>
  <c r="O38" i="8"/>
  <c r="P34" i="8"/>
  <c r="P20" i="8"/>
  <c r="N19" i="8"/>
  <c r="P19" i="8"/>
  <c r="O36" i="8"/>
  <c r="N42" i="8"/>
  <c r="G46" i="8"/>
  <c r="M41" i="8"/>
  <c r="N41" i="8"/>
  <c r="M35" i="8"/>
  <c r="O22" i="8"/>
  <c r="P22" i="8"/>
  <c r="P18" i="8"/>
  <c r="O18" i="8"/>
  <c r="N37" i="8"/>
  <c r="P37" i="8" s="1"/>
  <c r="L33" i="8"/>
  <c r="N33" i="8" s="1"/>
  <c r="P33" i="8" s="1"/>
  <c r="O154" i="8"/>
  <c r="P154" i="8"/>
  <c r="P90" i="8"/>
  <c r="K127" i="8"/>
  <c r="O156" i="8"/>
  <c r="P56" i="8"/>
  <c r="L269" i="8"/>
  <c r="L252" i="8"/>
  <c r="L247" i="8"/>
  <c r="L208" i="8"/>
  <c r="P208" i="8" s="1"/>
  <c r="L190" i="8"/>
  <c r="L95" i="8"/>
  <c r="L83" i="8"/>
  <c r="L72" i="8"/>
  <c r="P165" i="8"/>
  <c r="I282" i="8"/>
  <c r="M282" i="8" s="1"/>
  <c r="K123" i="8"/>
  <c r="P97" i="8"/>
  <c r="O66" i="8"/>
  <c r="N64" i="8"/>
  <c r="O64" i="8" s="1"/>
  <c r="O127" i="8"/>
  <c r="N88" i="8"/>
  <c r="O88" i="8" s="1"/>
  <c r="M57" i="8"/>
  <c r="P157" i="8"/>
  <c r="N87" i="8"/>
  <c r="P87" i="8" s="1"/>
  <c r="L278" i="8"/>
  <c r="L225" i="8"/>
  <c r="L215" i="8"/>
  <c r="L194" i="8"/>
  <c r="L78" i="8"/>
  <c r="P65" i="8"/>
  <c r="L62" i="8"/>
  <c r="L57" i="8"/>
  <c r="L51" i="8"/>
  <c r="L39" i="8"/>
  <c r="N25" i="8"/>
  <c r="P25" i="8" s="1"/>
  <c r="N21" i="8"/>
  <c r="P21" i="8" s="1"/>
  <c r="K91" i="8"/>
  <c r="N91" i="8"/>
  <c r="O91" i="8" s="1"/>
  <c r="L259" i="8"/>
  <c r="L26" i="8"/>
  <c r="L70" i="8"/>
  <c r="N16" i="8"/>
  <c r="P16" i="8" s="1"/>
  <c r="L14" i="8"/>
  <c r="K104" i="8"/>
  <c r="N104" i="8"/>
  <c r="P104" i="8" s="1"/>
  <c r="N100" i="8"/>
  <c r="K100" i="8"/>
  <c r="P94" i="8"/>
  <c r="N92" i="8"/>
  <c r="K58" i="8"/>
  <c r="N58" i="8"/>
  <c r="P30" i="8"/>
  <c r="L92" i="8"/>
  <c r="O93" i="8"/>
  <c r="O92" i="8" s="1"/>
  <c r="O128" i="8"/>
  <c r="M152" i="8"/>
  <c r="K71" i="8"/>
  <c r="N71" i="8"/>
  <c r="N70" i="8" s="1"/>
  <c r="L181" i="8"/>
  <c r="O157" i="8"/>
  <c r="L130" i="8"/>
  <c r="L98" i="8"/>
  <c r="P102" i="8"/>
  <c r="O165" i="8"/>
  <c r="P74" i="8"/>
  <c r="O65" i="8"/>
  <c r="K107" i="8"/>
  <c r="N107" i="8"/>
  <c r="N103" i="8"/>
  <c r="O103" i="8" s="1"/>
  <c r="K103" i="8"/>
  <c r="N99" i="8"/>
  <c r="P99" i="8" s="1"/>
  <c r="K99" i="8"/>
  <c r="P68" i="8"/>
  <c r="N67" i="8"/>
  <c r="P67" i="8" s="1"/>
  <c r="N63" i="8"/>
  <c r="P63" i="8" s="1"/>
  <c r="K63" i="8"/>
  <c r="O44" i="8"/>
  <c r="P44" i="8"/>
  <c r="P40" i="8"/>
  <c r="O40" i="8"/>
  <c r="P27" i="8"/>
  <c r="N72" i="8"/>
  <c r="P166" i="8"/>
  <c r="O166" i="8"/>
  <c r="P153" i="8"/>
  <c r="O153" i="8"/>
  <c r="P123" i="8"/>
  <c r="N89" i="8"/>
  <c r="O89" i="8" s="1"/>
  <c r="K89" i="8"/>
  <c r="K85" i="8"/>
  <c r="N85" i="8"/>
  <c r="P43" i="8"/>
  <c r="O43" i="8"/>
  <c r="P52" i="8"/>
  <c r="O52" i="8"/>
  <c r="O47" i="8"/>
  <c r="N46" i="8"/>
  <c r="P47" i="8"/>
  <c r="O159" i="8"/>
  <c r="P159" i="8"/>
  <c r="K126" i="8"/>
  <c r="N126" i="8"/>
  <c r="N105" i="8"/>
  <c r="P105" i="8" s="1"/>
  <c r="K105" i="8"/>
  <c r="K101" i="8"/>
  <c r="N101" i="8"/>
  <c r="P84" i="8"/>
  <c r="O84" i="8"/>
  <c r="O50" i="8"/>
  <c r="N31" i="8"/>
  <c r="O31" i="8" s="1"/>
  <c r="K31" i="8"/>
  <c r="K122" i="8"/>
  <c r="N122" i="8"/>
  <c r="O122" i="8" s="1"/>
  <c r="O108" i="8"/>
  <c r="P108" i="8"/>
  <c r="N82" i="8"/>
  <c r="O82" i="8" s="1"/>
  <c r="K82" i="8"/>
  <c r="O49" i="8"/>
  <c r="P49" i="8"/>
  <c r="P127" i="16"/>
  <c r="K93" i="16"/>
  <c r="O93" i="16" s="1"/>
  <c r="O92" i="16" s="1"/>
  <c r="O19" i="8"/>
  <c r="N69" i="8"/>
  <c r="O104" i="8"/>
  <c r="P103" i="8"/>
  <c r="P93" i="16"/>
  <c r="P71" i="21"/>
  <c r="O33" i="20"/>
  <c r="O69" i="20"/>
  <c r="N278" i="20"/>
  <c r="O39" i="20"/>
  <c r="N269" i="20"/>
  <c r="O120" i="20"/>
  <c r="P253" i="20"/>
  <c r="O208" i="20"/>
  <c r="P52" i="20"/>
  <c r="N259" i="20"/>
  <c r="P260" i="20"/>
  <c r="P195" i="20"/>
  <c r="P58" i="20"/>
  <c r="N57" i="20"/>
  <c r="P57" i="20" s="1"/>
  <c r="P248" i="20"/>
  <c r="N275" i="20"/>
  <c r="O259" i="20"/>
  <c r="P226" i="20"/>
  <c r="P191" i="20"/>
  <c r="P99" i="20"/>
  <c r="P96" i="20"/>
  <c r="N95" i="20"/>
  <c r="P95" i="20" s="1"/>
  <c r="N39" i="20"/>
  <c r="P216" i="20"/>
  <c r="N33" i="20"/>
  <c r="P71" i="20"/>
  <c r="N70" i="20"/>
  <c r="P70" i="20" s="1"/>
  <c r="P153" i="20"/>
  <c r="P182" i="20"/>
  <c r="P15" i="20"/>
  <c r="N14" i="20"/>
  <c r="N72" i="19"/>
  <c r="O116" i="19"/>
  <c r="O259" i="19"/>
  <c r="N278" i="19"/>
  <c r="P278" i="19" s="1"/>
  <c r="O252" i="19"/>
  <c r="K29" i="16"/>
  <c r="O29" i="16" s="1"/>
  <c r="N29" i="16"/>
  <c r="P248" i="19"/>
  <c r="N247" i="19"/>
  <c r="P209" i="19"/>
  <c r="L129" i="19"/>
  <c r="N169" i="19"/>
  <c r="N130" i="19"/>
  <c r="P130" i="19" s="1"/>
  <c r="P131" i="19"/>
  <c r="P89" i="19"/>
  <c r="N87" i="19"/>
  <c r="P87" i="19" s="1"/>
  <c r="M129" i="19"/>
  <c r="P47" i="19"/>
  <c r="P34" i="19"/>
  <c r="P111" i="19"/>
  <c r="O247" i="19"/>
  <c r="O130" i="19"/>
  <c r="P63" i="19"/>
  <c r="N83" i="19"/>
  <c r="N259" i="19"/>
  <c r="P91" i="19"/>
  <c r="N90" i="19"/>
  <c r="P90" i="19" s="1"/>
  <c r="P121" i="19"/>
  <c r="N269" i="19"/>
  <c r="N252" i="19"/>
  <c r="P15" i="19"/>
  <c r="L214" i="16"/>
  <c r="L168" i="16"/>
  <c r="J16" i="16"/>
  <c r="P227" i="18"/>
  <c r="O227" i="18"/>
  <c r="O189" i="18"/>
  <c r="P189" i="18"/>
  <c r="O249" i="18"/>
  <c r="O246" i="18"/>
  <c r="O218" i="18"/>
  <c r="O196" i="18"/>
  <c r="O251" i="18"/>
  <c r="P195" i="18"/>
  <c r="O59" i="18"/>
  <c r="P89" i="18"/>
  <c r="O89" i="18"/>
  <c r="N70" i="18"/>
  <c r="P70" i="18" s="1"/>
  <c r="P71" i="18"/>
  <c r="O105" i="18"/>
  <c r="O274" i="18"/>
  <c r="P280" i="18"/>
  <c r="O280" i="18"/>
  <c r="P253" i="18"/>
  <c r="P248" i="18"/>
  <c r="N247" i="18"/>
  <c r="P247" i="18" s="1"/>
  <c r="P226" i="18"/>
  <c r="L109" i="18"/>
  <c r="P182" i="18"/>
  <c r="O127" i="18"/>
  <c r="P94" i="18"/>
  <c r="O94" i="18"/>
  <c r="O255" i="18"/>
  <c r="P58" i="18"/>
  <c r="O58" i="18"/>
  <c r="O253" i="18"/>
  <c r="P244" i="18"/>
  <c r="O244" i="18"/>
  <c r="O281" i="18"/>
  <c r="O272" i="18"/>
  <c r="O204" i="18"/>
  <c r="P260" i="18"/>
  <c r="O224" i="18"/>
  <c r="P266" i="18"/>
  <c r="O266" i="18"/>
  <c r="P104" i="18"/>
  <c r="O104" i="18"/>
  <c r="O101" i="18"/>
  <c r="P84" i="18"/>
  <c r="O84" i="18"/>
  <c r="P87" i="16"/>
  <c r="P58" i="16"/>
  <c r="P84" i="16"/>
  <c r="CI45" i="16"/>
  <c r="CI51" i="16"/>
  <c r="CI281" i="16"/>
  <c r="J281" i="16" s="1"/>
  <c r="CI26" i="16"/>
  <c r="CI33" i="16"/>
  <c r="CI32" i="16"/>
  <c r="P29" i="16"/>
  <c r="P119" i="16"/>
  <c r="CI280" i="16"/>
  <c r="J280" i="16" s="1"/>
  <c r="P118" i="16"/>
  <c r="CI279" i="16"/>
  <c r="J279" i="16" s="1"/>
  <c r="P76" i="16"/>
  <c r="P75" i="16"/>
  <c r="P117" i="16"/>
  <c r="CI278" i="16"/>
  <c r="CI277" i="16"/>
  <c r="J277" i="16" s="1"/>
  <c r="P115" i="16"/>
  <c r="CI276" i="16"/>
  <c r="J276" i="16" s="1"/>
  <c r="P114" i="16"/>
  <c r="CI275" i="16"/>
  <c r="P113" i="16"/>
  <c r="CI274" i="16"/>
  <c r="J274" i="16" s="1"/>
  <c r="P112" i="16"/>
  <c r="CI273" i="16"/>
  <c r="J273" i="16" s="1"/>
  <c r="P111" i="16"/>
  <c r="CI272" i="16"/>
  <c r="J272" i="16" s="1"/>
  <c r="CI271" i="16"/>
  <c r="J271" i="16" s="1"/>
  <c r="CI270" i="16"/>
  <c r="J270" i="16" s="1"/>
  <c r="CI269" i="16"/>
  <c r="CI268" i="16"/>
  <c r="CI267" i="16"/>
  <c r="J267" i="16" s="1"/>
  <c r="CI266" i="16"/>
  <c r="J266" i="16" s="1"/>
  <c r="CI265" i="16"/>
  <c r="J265" i="16" s="1"/>
  <c r="CI264" i="16"/>
  <c r="J264" i="16" s="1"/>
  <c r="CI263" i="16"/>
  <c r="J263" i="16" s="1"/>
  <c r="CI262" i="16"/>
  <c r="J262" i="16" s="1"/>
  <c r="CI261" i="16"/>
  <c r="J261" i="16" s="1"/>
  <c r="CI260" i="16"/>
  <c r="J260" i="16" s="1"/>
  <c r="CI259" i="16"/>
  <c r="CI258" i="16"/>
  <c r="J258" i="16" s="1"/>
  <c r="CI257" i="16"/>
  <c r="J257" i="16" s="1"/>
  <c r="CI256" i="16"/>
  <c r="J256" i="16" s="1"/>
  <c r="CI255" i="16"/>
  <c r="J255" i="16"/>
  <c r="CI254" i="16"/>
  <c r="J254" i="16" s="1"/>
  <c r="CI253" i="16"/>
  <c r="J253" i="16" s="1"/>
  <c r="CI252" i="16"/>
  <c r="CI251" i="16"/>
  <c r="J251" i="16" s="1"/>
  <c r="CI250" i="16"/>
  <c r="J250" i="16" s="1"/>
  <c r="CI249" i="16"/>
  <c r="J249" i="16" s="1"/>
  <c r="CI248" i="16"/>
  <c r="J248" i="16" s="1"/>
  <c r="CI247" i="16"/>
  <c r="CI246" i="16"/>
  <c r="J246" i="16" s="1"/>
  <c r="CI245" i="16"/>
  <c r="J245" i="16" s="1"/>
  <c r="CI244" i="16"/>
  <c r="J244" i="16" s="1"/>
  <c r="CI243" i="16"/>
  <c r="J243" i="16" s="1"/>
  <c r="CI242" i="16"/>
  <c r="J242" i="16" s="1"/>
  <c r="CI241" i="16"/>
  <c r="J241" i="16" s="1"/>
  <c r="CI240" i="16"/>
  <c r="J240" i="16" s="1"/>
  <c r="CI239" i="16"/>
  <c r="J239" i="16" s="1"/>
  <c r="CI238" i="16"/>
  <c r="J238" i="16" s="1"/>
  <c r="CI237" i="16"/>
  <c r="J237" i="16" s="1"/>
  <c r="CI236" i="16"/>
  <c r="J236" i="16" s="1"/>
  <c r="CI235" i="16"/>
  <c r="J235" i="16" s="1"/>
  <c r="CI234" i="16"/>
  <c r="J234" i="16" s="1"/>
  <c r="CI233" i="16"/>
  <c r="J233" i="16" s="1"/>
  <c r="CI232" i="16"/>
  <c r="J232" i="16" s="1"/>
  <c r="CI231" i="16"/>
  <c r="J231" i="16" s="1"/>
  <c r="CI230" i="16"/>
  <c r="J230" i="16" s="1"/>
  <c r="CI229" i="16"/>
  <c r="J229" i="16" s="1"/>
  <c r="CI228" i="16"/>
  <c r="J228" i="16" s="1"/>
  <c r="CI227" i="16"/>
  <c r="J227" i="16" s="1"/>
  <c r="CI226" i="16"/>
  <c r="J226" i="16" s="1"/>
  <c r="CI225" i="16"/>
  <c r="J225" i="16" s="1"/>
  <c r="K225" i="16" s="1"/>
  <c r="CI224" i="16"/>
  <c r="J224" i="16" s="1"/>
  <c r="CI223" i="16"/>
  <c r="J223" i="16" s="1"/>
  <c r="CI222" i="16"/>
  <c r="J222" i="16" s="1"/>
  <c r="CI221" i="16"/>
  <c r="J221" i="16" s="1"/>
  <c r="CI220" i="16"/>
  <c r="J220" i="16" s="1"/>
  <c r="CI219" i="16"/>
  <c r="J219" i="16" s="1"/>
  <c r="CI218" i="16"/>
  <c r="J218" i="16" s="1"/>
  <c r="CI217" i="16"/>
  <c r="J217" i="16" s="1"/>
  <c r="CI216" i="16"/>
  <c r="J216" i="16" s="1"/>
  <c r="CI215" i="16"/>
  <c r="CI214" i="16"/>
  <c r="CI213" i="16"/>
  <c r="J213" i="16" s="1"/>
  <c r="CI212" i="16"/>
  <c r="J212" i="16" s="1"/>
  <c r="CI211" i="16"/>
  <c r="J211" i="16" s="1"/>
  <c r="CI210" i="16"/>
  <c r="J210" i="16" s="1"/>
  <c r="CI209" i="16"/>
  <c r="J209" i="16" s="1"/>
  <c r="CI208" i="16"/>
  <c r="CI207" i="16"/>
  <c r="J207" i="16" s="1"/>
  <c r="CI206" i="16"/>
  <c r="J206" i="16" s="1"/>
  <c r="CI205" i="16"/>
  <c r="J205" i="16" s="1"/>
  <c r="CI204" i="16"/>
  <c r="J204" i="16"/>
  <c r="CI203" i="16"/>
  <c r="J203" i="16" s="1"/>
  <c r="CI202" i="16"/>
  <c r="J202" i="16" s="1"/>
  <c r="CI201" i="16"/>
  <c r="J201" i="16" s="1"/>
  <c r="CI200" i="16"/>
  <c r="J200" i="16" s="1"/>
  <c r="CI199" i="16"/>
  <c r="J199" i="16" s="1"/>
  <c r="CI198" i="16"/>
  <c r="J198" i="16" s="1"/>
  <c r="CI197" i="16"/>
  <c r="J197" i="16" s="1"/>
  <c r="CI196" i="16"/>
  <c r="J196" i="16" s="1"/>
  <c r="CI195" i="16"/>
  <c r="J195" i="16" s="1"/>
  <c r="CI194" i="16"/>
  <c r="CI193" i="16"/>
  <c r="J193" i="16" s="1"/>
  <c r="CI192" i="16"/>
  <c r="J192" i="16" s="1"/>
  <c r="CI191" i="16"/>
  <c r="J191" i="16" s="1"/>
  <c r="CI190" i="16"/>
  <c r="CI189" i="16"/>
  <c r="J189" i="16" s="1"/>
  <c r="CI188" i="16"/>
  <c r="J188" i="16" s="1"/>
  <c r="CI187" i="16"/>
  <c r="J187" i="16" s="1"/>
  <c r="CI186" i="16"/>
  <c r="J186" i="16" s="1"/>
  <c r="CI185" i="16"/>
  <c r="J185" i="16" s="1"/>
  <c r="CI184" i="16"/>
  <c r="J184" i="16" s="1"/>
  <c r="CI183" i="16"/>
  <c r="J183" i="16" s="1"/>
  <c r="CI182" i="16"/>
  <c r="J182" i="16" s="1"/>
  <c r="CI181" i="16"/>
  <c r="CI168" i="16"/>
  <c r="CI35" i="22"/>
  <c r="J35" i="22" s="1"/>
  <c r="O139" i="8" l="1"/>
  <c r="P139" i="8"/>
  <c r="P44" i="12"/>
  <c r="K44" i="12"/>
  <c r="L44" i="12" s="1"/>
  <c r="O102" i="15"/>
  <c r="O242" i="14"/>
  <c r="O71" i="14"/>
  <c r="K35" i="12"/>
  <c r="L35" i="12" s="1"/>
  <c r="J135" i="8"/>
  <c r="N135" i="8" s="1"/>
  <c r="Q175" i="10"/>
  <c r="O139" i="12"/>
  <c r="L234" i="12"/>
  <c r="O234" i="12" s="1"/>
  <c r="N157" i="14"/>
  <c r="N80" i="15"/>
  <c r="N270" i="12"/>
  <c r="N257" i="12"/>
  <c r="K281" i="12"/>
  <c r="L281" i="12" s="1"/>
  <c r="K270" i="12"/>
  <c r="L270" i="12" s="1"/>
  <c r="O270" i="12" s="1"/>
  <c r="K257" i="12"/>
  <c r="L257" i="12" s="1"/>
  <c r="P254" i="12"/>
  <c r="P104" i="12"/>
  <c r="O104" i="12" s="1"/>
  <c r="N42" i="12"/>
  <c r="G26" i="12"/>
  <c r="K84" i="12"/>
  <c r="P18" i="12"/>
  <c r="O205" i="14"/>
  <c r="K209" i="15"/>
  <c r="F209" i="15" s="1"/>
  <c r="K195" i="15"/>
  <c r="F195" i="15" s="1"/>
  <c r="O64" i="15"/>
  <c r="K14" i="15"/>
  <c r="F14" i="15" s="1"/>
  <c r="O77" i="10"/>
  <c r="Q77" i="10" s="1"/>
  <c r="K35" i="10"/>
  <c r="I35" i="10"/>
  <c r="P95" i="10"/>
  <c r="P96" i="10"/>
  <c r="P100" i="10"/>
  <c r="P35" i="12"/>
  <c r="N35" i="12"/>
  <c r="P80" i="12"/>
  <c r="N80" i="12"/>
  <c r="P89" i="12"/>
  <c r="K89" i="12"/>
  <c r="L89" i="12" s="1"/>
  <c r="O89" i="12" s="1"/>
  <c r="J35" i="14"/>
  <c r="J33" i="14" s="1"/>
  <c r="I33" i="14"/>
  <c r="P48" i="14"/>
  <c r="L48" i="14"/>
  <c r="M48" i="14" s="1"/>
  <c r="P65" i="14"/>
  <c r="L65" i="14"/>
  <c r="M65" i="14" s="1"/>
  <c r="P74" i="14"/>
  <c r="K74" i="14"/>
  <c r="K72" i="14" s="1"/>
  <c r="F72" i="14" s="1"/>
  <c r="P72" i="14" s="1"/>
  <c r="O72" i="14" s="1"/>
  <c r="P81" i="14"/>
  <c r="K81" i="14"/>
  <c r="L81" i="14"/>
  <c r="M81" i="14" s="1"/>
  <c r="P105" i="14"/>
  <c r="O105" i="14" s="1"/>
  <c r="K105" i="14"/>
  <c r="L105" i="14"/>
  <c r="M105" i="14" s="1"/>
  <c r="N105" i="14" s="1"/>
  <c r="P142" i="14"/>
  <c r="L142" i="14"/>
  <c r="M142" i="14" s="1"/>
  <c r="N142" i="14" s="1"/>
  <c r="P148" i="14"/>
  <c r="L148" i="14"/>
  <c r="M148" i="14" s="1"/>
  <c r="K164" i="14"/>
  <c r="L164" i="14"/>
  <c r="M164" i="14" s="1"/>
  <c r="K183" i="14"/>
  <c r="P183" i="14"/>
  <c r="K187" i="14"/>
  <c r="P187" i="14"/>
  <c r="N123" i="16"/>
  <c r="P123" i="16" s="1"/>
  <c r="K123" i="16"/>
  <c r="O123" i="16" s="1"/>
  <c r="K212" i="19"/>
  <c r="O212" i="19" s="1"/>
  <c r="N212" i="19"/>
  <c r="O26" i="10"/>
  <c r="Q26" i="10" s="1"/>
  <c r="K25" i="10"/>
  <c r="J164" i="8"/>
  <c r="N164" i="8" s="1"/>
  <c r="P164" i="8" s="1"/>
  <c r="N163" i="10"/>
  <c r="K20" i="12"/>
  <c r="L20" i="12" s="1"/>
  <c r="M20" i="12" s="1"/>
  <c r="N20" i="12"/>
  <c r="K24" i="12"/>
  <c r="L24" i="12" s="1"/>
  <c r="N24" i="12"/>
  <c r="P66" i="12"/>
  <c r="N66" i="12"/>
  <c r="K250" i="12"/>
  <c r="L250" i="12" s="1"/>
  <c r="O250" i="12" s="1"/>
  <c r="P250" i="12"/>
  <c r="N153" i="19"/>
  <c r="K153" i="19"/>
  <c r="O153" i="19" s="1"/>
  <c r="O152" i="19" s="1"/>
  <c r="M39" i="8"/>
  <c r="O47" i="14"/>
  <c r="N144" i="10"/>
  <c r="N141" i="10"/>
  <c r="N138" i="10"/>
  <c r="K145" i="10"/>
  <c r="O145" i="10" s="1"/>
  <c r="Q145" i="10" s="1"/>
  <c r="K135" i="10"/>
  <c r="O135" i="10" s="1"/>
  <c r="Q135" i="10" s="1"/>
  <c r="K140" i="10"/>
  <c r="O140" i="10" s="1"/>
  <c r="Q140" i="10" s="1"/>
  <c r="N239" i="14"/>
  <c r="N69" i="20"/>
  <c r="N32" i="20"/>
  <c r="P64" i="8"/>
  <c r="P59" i="8"/>
  <c r="N145" i="10"/>
  <c r="J136" i="8"/>
  <c r="N136" i="8" s="1"/>
  <c r="P136" i="8" s="1"/>
  <c r="J37" i="8"/>
  <c r="N266" i="14"/>
  <c r="N99" i="14"/>
  <c r="O176" i="14"/>
  <c r="O171" i="12"/>
  <c r="M190" i="8"/>
  <c r="O90" i="15"/>
  <c r="O223" i="14"/>
  <c r="O193" i="14"/>
  <c r="O175" i="14"/>
  <c r="H37" i="12"/>
  <c r="I37" i="12" s="1"/>
  <c r="N136" i="10"/>
  <c r="K30" i="11"/>
  <c r="J35" i="8"/>
  <c r="Q176" i="10"/>
  <c r="O238" i="12"/>
  <c r="O142" i="15"/>
  <c r="G33" i="11"/>
  <c r="G32" i="11" s="1"/>
  <c r="M16" i="11"/>
  <c r="N266" i="12"/>
  <c r="K266" i="12"/>
  <c r="L266" i="12" s="1"/>
  <c r="O266" i="12" s="1"/>
  <c r="N254" i="12"/>
  <c r="N250" i="12"/>
  <c r="N114" i="12"/>
  <c r="K126" i="12"/>
  <c r="L126" i="12" s="1"/>
  <c r="N104" i="12"/>
  <c r="N84" i="12"/>
  <c r="N58" i="12"/>
  <c r="N50" i="12"/>
  <c r="N40" i="12"/>
  <c r="N39" i="12" s="1"/>
  <c r="J39" i="12" s="1"/>
  <c r="P39" i="12" s="1"/>
  <c r="K50" i="12"/>
  <c r="L50" i="12" s="1"/>
  <c r="M50" i="12" s="1"/>
  <c r="K40" i="12"/>
  <c r="L40" i="12" s="1"/>
  <c r="P22" i="12"/>
  <c r="N18" i="12"/>
  <c r="H26" i="12"/>
  <c r="K159" i="10"/>
  <c r="O159" i="10" s="1"/>
  <c r="I36" i="10"/>
  <c r="O36" i="10" s="1"/>
  <c r="Q36" i="10" s="1"/>
  <c r="I2056" i="5"/>
  <c r="I1695" i="5"/>
  <c r="I1653" i="5"/>
  <c r="J1247" i="5"/>
  <c r="J93" i="5"/>
  <c r="M72" i="8"/>
  <c r="P57" i="10"/>
  <c r="P59" i="10"/>
  <c r="Q60" i="10"/>
  <c r="P62" i="10"/>
  <c r="N116" i="11"/>
  <c r="J116" i="11" s="1"/>
  <c r="N190" i="11"/>
  <c r="J190" i="11" s="1"/>
  <c r="N247" i="11"/>
  <c r="J247" i="11" s="1"/>
  <c r="P132" i="12"/>
  <c r="K132" i="12"/>
  <c r="L132" i="12" s="1"/>
  <c r="M132" i="12" s="1"/>
  <c r="P144" i="12"/>
  <c r="O144" i="12" s="1"/>
  <c r="K144" i="12"/>
  <c r="L144" i="12" s="1"/>
  <c r="M144" i="12" s="1"/>
  <c r="K147" i="12"/>
  <c r="L147" i="12" s="1"/>
  <c r="M147" i="12" s="1"/>
  <c r="P147" i="12"/>
  <c r="O147" i="12" s="1"/>
  <c r="M208" i="18"/>
  <c r="K22" i="19"/>
  <c r="O22" i="19" s="1"/>
  <c r="N22" i="19"/>
  <c r="P22" i="19" s="1"/>
  <c r="K255" i="20"/>
  <c r="O255" i="20" s="1"/>
  <c r="N255" i="20"/>
  <c r="P255" i="20" s="1"/>
  <c r="O20" i="12"/>
  <c r="K27" i="19"/>
  <c r="O27" i="19" s="1"/>
  <c r="O26" i="19" s="1"/>
  <c r="N27" i="19"/>
  <c r="O187" i="18"/>
  <c r="O16" i="8"/>
  <c r="I281" i="8"/>
  <c r="M281" i="8" s="1"/>
  <c r="L77" i="8"/>
  <c r="O97" i="15"/>
  <c r="J145" i="8"/>
  <c r="N145" i="8" s="1"/>
  <c r="N139" i="10"/>
  <c r="M230" i="12"/>
  <c r="K84" i="15"/>
  <c r="F84" i="15" s="1"/>
  <c r="P84" i="15" s="1"/>
  <c r="O84" i="15" s="1"/>
  <c r="O125" i="14"/>
  <c r="Q179" i="10"/>
  <c r="P282" i="10"/>
  <c r="O62" i="15"/>
  <c r="O226" i="12"/>
  <c r="N63" i="14"/>
  <c r="N44" i="15"/>
  <c r="J26" i="11"/>
  <c r="N281" i="12"/>
  <c r="N126" i="12"/>
  <c r="M114" i="12"/>
  <c r="K66" i="12"/>
  <c r="K54" i="12"/>
  <c r="L54" i="12" s="1"/>
  <c r="O54" i="12" s="1"/>
  <c r="K42" i="12"/>
  <c r="L42" i="12" s="1"/>
  <c r="N22" i="12"/>
  <c r="N159" i="10"/>
  <c r="J2279" i="5"/>
  <c r="J2178" i="5"/>
  <c r="J2128" i="5"/>
  <c r="J2083" i="5"/>
  <c r="J1893" i="5"/>
  <c r="I1407" i="5"/>
  <c r="I521" i="5"/>
  <c r="M95" i="8"/>
  <c r="M115" i="10"/>
  <c r="K113" i="12"/>
  <c r="L113" i="12" s="1"/>
  <c r="M113" i="12" s="1"/>
  <c r="N113" i="12"/>
  <c r="N110" i="12" s="1"/>
  <c r="K117" i="12"/>
  <c r="L117" i="12" s="1"/>
  <c r="M117" i="12" s="1"/>
  <c r="N117" i="12"/>
  <c r="K121" i="12"/>
  <c r="L121" i="12" s="1"/>
  <c r="M121" i="12" s="1"/>
  <c r="N121" i="12"/>
  <c r="K125" i="12"/>
  <c r="L125" i="12" s="1"/>
  <c r="M125" i="12" s="1"/>
  <c r="N125" i="12"/>
  <c r="K141" i="12"/>
  <c r="L141" i="12" s="1"/>
  <c r="M141" i="12" s="1"/>
  <c r="N141" i="12"/>
  <c r="P220" i="12"/>
  <c r="K220" i="12"/>
  <c r="L220" i="12" s="1"/>
  <c r="O220" i="12" s="1"/>
  <c r="P264" i="14"/>
  <c r="K264" i="14"/>
  <c r="K259" i="14" s="1"/>
  <c r="F259" i="14" s="1"/>
  <c r="P259" i="14" s="1"/>
  <c r="O259" i="14" s="1"/>
  <c r="P272" i="14"/>
  <c r="L272" i="14"/>
  <c r="M272" i="14" s="1"/>
  <c r="O272" i="14" s="1"/>
  <c r="K60" i="19"/>
  <c r="O60" i="19" s="1"/>
  <c r="N60" i="19"/>
  <c r="N49" i="20"/>
  <c r="K49" i="20"/>
  <c r="O49" i="20" s="1"/>
  <c r="O46" i="20" s="1"/>
  <c r="P22" i="18"/>
  <c r="L98" i="18"/>
  <c r="M130" i="18"/>
  <c r="L152" i="18"/>
  <c r="N222" i="18"/>
  <c r="L252" i="18"/>
  <c r="L259" i="18"/>
  <c r="P261" i="18"/>
  <c r="M62" i="19"/>
  <c r="M169" i="19"/>
  <c r="M168" i="19" s="1"/>
  <c r="O208" i="19"/>
  <c r="M208" i="19"/>
  <c r="O215" i="19"/>
  <c r="O14" i="20"/>
  <c r="L14" i="20"/>
  <c r="P14" i="20" s="1"/>
  <c r="M39" i="20"/>
  <c r="M32" i="20" s="1"/>
  <c r="L130" i="20"/>
  <c r="O181" i="20"/>
  <c r="M181" i="20"/>
  <c r="L181" i="20"/>
  <c r="M215" i="20"/>
  <c r="O225" i="20"/>
  <c r="L225" i="20"/>
  <c r="M278" i="20"/>
  <c r="P283" i="20"/>
  <c r="L46" i="21"/>
  <c r="L51" i="21"/>
  <c r="L57" i="21"/>
  <c r="L120" i="21"/>
  <c r="L130" i="21"/>
  <c r="L215" i="21"/>
  <c r="L247" i="21"/>
  <c r="L252" i="21"/>
  <c r="L259" i="21"/>
  <c r="L269" i="21"/>
  <c r="L275" i="21"/>
  <c r="L278" i="21"/>
  <c r="L130" i="22"/>
  <c r="L208" i="22"/>
  <c r="L215" i="22"/>
  <c r="L269" i="22"/>
  <c r="O256" i="12"/>
  <c r="O250" i="14"/>
  <c r="K113" i="16"/>
  <c r="O113" i="16" s="1"/>
  <c r="K88" i="16"/>
  <c r="O88" i="16" s="1"/>
  <c r="K119" i="16"/>
  <c r="O119" i="16" s="1"/>
  <c r="O52" i="18"/>
  <c r="O219" i="18"/>
  <c r="P222" i="18"/>
  <c r="P17" i="19"/>
  <c r="L26" i="19"/>
  <c r="M33" i="19"/>
  <c r="L72" i="19"/>
  <c r="L69" i="19" s="1"/>
  <c r="P165" i="19"/>
  <c r="L190" i="19"/>
  <c r="M275" i="19"/>
  <c r="M268" i="19" s="1"/>
  <c r="P16" i="20"/>
  <c r="P50" i="20"/>
  <c r="P134" i="20"/>
  <c r="O224" i="14"/>
  <c r="I1254" i="5"/>
  <c r="Q64" i="10"/>
  <c r="M71" i="10"/>
  <c r="J76" i="10"/>
  <c r="P85" i="10"/>
  <c r="P118" i="10"/>
  <c r="F167" i="10"/>
  <c r="N87" i="11"/>
  <c r="J87" i="11" s="1"/>
  <c r="K117" i="16"/>
  <c r="O117" i="16" s="1"/>
  <c r="L69" i="18"/>
  <c r="P73" i="18"/>
  <c r="M57" i="18"/>
  <c r="P67" i="18"/>
  <c r="P80" i="21"/>
  <c r="P156" i="8"/>
  <c r="P59" i="18"/>
  <c r="M69" i="20"/>
  <c r="P47" i="18"/>
  <c r="P90" i="18"/>
  <c r="L92" i="18"/>
  <c r="P107" i="18"/>
  <c r="P147" i="18"/>
  <c r="M78" i="19"/>
  <c r="P106" i="19"/>
  <c r="P177" i="19"/>
  <c r="P220" i="19"/>
  <c r="L116" i="20"/>
  <c r="P124" i="20"/>
  <c r="P163" i="20"/>
  <c r="P100" i="22"/>
  <c r="O122" i="14"/>
  <c r="N122" i="14"/>
  <c r="M41" i="15"/>
  <c r="O41" i="15" s="1"/>
  <c r="K271" i="12"/>
  <c r="L271" i="12" s="1"/>
  <c r="N271" i="12"/>
  <c r="P271" i="12"/>
  <c r="M18" i="14"/>
  <c r="N18" i="14" s="1"/>
  <c r="K18" i="14"/>
  <c r="L18" i="14"/>
  <c r="P230" i="14"/>
  <c r="K230" i="14"/>
  <c r="L230" i="14"/>
  <c r="M230" i="14" s="1"/>
  <c r="O230" i="14" s="1"/>
  <c r="P238" i="14"/>
  <c r="L238" i="14"/>
  <c r="M238" i="14" s="1"/>
  <c r="N238" i="14"/>
  <c r="K277" i="14"/>
  <c r="K275" i="14" s="1"/>
  <c r="P277" i="14"/>
  <c r="L277" i="14"/>
  <c r="M277" i="14" s="1"/>
  <c r="L45" i="15"/>
  <c r="M45" i="15" s="1"/>
  <c r="K40" i="15"/>
  <c r="K32" i="15" s="1"/>
  <c r="O233" i="14"/>
  <c r="O29" i="15"/>
  <c r="M26" i="15"/>
  <c r="P99" i="10"/>
  <c r="Q99" i="10"/>
  <c r="Q107" i="10"/>
  <c r="P107" i="10"/>
  <c r="K15" i="12"/>
  <c r="N15" i="12"/>
  <c r="N17" i="12"/>
  <c r="K17" i="12"/>
  <c r="L17" i="12" s="1"/>
  <c r="M17" i="12" s="1"/>
  <c r="P19" i="12"/>
  <c r="N19" i="12"/>
  <c r="P73" i="12"/>
  <c r="N73" i="12"/>
  <c r="K73" i="12"/>
  <c r="L73" i="12" s="1"/>
  <c r="M73" i="12" s="1"/>
  <c r="P81" i="12"/>
  <c r="K81" i="12"/>
  <c r="L81" i="12" s="1"/>
  <c r="O81" i="12" s="1"/>
  <c r="N81" i="12"/>
  <c r="P86" i="12"/>
  <c r="K86" i="12"/>
  <c r="N86" i="12"/>
  <c r="N83" i="12" s="1"/>
  <c r="J83" i="12" s="1"/>
  <c r="P83" i="12" s="1"/>
  <c r="O83" i="12" s="1"/>
  <c r="P105" i="12"/>
  <c r="K105" i="12"/>
  <c r="L105" i="12" s="1"/>
  <c r="N105" i="12"/>
  <c r="K111" i="12"/>
  <c r="L111" i="12" s="1"/>
  <c r="N111" i="12"/>
  <c r="P111" i="12"/>
  <c r="K115" i="12"/>
  <c r="L115" i="12" s="1"/>
  <c r="P115" i="12"/>
  <c r="K119" i="12"/>
  <c r="L119" i="12" s="1"/>
  <c r="M119" i="12" s="1"/>
  <c r="N119" i="12"/>
  <c r="N116" i="12" s="1"/>
  <c r="J116" i="12" s="1"/>
  <c r="K123" i="12"/>
  <c r="L123" i="12" s="1"/>
  <c r="N123" i="12"/>
  <c r="N134" i="12"/>
  <c r="P134" i="12"/>
  <c r="K134" i="12"/>
  <c r="P138" i="12"/>
  <c r="N138" i="12"/>
  <c r="K138" i="12"/>
  <c r="L138" i="12" s="1"/>
  <c r="P142" i="12"/>
  <c r="K142" i="12"/>
  <c r="K149" i="12"/>
  <c r="L149" i="12" s="1"/>
  <c r="M149" i="12" s="1"/>
  <c r="N149" i="12"/>
  <c r="P149" i="12"/>
  <c r="K153" i="12"/>
  <c r="L153" i="12" s="1"/>
  <c r="M153" i="12" s="1"/>
  <c r="N153" i="12"/>
  <c r="P153" i="12"/>
  <c r="K157" i="12"/>
  <c r="N157" i="12"/>
  <c r="P161" i="12"/>
  <c r="N161" i="12"/>
  <c r="P173" i="12"/>
  <c r="N173" i="12"/>
  <c r="N169" i="12" s="1"/>
  <c r="P193" i="12"/>
  <c r="K193" i="12"/>
  <c r="L193" i="12" s="1"/>
  <c r="P197" i="12"/>
  <c r="K197" i="12"/>
  <c r="L197" i="12" s="1"/>
  <c r="M197" i="12" s="1"/>
  <c r="N197" i="12"/>
  <c r="P224" i="12"/>
  <c r="O224" i="12" s="1"/>
  <c r="N224" i="12"/>
  <c r="P228" i="12"/>
  <c r="O228" i="12" s="1"/>
  <c r="N228" i="12"/>
  <c r="P232" i="12"/>
  <c r="O232" i="12" s="1"/>
  <c r="N232" i="12"/>
  <c r="P236" i="12"/>
  <c r="O236" i="12" s="1"/>
  <c r="N236" i="12"/>
  <c r="P240" i="12"/>
  <c r="N240" i="12"/>
  <c r="K240" i="12"/>
  <c r="L240" i="12" s="1"/>
  <c r="P244" i="12"/>
  <c r="N244" i="12"/>
  <c r="K244" i="12"/>
  <c r="L244" i="12" s="1"/>
  <c r="M244" i="12" s="1"/>
  <c r="P249" i="12"/>
  <c r="K249" i="12"/>
  <c r="K263" i="12"/>
  <c r="N263" i="12"/>
  <c r="P263" i="12"/>
  <c r="K276" i="12"/>
  <c r="L276" i="12" s="1"/>
  <c r="N276" i="12"/>
  <c r="N275" i="12" s="1"/>
  <c r="J275" i="12" s="1"/>
  <c r="P275" i="12" s="1"/>
  <c r="O275" i="12" s="1"/>
  <c r="P276" i="12"/>
  <c r="K226" i="14"/>
  <c r="L226" i="14"/>
  <c r="M226" i="14" s="1"/>
  <c r="N226" i="14" s="1"/>
  <c r="P226" i="14"/>
  <c r="O226" i="14" s="1"/>
  <c r="N244" i="14"/>
  <c r="P231" i="19"/>
  <c r="N225" i="19"/>
  <c r="P123" i="20"/>
  <c r="N120" i="20"/>
  <c r="N132" i="14"/>
  <c r="M228" i="12"/>
  <c r="M49" i="14"/>
  <c r="N49" i="14" s="1"/>
  <c r="N15" i="15"/>
  <c r="O15" i="15"/>
  <c r="M14" i="15"/>
  <c r="P91" i="8"/>
  <c r="O100" i="8"/>
  <c r="P100" i="8"/>
  <c r="O41" i="8"/>
  <c r="P41" i="8"/>
  <c r="M185" i="12"/>
  <c r="N64" i="15"/>
  <c r="O209" i="12"/>
  <c r="N247" i="12"/>
  <c r="J247" i="12" s="1"/>
  <c r="P247" i="12" s="1"/>
  <c r="O247" i="12" s="1"/>
  <c r="O50" i="14"/>
  <c r="N50" i="14"/>
  <c r="M42" i="14"/>
  <c r="O42" i="14" s="1"/>
  <c r="O114" i="14"/>
  <c r="N114" i="14"/>
  <c r="O59" i="14"/>
  <c r="N59" i="14"/>
  <c r="O67" i="15"/>
  <c r="N67" i="15"/>
  <c r="O35" i="10"/>
  <c r="Q35" i="10" s="1"/>
  <c r="K52" i="10"/>
  <c r="O52" i="10" s="1"/>
  <c r="Q52" i="10" s="1"/>
  <c r="N52" i="10"/>
  <c r="J53" i="8"/>
  <c r="N53" i="8" s="1"/>
  <c r="K54" i="10"/>
  <c r="O54" i="10" s="1"/>
  <c r="N54" i="10"/>
  <c r="O73" i="10"/>
  <c r="Q73" i="10" s="1"/>
  <c r="K71" i="10"/>
  <c r="Q83" i="10"/>
  <c r="P83" i="10"/>
  <c r="P92" i="10"/>
  <c r="O91" i="10"/>
  <c r="Q91" i="10" s="1"/>
  <c r="Q92" i="10"/>
  <c r="I97" i="10"/>
  <c r="O17" i="12"/>
  <c r="O18" i="14"/>
  <c r="L213" i="12"/>
  <c r="O213" i="12" s="1"/>
  <c r="M213" i="12"/>
  <c r="O161" i="12"/>
  <c r="O148" i="14"/>
  <c r="N148" i="14"/>
  <c r="P258" i="12"/>
  <c r="K258" i="12"/>
  <c r="N258" i="12"/>
  <c r="K267" i="12"/>
  <c r="L267" i="12" s="1"/>
  <c r="M267" i="12" s="1"/>
  <c r="P267" i="12"/>
  <c r="O267" i="12" s="1"/>
  <c r="N267" i="12"/>
  <c r="N259" i="12" s="1"/>
  <c r="J259" i="12" s="1"/>
  <c r="P259" i="12" s="1"/>
  <c r="O259" i="12" s="1"/>
  <c r="P279" i="12"/>
  <c r="K279" i="12"/>
  <c r="N279" i="12"/>
  <c r="M16" i="14"/>
  <c r="N16" i="14" s="1"/>
  <c r="L16" i="14"/>
  <c r="K249" i="14"/>
  <c r="L249" i="14"/>
  <c r="M249" i="14" s="1"/>
  <c r="N249" i="14" s="1"/>
  <c r="P249" i="14"/>
  <c r="P260" i="14"/>
  <c r="L260" i="14"/>
  <c r="M260" i="14" s="1"/>
  <c r="P281" i="14"/>
  <c r="K281" i="14"/>
  <c r="L281" i="14"/>
  <c r="M281" i="14" s="1"/>
  <c r="O37" i="8"/>
  <c r="L69" i="8"/>
  <c r="O150" i="12"/>
  <c r="K238" i="14"/>
  <c r="P126" i="8"/>
  <c r="O126" i="8"/>
  <c r="O55" i="8"/>
  <c r="O61" i="8"/>
  <c r="P61" i="8"/>
  <c r="K26" i="14"/>
  <c r="O283" i="14"/>
  <c r="L47" i="15"/>
  <c r="L31" i="12"/>
  <c r="O31" i="12" s="1"/>
  <c r="N203" i="14"/>
  <c r="O203" i="14"/>
  <c r="N199" i="14"/>
  <c r="O199" i="14"/>
  <c r="N185" i="14"/>
  <c r="O185" i="14"/>
  <c r="N163" i="14"/>
  <c r="O163" i="14"/>
  <c r="N255" i="15"/>
  <c r="N253" i="15" s="1"/>
  <c r="O255" i="15"/>
  <c r="N180" i="15"/>
  <c r="O180" i="15"/>
  <c r="N206" i="15"/>
  <c r="O206" i="15"/>
  <c r="K191" i="15"/>
  <c r="F191" i="15" s="1"/>
  <c r="N188" i="15"/>
  <c r="O188" i="15"/>
  <c r="N19" i="15"/>
  <c r="O19" i="15"/>
  <c r="I2377" i="5"/>
  <c r="I2356" i="5"/>
  <c r="I2340" i="5"/>
  <c r="I2170" i="5"/>
  <c r="I2099" i="5"/>
  <c r="I2045" i="5"/>
  <c r="I1771" i="5"/>
  <c r="J475" i="5"/>
  <c r="J304" i="5"/>
  <c r="J299" i="5"/>
  <c r="J101" i="5"/>
  <c r="J59" i="5"/>
  <c r="J39" i="5"/>
  <c r="N92" i="12"/>
  <c r="J92" i="12" s="1"/>
  <c r="M151" i="12"/>
  <c r="O151" i="12"/>
  <c r="O220" i="14"/>
  <c r="O58" i="14"/>
  <c r="N58" i="14"/>
  <c r="K87" i="14"/>
  <c r="F87" i="14" s="1"/>
  <c r="N155" i="15"/>
  <c r="O155" i="15"/>
  <c r="Q42" i="10"/>
  <c r="Q46" i="10"/>
  <c r="P46" i="10"/>
  <c r="P64" i="10"/>
  <c r="K44" i="11"/>
  <c r="L44" i="11" s="1"/>
  <c r="M44" i="11" s="1"/>
  <c r="N44" i="11"/>
  <c r="P128" i="14"/>
  <c r="O128" i="14" s="1"/>
  <c r="K128" i="14"/>
  <c r="P136" i="14"/>
  <c r="L136" i="14"/>
  <c r="M136" i="14" s="1"/>
  <c r="K231" i="14"/>
  <c r="P231" i="14"/>
  <c r="K273" i="14"/>
  <c r="P273" i="14"/>
  <c r="N54" i="14"/>
  <c r="K120" i="14"/>
  <c r="F120" i="14" s="1"/>
  <c r="L39" i="14"/>
  <c r="O208" i="15"/>
  <c r="Q43" i="10"/>
  <c r="K227" i="14"/>
  <c r="P227" i="14"/>
  <c r="O227" i="14" s="1"/>
  <c r="P92" i="8"/>
  <c r="O82" i="15"/>
  <c r="K250" i="14"/>
  <c r="O160" i="14"/>
  <c r="P206" i="12"/>
  <c r="N241" i="14"/>
  <c r="N87" i="14"/>
  <c r="N233" i="14"/>
  <c r="O158" i="8"/>
  <c r="O230" i="15"/>
  <c r="O133" i="15"/>
  <c r="K79" i="15"/>
  <c r="P139" i="14"/>
  <c r="O111" i="14"/>
  <c r="O64" i="14"/>
  <c r="K143" i="14"/>
  <c r="O54" i="14"/>
  <c r="O74" i="12"/>
  <c r="O275" i="15"/>
  <c r="O155" i="14"/>
  <c r="M40" i="12"/>
  <c r="O40" i="12"/>
  <c r="O227" i="12"/>
  <c r="O159" i="15"/>
  <c r="N206" i="12"/>
  <c r="N194" i="12" s="1"/>
  <c r="J194" i="12" s="1"/>
  <c r="O251" i="14"/>
  <c r="L245" i="14"/>
  <c r="M245" i="14" s="1"/>
  <c r="L231" i="14"/>
  <c r="M231" i="14" s="1"/>
  <c r="N231" i="14" s="1"/>
  <c r="O192" i="14"/>
  <c r="O183" i="14"/>
  <c r="L161" i="14"/>
  <c r="M161" i="14" s="1"/>
  <c r="L153" i="14"/>
  <c r="M153" i="14" s="1"/>
  <c r="O153" i="14" s="1"/>
  <c r="L149" i="14"/>
  <c r="M149" i="14" s="1"/>
  <c r="N17" i="14"/>
  <c r="O17" i="14"/>
  <c r="O249" i="15"/>
  <c r="L14" i="15"/>
  <c r="O69" i="15"/>
  <c r="N69" i="15"/>
  <c r="N68" i="15" s="1"/>
  <c r="K26" i="15"/>
  <c r="N26" i="15" s="1"/>
  <c r="M208" i="8"/>
  <c r="K13" i="10"/>
  <c r="Q62" i="10"/>
  <c r="L76" i="10"/>
  <c r="I180" i="10"/>
  <c r="I189" i="10"/>
  <c r="I207" i="10"/>
  <c r="I214" i="10"/>
  <c r="I224" i="10"/>
  <c r="F267" i="10"/>
  <c r="K18" i="11"/>
  <c r="J39" i="8"/>
  <c r="P183" i="12"/>
  <c r="K183" i="12"/>
  <c r="N183" i="12"/>
  <c r="O192" i="12"/>
  <c r="N68" i="14"/>
  <c r="N67" i="14" s="1"/>
  <c r="O68" i="14"/>
  <c r="O205" i="15"/>
  <c r="N205" i="15"/>
  <c r="M181" i="8"/>
  <c r="G44" i="10"/>
  <c r="K165" i="14"/>
  <c r="L165" i="14"/>
  <c r="M165" i="14" s="1"/>
  <c r="N165" i="14" s="1"/>
  <c r="K235" i="14"/>
  <c r="P235" i="14"/>
  <c r="N253" i="14"/>
  <c r="M33" i="8"/>
  <c r="O115" i="15"/>
  <c r="O156" i="14"/>
  <c r="N236" i="15"/>
  <c r="N272" i="14"/>
  <c r="N216" i="14"/>
  <c r="K216" i="15"/>
  <c r="F216" i="15" s="1"/>
  <c r="O125" i="15"/>
  <c r="P253" i="14"/>
  <c r="O281" i="15"/>
  <c r="O141" i="15"/>
  <c r="O49" i="14"/>
  <c r="K202" i="12"/>
  <c r="L202" i="12" s="1"/>
  <c r="O146" i="14"/>
  <c r="N208" i="15"/>
  <c r="N77" i="15"/>
  <c r="N76" i="15" s="1"/>
  <c r="O134" i="15"/>
  <c r="N187" i="15"/>
  <c r="P198" i="12"/>
  <c r="L256" i="14"/>
  <c r="M256" i="14" s="1"/>
  <c r="O256" i="14" s="1"/>
  <c r="L235" i="14"/>
  <c r="M235" i="14" s="1"/>
  <c r="O235" i="14" s="1"/>
  <c r="K161" i="14"/>
  <c r="K157" i="14"/>
  <c r="K153" i="14"/>
  <c r="K152" i="14" s="1"/>
  <c r="F152" i="14" s="1"/>
  <c r="K136" i="14"/>
  <c r="K132" i="14"/>
  <c r="O83" i="15"/>
  <c r="N83" i="15"/>
  <c r="L26" i="15"/>
  <c r="O104" i="15"/>
  <c r="N43" i="15"/>
  <c r="O43" i="15"/>
  <c r="I61" i="10"/>
  <c r="M130" i="8"/>
  <c r="M129" i="8" s="1"/>
  <c r="J2340" i="5"/>
  <c r="I1100" i="5"/>
  <c r="Q15" i="10"/>
  <c r="O13" i="10"/>
  <c r="Q13" i="10" s="1"/>
  <c r="N32" i="10"/>
  <c r="Q102" i="10"/>
  <c r="Q103" i="10"/>
  <c r="P97" i="12"/>
  <c r="O97" i="12" s="1"/>
  <c r="N97" i="12"/>
  <c r="L108" i="12"/>
  <c r="M108" i="12" s="1"/>
  <c r="P118" i="12"/>
  <c r="O118" i="12" s="1"/>
  <c r="N118" i="12"/>
  <c r="P122" i="12"/>
  <c r="K122" i="12"/>
  <c r="O239" i="12"/>
  <c r="P262" i="12"/>
  <c r="K262" i="12"/>
  <c r="N262" i="12"/>
  <c r="P274" i="12"/>
  <c r="N274" i="12"/>
  <c r="P21" i="14"/>
  <c r="O21" i="14" s="1"/>
  <c r="K21" i="14"/>
  <c r="P23" i="14"/>
  <c r="M23" i="14"/>
  <c r="L23" i="14"/>
  <c r="J1717" i="5"/>
  <c r="J1710" i="5"/>
  <c r="J1701" i="5"/>
  <c r="H31" i="10"/>
  <c r="G76" i="10"/>
  <c r="N76" i="10"/>
  <c r="N75" i="10" s="1"/>
  <c r="N74" i="10" s="1"/>
  <c r="N68" i="10" s="1"/>
  <c r="P114" i="10"/>
  <c r="Q121" i="10"/>
  <c r="N252" i="12"/>
  <c r="J252" i="12" s="1"/>
  <c r="O265" i="12"/>
  <c r="O189" i="12"/>
  <c r="O182" i="12"/>
  <c r="N72" i="12"/>
  <c r="O195" i="14"/>
  <c r="O251" i="15"/>
  <c r="O196" i="15"/>
  <c r="O186" i="15"/>
  <c r="O161" i="15"/>
  <c r="K58" i="15"/>
  <c r="F58" i="15" s="1"/>
  <c r="O59" i="15"/>
  <c r="K47" i="15"/>
  <c r="F47" i="15" s="1"/>
  <c r="J1258" i="5"/>
  <c r="J950" i="5"/>
  <c r="J890" i="5"/>
  <c r="I475" i="5"/>
  <c r="I462" i="5"/>
  <c r="M120" i="8"/>
  <c r="M92" i="8"/>
  <c r="M83" i="8"/>
  <c r="M26" i="8"/>
  <c r="M98" i="8"/>
  <c r="M116" i="8"/>
  <c r="M169" i="8"/>
  <c r="H167" i="10"/>
  <c r="N147" i="20"/>
  <c r="K147" i="20"/>
  <c r="O147" i="20" s="1"/>
  <c r="K175" i="21"/>
  <c r="O175" i="21" s="1"/>
  <c r="N175" i="21"/>
  <c r="P175" i="21" s="1"/>
  <c r="N200" i="22"/>
  <c r="K200" i="22"/>
  <c r="O200" i="22" s="1"/>
  <c r="L268" i="22"/>
  <c r="I33" i="15"/>
  <c r="I32" i="15" s="1"/>
  <c r="H32" i="15"/>
  <c r="K94" i="15"/>
  <c r="K93" i="15" s="1"/>
  <c r="F93" i="15" s="1"/>
  <c r="O193" i="18"/>
  <c r="O154" i="18"/>
  <c r="O35" i="18"/>
  <c r="N244" i="20"/>
  <c r="P244" i="20" s="1"/>
  <c r="N93" i="20"/>
  <c r="P219" i="20"/>
  <c r="N89" i="20"/>
  <c r="N87" i="20" s="1"/>
  <c r="P87" i="20" s="1"/>
  <c r="K283" i="20"/>
  <c r="O283" i="20" s="1"/>
  <c r="K197" i="18"/>
  <c r="N197" i="18"/>
  <c r="N256" i="20"/>
  <c r="K256" i="20"/>
  <c r="O256" i="20" s="1"/>
  <c r="O252" i="20" s="1"/>
  <c r="Q141" i="10"/>
  <c r="Q144" i="10"/>
  <c r="Q153" i="10"/>
  <c r="P158" i="10"/>
  <c r="I274" i="10"/>
  <c r="N57" i="11"/>
  <c r="J57" i="11" s="1"/>
  <c r="N62" i="11"/>
  <c r="J62" i="11" s="1"/>
  <c r="N98" i="11"/>
  <c r="J98" i="11" s="1"/>
  <c r="N110" i="11"/>
  <c r="J110" i="11" s="1"/>
  <c r="P127" i="14"/>
  <c r="O127" i="14" s="1"/>
  <c r="K166" i="14"/>
  <c r="J33" i="15"/>
  <c r="L268" i="16"/>
  <c r="N254" i="18"/>
  <c r="O203" i="18"/>
  <c r="N207" i="18"/>
  <c r="O158" i="18"/>
  <c r="N223" i="19"/>
  <c r="N40" i="19"/>
  <c r="K235" i="19"/>
  <c r="O235" i="19" s="1"/>
  <c r="P218" i="19"/>
  <c r="N227" i="20"/>
  <c r="N231" i="20"/>
  <c r="P231" i="20" s="1"/>
  <c r="N185" i="20"/>
  <c r="P185" i="20" s="1"/>
  <c r="N85" i="20"/>
  <c r="P85" i="20" s="1"/>
  <c r="N250" i="20"/>
  <c r="P20" i="20"/>
  <c r="O235" i="18"/>
  <c r="N63" i="20"/>
  <c r="K63" i="20"/>
  <c r="O63" i="20" s="1"/>
  <c r="O62" i="20" s="1"/>
  <c r="M169" i="20"/>
  <c r="M168" i="20" s="1"/>
  <c r="N193" i="20"/>
  <c r="K193" i="20"/>
  <c r="O193" i="20" s="1"/>
  <c r="O190" i="20" s="1"/>
  <c r="N222" i="20"/>
  <c r="K222" i="20"/>
  <c r="O222" i="20" s="1"/>
  <c r="M225" i="20"/>
  <c r="M247" i="20"/>
  <c r="G32" i="15"/>
  <c r="K88" i="15"/>
  <c r="F88" i="15" s="1"/>
  <c r="P283" i="18"/>
  <c r="K41" i="19"/>
  <c r="O41" i="19" s="1"/>
  <c r="O39" i="19" s="1"/>
  <c r="P108" i="19"/>
  <c r="N205" i="19"/>
  <c r="P205" i="19" s="1"/>
  <c r="K239" i="19"/>
  <c r="O239" i="19" s="1"/>
  <c r="K171" i="19"/>
  <c r="O171" i="19" s="1"/>
  <c r="O169" i="19" s="1"/>
  <c r="P282" i="20"/>
  <c r="P122" i="20"/>
  <c r="K220" i="20"/>
  <c r="O220" i="20" s="1"/>
  <c r="O215" i="20" s="1"/>
  <c r="K117" i="20"/>
  <c r="O117" i="20" s="1"/>
  <c r="N169" i="18"/>
  <c r="M120" i="19"/>
  <c r="K198" i="20"/>
  <c r="O198" i="20" s="1"/>
  <c r="N198" i="20"/>
  <c r="P198" i="20" s="1"/>
  <c r="M194" i="20"/>
  <c r="M259" i="20"/>
  <c r="M269" i="20"/>
  <c r="M268" i="20" s="1"/>
  <c r="P25" i="20"/>
  <c r="P23" i="18"/>
  <c r="P43" i="18"/>
  <c r="P180" i="18"/>
  <c r="O230" i="18"/>
  <c r="O260" i="18"/>
  <c r="L269" i="18"/>
  <c r="L268" i="18" s="1"/>
  <c r="M278" i="18"/>
  <c r="L57" i="16"/>
  <c r="M14" i="19"/>
  <c r="M39" i="19"/>
  <c r="M32" i="19" s="1"/>
  <c r="P178" i="19"/>
  <c r="P230" i="19"/>
  <c r="P250" i="19"/>
  <c r="P60" i="20"/>
  <c r="L78" i="20"/>
  <c r="L95" i="21"/>
  <c r="P154" i="21"/>
  <c r="P166" i="21"/>
  <c r="P172" i="21"/>
  <c r="L152" i="22"/>
  <c r="P160" i="22"/>
  <c r="P183" i="22"/>
  <c r="P191" i="22"/>
  <c r="P199" i="22"/>
  <c r="L275" i="22"/>
  <c r="P162" i="20"/>
  <c r="P42" i="18"/>
  <c r="N51" i="18"/>
  <c r="P158" i="18"/>
  <c r="P170" i="18"/>
  <c r="P172" i="18"/>
  <c r="P178" i="18"/>
  <c r="L181" i="18"/>
  <c r="P58" i="19"/>
  <c r="P74" i="19"/>
  <c r="P126" i="19"/>
  <c r="L169" i="19"/>
  <c r="P169" i="19" s="1"/>
  <c r="P249" i="19"/>
  <c r="M26" i="20"/>
  <c r="L72" i="20"/>
  <c r="P72" i="20" s="1"/>
  <c r="M92" i="20"/>
  <c r="L116" i="21"/>
  <c r="L208" i="21"/>
  <c r="P143" i="22"/>
  <c r="P128" i="20"/>
  <c r="P40" i="20"/>
  <c r="P180" i="20"/>
  <c r="P174" i="21"/>
  <c r="P37" i="18"/>
  <c r="P49" i="18"/>
  <c r="P64" i="18"/>
  <c r="K100" i="18"/>
  <c r="P121" i="18"/>
  <c r="P149" i="18"/>
  <c r="M152" i="18"/>
  <c r="M129" i="18" s="1"/>
  <c r="O99" i="8"/>
  <c r="N98" i="8"/>
  <c r="P98" i="8" s="1"/>
  <c r="O159" i="12"/>
  <c r="M159" i="12"/>
  <c r="J553" i="5"/>
  <c r="K148" i="10"/>
  <c r="O148" i="10" s="1"/>
  <c r="Q148" i="10" s="1"/>
  <c r="J149" i="8"/>
  <c r="N149" i="8" s="1"/>
  <c r="O149" i="8" s="1"/>
  <c r="Q163" i="10"/>
  <c r="P163" i="10"/>
  <c r="P166" i="10"/>
  <c r="Q166" i="10"/>
  <c r="H39" i="11"/>
  <c r="I42" i="11"/>
  <c r="I39" i="11" s="1"/>
  <c r="K235" i="12"/>
  <c r="P235" i="12"/>
  <c r="N235" i="12"/>
  <c r="O63" i="8"/>
  <c r="N27" i="14"/>
  <c r="O27" i="14"/>
  <c r="N277" i="15"/>
  <c r="O277" i="15"/>
  <c r="O227" i="15"/>
  <c r="N227" i="15"/>
  <c r="J1372" i="5"/>
  <c r="J836" i="5"/>
  <c r="I59" i="5"/>
  <c r="K43" i="11"/>
  <c r="N43" i="11"/>
  <c r="L23" i="12"/>
  <c r="O23" i="12" s="1"/>
  <c r="L136" i="12"/>
  <c r="M136" i="12" s="1"/>
  <c r="K231" i="12"/>
  <c r="L231" i="12" s="1"/>
  <c r="P231" i="12"/>
  <c r="N231" i="12"/>
  <c r="N225" i="12" s="1"/>
  <c r="J225" i="12" s="1"/>
  <c r="N276" i="15"/>
  <c r="M123" i="12"/>
  <c r="O123" i="12"/>
  <c r="O231" i="15"/>
  <c r="N231" i="15"/>
  <c r="N199" i="15"/>
  <c r="O199" i="15"/>
  <c r="N54" i="15"/>
  <c r="K52" i="15"/>
  <c r="F52" i="15" s="1"/>
  <c r="M51" i="8"/>
  <c r="N148" i="10"/>
  <c r="P86" i="10"/>
  <c r="Q86" i="10"/>
  <c r="N239" i="15"/>
  <c r="O270" i="14"/>
  <c r="N270" i="14"/>
  <c r="N186" i="14"/>
  <c r="O186" i="14"/>
  <c r="O187" i="14"/>
  <c r="N187" i="14"/>
  <c r="N143" i="14"/>
  <c r="O143" i="14"/>
  <c r="N135" i="14"/>
  <c r="O135" i="14"/>
  <c r="Q162" i="10"/>
  <c r="P162" i="10"/>
  <c r="P71" i="8"/>
  <c r="O71" i="8"/>
  <c r="O70" i="8" s="1"/>
  <c r="J1487" i="5"/>
  <c r="J1407" i="5"/>
  <c r="J1316" i="5"/>
  <c r="J846" i="5"/>
  <c r="J747" i="5"/>
  <c r="J585" i="5"/>
  <c r="J562" i="5"/>
  <c r="I376" i="5"/>
  <c r="I330" i="5"/>
  <c r="K131" i="10"/>
  <c r="O131" i="10" s="1"/>
  <c r="Q131" i="10" s="1"/>
  <c r="J132" i="8"/>
  <c r="N132" i="8" s="1"/>
  <c r="N131" i="10"/>
  <c r="K147" i="10"/>
  <c r="O147" i="10" s="1"/>
  <c r="Q147" i="10" s="1"/>
  <c r="N147" i="10"/>
  <c r="J161" i="8"/>
  <c r="N161" i="8" s="1"/>
  <c r="J151" i="10"/>
  <c r="K160" i="10"/>
  <c r="O160" i="10" s="1"/>
  <c r="O151" i="10" s="1"/>
  <c r="N160" i="10"/>
  <c r="H16" i="12"/>
  <c r="G14" i="12"/>
  <c r="P101" i="8"/>
  <c r="O101" i="8"/>
  <c r="M107" i="12"/>
  <c r="M133" i="12"/>
  <c r="O133" i="12"/>
  <c r="N274" i="15"/>
  <c r="O274" i="15"/>
  <c r="N218" i="15"/>
  <c r="O218" i="15"/>
  <c r="O189" i="15"/>
  <c r="N189" i="15"/>
  <c r="O60" i="15"/>
  <c r="N60" i="15"/>
  <c r="N58" i="15" s="1"/>
  <c r="P82" i="8"/>
  <c r="O21" i="8"/>
  <c r="O87" i="8"/>
  <c r="O121" i="8"/>
  <c r="O62" i="8"/>
  <c r="P62" i="8"/>
  <c r="O32" i="20"/>
  <c r="O25" i="8"/>
  <c r="O46" i="8"/>
  <c r="L32" i="8"/>
  <c r="N32" i="8" s="1"/>
  <c r="N149" i="10"/>
  <c r="O58" i="12"/>
  <c r="O17" i="8"/>
  <c r="P17" i="8"/>
  <c r="P124" i="8"/>
  <c r="O124" i="8"/>
  <c r="O60" i="12"/>
  <c r="N26" i="11"/>
  <c r="M277" i="12"/>
  <c r="O277" i="12"/>
  <c r="M271" i="12"/>
  <c r="O271" i="12"/>
  <c r="O261" i="12"/>
  <c r="M261" i="12"/>
  <c r="L251" i="12"/>
  <c r="O251" i="12" s="1"/>
  <c r="L183" i="12"/>
  <c r="O183" i="12" s="1"/>
  <c r="M177" i="12"/>
  <c r="O18" i="12"/>
  <c r="M18" i="12"/>
  <c r="L45" i="16"/>
  <c r="J32" i="14"/>
  <c r="N190" i="14"/>
  <c r="O52" i="12"/>
  <c r="P48" i="8"/>
  <c r="O154" i="12"/>
  <c r="M46" i="8"/>
  <c r="M45" i="8" s="1"/>
  <c r="O147" i="14"/>
  <c r="O119" i="12"/>
  <c r="O113" i="12"/>
  <c r="N232" i="14"/>
  <c r="N222" i="14"/>
  <c r="O222" i="14"/>
  <c r="O136" i="14"/>
  <c r="N136" i="14"/>
  <c r="N119" i="14"/>
  <c r="N116" i="14" s="1"/>
  <c r="O119" i="14"/>
  <c r="O112" i="14"/>
  <c r="N112" i="14"/>
  <c r="N53" i="14"/>
  <c r="O37" i="14"/>
  <c r="N37" i="14"/>
  <c r="N244" i="15"/>
  <c r="O244" i="15"/>
  <c r="O179" i="15"/>
  <c r="N179" i="15"/>
  <c r="O116" i="15"/>
  <c r="N116" i="15"/>
  <c r="N74" i="15"/>
  <c r="M70" i="15"/>
  <c r="O70" i="15" s="1"/>
  <c r="L52" i="15"/>
  <c r="O49" i="15"/>
  <c r="N49" i="15"/>
  <c r="O25" i="15"/>
  <c r="N25" i="15"/>
  <c r="P89" i="10"/>
  <c r="Q89" i="10"/>
  <c r="K210" i="12"/>
  <c r="L210" i="12" s="1"/>
  <c r="M210" i="12" s="1"/>
  <c r="N210" i="12"/>
  <c r="N208" i="12" s="1"/>
  <c r="J208" i="12" s="1"/>
  <c r="P60" i="8"/>
  <c r="O69" i="8"/>
  <c r="N95" i="8"/>
  <c r="P95" i="8" s="1"/>
  <c r="O167" i="14"/>
  <c r="O127" i="15"/>
  <c r="N260" i="15"/>
  <c r="O139" i="14"/>
  <c r="M221" i="12"/>
  <c r="O146" i="12"/>
  <c r="M146" i="12"/>
  <c r="M162" i="12"/>
  <c r="O162" i="12"/>
  <c r="M127" i="12"/>
  <c r="O127" i="12"/>
  <c r="L29" i="12"/>
  <c r="O29" i="12" s="1"/>
  <c r="O74" i="14"/>
  <c r="N74" i="14"/>
  <c r="N150" i="15"/>
  <c r="O150" i="15"/>
  <c r="J1558" i="5"/>
  <c r="J929" i="5"/>
  <c r="J593" i="5"/>
  <c r="I88" i="5"/>
  <c r="I89" i="5" s="1"/>
  <c r="J178" i="8"/>
  <c r="N178" i="8" s="1"/>
  <c r="P178" i="8" s="1"/>
  <c r="K177" i="10"/>
  <c r="O177" i="10" s="1"/>
  <c r="J179" i="8"/>
  <c r="N179" i="8" s="1"/>
  <c r="P179" i="8" s="1"/>
  <c r="K178" i="10"/>
  <c r="O178" i="10" s="1"/>
  <c r="Q178" i="10" s="1"/>
  <c r="N178" i="10"/>
  <c r="K23" i="11"/>
  <c r="L23" i="11" s="1"/>
  <c r="M23" i="11" s="1"/>
  <c r="N23" i="11"/>
  <c r="K145" i="12"/>
  <c r="L145" i="12" s="1"/>
  <c r="M145" i="12" s="1"/>
  <c r="N145" i="12"/>
  <c r="P148" i="12"/>
  <c r="O148" i="12" s="1"/>
  <c r="N148" i="12"/>
  <c r="K160" i="12"/>
  <c r="L160" i="12" s="1"/>
  <c r="O160" i="12" s="1"/>
  <c r="N160" i="12"/>
  <c r="K164" i="12"/>
  <c r="L164" i="12" s="1"/>
  <c r="M164" i="12" s="1"/>
  <c r="N164" i="12"/>
  <c r="N282" i="12"/>
  <c r="N278" i="12" s="1"/>
  <c r="J278" i="12" s="1"/>
  <c r="P282" i="12"/>
  <c r="M30" i="14"/>
  <c r="L30" i="14"/>
  <c r="L26" i="14" s="1"/>
  <c r="M34" i="14"/>
  <c r="N34" i="14" s="1"/>
  <c r="L34" i="14"/>
  <c r="L33" i="14" s="1"/>
  <c r="L32" i="14" s="1"/>
  <c r="P93" i="14"/>
  <c r="K93" i="14"/>
  <c r="K92" i="14" s="1"/>
  <c r="F92" i="14" s="1"/>
  <c r="P101" i="14"/>
  <c r="L101" i="14"/>
  <c r="M101" i="14" s="1"/>
  <c r="K101" i="14"/>
  <c r="K178" i="14"/>
  <c r="P178" i="14"/>
  <c r="O178" i="14" s="1"/>
  <c r="K234" i="14"/>
  <c r="L234" i="14"/>
  <c r="M234" i="14" s="1"/>
  <c r="N234" i="14" s="1"/>
  <c r="O200" i="14"/>
  <c r="O131" i="14"/>
  <c r="O82" i="14"/>
  <c r="O248" i="12"/>
  <c r="Q115" i="10"/>
  <c r="O237" i="12"/>
  <c r="M224" i="12"/>
  <c r="M48" i="12"/>
  <c r="N210" i="14"/>
  <c r="O210" i="14"/>
  <c r="O232" i="15"/>
  <c r="N232" i="15"/>
  <c r="L33" i="15"/>
  <c r="O17" i="15"/>
  <c r="N17" i="15"/>
  <c r="K280" i="10"/>
  <c r="O281" i="10"/>
  <c r="P28" i="12"/>
  <c r="K28" i="12"/>
  <c r="N28" i="12"/>
  <c r="K30" i="12"/>
  <c r="N30" i="12"/>
  <c r="P37" i="12"/>
  <c r="O37" i="12" s="1"/>
  <c r="N37" i="12"/>
  <c r="K47" i="12"/>
  <c r="N47" i="12"/>
  <c r="P59" i="12"/>
  <c r="O59" i="12" s="1"/>
  <c r="N59" i="12"/>
  <c r="N57" i="12" s="1"/>
  <c r="J57" i="12" s="1"/>
  <c r="K63" i="12"/>
  <c r="L63" i="12" s="1"/>
  <c r="M63" i="12" s="1"/>
  <c r="N63" i="12"/>
  <c r="N62" i="12" s="1"/>
  <c r="J62" i="12" s="1"/>
  <c r="K71" i="12"/>
  <c r="N71" i="12"/>
  <c r="N70" i="12" s="1"/>
  <c r="J70" i="12" s="1"/>
  <c r="P79" i="12"/>
  <c r="K79" i="12"/>
  <c r="L79" i="12" s="1"/>
  <c r="N79" i="12"/>
  <c r="K82" i="12"/>
  <c r="L82" i="12" s="1"/>
  <c r="M82" i="12" s="1"/>
  <c r="N82" i="12"/>
  <c r="P91" i="12"/>
  <c r="K91" i="12"/>
  <c r="P241" i="12"/>
  <c r="K241" i="12"/>
  <c r="P272" i="12"/>
  <c r="O272" i="12" s="1"/>
  <c r="N272" i="12"/>
  <c r="I1153" i="5"/>
  <c r="J788" i="5"/>
  <c r="J686" i="5"/>
  <c r="J535" i="5"/>
  <c r="I357" i="5"/>
  <c r="F68" i="10"/>
  <c r="M68" i="10" s="1"/>
  <c r="K171" i="10"/>
  <c r="O171" i="10" s="1"/>
  <c r="Q171" i="10" s="1"/>
  <c r="J172" i="8"/>
  <c r="N172" i="8" s="1"/>
  <c r="P172" i="8" s="1"/>
  <c r="I268" i="10"/>
  <c r="I267" i="10" s="1"/>
  <c r="N194" i="11"/>
  <c r="J194" i="11" s="1"/>
  <c r="K212" i="12"/>
  <c r="P212" i="12"/>
  <c r="K184" i="14"/>
  <c r="P184" i="14"/>
  <c r="O184" i="14" s="1"/>
  <c r="P232" i="14"/>
  <c r="O232" i="14" s="1"/>
  <c r="K232" i="14"/>
  <c r="O218" i="12"/>
  <c r="O100" i="14"/>
  <c r="O94" i="14"/>
  <c r="O202" i="12"/>
  <c r="P115" i="10"/>
  <c r="M40" i="15"/>
  <c r="M32" i="15" s="1"/>
  <c r="O32" i="15" s="1"/>
  <c r="N51" i="12"/>
  <c r="J51" i="12" s="1"/>
  <c r="N95" i="12"/>
  <c r="J95" i="12" s="1"/>
  <c r="K116" i="14"/>
  <c r="F116" i="14" s="1"/>
  <c r="K95" i="14"/>
  <c r="F95" i="14" s="1"/>
  <c r="K46" i="14"/>
  <c r="F46" i="14" s="1"/>
  <c r="O200" i="15"/>
  <c r="N38" i="15"/>
  <c r="Q94" i="10"/>
  <c r="I2064" i="5"/>
  <c r="I1687" i="5"/>
  <c r="I1598" i="5"/>
  <c r="Q28" i="10"/>
  <c r="N38" i="10"/>
  <c r="H76" i="10"/>
  <c r="Q90" i="10"/>
  <c r="Q124" i="10"/>
  <c r="P125" i="10"/>
  <c r="P127" i="10"/>
  <c r="N143" i="10"/>
  <c r="J144" i="8"/>
  <c r="N144" i="8" s="1"/>
  <c r="J162" i="8"/>
  <c r="N162" i="8" s="1"/>
  <c r="P162" i="8" s="1"/>
  <c r="N161" i="10"/>
  <c r="I251" i="10"/>
  <c r="K216" i="12"/>
  <c r="K248" i="14"/>
  <c r="K247" i="14" s="1"/>
  <c r="F247" i="14" s="1"/>
  <c r="P247" i="14" s="1"/>
  <c r="O247" i="14" s="1"/>
  <c r="P248" i="14"/>
  <c r="O248" i="14" s="1"/>
  <c r="K39" i="12"/>
  <c r="K269" i="14"/>
  <c r="F269" i="14" s="1"/>
  <c r="O197" i="14"/>
  <c r="O241" i="15"/>
  <c r="O233" i="15"/>
  <c r="Q159" i="10"/>
  <c r="I1727" i="5"/>
  <c r="I1266" i="5"/>
  <c r="I846" i="5"/>
  <c r="J88" i="5"/>
  <c r="J89" i="5" s="1"/>
  <c r="J49" i="5"/>
  <c r="J10" i="5"/>
  <c r="Q85" i="10"/>
  <c r="P103" i="10"/>
  <c r="P105" i="10"/>
  <c r="P106" i="10"/>
  <c r="J142" i="8"/>
  <c r="N142" i="8" s="1"/>
  <c r="K200" i="12"/>
  <c r="P200" i="12"/>
  <c r="J1687" i="5"/>
  <c r="I1487" i="5"/>
  <c r="I1357" i="5"/>
  <c r="I1258" i="5"/>
  <c r="I763" i="5"/>
  <c r="Q47" i="10"/>
  <c r="I71" i="10"/>
  <c r="P71" i="10"/>
  <c r="P80" i="10"/>
  <c r="P77" i="10" s="1"/>
  <c r="P81" i="10"/>
  <c r="P93" i="10"/>
  <c r="P111" i="10"/>
  <c r="P113" i="10"/>
  <c r="G128" i="10"/>
  <c r="Q170" i="10"/>
  <c r="O72" i="8"/>
  <c r="F32" i="11"/>
  <c r="N78" i="11"/>
  <c r="N152" i="11"/>
  <c r="J152" i="11" s="1"/>
  <c r="N208" i="11"/>
  <c r="J208" i="11" s="1"/>
  <c r="N252" i="11"/>
  <c r="J252" i="11" s="1"/>
  <c r="N259" i="11"/>
  <c r="J259" i="11" s="1"/>
  <c r="N269" i="11"/>
  <c r="J269" i="11" s="1"/>
  <c r="I39" i="12"/>
  <c r="P85" i="12"/>
  <c r="O85" i="12" s="1"/>
  <c r="P96" i="12"/>
  <c r="P158" i="12"/>
  <c r="O158" i="12" s="1"/>
  <c r="P127" i="8"/>
  <c r="O123" i="8"/>
  <c r="K85" i="18"/>
  <c r="N85" i="18"/>
  <c r="N172" i="20"/>
  <c r="P172" i="20" s="1"/>
  <c r="K172" i="20"/>
  <c r="O172" i="20" s="1"/>
  <c r="K201" i="20"/>
  <c r="O201" i="20" s="1"/>
  <c r="N201" i="20"/>
  <c r="P201" i="20" s="1"/>
  <c r="I47" i="22"/>
  <c r="M47" i="22" s="1"/>
  <c r="CI47" i="22"/>
  <c r="J47" i="22" s="1"/>
  <c r="K47" i="22" s="1"/>
  <c r="O47" i="22" s="1"/>
  <c r="P123" i="14"/>
  <c r="P164" i="14"/>
  <c r="O164" i="14" s="1"/>
  <c r="O125" i="8"/>
  <c r="K86" i="16"/>
  <c r="O86" i="16" s="1"/>
  <c r="K250" i="18"/>
  <c r="K247" i="18" s="1"/>
  <c r="N258" i="18"/>
  <c r="O222" i="18"/>
  <c r="O183" i="18"/>
  <c r="K58" i="18"/>
  <c r="O46" i="19"/>
  <c r="N16" i="19"/>
  <c r="P16" i="19" s="1"/>
  <c r="P272" i="20"/>
  <c r="P273" i="20"/>
  <c r="N202" i="20"/>
  <c r="P202" i="20" s="1"/>
  <c r="K274" i="20"/>
  <c r="O274" i="20" s="1"/>
  <c r="O269" i="20" s="1"/>
  <c r="N183" i="20"/>
  <c r="M72" i="19"/>
  <c r="M69" i="19" s="1"/>
  <c r="N220" i="18"/>
  <c r="N228" i="18"/>
  <c r="N14" i="18"/>
  <c r="O16" i="18"/>
  <c r="L14" i="18"/>
  <c r="N95" i="19"/>
  <c r="K163" i="20"/>
  <c r="O163" i="20" s="1"/>
  <c r="N209" i="20"/>
  <c r="K200" i="20"/>
  <c r="O200" i="20" s="1"/>
  <c r="P51" i="18"/>
  <c r="K230" i="18"/>
  <c r="M225" i="18"/>
  <c r="N27" i="20"/>
  <c r="K27" i="20"/>
  <c r="O27" i="20" s="1"/>
  <c r="N31" i="20"/>
  <c r="P31" i="20" s="1"/>
  <c r="K31" i="20"/>
  <c r="O31" i="20" s="1"/>
  <c r="K79" i="20"/>
  <c r="O79" i="20" s="1"/>
  <c r="N79" i="20"/>
  <c r="P79" i="20" s="1"/>
  <c r="K145" i="20"/>
  <c r="O145" i="20" s="1"/>
  <c r="N145" i="20"/>
  <c r="P145" i="20" s="1"/>
  <c r="N243" i="18"/>
  <c r="O261" i="18"/>
  <c r="P246" i="18"/>
  <c r="P123" i="18"/>
  <c r="O107" i="18"/>
  <c r="K106" i="18"/>
  <c r="AE8" i="18"/>
  <c r="O36" i="18"/>
  <c r="P66" i="18"/>
  <c r="N50" i="19"/>
  <c r="K99" i="19"/>
  <c r="O99" i="19" s="1"/>
  <c r="P31" i="19"/>
  <c r="P205" i="20"/>
  <c r="N173" i="20"/>
  <c r="P240" i="18"/>
  <c r="O250" i="18"/>
  <c r="O247" i="18" s="1"/>
  <c r="P38" i="20"/>
  <c r="P15" i="18"/>
  <c r="P19" i="18"/>
  <c r="P20" i="18"/>
  <c r="L62" i="18"/>
  <c r="O82" i="18"/>
  <c r="P96" i="18"/>
  <c r="L95" i="18"/>
  <c r="L120" i="18"/>
  <c r="P138" i="18"/>
  <c r="O142" i="18"/>
  <c r="O151" i="18"/>
  <c r="O153" i="18"/>
  <c r="M169" i="18"/>
  <c r="P48" i="19"/>
  <c r="L51" i="19"/>
  <c r="L45" i="19" s="1"/>
  <c r="L57" i="19"/>
  <c r="M194" i="19"/>
  <c r="P224" i="19"/>
  <c r="P264" i="19"/>
  <c r="M78" i="20"/>
  <c r="P68" i="18"/>
  <c r="M95" i="18"/>
  <c r="M98" i="18"/>
  <c r="P174" i="18"/>
  <c r="P177" i="18"/>
  <c r="P179" i="18"/>
  <c r="L39" i="19"/>
  <c r="P124" i="16"/>
  <c r="M33" i="18"/>
  <c r="P56" i="18"/>
  <c r="O72" i="18"/>
  <c r="O87" i="18"/>
  <c r="P148" i="18"/>
  <c r="P164" i="18"/>
  <c r="L225" i="18"/>
  <c r="K235" i="18"/>
  <c r="O242" i="18"/>
  <c r="M252" i="18"/>
  <c r="M269" i="18"/>
  <c r="L39" i="16"/>
  <c r="L32" i="16" s="1"/>
  <c r="L69" i="16"/>
  <c r="M26" i="19"/>
  <c r="M95" i="19"/>
  <c r="L95" i="19"/>
  <c r="P122" i="19"/>
  <c r="L215" i="19"/>
  <c r="L98" i="22"/>
  <c r="P119" i="19"/>
  <c r="P164" i="19"/>
  <c r="L33" i="20"/>
  <c r="L98" i="20"/>
  <c r="P119" i="20"/>
  <c r="L120" i="20"/>
  <c r="P120" i="20" s="1"/>
  <c r="K149" i="20"/>
  <c r="O149" i="20" s="1"/>
  <c r="M252" i="20"/>
  <c r="P21" i="21"/>
  <c r="P31" i="21"/>
  <c r="L33" i="21"/>
  <c r="L39" i="21"/>
  <c r="P54" i="21"/>
  <c r="L62" i="21"/>
  <c r="L45" i="21" s="1"/>
  <c r="L194" i="21"/>
  <c r="L62" i="22"/>
  <c r="L78" i="22"/>
  <c r="L77" i="22" s="1"/>
  <c r="L92" i="22"/>
  <c r="L95" i="22"/>
  <c r="P134" i="22"/>
  <c r="P150" i="22"/>
  <c r="P165" i="22"/>
  <c r="L169" i="22"/>
  <c r="L168" i="22" s="1"/>
  <c r="P179" i="22"/>
  <c r="L252" i="22"/>
  <c r="L208" i="19"/>
  <c r="L83" i="20"/>
  <c r="P200" i="20"/>
  <c r="M208" i="20"/>
  <c r="L57" i="22"/>
  <c r="L194" i="19"/>
  <c r="M225" i="19"/>
  <c r="P246" i="19"/>
  <c r="L46" i="20"/>
  <c r="M83" i="20"/>
  <c r="M77" i="20" s="1"/>
  <c r="M120" i="20"/>
  <c r="M130" i="20"/>
  <c r="L152" i="20"/>
  <c r="L169" i="20"/>
  <c r="L33" i="22"/>
  <c r="L39" i="22"/>
  <c r="L46" i="22"/>
  <c r="L278" i="22"/>
  <c r="P222" i="22"/>
  <c r="L284" i="23"/>
  <c r="L13" i="23"/>
  <c r="O168" i="23"/>
  <c r="O282" i="12"/>
  <c r="M282" i="12"/>
  <c r="P107" i="8"/>
  <c r="O107" i="8"/>
  <c r="O140" i="12"/>
  <c r="M140" i="12"/>
  <c r="M193" i="12"/>
  <c r="O193" i="12"/>
  <c r="O48" i="15"/>
  <c r="N48" i="15"/>
  <c r="L262" i="12"/>
  <c r="O262" i="12" s="1"/>
  <c r="L203" i="12"/>
  <c r="O203" i="12" s="1"/>
  <c r="L167" i="12"/>
  <c r="O167" i="12" s="1"/>
  <c r="M93" i="12"/>
  <c r="O93" i="12"/>
  <c r="M22" i="12"/>
  <c r="O22" i="12"/>
  <c r="I784" i="5"/>
  <c r="I82" i="10"/>
  <c r="I76" i="10" s="1"/>
  <c r="P84" i="10"/>
  <c r="P82" i="10" s="1"/>
  <c r="P123" i="10"/>
  <c r="Q123" i="10"/>
  <c r="P126" i="10"/>
  <c r="Q126" i="10"/>
  <c r="N130" i="10"/>
  <c r="K130" i="10"/>
  <c r="O130" i="10" s="1"/>
  <c r="Q130" i="10" s="1"/>
  <c r="J129" i="10"/>
  <c r="J128" i="10" s="1"/>
  <c r="P117" i="20"/>
  <c r="N116" i="20"/>
  <c r="P116" i="20" s="1"/>
  <c r="N121" i="16"/>
  <c r="P121" i="16" s="1"/>
  <c r="K121" i="16"/>
  <c r="O121" i="16" s="1"/>
  <c r="N90" i="16"/>
  <c r="P90" i="16" s="1"/>
  <c r="P91" i="16"/>
  <c r="N61" i="16"/>
  <c r="P61" i="16" s="1"/>
  <c r="K61" i="16"/>
  <c r="O61" i="16" s="1"/>
  <c r="O57" i="16" s="1"/>
  <c r="N39" i="18"/>
  <c r="P39" i="18" s="1"/>
  <c r="P41" i="18"/>
  <c r="O50" i="18"/>
  <c r="P50" i="18"/>
  <c r="O90" i="18"/>
  <c r="K209" i="18"/>
  <c r="N209" i="18"/>
  <c r="L208" i="18"/>
  <c r="P208" i="18" s="1"/>
  <c r="O210" i="18"/>
  <c r="K221" i="18"/>
  <c r="N221" i="18"/>
  <c r="K233" i="18"/>
  <c r="N233" i="18"/>
  <c r="K234" i="18"/>
  <c r="N234" i="18"/>
  <c r="K237" i="18"/>
  <c r="N237" i="18"/>
  <c r="K262" i="18"/>
  <c r="N262" i="18"/>
  <c r="K263" i="18"/>
  <c r="N263" i="18"/>
  <c r="K276" i="18"/>
  <c r="K275" i="18" s="1"/>
  <c r="N276" i="18"/>
  <c r="N279" i="18"/>
  <c r="O279" i="18" s="1"/>
  <c r="K279" i="18"/>
  <c r="K18" i="19"/>
  <c r="O18" i="19" s="1"/>
  <c r="N18" i="19"/>
  <c r="N19" i="19"/>
  <c r="P19" i="19" s="1"/>
  <c r="K19" i="19"/>
  <c r="O19" i="19" s="1"/>
  <c r="N35" i="19"/>
  <c r="K35" i="19"/>
  <c r="O35" i="19" s="1"/>
  <c r="P36" i="19"/>
  <c r="L33" i="19"/>
  <c r="L32" i="19" s="1"/>
  <c r="N37" i="19"/>
  <c r="P37" i="19" s="1"/>
  <c r="K37" i="19"/>
  <c r="O37" i="19" s="1"/>
  <c r="K52" i="19"/>
  <c r="O52" i="19" s="1"/>
  <c r="N52" i="19"/>
  <c r="N65" i="19"/>
  <c r="K65" i="19"/>
  <c r="O65" i="19" s="1"/>
  <c r="K66" i="19"/>
  <c r="O66" i="19" s="1"/>
  <c r="N66" i="19"/>
  <c r="P66" i="19" s="1"/>
  <c r="N68" i="19"/>
  <c r="K68" i="19"/>
  <c r="O68" i="19" s="1"/>
  <c r="O67" i="19" s="1"/>
  <c r="K183" i="19"/>
  <c r="O183" i="19" s="1"/>
  <c r="N183" i="19"/>
  <c r="N184" i="19"/>
  <c r="P184" i="19" s="1"/>
  <c r="K184" i="19"/>
  <c r="O184" i="19" s="1"/>
  <c r="N191" i="19"/>
  <c r="K191" i="19"/>
  <c r="O191" i="19" s="1"/>
  <c r="N192" i="19"/>
  <c r="P192" i="19" s="1"/>
  <c r="K192" i="19"/>
  <c r="O192" i="19" s="1"/>
  <c r="N196" i="19"/>
  <c r="K196" i="19"/>
  <c r="O196" i="19" s="1"/>
  <c r="K197" i="19"/>
  <c r="O197" i="19" s="1"/>
  <c r="N197" i="19"/>
  <c r="P197" i="19" s="1"/>
  <c r="K206" i="19"/>
  <c r="O206" i="19" s="1"/>
  <c r="N206" i="19"/>
  <c r="P206" i="19" s="1"/>
  <c r="P238" i="19"/>
  <c r="L225" i="19"/>
  <c r="N81" i="20"/>
  <c r="K81" i="20"/>
  <c r="O81" i="20" s="1"/>
  <c r="N82" i="20"/>
  <c r="P82" i="20" s="1"/>
  <c r="K82" i="20"/>
  <c r="O82" i="20" s="1"/>
  <c r="K101" i="20"/>
  <c r="O101" i="20" s="1"/>
  <c r="N101" i="20"/>
  <c r="P101" i="20" s="1"/>
  <c r="N114" i="20"/>
  <c r="P114" i="20" s="1"/>
  <c r="K114" i="20"/>
  <c r="O114" i="20" s="1"/>
  <c r="O110" i="20" s="1"/>
  <c r="K131" i="20"/>
  <c r="O131" i="20" s="1"/>
  <c r="N131" i="20"/>
  <c r="N143" i="20"/>
  <c r="P143" i="20" s="1"/>
  <c r="K143" i="20"/>
  <c r="O143" i="20" s="1"/>
  <c r="N144" i="20"/>
  <c r="P144" i="20" s="1"/>
  <c r="K144" i="20"/>
  <c r="O144" i="20" s="1"/>
  <c r="N154" i="20"/>
  <c r="K154" i="20"/>
  <c r="O154" i="20" s="1"/>
  <c r="K155" i="20"/>
  <c r="O155" i="20" s="1"/>
  <c r="N155" i="20"/>
  <c r="P155" i="20" s="1"/>
  <c r="N156" i="20"/>
  <c r="P156" i="20" s="1"/>
  <c r="K156" i="20"/>
  <c r="O156" i="20" s="1"/>
  <c r="K157" i="20"/>
  <c r="O157" i="20" s="1"/>
  <c r="N157" i="20"/>
  <c r="P157" i="20" s="1"/>
  <c r="N158" i="20"/>
  <c r="P158" i="20" s="1"/>
  <c r="K158" i="20"/>
  <c r="O158" i="20" s="1"/>
  <c r="N159" i="20"/>
  <c r="P159" i="20" s="1"/>
  <c r="K159" i="20"/>
  <c r="O159" i="20" s="1"/>
  <c r="N171" i="20"/>
  <c r="K171" i="20"/>
  <c r="O171" i="20" s="1"/>
  <c r="O109" i="23"/>
  <c r="P33" i="20"/>
  <c r="K91" i="16"/>
  <c r="O91" i="16" s="1"/>
  <c r="O90" i="16" s="1"/>
  <c r="N57" i="8"/>
  <c r="O58" i="8"/>
  <c r="M168" i="8"/>
  <c r="O42" i="8"/>
  <c r="P42" i="8"/>
  <c r="K124" i="16"/>
  <c r="O124" i="16" s="1"/>
  <c r="H33" i="12"/>
  <c r="M172" i="12"/>
  <c r="G32" i="12"/>
  <c r="J33" i="8"/>
  <c r="O173" i="12"/>
  <c r="M253" i="12"/>
  <c r="O42" i="12"/>
  <c r="M42" i="12"/>
  <c r="O170" i="12"/>
  <c r="M256" i="12"/>
  <c r="M265" i="12"/>
  <c r="O264" i="12"/>
  <c r="M264" i="12"/>
  <c r="M118" i="12"/>
  <c r="M155" i="12"/>
  <c r="O155" i="12"/>
  <c r="N98" i="12"/>
  <c r="J98" i="12" s="1"/>
  <c r="M41" i="12"/>
  <c r="O41" i="12"/>
  <c r="N265" i="14"/>
  <c r="O265" i="14"/>
  <c r="N248" i="14"/>
  <c r="N228" i="14"/>
  <c r="O245" i="14"/>
  <c r="N245" i="14"/>
  <c r="O204" i="14"/>
  <c r="N204" i="14"/>
  <c r="N188" i="14"/>
  <c r="N178" i="14"/>
  <c r="O174" i="14"/>
  <c r="N174" i="14"/>
  <c r="O161" i="14"/>
  <c r="N161" i="14"/>
  <c r="N141" i="14"/>
  <c r="O123" i="14"/>
  <c r="N123" i="14"/>
  <c r="O48" i="14"/>
  <c r="N48" i="14"/>
  <c r="N46" i="14" s="1"/>
  <c r="M46" i="14"/>
  <c r="N97" i="14"/>
  <c r="N95" i="14" s="1"/>
  <c r="O97" i="14"/>
  <c r="N80" i="14"/>
  <c r="O80" i="14"/>
  <c r="O19" i="14"/>
  <c r="N19" i="14"/>
  <c r="M14" i="14"/>
  <c r="O15" i="14"/>
  <c r="O172" i="15"/>
  <c r="N172" i="15"/>
  <c r="O198" i="15"/>
  <c r="N198" i="15"/>
  <c r="O160" i="15"/>
  <c r="N160" i="15"/>
  <c r="N163" i="15"/>
  <c r="O163" i="15"/>
  <c r="O144" i="15"/>
  <c r="N144" i="15"/>
  <c r="N136" i="15"/>
  <c r="O136" i="15"/>
  <c r="N114" i="15"/>
  <c r="O114" i="15"/>
  <c r="N86" i="15"/>
  <c r="O86" i="15"/>
  <c r="N66" i="15"/>
  <c r="O66" i="15"/>
  <c r="O50" i="15"/>
  <c r="N50" i="15"/>
  <c r="J1653" i="5"/>
  <c r="J1643" i="5"/>
  <c r="J1632" i="5"/>
  <c r="K1632" i="5" s="1"/>
  <c r="J1610" i="5"/>
  <c r="I1542" i="5"/>
  <c r="I1503" i="5"/>
  <c r="I1504" i="5" s="1"/>
  <c r="I1388" i="5"/>
  <c r="I1380" i="5"/>
  <c r="I1372" i="5"/>
  <c r="J1348" i="5"/>
  <c r="J1285" i="5"/>
  <c r="J1266" i="5"/>
  <c r="I27" i="10"/>
  <c r="F25" i="10"/>
  <c r="M25" i="10" s="1"/>
  <c r="I38" i="10"/>
  <c r="Q39" i="10"/>
  <c r="K53" i="10"/>
  <c r="J50" i="10"/>
  <c r="J44" i="10" s="1"/>
  <c r="J54" i="8"/>
  <c r="N54" i="8" s="1"/>
  <c r="N53" i="10"/>
  <c r="N50" i="10" s="1"/>
  <c r="P61" i="10"/>
  <c r="Q61" i="10"/>
  <c r="L188" i="12"/>
  <c r="O188" i="12" s="1"/>
  <c r="N40" i="14"/>
  <c r="M79" i="12"/>
  <c r="O79" i="12"/>
  <c r="O198" i="12"/>
  <c r="O96" i="12"/>
  <c r="M96" i="12"/>
  <c r="M89" i="12"/>
  <c r="L84" i="12"/>
  <c r="O84" i="12" s="1"/>
  <c r="O277" i="14"/>
  <c r="N277" i="14"/>
  <c r="N275" i="14" s="1"/>
  <c r="N273" i="14"/>
  <c r="N269" i="14" s="1"/>
  <c r="O273" i="14"/>
  <c r="J458" i="5"/>
  <c r="J451" i="5"/>
  <c r="O86" i="8"/>
  <c r="P86" i="8"/>
  <c r="N28" i="14"/>
  <c r="M283" i="12"/>
  <c r="O280" i="12"/>
  <c r="M280" i="12"/>
  <c r="M276" i="12"/>
  <c r="O276" i="12"/>
  <c r="L191" i="12"/>
  <c r="O191" i="12" s="1"/>
  <c r="N120" i="8"/>
  <c r="N119" i="8" s="1"/>
  <c r="P122" i="8"/>
  <c r="I33" i="12"/>
  <c r="J131" i="8"/>
  <c r="N131" i="8" s="1"/>
  <c r="O79" i="8"/>
  <c r="O78" i="8" s="1"/>
  <c r="N78" i="8"/>
  <c r="P35" i="8"/>
  <c r="O35" i="8"/>
  <c r="P195" i="19"/>
  <c r="P225" i="19"/>
  <c r="P89" i="8"/>
  <c r="P69" i="8"/>
  <c r="O136" i="8"/>
  <c r="M56" i="12"/>
  <c r="P106" i="8"/>
  <c r="O106" i="8"/>
  <c r="O41" i="14"/>
  <c r="M218" i="12"/>
  <c r="O184" i="12"/>
  <c r="M35" i="12"/>
  <c r="O35" i="12"/>
  <c r="O205" i="12"/>
  <c r="M205" i="12"/>
  <c r="M255" i="12"/>
  <c r="O255" i="12"/>
  <c r="L86" i="12"/>
  <c r="O86" i="12" s="1"/>
  <c r="O264" i="14"/>
  <c r="N264" i="14"/>
  <c r="N256" i="14"/>
  <c r="P124" i="10"/>
  <c r="Q164" i="10"/>
  <c r="P164" i="10"/>
  <c r="N282" i="10"/>
  <c r="J281" i="10"/>
  <c r="J283" i="8"/>
  <c r="K45" i="10"/>
  <c r="M46" i="10"/>
  <c r="H14" i="11"/>
  <c r="I16" i="11"/>
  <c r="I14" i="11" s="1"/>
  <c r="K17" i="11"/>
  <c r="L17" i="11" s="1"/>
  <c r="M17" i="11" s="1"/>
  <c r="N17" i="11"/>
  <c r="G26" i="11"/>
  <c r="K28" i="11"/>
  <c r="J28" i="8"/>
  <c r="N28" i="8" s="1"/>
  <c r="P28" i="8" s="1"/>
  <c r="H28" i="11"/>
  <c r="N35" i="11"/>
  <c r="K35" i="11"/>
  <c r="N37" i="11"/>
  <c r="K37" i="11"/>
  <c r="N39" i="11"/>
  <c r="J39" i="11" s="1"/>
  <c r="J78" i="11"/>
  <c r="P16" i="12"/>
  <c r="N16" i="12"/>
  <c r="K21" i="12"/>
  <c r="P21" i="12"/>
  <c r="M24" i="12"/>
  <c r="O24" i="12"/>
  <c r="K25" i="12"/>
  <c r="N25" i="12"/>
  <c r="P25" i="12"/>
  <c r="L27" i="12"/>
  <c r="O27" i="12" s="1"/>
  <c r="P36" i="12"/>
  <c r="N36" i="12"/>
  <c r="P38" i="12"/>
  <c r="O38" i="12" s="1"/>
  <c r="N38" i="12"/>
  <c r="K38" i="12"/>
  <c r="L38" i="12" s="1"/>
  <c r="M38" i="12" s="1"/>
  <c r="L61" i="12"/>
  <c r="O61" i="12" s="1"/>
  <c r="N88" i="12"/>
  <c r="N87" i="12" s="1"/>
  <c r="J87" i="12" s="1"/>
  <c r="K88" i="12"/>
  <c r="L88" i="12" s="1"/>
  <c r="K137" i="12"/>
  <c r="L137" i="12" s="1"/>
  <c r="M137" i="12" s="1"/>
  <c r="P137" i="12"/>
  <c r="N137" i="12"/>
  <c r="N130" i="12" s="1"/>
  <c r="J130" i="12" s="1"/>
  <c r="P165" i="12"/>
  <c r="K165" i="12"/>
  <c r="L165" i="12" s="1"/>
  <c r="N165" i="12"/>
  <c r="L233" i="12"/>
  <c r="O233" i="12" s="1"/>
  <c r="K52" i="14"/>
  <c r="P52" i="14"/>
  <c r="L52" i="14"/>
  <c r="O129" i="19"/>
  <c r="P70" i="8"/>
  <c r="N83" i="8"/>
  <c r="P83" i="8" s="1"/>
  <c r="O152" i="8"/>
  <c r="L214" i="8"/>
  <c r="P81" i="8"/>
  <c r="L268" i="8"/>
  <c r="N39" i="8"/>
  <c r="P39" i="8" s="1"/>
  <c r="L129" i="16"/>
  <c r="O206" i="12"/>
  <c r="O240" i="14"/>
  <c r="L39" i="12"/>
  <c r="O132" i="12"/>
  <c r="O221" i="15"/>
  <c r="O176" i="12"/>
  <c r="O267" i="15"/>
  <c r="N247" i="15"/>
  <c r="O260" i="12"/>
  <c r="O244" i="12"/>
  <c r="M54" i="12"/>
  <c r="O143" i="12"/>
  <c r="M220" i="12"/>
  <c r="N57" i="14"/>
  <c r="N217" i="14"/>
  <c r="O42" i="15"/>
  <c r="N41" i="15"/>
  <c r="O211" i="15"/>
  <c r="N214" i="15"/>
  <c r="N238" i="15"/>
  <c r="O254" i="12"/>
  <c r="N208" i="14"/>
  <c r="N185" i="15"/>
  <c r="O185" i="15"/>
  <c r="O190" i="15"/>
  <c r="I1717" i="5"/>
  <c r="I1701" i="5"/>
  <c r="J802" i="5"/>
  <c r="J521" i="5"/>
  <c r="J506" i="5"/>
  <c r="Q40" i="10"/>
  <c r="O49" i="10"/>
  <c r="M49" i="10"/>
  <c r="Q59" i="10"/>
  <c r="P101" i="10"/>
  <c r="Q101" i="10"/>
  <c r="P102" i="10"/>
  <c r="Q104" i="10"/>
  <c r="P104" i="10"/>
  <c r="O109" i="10"/>
  <c r="P152" i="10"/>
  <c r="Q152" i="10"/>
  <c r="Q155" i="10"/>
  <c r="P155" i="10"/>
  <c r="Q156" i="10"/>
  <c r="P156" i="10"/>
  <c r="I151" i="10"/>
  <c r="I128" i="10" s="1"/>
  <c r="P159" i="10"/>
  <c r="N46" i="12"/>
  <c r="K270" i="15"/>
  <c r="F270" i="15" s="1"/>
  <c r="O39" i="15"/>
  <c r="N39" i="15"/>
  <c r="I2285" i="5"/>
  <c r="I2155" i="5"/>
  <c r="I2128" i="5"/>
  <c r="J1970" i="5"/>
  <c r="J1924" i="5"/>
  <c r="J1748" i="5"/>
  <c r="J1733" i="5"/>
  <c r="J1583" i="5"/>
  <c r="I1247" i="5"/>
  <c r="I1172" i="5"/>
  <c r="I1126" i="5"/>
  <c r="J1039" i="5"/>
  <c r="I935" i="5"/>
  <c r="I919" i="5"/>
  <c r="I912" i="5"/>
  <c r="I885" i="5"/>
  <c r="I856" i="5"/>
  <c r="I836" i="5"/>
  <c r="I814" i="5"/>
  <c r="J708" i="5"/>
  <c r="I593" i="5"/>
  <c r="I577" i="5"/>
  <c r="I562" i="5"/>
  <c r="I553" i="5"/>
  <c r="I535" i="5"/>
  <c r="J470" i="5"/>
  <c r="I243" i="5"/>
  <c r="I177" i="5"/>
  <c r="I154" i="5"/>
  <c r="I139" i="5"/>
  <c r="I116" i="5"/>
  <c r="I107" i="5"/>
  <c r="I17" i="5"/>
  <c r="Q58" i="10"/>
  <c r="P58" i="10"/>
  <c r="P56" i="10" s="1"/>
  <c r="F76" i="10"/>
  <c r="Q112" i="10"/>
  <c r="I109" i="10"/>
  <c r="I108" i="10" s="1"/>
  <c r="N142" i="10"/>
  <c r="J143" i="8"/>
  <c r="N143" i="8" s="1"/>
  <c r="K142" i="10"/>
  <c r="O142" i="10" s="1"/>
  <c r="Q142" i="10" s="1"/>
  <c r="O261" i="14"/>
  <c r="I1718" i="5"/>
  <c r="K260" i="15"/>
  <c r="F260" i="15" s="1"/>
  <c r="P260" i="15" s="1"/>
  <c r="O260" i="15" s="1"/>
  <c r="K121" i="15"/>
  <c r="F121" i="15" s="1"/>
  <c r="O196" i="14"/>
  <c r="O28" i="14"/>
  <c r="P72" i="8"/>
  <c r="K96" i="15"/>
  <c r="F96" i="15" s="1"/>
  <c r="N248" i="15"/>
  <c r="O252" i="15"/>
  <c r="O243" i="12"/>
  <c r="O19" i="12"/>
  <c r="M266" i="12"/>
  <c r="N215" i="12"/>
  <c r="J215" i="12" s="1"/>
  <c r="N190" i="12"/>
  <c r="J190" i="12" s="1"/>
  <c r="N181" i="12"/>
  <c r="J181" i="12" s="1"/>
  <c r="N26" i="12"/>
  <c r="N23" i="15"/>
  <c r="O23" i="15"/>
  <c r="J330" i="5"/>
  <c r="M215" i="8"/>
  <c r="O69" i="10"/>
  <c r="Q69" i="10" s="1"/>
  <c r="Q70" i="10"/>
  <c r="Q84" i="10"/>
  <c r="P87" i="10"/>
  <c r="Q87" i="10"/>
  <c r="J138" i="8"/>
  <c r="N138" i="8" s="1"/>
  <c r="N137" i="10"/>
  <c r="K169" i="10"/>
  <c r="O169" i="10" s="1"/>
  <c r="Q169" i="10" s="1"/>
  <c r="J170" i="8"/>
  <c r="N170" i="8" s="1"/>
  <c r="P170" i="8" s="1"/>
  <c r="O166" i="12"/>
  <c r="O241" i="14"/>
  <c r="O237" i="14"/>
  <c r="O201" i="14"/>
  <c r="N92" i="14"/>
  <c r="N21" i="14"/>
  <c r="O157" i="15"/>
  <c r="O107" i="15"/>
  <c r="N29" i="15"/>
  <c r="J2285" i="5"/>
  <c r="J2302" i="5" s="1"/>
  <c r="J2064" i="5"/>
  <c r="I1682" i="5"/>
  <c r="I1683" i="5" s="1"/>
  <c r="I1632" i="5"/>
  <c r="J1503" i="5"/>
  <c r="J1388" i="5"/>
  <c r="J1380" i="5"/>
  <c r="I1301" i="5"/>
  <c r="J1172" i="5"/>
  <c r="J1153" i="5"/>
  <c r="J1126" i="5"/>
  <c r="I950" i="5"/>
  <c r="J919" i="5"/>
  <c r="J903" i="5"/>
  <c r="J898" i="5"/>
  <c r="J885" i="5"/>
  <c r="I788" i="5"/>
  <c r="J784" i="5"/>
  <c r="J763" i="5"/>
  <c r="I747" i="5"/>
  <c r="J612" i="5"/>
  <c r="I490" i="5"/>
  <c r="I458" i="5"/>
  <c r="J357" i="5"/>
  <c r="J243" i="5"/>
  <c r="J177" i="5"/>
  <c r="J139" i="5"/>
  <c r="J116" i="5"/>
  <c r="J107" i="5"/>
  <c r="K107" i="5" s="1"/>
  <c r="J17" i="5"/>
  <c r="I50" i="10"/>
  <c r="O66" i="10"/>
  <c r="Q66" i="10" s="1"/>
  <c r="Q95" i="10"/>
  <c r="Q96" i="10"/>
  <c r="N97" i="10"/>
  <c r="P110" i="10"/>
  <c r="P109" i="10" s="1"/>
  <c r="P108" i="10" s="1"/>
  <c r="N119" i="10"/>
  <c r="F128" i="10"/>
  <c r="J148" i="8"/>
  <c r="N148" i="8" s="1"/>
  <c r="L128" i="10"/>
  <c r="P157" i="10"/>
  <c r="Q158" i="10"/>
  <c r="H36" i="11"/>
  <c r="J36" i="8"/>
  <c r="N92" i="11"/>
  <c r="J92" i="11" s="1"/>
  <c r="K62" i="14"/>
  <c r="F62" i="14" s="1"/>
  <c r="N111" i="15"/>
  <c r="M110" i="8"/>
  <c r="M109" i="8" s="1"/>
  <c r="I2301" i="5"/>
  <c r="I2302" i="5" s="1"/>
  <c r="I2069" i="5"/>
  <c r="J1682" i="5"/>
  <c r="J1598" i="5"/>
  <c r="J1579" i="5"/>
  <c r="J1330" i="5"/>
  <c r="J1301" i="5"/>
  <c r="J1271" i="5"/>
  <c r="J1254" i="5"/>
  <c r="J1095" i="5"/>
  <c r="J973" i="5"/>
  <c r="I929" i="5"/>
  <c r="I903" i="5"/>
  <c r="I898" i="5"/>
  <c r="I890" i="5"/>
  <c r="J692" i="5"/>
  <c r="J709" i="5" s="1"/>
  <c r="I612" i="5"/>
  <c r="I585" i="5"/>
  <c r="J490" i="5"/>
  <c r="J462" i="5"/>
  <c r="J376" i="5"/>
  <c r="I304" i="5"/>
  <c r="I299" i="5"/>
  <c r="I133" i="5"/>
  <c r="I123" i="5"/>
  <c r="I101" i="5"/>
  <c r="I93" i="5"/>
  <c r="I49" i="5"/>
  <c r="I39" i="5"/>
  <c r="I10" i="5"/>
  <c r="M78" i="8"/>
  <c r="M77" i="8" s="1"/>
  <c r="M76" i="8" s="1"/>
  <c r="M75" i="8" s="1"/>
  <c r="M69" i="8" s="1"/>
  <c r="I45" i="10"/>
  <c r="Q78" i="10"/>
  <c r="P94" i="10"/>
  <c r="G167" i="10"/>
  <c r="I193" i="10"/>
  <c r="I246" i="10"/>
  <c r="G267" i="10"/>
  <c r="P93" i="19"/>
  <c r="N92" i="19"/>
  <c r="K182" i="15"/>
  <c r="F182" i="15" s="1"/>
  <c r="J2170" i="5"/>
  <c r="I2052" i="5"/>
  <c r="I1970" i="5"/>
  <c r="I1898" i="5"/>
  <c r="I1893" i="5"/>
  <c r="I1733" i="5"/>
  <c r="J1695" i="5"/>
  <c r="I1643" i="5"/>
  <c r="I1583" i="5"/>
  <c r="I1579" i="5"/>
  <c r="J1542" i="5"/>
  <c r="J1481" i="5"/>
  <c r="J1357" i="5"/>
  <c r="J1100" i="5"/>
  <c r="I1095" i="5"/>
  <c r="I1039" i="5"/>
  <c r="I973" i="5"/>
  <c r="J935" i="5"/>
  <c r="J912" i="5"/>
  <c r="J856" i="5"/>
  <c r="J814" i="5"/>
  <c r="I802" i="5"/>
  <c r="I708" i="5"/>
  <c r="I709" i="5" s="1"/>
  <c r="I692" i="5"/>
  <c r="I686" i="5"/>
  <c r="J577" i="5"/>
  <c r="I470" i="5"/>
  <c r="I451" i="5"/>
  <c r="J154" i="5"/>
  <c r="J133" i="5"/>
  <c r="J123" i="5"/>
  <c r="N25" i="10"/>
  <c r="K32" i="10"/>
  <c r="K31" i="10" s="1"/>
  <c r="H44" i="10"/>
  <c r="F44" i="10"/>
  <c r="O56" i="10"/>
  <c r="Q56" i="10" s="1"/>
  <c r="M56" i="10"/>
  <c r="P70" i="10"/>
  <c r="P69" i="10" s="1"/>
  <c r="Q79" i="10"/>
  <c r="Q80" i="10"/>
  <c r="O82" i="10"/>
  <c r="M82" i="10"/>
  <c r="M76" i="10" s="1"/>
  <c r="Q100" i="10"/>
  <c r="Q105" i="10"/>
  <c r="Q106" i="10"/>
  <c r="N109" i="10"/>
  <c r="N108" i="10" s="1"/>
  <c r="I119" i="10"/>
  <c r="Q119" i="10" s="1"/>
  <c r="P122" i="10"/>
  <c r="Q125" i="10"/>
  <c r="Q127" i="10"/>
  <c r="H128" i="10"/>
  <c r="Q133" i="10"/>
  <c r="O150" i="8"/>
  <c r="I168" i="10"/>
  <c r="I167" i="10" s="1"/>
  <c r="K172" i="10"/>
  <c r="O172" i="10" s="1"/>
  <c r="Q172" i="10" s="1"/>
  <c r="J174" i="8"/>
  <c r="N174" i="8" s="1"/>
  <c r="P174" i="8" s="1"/>
  <c r="K173" i="10"/>
  <c r="O173" i="10" s="1"/>
  <c r="Q173" i="10" s="1"/>
  <c r="Q177" i="10"/>
  <c r="N72" i="11"/>
  <c r="N95" i="11"/>
  <c r="J95" i="11" s="1"/>
  <c r="N130" i="11"/>
  <c r="J130" i="11" s="1"/>
  <c r="J16" i="8"/>
  <c r="K16" i="12"/>
  <c r="K36" i="12"/>
  <c r="K255" i="14"/>
  <c r="K252" i="14" s="1"/>
  <c r="F252" i="14" s="1"/>
  <c r="P255" i="14"/>
  <c r="O255" i="14" s="1"/>
  <c r="P153" i="10"/>
  <c r="L167" i="10"/>
  <c r="I258" i="10"/>
  <c r="H267" i="10"/>
  <c r="N46" i="11"/>
  <c r="N83" i="11"/>
  <c r="J83" i="11" s="1"/>
  <c r="N275" i="11"/>
  <c r="J275" i="11" s="1"/>
  <c r="K245" i="12"/>
  <c r="P245" i="12"/>
  <c r="K34" i="14"/>
  <c r="K33" i="14" s="1"/>
  <c r="P102" i="14"/>
  <c r="O102" i="14" s="1"/>
  <c r="K102" i="14"/>
  <c r="K206" i="14"/>
  <c r="P206" i="14"/>
  <c r="O206" i="14" s="1"/>
  <c r="P155" i="8"/>
  <c r="O83" i="19"/>
  <c r="P28" i="18"/>
  <c r="N31" i="18"/>
  <c r="N26" i="18" s="1"/>
  <c r="K31" i="18"/>
  <c r="L33" i="18"/>
  <c r="P34" i="18"/>
  <c r="O34" i="18"/>
  <c r="N186" i="18"/>
  <c r="K186" i="18"/>
  <c r="N191" i="18"/>
  <c r="K191" i="18"/>
  <c r="K192" i="18"/>
  <c r="N192" i="18"/>
  <c r="O195" i="18"/>
  <c r="L194" i="18"/>
  <c r="K100" i="12"/>
  <c r="P100" i="12"/>
  <c r="P141" i="14"/>
  <c r="O141" i="14" s="1"/>
  <c r="K141" i="14"/>
  <c r="P170" i="14"/>
  <c r="L170" i="14"/>
  <c r="M170" i="14" s="1"/>
  <c r="K170" i="14"/>
  <c r="P221" i="14"/>
  <c r="O221" i="14" s="1"/>
  <c r="K221" i="14"/>
  <c r="K215" i="14" s="1"/>
  <c r="F215" i="14" s="1"/>
  <c r="L116" i="8"/>
  <c r="P242" i="18"/>
  <c r="P264" i="18"/>
  <c r="O264" i="18"/>
  <c r="L32" i="18"/>
  <c r="N32" i="18" s="1"/>
  <c r="P32" i="18" s="1"/>
  <c r="N70" i="19"/>
  <c r="P71" i="19"/>
  <c r="P161" i="20"/>
  <c r="P44" i="18"/>
  <c r="O44" i="18"/>
  <c r="P48" i="18"/>
  <c r="O48" i="18"/>
  <c r="O46" i="18" s="1"/>
  <c r="P74" i="18"/>
  <c r="N72" i="18"/>
  <c r="P72" i="18" s="1"/>
  <c r="K79" i="18"/>
  <c r="N79" i="18"/>
  <c r="N80" i="18"/>
  <c r="K80" i="18"/>
  <c r="L78" i="18"/>
  <c r="L77" i="18" s="1"/>
  <c r="O81" i="18"/>
  <c r="N124" i="18"/>
  <c r="P124" i="18" s="1"/>
  <c r="K124" i="18"/>
  <c r="O131" i="18"/>
  <c r="N130" i="18"/>
  <c r="P131" i="18"/>
  <c r="P137" i="18"/>
  <c r="O137" i="18"/>
  <c r="P141" i="18"/>
  <c r="O141" i="18"/>
  <c r="P163" i="18"/>
  <c r="N152" i="18"/>
  <c r="P152" i="18" s="1"/>
  <c r="O165" i="18"/>
  <c r="P165" i="18"/>
  <c r="P166" i="18"/>
  <c r="O166" i="18"/>
  <c r="P167" i="18"/>
  <c r="O167" i="18"/>
  <c r="L213" i="10"/>
  <c r="I277" i="10"/>
  <c r="N51" i="11"/>
  <c r="J51" i="11" s="1"/>
  <c r="N169" i="11"/>
  <c r="J169" i="11" s="1"/>
  <c r="N278" i="11"/>
  <c r="J278" i="11" s="1"/>
  <c r="K94" i="12"/>
  <c r="P94" i="12"/>
  <c r="K133" i="14"/>
  <c r="P133" i="14"/>
  <c r="O133" i="14" s="1"/>
  <c r="K228" i="14"/>
  <c r="P228" i="14"/>
  <c r="O228" i="14" s="1"/>
  <c r="P167" i="8"/>
  <c r="L110" i="8"/>
  <c r="P210" i="18"/>
  <c r="P95" i="19"/>
  <c r="P115" i="20"/>
  <c r="P53" i="18"/>
  <c r="O53" i="18"/>
  <c r="N65" i="18"/>
  <c r="K65" i="18"/>
  <c r="K102" i="18"/>
  <c r="N102" i="18"/>
  <c r="J40" i="15"/>
  <c r="L46" i="8"/>
  <c r="P46" i="8" s="1"/>
  <c r="O72" i="19"/>
  <c r="O69" i="19" s="1"/>
  <c r="M45" i="19"/>
  <c r="L168" i="20"/>
  <c r="O247" i="20"/>
  <c r="O78" i="20"/>
  <c r="P173" i="20"/>
  <c r="N110" i="16"/>
  <c r="N46" i="18"/>
  <c r="P46" i="18" s="1"/>
  <c r="P87" i="18"/>
  <c r="P157" i="18"/>
  <c r="N201" i="18"/>
  <c r="M83" i="16"/>
  <c r="M78" i="16"/>
  <c r="N82" i="19"/>
  <c r="K82" i="19"/>
  <c r="O82" i="19" s="1"/>
  <c r="O78" i="19" s="1"/>
  <c r="K100" i="19"/>
  <c r="O100" i="19" s="1"/>
  <c r="O98" i="19" s="1"/>
  <c r="N100" i="19"/>
  <c r="N54" i="20"/>
  <c r="K54" i="20"/>
  <c r="O54" i="20" s="1"/>
  <c r="L75" i="20"/>
  <c r="P75" i="20" s="1"/>
  <c r="P76" i="20"/>
  <c r="O108" i="12"/>
  <c r="P223" i="12"/>
  <c r="O223" i="12" s="1"/>
  <c r="G32" i="14"/>
  <c r="P56" i="14"/>
  <c r="O56" i="14" s="1"/>
  <c r="K80" i="14"/>
  <c r="K78" i="14" s="1"/>
  <c r="P188" i="14"/>
  <c r="O188" i="14" s="1"/>
  <c r="L152" i="8"/>
  <c r="L120" i="8"/>
  <c r="P120" i="8" s="1"/>
  <c r="P97" i="19"/>
  <c r="P175" i="20"/>
  <c r="N92" i="16"/>
  <c r="P92" i="16" s="1"/>
  <c r="O22" i="18"/>
  <c r="P30" i="18"/>
  <c r="K126" i="18"/>
  <c r="N126" i="18"/>
  <c r="K184" i="18"/>
  <c r="N184" i="18"/>
  <c r="P184" i="18" s="1"/>
  <c r="P206" i="18"/>
  <c r="M215" i="18"/>
  <c r="N55" i="19"/>
  <c r="P55" i="19" s="1"/>
  <c r="K55" i="19"/>
  <c r="O55" i="19" s="1"/>
  <c r="K56" i="19"/>
  <c r="O56" i="19" s="1"/>
  <c r="N56" i="19"/>
  <c r="P56" i="19" s="1"/>
  <c r="O92" i="19"/>
  <c r="K124" i="19"/>
  <c r="O124" i="19" s="1"/>
  <c r="O120" i="19" s="1"/>
  <c r="N124" i="19"/>
  <c r="N277" i="19"/>
  <c r="P277" i="19" s="1"/>
  <c r="K277" i="19"/>
  <c r="O277" i="19" s="1"/>
  <c r="O275" i="19" s="1"/>
  <c r="H32" i="14"/>
  <c r="P96" i="8"/>
  <c r="O23" i="8"/>
  <c r="L169" i="8"/>
  <c r="L168" i="8" s="1"/>
  <c r="P193" i="19"/>
  <c r="L129" i="20"/>
  <c r="P174" i="20"/>
  <c r="N60" i="18"/>
  <c r="K60" i="18"/>
  <c r="P81" i="18"/>
  <c r="M92" i="18"/>
  <c r="O121" i="18"/>
  <c r="L130" i="18"/>
  <c r="L129" i="18" s="1"/>
  <c r="P175" i="18"/>
  <c r="O135" i="18"/>
  <c r="P142" i="18"/>
  <c r="P219" i="18"/>
  <c r="O262" i="18"/>
  <c r="P41" i="19"/>
  <c r="P86" i="19"/>
  <c r="L98" i="19"/>
  <c r="P161" i="19"/>
  <c r="L252" i="19"/>
  <c r="P252" i="19" s="1"/>
  <c r="L110" i="20"/>
  <c r="L109" i="20" s="1"/>
  <c r="O92" i="20"/>
  <c r="L268" i="21"/>
  <c r="P18" i="18"/>
  <c r="O20" i="18"/>
  <c r="P21" i="18"/>
  <c r="O24" i="18"/>
  <c r="P25" i="18"/>
  <c r="O37" i="18"/>
  <c r="M39" i="18"/>
  <c r="M32" i="18" s="1"/>
  <c r="O42" i="18"/>
  <c r="P52" i="18"/>
  <c r="O54" i="18"/>
  <c r="M78" i="18"/>
  <c r="M77" i="18" s="1"/>
  <c r="M76" i="18" s="1"/>
  <c r="M75" i="18" s="1"/>
  <c r="M69" i="18" s="1"/>
  <c r="P133" i="18"/>
  <c r="O134" i="18"/>
  <c r="O138" i="18"/>
  <c r="P146" i="18"/>
  <c r="O147" i="18"/>
  <c r="P155" i="18"/>
  <c r="P162" i="18"/>
  <c r="O197" i="18"/>
  <c r="K203" i="18"/>
  <c r="M275" i="18"/>
  <c r="L278" i="18"/>
  <c r="M92" i="16"/>
  <c r="M33" i="16"/>
  <c r="L98" i="16"/>
  <c r="L83" i="19"/>
  <c r="P83" i="19" s="1"/>
  <c r="P102" i="19"/>
  <c r="P160" i="19"/>
  <c r="P179" i="19"/>
  <c r="M190" i="19"/>
  <c r="P210" i="19"/>
  <c r="L259" i="19"/>
  <c r="P259" i="19" s="1"/>
  <c r="L83" i="21"/>
  <c r="L110" i="22"/>
  <c r="N116" i="16"/>
  <c r="P116" i="16" s="1"/>
  <c r="P17" i="18"/>
  <c r="O41" i="18"/>
  <c r="O55" i="18"/>
  <c r="P171" i="18"/>
  <c r="P176" i="18"/>
  <c r="P230" i="18"/>
  <c r="P235" i="18"/>
  <c r="P238" i="18"/>
  <c r="M26" i="16"/>
  <c r="L14" i="19"/>
  <c r="P23" i="19"/>
  <c r="L78" i="19"/>
  <c r="L92" i="19"/>
  <c r="P137" i="19"/>
  <c r="P149" i="19"/>
  <c r="P157" i="19"/>
  <c r="P239" i="19"/>
  <c r="P242" i="19"/>
  <c r="L269" i="19"/>
  <c r="K68" i="20"/>
  <c r="O68" i="20" s="1"/>
  <c r="O67" i="20" s="1"/>
  <c r="N68" i="20"/>
  <c r="M116" i="20"/>
  <c r="P37" i="20"/>
  <c r="P53" i="20"/>
  <c r="P24" i="21"/>
  <c r="M284" i="23"/>
  <c r="P123" i="19"/>
  <c r="P156" i="19"/>
  <c r="L247" i="19"/>
  <c r="P247" i="19" s="1"/>
  <c r="M278" i="19"/>
  <c r="P24" i="20"/>
  <c r="L39" i="20"/>
  <c r="L32" i="20" s="1"/>
  <c r="P32" i="20" s="1"/>
  <c r="N100" i="20"/>
  <c r="K119" i="20"/>
  <c r="O119" i="20" s="1"/>
  <c r="L190" i="20"/>
  <c r="L194" i="20"/>
  <c r="P19" i="21"/>
  <c r="L190" i="21"/>
  <c r="L225" i="21"/>
  <c r="L214" i="21" s="1"/>
  <c r="L26" i="20"/>
  <c r="K53" i="20"/>
  <c r="O53" i="20" s="1"/>
  <c r="O51" i="20" s="1"/>
  <c r="L51" i="20"/>
  <c r="L78" i="21"/>
  <c r="L77" i="21" s="1"/>
  <c r="L14" i="22"/>
  <c r="L120" i="22"/>
  <c r="L225" i="22"/>
  <c r="P143" i="21"/>
  <c r="O129" i="23"/>
  <c r="P147" i="20"/>
  <c r="P187" i="20"/>
  <c r="P196" i="20"/>
  <c r="L26" i="21"/>
  <c r="P38" i="21"/>
  <c r="P132" i="21"/>
  <c r="P141" i="21"/>
  <c r="P145" i="21"/>
  <c r="L152" i="21"/>
  <c r="L129" i="21" s="1"/>
  <c r="L72" i="22"/>
  <c r="P74" i="22"/>
  <c r="L116" i="22"/>
  <c r="P123" i="22"/>
  <c r="P196" i="22"/>
  <c r="P202" i="22"/>
  <c r="P211" i="22"/>
  <c r="P223" i="22"/>
  <c r="P133" i="22"/>
  <c r="M51" i="20"/>
  <c r="M45" i="20" s="1"/>
  <c r="L62" i="20"/>
  <c r="L259" i="20"/>
  <c r="P259" i="20" s="1"/>
  <c r="P263" i="20"/>
  <c r="L269" i="20"/>
  <c r="L275" i="20"/>
  <c r="P275" i="20" s="1"/>
  <c r="L278" i="20"/>
  <c r="P278" i="20" s="1"/>
  <c r="L14" i="21"/>
  <c r="P40" i="21"/>
  <c r="L92" i="21"/>
  <c r="P127" i="21"/>
  <c r="P149" i="21"/>
  <c r="P18" i="22"/>
  <c r="P157" i="22"/>
  <c r="P164" i="22"/>
  <c r="P192" i="22"/>
  <c r="P200" i="22"/>
  <c r="M13" i="23"/>
  <c r="O32" i="23"/>
  <c r="O45" i="23"/>
  <c r="O214" i="23"/>
  <c r="P14" i="23"/>
  <c r="N45" i="23"/>
  <c r="P45" i="23" s="1"/>
  <c r="P130" i="23"/>
  <c r="N129" i="23"/>
  <c r="P129" i="23" s="1"/>
  <c r="P110" i="23"/>
  <c r="N109" i="23"/>
  <c r="P109" i="23" s="1"/>
  <c r="P269" i="23"/>
  <c r="N268" i="23"/>
  <c r="P268" i="23" s="1"/>
  <c r="N77" i="23"/>
  <c r="P77" i="23" s="1"/>
  <c r="P72" i="23"/>
  <c r="N69" i="23"/>
  <c r="P69" i="23" s="1"/>
  <c r="N168" i="23"/>
  <c r="P168" i="23" s="1"/>
  <c r="P169" i="23"/>
  <c r="P33" i="23"/>
  <c r="N32" i="23"/>
  <c r="P32" i="23" s="1"/>
  <c r="P215" i="23"/>
  <c r="N214" i="23"/>
  <c r="P214" i="23" s="1"/>
  <c r="P278" i="23"/>
  <c r="N187" i="16"/>
  <c r="P187" i="16" s="1"/>
  <c r="K187" i="16"/>
  <c r="O187" i="16" s="1"/>
  <c r="N185" i="16"/>
  <c r="P185" i="16" s="1"/>
  <c r="K185" i="16"/>
  <c r="O185" i="16" s="1"/>
  <c r="N193" i="16"/>
  <c r="P193" i="16" s="1"/>
  <c r="K193" i="16"/>
  <c r="O193" i="16" s="1"/>
  <c r="N199" i="16"/>
  <c r="P199" i="16" s="1"/>
  <c r="K199" i="16"/>
  <c r="O199" i="16" s="1"/>
  <c r="N212" i="16"/>
  <c r="P212" i="16" s="1"/>
  <c r="K212" i="16"/>
  <c r="O212" i="16" s="1"/>
  <c r="N216" i="16"/>
  <c r="K216" i="16"/>
  <c r="O216" i="16" s="1"/>
  <c r="N228" i="16"/>
  <c r="P228" i="16" s="1"/>
  <c r="K228" i="16"/>
  <c r="O228" i="16" s="1"/>
  <c r="N244" i="16"/>
  <c r="P244" i="16" s="1"/>
  <c r="K244" i="16"/>
  <c r="O244" i="16" s="1"/>
  <c r="N249" i="16"/>
  <c r="P249" i="16" s="1"/>
  <c r="K249" i="16"/>
  <c r="O249" i="16" s="1"/>
  <c r="N254" i="16"/>
  <c r="P254" i="16" s="1"/>
  <c r="K254" i="16"/>
  <c r="O254" i="16" s="1"/>
  <c r="N195" i="16"/>
  <c r="K195" i="16"/>
  <c r="O195" i="16" s="1"/>
  <c r="N222" i="16"/>
  <c r="P222" i="16" s="1"/>
  <c r="K222" i="16"/>
  <c r="O222" i="16" s="1"/>
  <c r="N240" i="16"/>
  <c r="P240" i="16" s="1"/>
  <c r="K240" i="16"/>
  <c r="O240" i="16" s="1"/>
  <c r="N183" i="16"/>
  <c r="P183" i="16" s="1"/>
  <c r="K183" i="16"/>
  <c r="O183" i="16" s="1"/>
  <c r="N197" i="16"/>
  <c r="P197" i="16" s="1"/>
  <c r="K197" i="16"/>
  <c r="O197" i="16" s="1"/>
  <c r="N205" i="16"/>
  <c r="P205" i="16" s="1"/>
  <c r="K205" i="16"/>
  <c r="O205" i="16" s="1"/>
  <c r="N210" i="16"/>
  <c r="P210" i="16" s="1"/>
  <c r="K210" i="16"/>
  <c r="O210" i="16" s="1"/>
  <c r="N213" i="16"/>
  <c r="P213" i="16" s="1"/>
  <c r="K213" i="16"/>
  <c r="O213" i="16" s="1"/>
  <c r="N226" i="16"/>
  <c r="K226" i="16"/>
  <c r="O226" i="16" s="1"/>
  <c r="N236" i="16"/>
  <c r="P236" i="16" s="1"/>
  <c r="K236" i="16"/>
  <c r="O236" i="16" s="1"/>
  <c r="N242" i="16"/>
  <c r="P242" i="16" s="1"/>
  <c r="K242" i="16"/>
  <c r="O242" i="16" s="1"/>
  <c r="N265" i="16"/>
  <c r="P265" i="16" s="1"/>
  <c r="K265" i="16"/>
  <c r="O265" i="16" s="1"/>
  <c r="N274" i="16"/>
  <c r="P274" i="16" s="1"/>
  <c r="K274" i="16"/>
  <c r="O274" i="16" s="1"/>
  <c r="N276" i="16"/>
  <c r="K276" i="16"/>
  <c r="O276" i="16" s="1"/>
  <c r="N237" i="16"/>
  <c r="P237" i="16" s="1"/>
  <c r="K237" i="16"/>
  <c r="O237" i="16" s="1"/>
  <c r="N271" i="16"/>
  <c r="P271" i="16" s="1"/>
  <c r="K271" i="16"/>
  <c r="O271" i="16" s="1"/>
  <c r="P32" i="8"/>
  <c r="N203" i="16"/>
  <c r="P203" i="16" s="1"/>
  <c r="K203" i="16"/>
  <c r="O203" i="16" s="1"/>
  <c r="N234" i="16"/>
  <c r="P234" i="16" s="1"/>
  <c r="K234" i="16"/>
  <c r="O234" i="16" s="1"/>
  <c r="N263" i="16"/>
  <c r="P263" i="16" s="1"/>
  <c r="K263" i="16"/>
  <c r="O263" i="16" s="1"/>
  <c r="N192" i="16"/>
  <c r="P192" i="16" s="1"/>
  <c r="K192" i="16"/>
  <c r="O192" i="16" s="1"/>
  <c r="N201" i="16"/>
  <c r="P201" i="16" s="1"/>
  <c r="K201" i="16"/>
  <c r="O201" i="16" s="1"/>
  <c r="N220" i="16"/>
  <c r="P220" i="16" s="1"/>
  <c r="K220" i="16"/>
  <c r="O220" i="16" s="1"/>
  <c r="N232" i="16"/>
  <c r="P232" i="16" s="1"/>
  <c r="K232" i="16"/>
  <c r="O232" i="16" s="1"/>
  <c r="N238" i="16"/>
  <c r="P238" i="16" s="1"/>
  <c r="K238" i="16"/>
  <c r="O238" i="16" s="1"/>
  <c r="N256" i="16"/>
  <c r="P256" i="16" s="1"/>
  <c r="K256" i="16"/>
  <c r="O256" i="16" s="1"/>
  <c r="N261" i="16"/>
  <c r="P261" i="16" s="1"/>
  <c r="K261" i="16"/>
  <c r="O261" i="16" s="1"/>
  <c r="N273" i="16"/>
  <c r="P273" i="16" s="1"/>
  <c r="K273" i="16"/>
  <c r="O273" i="16" s="1"/>
  <c r="N277" i="16"/>
  <c r="P277" i="16" s="1"/>
  <c r="K277" i="16"/>
  <c r="O277" i="16" s="1"/>
  <c r="N281" i="16"/>
  <c r="P281" i="16" s="1"/>
  <c r="K281" i="16"/>
  <c r="O281" i="16" s="1"/>
  <c r="P57" i="8"/>
  <c r="N191" i="16"/>
  <c r="K191" i="16"/>
  <c r="O191" i="16" s="1"/>
  <c r="N227" i="16"/>
  <c r="P227" i="16" s="1"/>
  <c r="K227" i="16"/>
  <c r="O227" i="16" s="1"/>
  <c r="N231" i="16"/>
  <c r="P231" i="16" s="1"/>
  <c r="K231" i="16"/>
  <c r="O231" i="16" s="1"/>
  <c r="N235" i="16"/>
  <c r="P235" i="16" s="1"/>
  <c r="K235" i="16"/>
  <c r="O235" i="16" s="1"/>
  <c r="N239" i="16"/>
  <c r="P239" i="16" s="1"/>
  <c r="K239" i="16"/>
  <c r="O239" i="16" s="1"/>
  <c r="N243" i="16"/>
  <c r="P243" i="16" s="1"/>
  <c r="K243" i="16"/>
  <c r="O243" i="16" s="1"/>
  <c r="N257" i="16"/>
  <c r="P257" i="16" s="1"/>
  <c r="K257" i="16"/>
  <c r="O257" i="16" s="1"/>
  <c r="N272" i="16"/>
  <c r="P272" i="16" s="1"/>
  <c r="K272" i="16"/>
  <c r="O272" i="16" s="1"/>
  <c r="N198" i="16"/>
  <c r="P198" i="16" s="1"/>
  <c r="K198" i="16"/>
  <c r="O198" i="16" s="1"/>
  <c r="N202" i="16"/>
  <c r="P202" i="16" s="1"/>
  <c r="K202" i="16"/>
  <c r="O202" i="16" s="1"/>
  <c r="N230" i="16"/>
  <c r="P230" i="16" s="1"/>
  <c r="K230" i="16"/>
  <c r="O230" i="16" s="1"/>
  <c r="N246" i="16"/>
  <c r="P246" i="16" s="1"/>
  <c r="K246" i="16"/>
  <c r="O246" i="16" s="1"/>
  <c r="N250" i="16"/>
  <c r="P250" i="16" s="1"/>
  <c r="K250" i="16"/>
  <c r="O250" i="16" s="1"/>
  <c r="N280" i="16"/>
  <c r="P280" i="16" s="1"/>
  <c r="K280" i="16"/>
  <c r="O280" i="16" s="1"/>
  <c r="N268" i="20"/>
  <c r="P78" i="8"/>
  <c r="O105" i="8"/>
  <c r="O98" i="8" s="1"/>
  <c r="O85" i="8"/>
  <c r="O83" i="8" s="1"/>
  <c r="P58" i="8"/>
  <c r="M55" i="12"/>
  <c r="O55" i="12"/>
  <c r="O65" i="12"/>
  <c r="F111" i="15"/>
  <c r="M59" i="12"/>
  <c r="O97" i="10"/>
  <c r="Q97" i="10" s="1"/>
  <c r="P98" i="10"/>
  <c r="Q98" i="10"/>
  <c r="P85" i="8"/>
  <c r="I280" i="8"/>
  <c r="N14" i="8"/>
  <c r="P149" i="8"/>
  <c r="F79" i="15"/>
  <c r="L80" i="12"/>
  <c r="O80" i="12" s="1"/>
  <c r="N184" i="16"/>
  <c r="P184" i="16" s="1"/>
  <c r="K184" i="16"/>
  <c r="O184" i="16" s="1"/>
  <c r="N188" i="16"/>
  <c r="P188" i="16" s="1"/>
  <c r="K188" i="16"/>
  <c r="O188" i="16" s="1"/>
  <c r="N206" i="16"/>
  <c r="P206" i="16" s="1"/>
  <c r="K206" i="16"/>
  <c r="O206" i="16" s="1"/>
  <c r="N209" i="16"/>
  <c r="K209" i="16"/>
  <c r="O209" i="16" s="1"/>
  <c r="N218" i="16"/>
  <c r="P218" i="16" s="1"/>
  <c r="K218" i="16"/>
  <c r="O218" i="16" s="1"/>
  <c r="K219" i="16"/>
  <c r="O219" i="16" s="1"/>
  <c r="N219" i="16"/>
  <c r="P219" i="16" s="1"/>
  <c r="N223" i="16"/>
  <c r="P223" i="16" s="1"/>
  <c r="K223" i="16"/>
  <c r="O223" i="16" s="1"/>
  <c r="N253" i="16"/>
  <c r="K253" i="16"/>
  <c r="O253" i="16" s="1"/>
  <c r="N260" i="16"/>
  <c r="K260" i="16"/>
  <c r="O260" i="16" s="1"/>
  <c r="N264" i="16"/>
  <c r="P264" i="16" s="1"/>
  <c r="K264" i="16"/>
  <c r="O264" i="16" s="1"/>
  <c r="N267" i="16"/>
  <c r="P267" i="16" s="1"/>
  <c r="K267" i="16"/>
  <c r="O267" i="16" s="1"/>
  <c r="N270" i="16"/>
  <c r="K270" i="16"/>
  <c r="O270" i="16" s="1"/>
  <c r="N182" i="16"/>
  <c r="K182" i="16"/>
  <c r="O182" i="16" s="1"/>
  <c r="N186" i="16"/>
  <c r="P186" i="16" s="1"/>
  <c r="K186" i="16"/>
  <c r="O186" i="16" s="1"/>
  <c r="N189" i="16"/>
  <c r="P189" i="16" s="1"/>
  <c r="K189" i="16"/>
  <c r="O189" i="16" s="1"/>
  <c r="N196" i="16"/>
  <c r="P196" i="16" s="1"/>
  <c r="K196" i="16"/>
  <c r="O196" i="16" s="1"/>
  <c r="N200" i="16"/>
  <c r="P200" i="16" s="1"/>
  <c r="K200" i="16"/>
  <c r="O200" i="16" s="1"/>
  <c r="N204" i="16"/>
  <c r="P204" i="16" s="1"/>
  <c r="K204" i="16"/>
  <c r="O204" i="16" s="1"/>
  <c r="N207" i="16"/>
  <c r="P207" i="16" s="1"/>
  <c r="K207" i="16"/>
  <c r="O207" i="16" s="1"/>
  <c r="N211" i="16"/>
  <c r="P211" i="16" s="1"/>
  <c r="K211" i="16"/>
  <c r="O211" i="16" s="1"/>
  <c r="N217" i="16"/>
  <c r="P217" i="16" s="1"/>
  <c r="K217" i="16"/>
  <c r="O217" i="16" s="1"/>
  <c r="N221" i="16"/>
  <c r="P221" i="16" s="1"/>
  <c r="K221" i="16"/>
  <c r="O221" i="16" s="1"/>
  <c r="N224" i="16"/>
  <c r="P224" i="16" s="1"/>
  <c r="K224" i="16"/>
  <c r="O224" i="16" s="1"/>
  <c r="N229" i="16"/>
  <c r="P229" i="16" s="1"/>
  <c r="K229" i="16"/>
  <c r="O229" i="16" s="1"/>
  <c r="N233" i="16"/>
  <c r="P233" i="16" s="1"/>
  <c r="K233" i="16"/>
  <c r="O233" i="16" s="1"/>
  <c r="N241" i="16"/>
  <c r="P241" i="16" s="1"/>
  <c r="K241" i="16"/>
  <c r="O241" i="16" s="1"/>
  <c r="N245" i="16"/>
  <c r="P245" i="16" s="1"/>
  <c r="K245" i="16"/>
  <c r="O245" i="16" s="1"/>
  <c r="N248" i="16"/>
  <c r="K248" i="16"/>
  <c r="O248" i="16" s="1"/>
  <c r="N251" i="16"/>
  <c r="P251" i="16" s="1"/>
  <c r="K251" i="16"/>
  <c r="O251" i="16" s="1"/>
  <c r="N255" i="16"/>
  <c r="P255" i="16" s="1"/>
  <c r="K255" i="16"/>
  <c r="O255" i="16" s="1"/>
  <c r="N258" i="16"/>
  <c r="P258" i="16" s="1"/>
  <c r="K258" i="16"/>
  <c r="O258" i="16" s="1"/>
  <c r="N262" i="16"/>
  <c r="P262" i="16" s="1"/>
  <c r="K262" i="16"/>
  <c r="O262" i="16" s="1"/>
  <c r="N266" i="16"/>
  <c r="P266" i="16" s="1"/>
  <c r="K266" i="16"/>
  <c r="O266" i="16" s="1"/>
  <c r="N279" i="16"/>
  <c r="K279" i="16"/>
  <c r="O279" i="16" s="1"/>
  <c r="N16" i="16"/>
  <c r="P16" i="16" s="1"/>
  <c r="K16" i="16"/>
  <c r="O16" i="16" s="1"/>
  <c r="O33" i="8"/>
  <c r="P31" i="8"/>
  <c r="P137" i="8"/>
  <c r="L20" i="11"/>
  <c r="P146" i="8"/>
  <c r="O146" i="8"/>
  <c r="O141" i="8"/>
  <c r="P141" i="8"/>
  <c r="K46" i="15"/>
  <c r="F46" i="15" s="1"/>
  <c r="F63" i="15"/>
  <c r="M248" i="12"/>
  <c r="M243" i="12"/>
  <c r="M202" i="12"/>
  <c r="O43" i="14"/>
  <c r="K69" i="14"/>
  <c r="F69" i="14" s="1"/>
  <c r="Q174" i="10"/>
  <c r="N270" i="15"/>
  <c r="N269" i="15" s="1"/>
  <c r="M201" i="12"/>
  <c r="M64" i="12"/>
  <c r="O64" i="12"/>
  <c r="M97" i="12"/>
  <c r="M281" i="12"/>
  <c r="O281" i="12"/>
  <c r="N140" i="14"/>
  <c r="N69" i="12"/>
  <c r="J69" i="12" s="1"/>
  <c r="J72" i="12"/>
  <c r="P72" i="12" s="1"/>
  <c r="O72" i="12" s="1"/>
  <c r="N202" i="14"/>
  <c r="O121" i="14"/>
  <c r="N121" i="14"/>
  <c r="O203" i="15"/>
  <c r="N203" i="15"/>
  <c r="O168" i="15"/>
  <c r="N168" i="15"/>
  <c r="N181" i="15"/>
  <c r="O181" i="15"/>
  <c r="N164" i="15"/>
  <c r="O164" i="15"/>
  <c r="N139" i="15"/>
  <c r="O126" i="15"/>
  <c r="N126" i="15"/>
  <c r="N122" i="15"/>
  <c r="O122" i="15"/>
  <c r="N85" i="15"/>
  <c r="O85" i="15"/>
  <c r="O65" i="15"/>
  <c r="N65" i="15"/>
  <c r="M52" i="15"/>
  <c r="O52" i="15" s="1"/>
  <c r="O57" i="15"/>
  <c r="N57" i="15"/>
  <c r="N52" i="15" s="1"/>
  <c r="N94" i="15"/>
  <c r="N93" i="15" s="1"/>
  <c r="O94" i="15"/>
  <c r="O126" i="12"/>
  <c r="M126" i="12"/>
  <c r="M175" i="12"/>
  <c r="O175" i="12"/>
  <c r="O103" i="12"/>
  <c r="M103" i="12"/>
  <c r="M128" i="12"/>
  <c r="O128" i="12"/>
  <c r="M217" i="12"/>
  <c r="O217" i="12"/>
  <c r="M99" i="12"/>
  <c r="N255" i="14"/>
  <c r="O218" i="14"/>
  <c r="N218" i="14"/>
  <c r="O150" i="14"/>
  <c r="N150" i="14"/>
  <c r="O151" i="14"/>
  <c r="N151" i="14"/>
  <c r="O115" i="14"/>
  <c r="N115" i="14"/>
  <c r="N110" i="14" s="1"/>
  <c r="N86" i="14"/>
  <c r="N83" i="14" s="1"/>
  <c r="O86" i="14"/>
  <c r="N235" i="15"/>
  <c r="O235" i="15"/>
  <c r="N224" i="15"/>
  <c r="N216" i="15" s="1"/>
  <c r="O224" i="15"/>
  <c r="N178" i="15"/>
  <c r="O178" i="15"/>
  <c r="N213" i="15"/>
  <c r="O213" i="15"/>
  <c r="O184" i="15"/>
  <c r="N184" i="15"/>
  <c r="N182" i="15" s="1"/>
  <c r="N154" i="15"/>
  <c r="N165" i="15"/>
  <c r="O165" i="15"/>
  <c r="N89" i="15"/>
  <c r="N88" i="15" s="1"/>
  <c r="O89" i="15"/>
  <c r="O110" i="16"/>
  <c r="O24" i="8"/>
  <c r="F70" i="14"/>
  <c r="P80" i="8"/>
  <c r="O53" i="12"/>
  <c r="K168" i="10"/>
  <c r="O167" i="15"/>
  <c r="O254" i="14"/>
  <c r="L49" i="12"/>
  <c r="O49" i="12" s="1"/>
  <c r="O202" i="15"/>
  <c r="O257" i="15"/>
  <c r="O259" i="15"/>
  <c r="O140" i="15"/>
  <c r="O207" i="15"/>
  <c r="M242" i="12"/>
  <c r="M211" i="12"/>
  <c r="M270" i="12"/>
  <c r="O112" i="12"/>
  <c r="M112" i="12"/>
  <c r="O246" i="12"/>
  <c r="M246" i="12"/>
  <c r="M257" i="12"/>
  <c r="O257" i="12"/>
  <c r="O107" i="14"/>
  <c r="N107" i="15"/>
  <c r="N99" i="15" s="1"/>
  <c r="O146" i="15"/>
  <c r="M272" i="12"/>
  <c r="N279" i="14"/>
  <c r="O279" i="14"/>
  <c r="O267" i="14"/>
  <c r="O263" i="14"/>
  <c r="N263" i="14"/>
  <c r="O253" i="14"/>
  <c r="N207" i="14"/>
  <c r="O207" i="14"/>
  <c r="N144" i="14"/>
  <c r="O144" i="14"/>
  <c r="O124" i="14"/>
  <c r="N124" i="14"/>
  <c r="O158" i="14"/>
  <c r="O106" i="14"/>
  <c r="N106" i="14"/>
  <c r="N246" i="15"/>
  <c r="O246" i="15"/>
  <c r="O193" i="15"/>
  <c r="N193" i="15"/>
  <c r="N191" i="15" s="1"/>
  <c r="N147" i="15"/>
  <c r="O120" i="15"/>
  <c r="N120" i="15"/>
  <c r="N119" i="15"/>
  <c r="O119" i="15"/>
  <c r="N98" i="15"/>
  <c r="N96" i="15" s="1"/>
  <c r="O98" i="15"/>
  <c r="K70" i="15"/>
  <c r="F70" i="15" s="1"/>
  <c r="F71" i="15"/>
  <c r="O51" i="15"/>
  <c r="M47" i="15"/>
  <c r="N51" i="15"/>
  <c r="N237" i="14"/>
  <c r="O50" i="12"/>
  <c r="M34" i="11"/>
  <c r="M37" i="12"/>
  <c r="O22" i="14"/>
  <c r="K39" i="11"/>
  <c r="M41" i="11"/>
  <c r="O280" i="14"/>
  <c r="O265" i="15"/>
  <c r="N221" i="14"/>
  <c r="M161" i="12"/>
  <c r="O201" i="15"/>
  <c r="O93" i="14"/>
  <c r="N157" i="15"/>
  <c r="O199" i="12"/>
  <c r="O68" i="12"/>
  <c r="M68" i="12"/>
  <c r="O44" i="14"/>
  <c r="M195" i="12"/>
  <c r="O105" i="12"/>
  <c r="M105" i="12"/>
  <c r="M189" i="12"/>
  <c r="M124" i="12"/>
  <c r="M163" i="12"/>
  <c r="O207" i="12"/>
  <c r="M207" i="12"/>
  <c r="O180" i="14"/>
  <c r="F40" i="15"/>
  <c r="P40" i="15" s="1"/>
  <c r="N72" i="15"/>
  <c r="N71" i="15" s="1"/>
  <c r="N92" i="15"/>
  <c r="N91" i="15" s="1"/>
  <c r="O229" i="15"/>
  <c r="O236" i="14"/>
  <c r="N236" i="14"/>
  <c r="N164" i="14"/>
  <c r="O61" i="14"/>
  <c r="N283" i="15"/>
  <c r="F276" i="15"/>
  <c r="P276" i="15" s="1"/>
  <c r="O276" i="15" s="1"/>
  <c r="O240" i="15"/>
  <c r="N240" i="15"/>
  <c r="N243" i="15"/>
  <c r="O243" i="15"/>
  <c r="O212" i="15"/>
  <c r="N212" i="15"/>
  <c r="N209" i="15" s="1"/>
  <c r="N171" i="15"/>
  <c r="N170" i="15" s="1"/>
  <c r="O148" i="15"/>
  <c r="N148" i="15"/>
  <c r="N138" i="15"/>
  <c r="O138" i="15"/>
  <c r="O132" i="15"/>
  <c r="N132" i="15"/>
  <c r="N81" i="15"/>
  <c r="N79" i="15" s="1"/>
  <c r="O81" i="15"/>
  <c r="N75" i="15"/>
  <c r="O75" i="15"/>
  <c r="J2045" i="5"/>
  <c r="M187" i="12"/>
  <c r="M219" i="12"/>
  <c r="O106" i="12"/>
  <c r="O121" i="12"/>
  <c r="O131" i="12"/>
  <c r="M231" i="12"/>
  <c r="M239" i="12"/>
  <c r="L274" i="12"/>
  <c r="O153" i="12"/>
  <c r="Q161" i="10"/>
  <c r="P161" i="10"/>
  <c r="I2146" i="5"/>
  <c r="I2114" i="5"/>
  <c r="I886" i="5"/>
  <c r="O76" i="10"/>
  <c r="Q82" i="10"/>
  <c r="N215" i="11"/>
  <c r="N282" i="15"/>
  <c r="O106" i="15"/>
  <c r="I2279" i="5"/>
  <c r="I2205" i="5"/>
  <c r="I2186" i="5"/>
  <c r="I2178" i="5"/>
  <c r="J2114" i="5"/>
  <c r="J2099" i="5"/>
  <c r="J2069" i="5"/>
  <c r="J2052" i="5"/>
  <c r="J1951" i="5"/>
  <c r="I1748" i="5"/>
  <c r="Q29" i="10"/>
  <c r="Q154" i="10"/>
  <c r="P154" i="10"/>
  <c r="P165" i="10"/>
  <c r="Q165" i="10"/>
  <c r="N181" i="11"/>
  <c r="N225" i="11"/>
  <c r="J225" i="11" s="1"/>
  <c r="O102" i="12"/>
  <c r="O117" i="12"/>
  <c r="O125" i="12"/>
  <c r="O180" i="12"/>
  <c r="M254" i="12"/>
  <c r="O141" i="12"/>
  <c r="O149" i="12"/>
  <c r="M250" i="12"/>
  <c r="N282" i="14"/>
  <c r="N30" i="15"/>
  <c r="Q157" i="10"/>
  <c r="I1951" i="5"/>
  <c r="J1837" i="5"/>
  <c r="N120" i="11"/>
  <c r="J120" i="11" s="1"/>
  <c r="O108" i="14"/>
  <c r="N108" i="14"/>
  <c r="O48" i="10"/>
  <c r="Q54" i="10"/>
  <c r="Q57" i="10"/>
  <c r="Q110" i="10"/>
  <c r="J140" i="8"/>
  <c r="N140" i="8" s="1"/>
  <c r="K149" i="10"/>
  <c r="O149" i="10" s="1"/>
  <c r="Q149" i="10" s="1"/>
  <c r="N24" i="11"/>
  <c r="K177" i="14"/>
  <c r="K169" i="14" s="1"/>
  <c r="P177" i="14"/>
  <c r="O177" i="14" s="1"/>
  <c r="K198" i="14"/>
  <c r="P198" i="14"/>
  <c r="O198" i="14" s="1"/>
  <c r="K100" i="15"/>
  <c r="K99" i="15" s="1"/>
  <c r="F99" i="15" s="1"/>
  <c r="P100" i="15"/>
  <c r="O100" i="15" s="1"/>
  <c r="K118" i="15"/>
  <c r="K117" i="15" s="1"/>
  <c r="F117" i="15" s="1"/>
  <c r="P118" i="15"/>
  <c r="O118" i="15" s="1"/>
  <c r="K162" i="15"/>
  <c r="K153" i="15" s="1"/>
  <c r="F153" i="15" s="1"/>
  <c r="P162" i="15"/>
  <c r="O162" i="15" s="1"/>
  <c r="P256" i="15"/>
  <c r="O256" i="15" s="1"/>
  <c r="K256" i="15"/>
  <c r="K253" i="15" s="1"/>
  <c r="F253" i="15" s="1"/>
  <c r="N282" i="16"/>
  <c r="P282" i="16" s="1"/>
  <c r="K282" i="16"/>
  <c r="O282" i="16" s="1"/>
  <c r="O30" i="10"/>
  <c r="J133" i="8"/>
  <c r="N133" i="8" s="1"/>
  <c r="K132" i="10"/>
  <c r="N133" i="10"/>
  <c r="J147" i="8"/>
  <c r="N147" i="8" s="1"/>
  <c r="K146" i="10"/>
  <c r="O146" i="10" s="1"/>
  <c r="Q146" i="10" s="1"/>
  <c r="J151" i="8"/>
  <c r="N151" i="8" s="1"/>
  <c r="K150" i="10"/>
  <c r="O150" i="10" s="1"/>
  <c r="Q150" i="10" s="1"/>
  <c r="N170" i="10"/>
  <c r="N168" i="10" s="1"/>
  <c r="H39" i="12"/>
  <c r="M38" i="14"/>
  <c r="I39" i="14"/>
  <c r="I32" i="14" s="1"/>
  <c r="K59" i="14"/>
  <c r="K57" i="14" s="1"/>
  <c r="L73" i="14"/>
  <c r="K106" i="14"/>
  <c r="K149" i="14"/>
  <c r="P213" i="14"/>
  <c r="O213" i="14" s="1"/>
  <c r="K213" i="14"/>
  <c r="K244" i="14"/>
  <c r="K225" i="14" s="1"/>
  <c r="P244" i="14"/>
  <c r="O244" i="14" s="1"/>
  <c r="K143" i="15"/>
  <c r="P143" i="15"/>
  <c r="O143" i="15" s="1"/>
  <c r="K175" i="15"/>
  <c r="K170" i="15" s="1"/>
  <c r="P175" i="15"/>
  <c r="O175" i="15" s="1"/>
  <c r="K283" i="15"/>
  <c r="K279" i="15" s="1"/>
  <c r="F279" i="15" s="1"/>
  <c r="P283" i="15"/>
  <c r="O283" i="15" s="1"/>
  <c r="O95" i="8"/>
  <c r="O278" i="19"/>
  <c r="O57" i="19"/>
  <c r="O57" i="20"/>
  <c r="O275" i="20"/>
  <c r="O268" i="20" s="1"/>
  <c r="P114" i="12"/>
  <c r="O114" i="12" s="1"/>
  <c r="P174" i="12"/>
  <c r="O174" i="12" s="1"/>
  <c r="P186" i="12"/>
  <c r="O186" i="12" s="1"/>
  <c r="K16" i="14"/>
  <c r="K14" i="14" s="1"/>
  <c r="P38" i="14"/>
  <c r="K191" i="14"/>
  <c r="K190" i="14" s="1"/>
  <c r="F190" i="14" s="1"/>
  <c r="P191" i="14"/>
  <c r="O191" i="14" s="1"/>
  <c r="P202" i="14"/>
  <c r="O202" i="14" s="1"/>
  <c r="K202" i="14"/>
  <c r="P282" i="14"/>
  <c r="O282" i="14" s="1"/>
  <c r="K282" i="14"/>
  <c r="K278" i="14" s="1"/>
  <c r="F278" i="14" s="1"/>
  <c r="P147" i="15"/>
  <c r="O147" i="15" s="1"/>
  <c r="K147" i="15"/>
  <c r="P151" i="15"/>
  <c r="O151" i="15" s="1"/>
  <c r="K151" i="15"/>
  <c r="P228" i="15"/>
  <c r="O228" i="15" s="1"/>
  <c r="K228" i="15"/>
  <c r="K226" i="15" s="1"/>
  <c r="F226" i="15" s="1"/>
  <c r="K35" i="16"/>
  <c r="O35" i="16" s="1"/>
  <c r="N35" i="16"/>
  <c r="P35" i="16" s="1"/>
  <c r="O269" i="19"/>
  <c r="I74" i="10"/>
  <c r="J134" i="8"/>
  <c r="N134" i="8" s="1"/>
  <c r="J171" i="8"/>
  <c r="N171" i="8" s="1"/>
  <c r="P16" i="14"/>
  <c r="P182" i="14"/>
  <c r="O182" i="14" s="1"/>
  <c r="K182" i="14"/>
  <c r="K209" i="14"/>
  <c r="P209" i="14"/>
  <c r="O209" i="14" s="1"/>
  <c r="K139" i="15"/>
  <c r="P139" i="15"/>
  <c r="O139" i="15" s="1"/>
  <c r="O278" i="20"/>
  <c r="O116" i="16"/>
  <c r="N28" i="16"/>
  <c r="P28" i="16" s="1"/>
  <c r="K28" i="16"/>
  <c r="O28" i="16" s="1"/>
  <c r="N20" i="16"/>
  <c r="P20" i="16" s="1"/>
  <c r="K20" i="16"/>
  <c r="O20" i="16" s="1"/>
  <c r="O110" i="19"/>
  <c r="O109" i="19" s="1"/>
  <c r="N178" i="16"/>
  <c r="P178" i="16" s="1"/>
  <c r="K178" i="16"/>
  <c r="O178" i="16" s="1"/>
  <c r="N170" i="16"/>
  <c r="K170" i="16"/>
  <c r="O170" i="16" s="1"/>
  <c r="N164" i="16"/>
  <c r="P164" i="16" s="1"/>
  <c r="K164" i="16"/>
  <c r="O164" i="16" s="1"/>
  <c r="N159" i="16"/>
  <c r="P159" i="16" s="1"/>
  <c r="K159" i="16"/>
  <c r="O159" i="16" s="1"/>
  <c r="N148" i="16"/>
  <c r="P148" i="16" s="1"/>
  <c r="K148" i="16"/>
  <c r="O148" i="16" s="1"/>
  <c r="N139" i="16"/>
  <c r="P139" i="16" s="1"/>
  <c r="K139" i="16"/>
  <c r="O139" i="16" s="1"/>
  <c r="N131" i="16"/>
  <c r="K131" i="16"/>
  <c r="O131" i="16" s="1"/>
  <c r="N105" i="16"/>
  <c r="P105" i="16" s="1"/>
  <c r="K105" i="16"/>
  <c r="O105" i="16" s="1"/>
  <c r="N101" i="16"/>
  <c r="P101" i="16" s="1"/>
  <c r="K101" i="16"/>
  <c r="O101" i="16" s="1"/>
  <c r="N81" i="16"/>
  <c r="P81" i="16" s="1"/>
  <c r="K81" i="16"/>
  <c r="O81" i="16" s="1"/>
  <c r="N64" i="16"/>
  <c r="P64" i="16" s="1"/>
  <c r="K64" i="16"/>
  <c r="O64" i="16" s="1"/>
  <c r="N49" i="16"/>
  <c r="P49" i="16" s="1"/>
  <c r="K49" i="16"/>
  <c r="O49" i="16" s="1"/>
  <c r="N42" i="16"/>
  <c r="P42" i="16" s="1"/>
  <c r="K42" i="16"/>
  <c r="O42" i="16" s="1"/>
  <c r="N27" i="16"/>
  <c r="K27" i="16"/>
  <c r="O27" i="16" s="1"/>
  <c r="K22" i="16"/>
  <c r="O22" i="16" s="1"/>
  <c r="N22" i="16"/>
  <c r="P22" i="16" s="1"/>
  <c r="K18" i="16"/>
  <c r="O18" i="16" s="1"/>
  <c r="N18" i="16"/>
  <c r="P18" i="16" s="1"/>
  <c r="N134" i="16"/>
  <c r="P134" i="16" s="1"/>
  <c r="K134" i="16"/>
  <c r="O134" i="16" s="1"/>
  <c r="N172" i="16"/>
  <c r="P172" i="16" s="1"/>
  <c r="K172" i="16"/>
  <c r="O172" i="16" s="1"/>
  <c r="K99" i="18"/>
  <c r="N99" i="18"/>
  <c r="N128" i="18"/>
  <c r="P128" i="18" s="1"/>
  <c r="K128" i="18"/>
  <c r="O144" i="18"/>
  <c r="P144" i="18"/>
  <c r="N216" i="18"/>
  <c r="O216" i="18" s="1"/>
  <c r="K216" i="18"/>
  <c r="P135" i="15"/>
  <c r="O135" i="15" s="1"/>
  <c r="P154" i="15"/>
  <c r="O154" i="15" s="1"/>
  <c r="P158" i="15"/>
  <c r="O158" i="15" s="1"/>
  <c r="P171" i="15"/>
  <c r="O171" i="15" s="1"/>
  <c r="P219" i="15"/>
  <c r="O219" i="15" s="1"/>
  <c r="P223" i="15"/>
  <c r="O223" i="15" s="1"/>
  <c r="P250" i="15"/>
  <c r="O250" i="15" s="1"/>
  <c r="P262" i="15"/>
  <c r="O262" i="15" s="1"/>
  <c r="P266" i="15"/>
  <c r="O266" i="15" s="1"/>
  <c r="O83" i="16"/>
  <c r="O229" i="18"/>
  <c r="P271" i="18"/>
  <c r="O236" i="18"/>
  <c r="O241" i="18"/>
  <c r="O200" i="18"/>
  <c r="O86" i="18"/>
  <c r="N19" i="16"/>
  <c r="P19" i="16" s="1"/>
  <c r="K19" i="16"/>
  <c r="O19" i="16" s="1"/>
  <c r="N24" i="16"/>
  <c r="P24" i="16" s="1"/>
  <c r="K24" i="16"/>
  <c r="O24" i="16" s="1"/>
  <c r="P73" i="20"/>
  <c r="P89" i="20"/>
  <c r="O116" i="20"/>
  <c r="O109" i="20" s="1"/>
  <c r="N177" i="16"/>
  <c r="P177" i="16" s="1"/>
  <c r="K177" i="16"/>
  <c r="O177" i="16" s="1"/>
  <c r="N167" i="16"/>
  <c r="P167" i="16" s="1"/>
  <c r="K167" i="16"/>
  <c r="O167" i="16" s="1"/>
  <c r="N158" i="16"/>
  <c r="P158" i="16" s="1"/>
  <c r="K158" i="16"/>
  <c r="O158" i="16" s="1"/>
  <c r="N147" i="16"/>
  <c r="P147" i="16" s="1"/>
  <c r="K147" i="16"/>
  <c r="O147" i="16" s="1"/>
  <c r="N137" i="16"/>
  <c r="P137" i="16" s="1"/>
  <c r="K137" i="16"/>
  <c r="O137" i="16" s="1"/>
  <c r="N108" i="16"/>
  <c r="P108" i="16" s="1"/>
  <c r="K108" i="16"/>
  <c r="O108" i="16" s="1"/>
  <c r="N104" i="16"/>
  <c r="P104" i="16" s="1"/>
  <c r="K104" i="16"/>
  <c r="O104" i="16" s="1"/>
  <c r="N100" i="16"/>
  <c r="P100" i="16" s="1"/>
  <c r="K100" i="16"/>
  <c r="O100" i="16" s="1"/>
  <c r="N96" i="16"/>
  <c r="K96" i="16"/>
  <c r="O96" i="16" s="1"/>
  <c r="O95" i="16" s="1"/>
  <c r="N83" i="16"/>
  <c r="P83" i="16" s="1"/>
  <c r="N80" i="16"/>
  <c r="P80" i="16" s="1"/>
  <c r="K80" i="16"/>
  <c r="O80" i="16" s="1"/>
  <c r="N68" i="16"/>
  <c r="K68" i="16"/>
  <c r="O68" i="16" s="1"/>
  <c r="O67" i="16" s="1"/>
  <c r="N63" i="16"/>
  <c r="K63" i="16"/>
  <c r="O63" i="16" s="1"/>
  <c r="K48" i="16"/>
  <c r="O48" i="16" s="1"/>
  <c r="N48" i="16"/>
  <c r="P48" i="16" s="1"/>
  <c r="K41" i="16"/>
  <c r="O41" i="16" s="1"/>
  <c r="N41" i="16"/>
  <c r="P41" i="16" s="1"/>
  <c r="N25" i="16"/>
  <c r="P25" i="16" s="1"/>
  <c r="K25" i="16"/>
  <c r="O25" i="16" s="1"/>
  <c r="N21" i="16"/>
  <c r="P21" i="16" s="1"/>
  <c r="K21" i="16"/>
  <c r="O21" i="16" s="1"/>
  <c r="N15" i="16"/>
  <c r="K15" i="16"/>
  <c r="O15" i="16" s="1"/>
  <c r="N150" i="16"/>
  <c r="P150" i="16" s="1"/>
  <c r="K150" i="16"/>
  <c r="O150" i="16" s="1"/>
  <c r="M51" i="18"/>
  <c r="N88" i="18"/>
  <c r="O88" i="18" s="1"/>
  <c r="K88" i="18"/>
  <c r="P143" i="18"/>
  <c r="O143" i="18"/>
  <c r="O150" i="18"/>
  <c r="P150" i="18"/>
  <c r="O239" i="18"/>
  <c r="P282" i="18"/>
  <c r="O199" i="18"/>
  <c r="P217" i="18"/>
  <c r="O66" i="18"/>
  <c r="N23" i="16"/>
  <c r="P23" i="16" s="1"/>
  <c r="K23" i="16"/>
  <c r="O23" i="16" s="1"/>
  <c r="N283" i="16"/>
  <c r="P283" i="16" s="1"/>
  <c r="K283" i="16"/>
  <c r="O283" i="16" s="1"/>
  <c r="N175" i="16"/>
  <c r="P175" i="16" s="1"/>
  <c r="K175" i="16"/>
  <c r="O175" i="16" s="1"/>
  <c r="N166" i="16"/>
  <c r="P166" i="16" s="1"/>
  <c r="K166" i="16"/>
  <c r="O166" i="16" s="1"/>
  <c r="N157" i="16"/>
  <c r="P157" i="16" s="1"/>
  <c r="K157" i="16"/>
  <c r="O157" i="16" s="1"/>
  <c r="N151" i="16"/>
  <c r="P151" i="16" s="1"/>
  <c r="K151" i="16"/>
  <c r="O151" i="16" s="1"/>
  <c r="N136" i="16"/>
  <c r="P136" i="16" s="1"/>
  <c r="K136" i="16"/>
  <c r="O136" i="16" s="1"/>
  <c r="N107" i="16"/>
  <c r="P107" i="16" s="1"/>
  <c r="K107" i="16"/>
  <c r="O107" i="16" s="1"/>
  <c r="N103" i="16"/>
  <c r="P103" i="16" s="1"/>
  <c r="K103" i="16"/>
  <c r="O103" i="16" s="1"/>
  <c r="N99" i="16"/>
  <c r="K99" i="16"/>
  <c r="O99" i="16" s="1"/>
  <c r="N79" i="16"/>
  <c r="K79" i="16"/>
  <c r="O79" i="16" s="1"/>
  <c r="N66" i="16"/>
  <c r="P66" i="16" s="1"/>
  <c r="K66" i="16"/>
  <c r="O66" i="16" s="1"/>
  <c r="N57" i="16"/>
  <c r="P57" i="16" s="1"/>
  <c r="K53" i="16"/>
  <c r="O53" i="16" s="1"/>
  <c r="N53" i="16"/>
  <c r="P53" i="16" s="1"/>
  <c r="K47" i="16"/>
  <c r="O47" i="16" s="1"/>
  <c r="N47" i="16"/>
  <c r="K40" i="16"/>
  <c r="O40" i="16" s="1"/>
  <c r="N40" i="16"/>
  <c r="K31" i="16"/>
  <c r="O31" i="16" s="1"/>
  <c r="N31" i="16"/>
  <c r="P31" i="16" s="1"/>
  <c r="N180" i="16"/>
  <c r="P180" i="16" s="1"/>
  <c r="K180" i="16"/>
  <c r="O180" i="16" s="1"/>
  <c r="M46" i="18"/>
  <c r="M45" i="18" s="1"/>
  <c r="N63" i="18"/>
  <c r="K63" i="18"/>
  <c r="K93" i="18"/>
  <c r="N93" i="18"/>
  <c r="O106" i="18"/>
  <c r="P106" i="18"/>
  <c r="N205" i="18"/>
  <c r="P205" i="18" s="1"/>
  <c r="K205" i="18"/>
  <c r="O283" i="18"/>
  <c r="N116" i="19"/>
  <c r="P116" i="19" s="1"/>
  <c r="P96" i="19"/>
  <c r="N110" i="19"/>
  <c r="N179" i="16"/>
  <c r="P179" i="16" s="1"/>
  <c r="K179" i="16"/>
  <c r="O179" i="16" s="1"/>
  <c r="N174" i="16"/>
  <c r="P174" i="16" s="1"/>
  <c r="K174" i="16"/>
  <c r="O174" i="16" s="1"/>
  <c r="N165" i="16"/>
  <c r="P165" i="16" s="1"/>
  <c r="K165" i="16"/>
  <c r="O165" i="16" s="1"/>
  <c r="N160" i="16"/>
  <c r="P160" i="16" s="1"/>
  <c r="K160" i="16"/>
  <c r="O160" i="16" s="1"/>
  <c r="N156" i="16"/>
  <c r="P156" i="16" s="1"/>
  <c r="K156" i="16"/>
  <c r="O156" i="16" s="1"/>
  <c r="N149" i="16"/>
  <c r="P149" i="16" s="1"/>
  <c r="K149" i="16"/>
  <c r="O149" i="16" s="1"/>
  <c r="N135" i="16"/>
  <c r="P135" i="16" s="1"/>
  <c r="K135" i="16"/>
  <c r="O135" i="16" s="1"/>
  <c r="N120" i="16"/>
  <c r="P120" i="16" s="1"/>
  <c r="N106" i="16"/>
  <c r="P106" i="16" s="1"/>
  <c r="K106" i="16"/>
  <c r="O106" i="16" s="1"/>
  <c r="N102" i="16"/>
  <c r="P102" i="16" s="1"/>
  <c r="K102" i="16"/>
  <c r="O102" i="16" s="1"/>
  <c r="N82" i="16"/>
  <c r="P82" i="16" s="1"/>
  <c r="K82" i="16"/>
  <c r="O82" i="16" s="1"/>
  <c r="N74" i="16"/>
  <c r="P74" i="16" s="1"/>
  <c r="K74" i="16"/>
  <c r="O74" i="16" s="1"/>
  <c r="N65" i="16"/>
  <c r="P65" i="16" s="1"/>
  <c r="K65" i="16"/>
  <c r="O65" i="16" s="1"/>
  <c r="N50" i="16"/>
  <c r="P50" i="16" s="1"/>
  <c r="K50" i="16"/>
  <c r="O50" i="16" s="1"/>
  <c r="N30" i="16"/>
  <c r="P30" i="16" s="1"/>
  <c r="K30" i="16"/>
  <c r="O30" i="16" s="1"/>
  <c r="N17" i="16"/>
  <c r="P17" i="16" s="1"/>
  <c r="K17" i="16"/>
  <c r="O17" i="16" s="1"/>
  <c r="N176" i="16"/>
  <c r="P176" i="16" s="1"/>
  <c r="K176" i="16"/>
  <c r="O176" i="16" s="1"/>
  <c r="K52" i="16"/>
  <c r="O52" i="16" s="1"/>
  <c r="N52" i="16"/>
  <c r="K61" i="18"/>
  <c r="N61" i="18"/>
  <c r="M110" i="18"/>
  <c r="M109" i="18" s="1"/>
  <c r="N188" i="18"/>
  <c r="P188" i="18" s="1"/>
  <c r="K188" i="18"/>
  <c r="N232" i="18"/>
  <c r="K232" i="18"/>
  <c r="N73" i="16"/>
  <c r="K73" i="16"/>
  <c r="O73" i="16" s="1"/>
  <c r="N162" i="16"/>
  <c r="P162" i="16" s="1"/>
  <c r="K162" i="16"/>
  <c r="O162" i="16" s="1"/>
  <c r="N155" i="16"/>
  <c r="P155" i="16" s="1"/>
  <c r="K155" i="16"/>
  <c r="O155" i="16" s="1"/>
  <c r="N145" i="16"/>
  <c r="P145" i="16" s="1"/>
  <c r="K145" i="16"/>
  <c r="O145" i="16" s="1"/>
  <c r="N143" i="16"/>
  <c r="P143" i="16" s="1"/>
  <c r="K143" i="16"/>
  <c r="O143" i="16" s="1"/>
  <c r="N133" i="16"/>
  <c r="P133" i="16" s="1"/>
  <c r="K133" i="16"/>
  <c r="O133" i="16" s="1"/>
  <c r="K54" i="16"/>
  <c r="O54" i="16" s="1"/>
  <c r="N54" i="16"/>
  <c r="P54" i="16" s="1"/>
  <c r="K44" i="16"/>
  <c r="O44" i="16" s="1"/>
  <c r="N44" i="16"/>
  <c r="P44" i="16" s="1"/>
  <c r="N146" i="16"/>
  <c r="P146" i="16" s="1"/>
  <c r="K146" i="16"/>
  <c r="O146" i="16" s="1"/>
  <c r="N138" i="16"/>
  <c r="P138" i="16" s="1"/>
  <c r="K138" i="16"/>
  <c r="O138" i="16" s="1"/>
  <c r="P54" i="18"/>
  <c r="P55" i="18"/>
  <c r="O76" i="18"/>
  <c r="K81" i="18"/>
  <c r="K107" i="18"/>
  <c r="K121" i="18"/>
  <c r="O124" i="18"/>
  <c r="N125" i="18"/>
  <c r="N198" i="18"/>
  <c r="K198" i="18"/>
  <c r="O206" i="18"/>
  <c r="N212" i="18"/>
  <c r="K212" i="18"/>
  <c r="N223" i="18"/>
  <c r="K223" i="18"/>
  <c r="P262" i="18"/>
  <c r="K36" i="16"/>
  <c r="O36" i="16" s="1"/>
  <c r="K132" i="16"/>
  <c r="O132" i="16" s="1"/>
  <c r="M39" i="16"/>
  <c r="M32" i="16" s="1"/>
  <c r="M57" i="16"/>
  <c r="M72" i="16"/>
  <c r="M69" i="16" s="1"/>
  <c r="N91" i="18"/>
  <c r="N97" i="18"/>
  <c r="N103" i="18"/>
  <c r="L169" i="18"/>
  <c r="M181" i="18"/>
  <c r="M168" i="18" s="1"/>
  <c r="O184" i="18"/>
  <c r="K202" i="18"/>
  <c r="P213" i="18"/>
  <c r="O240" i="18"/>
  <c r="N245" i="18"/>
  <c r="K245" i="18"/>
  <c r="P250" i="18"/>
  <c r="N267" i="18"/>
  <c r="K270" i="18"/>
  <c r="N277" i="18"/>
  <c r="K43" i="16"/>
  <c r="O43" i="16" s="1"/>
  <c r="K161" i="16"/>
  <c r="O161" i="16" s="1"/>
  <c r="K144" i="16"/>
  <c r="O144" i="16" s="1"/>
  <c r="N38" i="16"/>
  <c r="P38" i="16" s="1"/>
  <c r="K38" i="16"/>
  <c r="O38" i="16" s="1"/>
  <c r="N173" i="16"/>
  <c r="P173" i="16" s="1"/>
  <c r="K173" i="16"/>
  <c r="O173" i="16" s="1"/>
  <c r="N163" i="16"/>
  <c r="P163" i="16" s="1"/>
  <c r="K163" i="16"/>
  <c r="O163" i="16" s="1"/>
  <c r="N154" i="16"/>
  <c r="P154" i="16" s="1"/>
  <c r="K154" i="16"/>
  <c r="O154" i="16" s="1"/>
  <c r="N141" i="16"/>
  <c r="P141" i="16" s="1"/>
  <c r="K141" i="16"/>
  <c r="O141" i="16" s="1"/>
  <c r="N71" i="16"/>
  <c r="K71" i="16"/>
  <c r="O71" i="16" s="1"/>
  <c r="O70" i="16" s="1"/>
  <c r="N55" i="16"/>
  <c r="P55" i="16" s="1"/>
  <c r="K55" i="16"/>
  <c r="O55" i="16" s="1"/>
  <c r="N142" i="16"/>
  <c r="P142" i="16" s="1"/>
  <c r="K142" i="16"/>
  <c r="O142" i="16" s="1"/>
  <c r="K82" i="18"/>
  <c r="K108" i="18"/>
  <c r="K122" i="18"/>
  <c r="P151" i="18"/>
  <c r="O156" i="18"/>
  <c r="O157" i="18"/>
  <c r="P160" i="18"/>
  <c r="M190" i="18"/>
  <c r="P197" i="18"/>
  <c r="K257" i="18"/>
  <c r="K76" i="16"/>
  <c r="O76" i="16" s="1"/>
  <c r="O75" i="16" s="1"/>
  <c r="K140" i="16"/>
  <c r="O140" i="16" s="1"/>
  <c r="M14" i="16"/>
  <c r="M46" i="16"/>
  <c r="M51" i="16"/>
  <c r="N110" i="20"/>
  <c r="N211" i="18"/>
  <c r="K211" i="18"/>
  <c r="K256" i="18"/>
  <c r="N256" i="18"/>
  <c r="N273" i="18"/>
  <c r="K273" i="18"/>
  <c r="M278" i="16"/>
  <c r="M215" i="16"/>
  <c r="M130" i="16"/>
  <c r="M120" i="16"/>
  <c r="M110" i="16"/>
  <c r="M77" i="16"/>
  <c r="K56" i="16"/>
  <c r="O56" i="16" s="1"/>
  <c r="K171" i="16"/>
  <c r="O171" i="16" s="1"/>
  <c r="K153" i="16"/>
  <c r="O153" i="16" s="1"/>
  <c r="N34" i="16"/>
  <c r="M62" i="16"/>
  <c r="N185" i="18"/>
  <c r="M252" i="16"/>
  <c r="M247" i="16"/>
  <c r="M208" i="16"/>
  <c r="M190" i="16"/>
  <c r="M181" i="16"/>
  <c r="K213" i="18"/>
  <c r="L215" i="18"/>
  <c r="M275" i="16"/>
  <c r="M225" i="16"/>
  <c r="M194" i="16"/>
  <c r="M98" i="16"/>
  <c r="M269" i="16"/>
  <c r="M268" i="16" s="1"/>
  <c r="M259" i="16"/>
  <c r="M169" i="16"/>
  <c r="M152" i="16"/>
  <c r="M116" i="16"/>
  <c r="M83" i="19"/>
  <c r="M77" i="19" s="1"/>
  <c r="M110" i="19"/>
  <c r="M109" i="19" s="1"/>
  <c r="P75" i="19"/>
  <c r="L181" i="19"/>
  <c r="L168" i="19" s="1"/>
  <c r="L110" i="19"/>
  <c r="L109" i="19" s="1"/>
  <c r="K170" i="19"/>
  <c r="O170" i="19" s="1"/>
  <c r="N84" i="20"/>
  <c r="K84" i="20"/>
  <c r="O84" i="20" s="1"/>
  <c r="O83" i="20" s="1"/>
  <c r="K91" i="20"/>
  <c r="O91" i="20" s="1"/>
  <c r="O90" i="20" s="1"/>
  <c r="N91" i="20"/>
  <c r="P174" i="19"/>
  <c r="P216" i="19"/>
  <c r="M247" i="19"/>
  <c r="P97" i="20"/>
  <c r="P102" i="20"/>
  <c r="M152" i="20"/>
  <c r="M129" i="20" s="1"/>
  <c r="L77" i="20"/>
  <c r="M110" i="20"/>
  <c r="M109" i="20" s="1"/>
  <c r="P199" i="20"/>
  <c r="P230" i="20"/>
  <c r="P234" i="20"/>
  <c r="L247" i="22"/>
  <c r="K102" i="20"/>
  <c r="O102" i="20" s="1"/>
  <c r="O98" i="20" s="1"/>
  <c r="K207" i="20"/>
  <c r="O207" i="20" s="1"/>
  <c r="N207" i="20"/>
  <c r="L215" i="20"/>
  <c r="P220" i="20"/>
  <c r="P238" i="20"/>
  <c r="P256" i="20"/>
  <c r="M110" i="21"/>
  <c r="L26" i="22"/>
  <c r="L69" i="22"/>
  <c r="P206" i="22"/>
  <c r="M110" i="22"/>
  <c r="L247" i="20"/>
  <c r="L98" i="21"/>
  <c r="L110" i="21"/>
  <c r="L51" i="22"/>
  <c r="L45" i="22" s="1"/>
  <c r="L190" i="22"/>
  <c r="L259" i="22"/>
  <c r="L169" i="21"/>
  <c r="L168" i="21" s="1"/>
  <c r="BT170" i="21"/>
  <c r="P16" i="21"/>
  <c r="P48" i="21"/>
  <c r="P61" i="21"/>
  <c r="P63" i="21"/>
  <c r="P79" i="21"/>
  <c r="P100" i="21"/>
  <c r="P126" i="21"/>
  <c r="P31" i="22"/>
  <c r="P73" i="22"/>
  <c r="P82" i="22"/>
  <c r="P115" i="22"/>
  <c r="P131" i="22"/>
  <c r="P147" i="22"/>
  <c r="P155" i="22"/>
  <c r="P161" i="22"/>
  <c r="P176" i="22"/>
  <c r="P178" i="22"/>
  <c r="P85" i="22"/>
  <c r="P60" i="21"/>
  <c r="P84" i="21"/>
  <c r="P85" i="21"/>
  <c r="P94" i="21"/>
  <c r="P99" i="21"/>
  <c r="P104" i="22"/>
  <c r="P217" i="22"/>
  <c r="P43" i="21"/>
  <c r="P70" i="21"/>
  <c r="P180" i="21"/>
  <c r="P53" i="22"/>
  <c r="K150" i="22"/>
  <c r="O150" i="22" s="1"/>
  <c r="N162" i="22"/>
  <c r="P162" i="22" s="1"/>
  <c r="N224" i="22"/>
  <c r="P224" i="22" s="1"/>
  <c r="N111" i="22"/>
  <c r="P111" i="22" s="1"/>
  <c r="K165" i="22"/>
  <c r="O165" i="22" s="1"/>
  <c r="K115" i="22"/>
  <c r="O115" i="22" s="1"/>
  <c r="I282" i="22"/>
  <c r="M282" i="22" s="1"/>
  <c r="K74" i="22"/>
  <c r="O74" i="22" s="1"/>
  <c r="CI130" i="22"/>
  <c r="I193" i="22"/>
  <c r="M193" i="22" s="1"/>
  <c r="I213" i="22"/>
  <c r="M213" i="22" s="1"/>
  <c r="CI185" i="22"/>
  <c r="J185" i="22" s="1"/>
  <c r="K185" i="22" s="1"/>
  <c r="O185" i="22" s="1"/>
  <c r="CI214" i="22"/>
  <c r="K196" i="22"/>
  <c r="O196" i="22" s="1"/>
  <c r="I283" i="22"/>
  <c r="M283" i="22" s="1"/>
  <c r="CI169" i="22"/>
  <c r="K191" i="22"/>
  <c r="O191" i="22" s="1"/>
  <c r="N158" i="22"/>
  <c r="P158" i="22" s="1"/>
  <c r="K73" i="22"/>
  <c r="O73" i="22" s="1"/>
  <c r="K170" i="22"/>
  <c r="O170" i="22" s="1"/>
  <c r="N107" i="22"/>
  <c r="P107" i="22" s="1"/>
  <c r="K104" i="22"/>
  <c r="O104" i="22" s="1"/>
  <c r="N167" i="22"/>
  <c r="P167" i="22" s="1"/>
  <c r="N103" i="22"/>
  <c r="P103" i="22" s="1"/>
  <c r="N61" i="22"/>
  <c r="P61" i="22" s="1"/>
  <c r="K61" i="22"/>
  <c r="O61" i="22" s="1"/>
  <c r="K81" i="22"/>
  <c r="O81" i="22" s="1"/>
  <c r="N81" i="22"/>
  <c r="P81" i="22" s="1"/>
  <c r="N105" i="22"/>
  <c r="P105" i="22" s="1"/>
  <c r="K105" i="22"/>
  <c r="O105" i="22" s="1"/>
  <c r="N125" i="22"/>
  <c r="P125" i="22" s="1"/>
  <c r="K125" i="22"/>
  <c r="O125" i="22" s="1"/>
  <c r="N193" i="22"/>
  <c r="P193" i="22" s="1"/>
  <c r="K193" i="22"/>
  <c r="O193" i="22" s="1"/>
  <c r="K205" i="22"/>
  <c r="O205" i="22" s="1"/>
  <c r="N205" i="22"/>
  <c r="P205" i="22" s="1"/>
  <c r="K209" i="22"/>
  <c r="O209" i="22" s="1"/>
  <c r="N209" i="22"/>
  <c r="P209" i="22" s="1"/>
  <c r="K206" i="22"/>
  <c r="O206" i="22" s="1"/>
  <c r="CI17" i="22"/>
  <c r="J17" i="22" s="1"/>
  <c r="K17" i="22" s="1"/>
  <c r="O17" i="22" s="1"/>
  <c r="CI21" i="22"/>
  <c r="J21" i="22" s="1"/>
  <c r="K21" i="22" s="1"/>
  <c r="O21" i="22" s="1"/>
  <c r="CI25" i="22"/>
  <c r="J25" i="22" s="1"/>
  <c r="K25" i="22" s="1"/>
  <c r="O25" i="22" s="1"/>
  <c r="I41" i="22"/>
  <c r="M41" i="22" s="1"/>
  <c r="M39" i="22" s="1"/>
  <c r="I49" i="22"/>
  <c r="M49" i="22" s="1"/>
  <c r="M46" i="22" s="1"/>
  <c r="I53" i="22"/>
  <c r="M53" i="22" s="1"/>
  <c r="CI65" i="22"/>
  <c r="J65" i="22" s="1"/>
  <c r="N65" i="22" s="1"/>
  <c r="P65" i="22" s="1"/>
  <c r="CI89" i="22"/>
  <c r="J89" i="22" s="1"/>
  <c r="K89" i="22" s="1"/>
  <c r="O89" i="22" s="1"/>
  <c r="O87" i="22" s="1"/>
  <c r="I93" i="22"/>
  <c r="M93" i="22" s="1"/>
  <c r="M92" i="22" s="1"/>
  <c r="I97" i="22"/>
  <c r="M97" i="22" s="1"/>
  <c r="M95" i="22" s="1"/>
  <c r="CI113" i="22"/>
  <c r="J113" i="22" s="1"/>
  <c r="I125" i="22"/>
  <c r="M125" i="22" s="1"/>
  <c r="M120" i="22" s="1"/>
  <c r="I133" i="22"/>
  <c r="M133" i="22" s="1"/>
  <c r="I137" i="22"/>
  <c r="M137" i="22" s="1"/>
  <c r="I141" i="22"/>
  <c r="M141" i="22" s="1"/>
  <c r="I145" i="22"/>
  <c r="M145" i="22" s="1"/>
  <c r="I149" i="22"/>
  <c r="M149" i="22" s="1"/>
  <c r="I173" i="22"/>
  <c r="M173" i="22" s="1"/>
  <c r="M169" i="22" s="1"/>
  <c r="I177" i="22"/>
  <c r="M177" i="22" s="1"/>
  <c r="CI189" i="22"/>
  <c r="J189" i="22" s="1"/>
  <c r="N189" i="22" s="1"/>
  <c r="P189" i="22" s="1"/>
  <c r="I201" i="22"/>
  <c r="M201" i="22" s="1"/>
  <c r="M194" i="22" s="1"/>
  <c r="I209" i="22"/>
  <c r="M209" i="22" s="1"/>
  <c r="M215" i="22"/>
  <c r="CI221" i="22"/>
  <c r="J221" i="22" s="1"/>
  <c r="N221" i="22" s="1"/>
  <c r="P221" i="22" s="1"/>
  <c r="K161" i="22"/>
  <c r="O161" i="22" s="1"/>
  <c r="N144" i="22"/>
  <c r="P144" i="22" s="1"/>
  <c r="N114" i="22"/>
  <c r="P114" i="22" s="1"/>
  <c r="I45" i="22"/>
  <c r="CI101" i="22"/>
  <c r="J101" i="22" s="1"/>
  <c r="N101" i="22" s="1"/>
  <c r="P101" i="22" s="1"/>
  <c r="M51" i="22"/>
  <c r="K157" i="22"/>
  <c r="O157" i="22" s="1"/>
  <c r="K211" i="22"/>
  <c r="O211" i="22" s="1"/>
  <c r="M190" i="22"/>
  <c r="N283" i="22"/>
  <c r="P283" i="22" s="1"/>
  <c r="K85" i="22"/>
  <c r="O85" i="22" s="1"/>
  <c r="O83" i="22" s="1"/>
  <c r="K88" i="22"/>
  <c r="O88" i="22" s="1"/>
  <c r="N207" i="22"/>
  <c r="P207" i="22" s="1"/>
  <c r="K147" i="22"/>
  <c r="O147" i="22" s="1"/>
  <c r="N127" i="22"/>
  <c r="P127" i="22" s="1"/>
  <c r="K100" i="22"/>
  <c r="O100" i="22" s="1"/>
  <c r="M72" i="22"/>
  <c r="M69" i="22" s="1"/>
  <c r="K160" i="22"/>
  <c r="O160" i="22" s="1"/>
  <c r="N106" i="22"/>
  <c r="P106" i="22" s="1"/>
  <c r="K179" i="22"/>
  <c r="O179" i="22" s="1"/>
  <c r="N135" i="22"/>
  <c r="P135" i="22" s="1"/>
  <c r="M57" i="22"/>
  <c r="N96" i="22"/>
  <c r="P96" i="22" s="1"/>
  <c r="N210" i="22"/>
  <c r="P210" i="22" s="1"/>
  <c r="N149" i="22"/>
  <c r="P149" i="22" s="1"/>
  <c r="N220" i="22"/>
  <c r="P220" i="22" s="1"/>
  <c r="K183" i="22"/>
  <c r="O183" i="22" s="1"/>
  <c r="M116" i="22"/>
  <c r="M152" i="22"/>
  <c r="K178" i="22"/>
  <c r="O178" i="22" s="1"/>
  <c r="K133" i="22"/>
  <c r="O133" i="22" s="1"/>
  <c r="N119" i="22"/>
  <c r="P119" i="22" s="1"/>
  <c r="N180" i="22"/>
  <c r="P180" i="22" s="1"/>
  <c r="M26" i="22"/>
  <c r="M83" i="22"/>
  <c r="K217" i="22"/>
  <c r="O217" i="22" s="1"/>
  <c r="K176" i="22"/>
  <c r="O176" i="22" s="1"/>
  <c r="M62" i="22"/>
  <c r="K16" i="22"/>
  <c r="O16" i="22" s="1"/>
  <c r="N16" i="22"/>
  <c r="P16" i="22" s="1"/>
  <c r="M33" i="22"/>
  <c r="M14" i="22"/>
  <c r="M98" i="22"/>
  <c r="M78" i="22"/>
  <c r="K164" i="22"/>
  <c r="O164" i="22" s="1"/>
  <c r="I182" i="22"/>
  <c r="M182" i="22" s="1"/>
  <c r="M181" i="22" s="1"/>
  <c r="CI182" i="22"/>
  <c r="J182" i="22" s="1"/>
  <c r="N72" i="22"/>
  <c r="P72" i="22" s="1"/>
  <c r="N24" i="22"/>
  <c r="P24" i="22" s="1"/>
  <c r="N44" i="22"/>
  <c r="P44" i="22" s="1"/>
  <c r="N54" i="22"/>
  <c r="P54" i="22" s="1"/>
  <c r="N91" i="22"/>
  <c r="P91" i="22" s="1"/>
  <c r="K55" i="22"/>
  <c r="O55" i="22" s="1"/>
  <c r="K212" i="22"/>
  <c r="O212" i="22" s="1"/>
  <c r="N212" i="22"/>
  <c r="P212" i="22" s="1"/>
  <c r="N42" i="22"/>
  <c r="P42" i="22" s="1"/>
  <c r="N23" i="22"/>
  <c r="P23" i="22" s="1"/>
  <c r="N56" i="22"/>
  <c r="P56" i="22" s="1"/>
  <c r="N22" i="22"/>
  <c r="P22" i="22" s="1"/>
  <c r="K184" i="22"/>
  <c r="O184" i="22" s="1"/>
  <c r="N184" i="22"/>
  <c r="P184" i="22" s="1"/>
  <c r="CI282" i="22"/>
  <c r="J282" i="22" s="1"/>
  <c r="Q51" i="10"/>
  <c r="K43" i="22"/>
  <c r="O43" i="22" s="1"/>
  <c r="N43" i="22"/>
  <c r="P43" i="22" s="1"/>
  <c r="N76" i="22"/>
  <c r="P76" i="22" s="1"/>
  <c r="K76" i="22"/>
  <c r="O76" i="22" s="1"/>
  <c r="O75" i="22" s="1"/>
  <c r="K166" i="22"/>
  <c r="O166" i="22" s="1"/>
  <c r="N166" i="22"/>
  <c r="P166" i="22" s="1"/>
  <c r="K219" i="22"/>
  <c r="O219" i="22" s="1"/>
  <c r="N219" i="22"/>
  <c r="P219" i="22" s="1"/>
  <c r="K97" i="22"/>
  <c r="O97" i="22" s="1"/>
  <c r="O95" i="22" s="1"/>
  <c r="N97" i="22"/>
  <c r="P97" i="22" s="1"/>
  <c r="K195" i="22"/>
  <c r="O195" i="22" s="1"/>
  <c r="N195" i="22"/>
  <c r="P195" i="22" s="1"/>
  <c r="N71" i="22"/>
  <c r="K71" i="22"/>
  <c r="O71" i="22" s="1"/>
  <c r="O70" i="22" s="1"/>
  <c r="N94" i="22"/>
  <c r="P94" i="22" s="1"/>
  <c r="K94" i="22"/>
  <c r="O94" i="22" s="1"/>
  <c r="O92" i="22" s="1"/>
  <c r="N142" i="22"/>
  <c r="P142" i="22" s="1"/>
  <c r="K142" i="22"/>
  <c r="O142" i="22" s="1"/>
  <c r="K146" i="22"/>
  <c r="O146" i="22" s="1"/>
  <c r="N146" i="22"/>
  <c r="P146" i="22" s="1"/>
  <c r="K148" i="22"/>
  <c r="O148" i="22" s="1"/>
  <c r="N148" i="22"/>
  <c r="P148" i="22" s="1"/>
  <c r="N198" i="22"/>
  <c r="P198" i="22" s="1"/>
  <c r="K198" i="22"/>
  <c r="O198" i="22" s="1"/>
  <c r="N60" i="22"/>
  <c r="P60" i="22" s="1"/>
  <c r="K60" i="22"/>
  <c r="O60" i="22" s="1"/>
  <c r="K80" i="22"/>
  <c r="O80" i="22" s="1"/>
  <c r="N80" i="22"/>
  <c r="P80" i="22" s="1"/>
  <c r="K112" i="22"/>
  <c r="O112" i="22" s="1"/>
  <c r="N112" i="22"/>
  <c r="P112" i="22" s="1"/>
  <c r="N203" i="22"/>
  <c r="P203" i="22" s="1"/>
  <c r="N49" i="22"/>
  <c r="P49" i="22" s="1"/>
  <c r="N122" i="22"/>
  <c r="P122" i="22" s="1"/>
  <c r="K131" i="22"/>
  <c r="O131" i="22" s="1"/>
  <c r="K28" i="22"/>
  <c r="O28" i="22" s="1"/>
  <c r="N50" i="22"/>
  <c r="P50" i="22" s="1"/>
  <c r="K222" i="22"/>
  <c r="O222" i="22" s="1"/>
  <c r="N132" i="22"/>
  <c r="P132" i="22" s="1"/>
  <c r="N151" i="22"/>
  <c r="P151" i="22" s="1"/>
  <c r="N175" i="22"/>
  <c r="P175" i="22" s="1"/>
  <c r="K223" i="22"/>
  <c r="O223" i="22" s="1"/>
  <c r="N187" i="22"/>
  <c r="P187" i="22" s="1"/>
  <c r="K18" i="22"/>
  <c r="O18" i="22" s="1"/>
  <c r="K99" i="22"/>
  <c r="O99" i="22" s="1"/>
  <c r="N99" i="22"/>
  <c r="P99" i="22" s="1"/>
  <c r="N19" i="22"/>
  <c r="P19" i="22" s="1"/>
  <c r="K19" i="22"/>
  <c r="O19" i="22" s="1"/>
  <c r="N29" i="22"/>
  <c r="P29" i="22" s="1"/>
  <c r="K29" i="22"/>
  <c r="O29" i="22" s="1"/>
  <c r="N48" i="22"/>
  <c r="P48" i="22" s="1"/>
  <c r="K48" i="22"/>
  <c r="O48" i="22" s="1"/>
  <c r="O46" i="22" s="1"/>
  <c r="N58" i="22"/>
  <c r="P58" i="22" s="1"/>
  <c r="K58" i="22"/>
  <c r="O58" i="22" s="1"/>
  <c r="N68" i="22"/>
  <c r="K68" i="22"/>
  <c r="O68" i="22" s="1"/>
  <c r="O67" i="22" s="1"/>
  <c r="N137" i="22"/>
  <c r="P137" i="22" s="1"/>
  <c r="N84" i="22"/>
  <c r="K134" i="22"/>
  <c r="O134" i="22" s="1"/>
  <c r="N102" i="22"/>
  <c r="P102" i="22" s="1"/>
  <c r="K102" i="22"/>
  <c r="O102" i="22" s="1"/>
  <c r="N108" i="22"/>
  <c r="P108" i="22" s="1"/>
  <c r="K108" i="22"/>
  <c r="O108" i="22" s="1"/>
  <c r="K128" i="22"/>
  <c r="O128" i="22" s="1"/>
  <c r="N128" i="22"/>
  <c r="P128" i="22" s="1"/>
  <c r="K154" i="22"/>
  <c r="O154" i="22" s="1"/>
  <c r="N154" i="22"/>
  <c r="P154" i="22" s="1"/>
  <c r="N171" i="22"/>
  <c r="P171" i="22" s="1"/>
  <c r="K171" i="22"/>
  <c r="O171" i="22" s="1"/>
  <c r="K172" i="22"/>
  <c r="O172" i="22" s="1"/>
  <c r="N172" i="22"/>
  <c r="P172" i="22" s="1"/>
  <c r="N145" i="22"/>
  <c r="P145" i="22" s="1"/>
  <c r="K143" i="22"/>
  <c r="O143" i="22" s="1"/>
  <c r="N93" i="22"/>
  <c r="N136" i="22"/>
  <c r="P136" i="22" s="1"/>
  <c r="N20" i="22"/>
  <c r="P20" i="22" s="1"/>
  <c r="K31" i="22"/>
  <c r="O31" i="22" s="1"/>
  <c r="K192" i="22"/>
  <c r="O192" i="22" s="1"/>
  <c r="N126" i="22"/>
  <c r="P126" i="22" s="1"/>
  <c r="K27" i="22"/>
  <c r="O27" i="22" s="1"/>
  <c r="N27" i="22"/>
  <c r="P27" i="22" s="1"/>
  <c r="K163" i="22"/>
  <c r="O163" i="22" s="1"/>
  <c r="N163" i="22"/>
  <c r="P163" i="22" s="1"/>
  <c r="K177" i="22"/>
  <c r="O177" i="22" s="1"/>
  <c r="N177" i="22"/>
  <c r="P177" i="22" s="1"/>
  <c r="N186" i="22"/>
  <c r="P186" i="22" s="1"/>
  <c r="K186" i="22"/>
  <c r="O186" i="22" s="1"/>
  <c r="N213" i="22"/>
  <c r="P213" i="22" s="1"/>
  <c r="K213" i="22"/>
  <c r="O213" i="22" s="1"/>
  <c r="N89" i="22"/>
  <c r="N138" i="22"/>
  <c r="P138" i="22" s="1"/>
  <c r="N197" i="22"/>
  <c r="P197" i="22" s="1"/>
  <c r="N174" i="22"/>
  <c r="P174" i="22" s="1"/>
  <c r="K155" i="22"/>
  <c r="O155" i="22" s="1"/>
  <c r="N117" i="22"/>
  <c r="P117" i="22" s="1"/>
  <c r="N64" i="22"/>
  <c r="P64" i="22" s="1"/>
  <c r="N124" i="22"/>
  <c r="P124" i="22" s="1"/>
  <c r="K199" i="22"/>
  <c r="O199" i="22" s="1"/>
  <c r="N156" i="22"/>
  <c r="P156" i="22" s="1"/>
  <c r="K34" i="22"/>
  <c r="O34" i="22" s="1"/>
  <c r="N34" i="22"/>
  <c r="P34" i="22" s="1"/>
  <c r="K53" i="22"/>
  <c r="O53" i="22" s="1"/>
  <c r="N63" i="22"/>
  <c r="K63" i="22"/>
  <c r="O63" i="22" s="1"/>
  <c r="N121" i="22"/>
  <c r="P121" i="22" s="1"/>
  <c r="K121" i="22"/>
  <c r="O121" i="22" s="1"/>
  <c r="N204" i="22"/>
  <c r="P204" i="22" s="1"/>
  <c r="K204" i="22"/>
  <c r="O204" i="22" s="1"/>
  <c r="N227" i="22"/>
  <c r="P227" i="22" s="1"/>
  <c r="K227" i="22"/>
  <c r="O227" i="22" s="1"/>
  <c r="P63" i="22"/>
  <c r="P153" i="22"/>
  <c r="P216" i="22"/>
  <c r="N35" i="22"/>
  <c r="P35" i="22" s="1"/>
  <c r="K35" i="22"/>
  <c r="O35" i="22" s="1"/>
  <c r="P28" i="22"/>
  <c r="P226" i="22"/>
  <c r="N141" i="22"/>
  <c r="P141" i="22" s="1"/>
  <c r="K216" i="22"/>
  <c r="O216" i="22" s="1"/>
  <c r="N37" i="22"/>
  <c r="P37" i="22" s="1"/>
  <c r="K140" i="22"/>
  <c r="O140" i="22" s="1"/>
  <c r="N36" i="22"/>
  <c r="P36" i="22" s="1"/>
  <c r="N218" i="22"/>
  <c r="P218" i="22" s="1"/>
  <c r="K30" i="22"/>
  <c r="O30" i="22" s="1"/>
  <c r="N30" i="22"/>
  <c r="P30" i="22" s="1"/>
  <c r="K38" i="22"/>
  <c r="O38" i="22" s="1"/>
  <c r="N38" i="22"/>
  <c r="P38" i="22" s="1"/>
  <c r="N79" i="22"/>
  <c r="K79" i="22"/>
  <c r="O79" i="22" s="1"/>
  <c r="N188" i="22"/>
  <c r="K188" i="22"/>
  <c r="O188" i="22" s="1"/>
  <c r="N52" i="22"/>
  <c r="K52" i="22"/>
  <c r="O52" i="22" s="1"/>
  <c r="K201" i="22"/>
  <c r="O201" i="22" s="1"/>
  <c r="N201" i="22"/>
  <c r="K153" i="22"/>
  <c r="O153" i="22" s="1"/>
  <c r="K123" i="22"/>
  <c r="O123" i="22" s="1"/>
  <c r="N15" i="22"/>
  <c r="K15" i="22"/>
  <c r="O15" i="22" s="1"/>
  <c r="N59" i="22"/>
  <c r="K59" i="22"/>
  <c r="O59" i="22" s="1"/>
  <c r="N66" i="22"/>
  <c r="P66" i="22" s="1"/>
  <c r="K66" i="22"/>
  <c r="O66" i="22" s="1"/>
  <c r="N118" i="22"/>
  <c r="K118" i="22"/>
  <c r="O118" i="22" s="1"/>
  <c r="O116" i="22" s="1"/>
  <c r="K159" i="22"/>
  <c r="O159" i="22" s="1"/>
  <c r="N159" i="22"/>
  <c r="P159" i="22" s="1"/>
  <c r="K41" i="22"/>
  <c r="O41" i="22" s="1"/>
  <c r="N41" i="22"/>
  <c r="P41" i="22" s="1"/>
  <c r="K139" i="22"/>
  <c r="O139" i="22" s="1"/>
  <c r="N139" i="22"/>
  <c r="P139" i="22" s="1"/>
  <c r="N173" i="22"/>
  <c r="K173" i="22"/>
  <c r="O173" i="22" s="1"/>
  <c r="K202" i="22"/>
  <c r="O202" i="22" s="1"/>
  <c r="K82" i="22"/>
  <c r="O82" i="22" s="1"/>
  <c r="N47" i="22"/>
  <c r="N40" i="22"/>
  <c r="K40" i="22"/>
  <c r="O40" i="22" s="1"/>
  <c r="N128" i="21"/>
  <c r="P128" i="21" s="1"/>
  <c r="K166" i="21"/>
  <c r="O166" i="21" s="1"/>
  <c r="N118" i="21"/>
  <c r="P118" i="21" s="1"/>
  <c r="N133" i="21"/>
  <c r="P133" i="21" s="1"/>
  <c r="N171" i="21"/>
  <c r="P171" i="21" s="1"/>
  <c r="CI77" i="21"/>
  <c r="K127" i="21"/>
  <c r="O127" i="21" s="1"/>
  <c r="N123" i="21"/>
  <c r="P123" i="21" s="1"/>
  <c r="K145" i="21"/>
  <c r="O145" i="21" s="1"/>
  <c r="CI131" i="21"/>
  <c r="J131" i="21" s="1"/>
  <c r="CI68" i="21"/>
  <c r="J68" i="21" s="1"/>
  <c r="K68" i="21" s="1"/>
  <c r="O68" i="21" s="1"/>
  <c r="O67" i="21" s="1"/>
  <c r="I173" i="21"/>
  <c r="M173" i="21" s="1"/>
  <c r="CI96" i="21"/>
  <c r="J96" i="21" s="1"/>
  <c r="K96" i="21" s="1"/>
  <c r="O96" i="21" s="1"/>
  <c r="I153" i="21"/>
  <c r="M153" i="21" s="1"/>
  <c r="M152" i="21" s="1"/>
  <c r="K100" i="21"/>
  <c r="O100" i="21" s="1"/>
  <c r="CI173" i="21"/>
  <c r="J173" i="21" s="1"/>
  <c r="N173" i="21" s="1"/>
  <c r="P173" i="21" s="1"/>
  <c r="K146" i="21"/>
  <c r="O146" i="21" s="1"/>
  <c r="N146" i="21"/>
  <c r="P146" i="21" s="1"/>
  <c r="CI51" i="21"/>
  <c r="N121" i="21"/>
  <c r="P121" i="21" s="1"/>
  <c r="K141" i="21"/>
  <c r="O141" i="21" s="1"/>
  <c r="K140" i="21"/>
  <c r="O140" i="21" s="1"/>
  <c r="CI134" i="21"/>
  <c r="J134" i="21" s="1"/>
  <c r="I142" i="21"/>
  <c r="M142" i="21" s="1"/>
  <c r="CI150" i="21"/>
  <c r="J150" i="21" s="1"/>
  <c r="K150" i="21" s="1"/>
  <c r="O150" i="21" s="1"/>
  <c r="CI161" i="21"/>
  <c r="J161" i="21" s="1"/>
  <c r="N138" i="21"/>
  <c r="P138" i="21" s="1"/>
  <c r="N89" i="21"/>
  <c r="N87" i="21" s="1"/>
  <c r="P87" i="21" s="1"/>
  <c r="I283" i="21"/>
  <c r="M283" i="21" s="1"/>
  <c r="CI283" i="21"/>
  <c r="J283" i="21" s="1"/>
  <c r="CI153" i="21"/>
  <c r="J153" i="21" s="1"/>
  <c r="N153" i="21" s="1"/>
  <c r="I170" i="21"/>
  <c r="M170" i="21" s="1"/>
  <c r="M169" i="21" s="1"/>
  <c r="CI170" i="21"/>
  <c r="J170" i="21" s="1"/>
  <c r="K170" i="21" s="1"/>
  <c r="O170" i="21" s="1"/>
  <c r="K25" i="21"/>
  <c r="O25" i="21" s="1"/>
  <c r="N25" i="21"/>
  <c r="P25" i="21" s="1"/>
  <c r="N164" i="21"/>
  <c r="P164" i="21" s="1"/>
  <c r="K54" i="21"/>
  <c r="O54" i="21" s="1"/>
  <c r="K60" i="21"/>
  <c r="O60" i="21" s="1"/>
  <c r="N160" i="21"/>
  <c r="P160" i="21" s="1"/>
  <c r="M26" i="21"/>
  <c r="CI53" i="21"/>
  <c r="J53" i="21" s="1"/>
  <c r="M83" i="21"/>
  <c r="I143" i="21"/>
  <c r="M143" i="21" s="1"/>
  <c r="CI147" i="21"/>
  <c r="J147" i="21" s="1"/>
  <c r="CI151" i="21"/>
  <c r="J151" i="21" s="1"/>
  <c r="K151" i="21" s="1"/>
  <c r="O151" i="21" s="1"/>
  <c r="CI177" i="21"/>
  <c r="J177" i="21" s="1"/>
  <c r="K177" i="21" s="1"/>
  <c r="O177" i="21" s="1"/>
  <c r="N124" i="21"/>
  <c r="P124" i="21" s="1"/>
  <c r="CI139" i="21"/>
  <c r="J139" i="21" s="1"/>
  <c r="N139" i="21" s="1"/>
  <c r="P139" i="21" s="1"/>
  <c r="CI162" i="21"/>
  <c r="J162" i="21" s="1"/>
  <c r="N178" i="21"/>
  <c r="P178" i="21" s="1"/>
  <c r="N81" i="21"/>
  <c r="P81" i="21" s="1"/>
  <c r="I53" i="21"/>
  <c r="M53" i="21" s="1"/>
  <c r="N135" i="21"/>
  <c r="P135" i="21" s="1"/>
  <c r="K135" i="21"/>
  <c r="O135" i="21" s="1"/>
  <c r="K132" i="21"/>
  <c r="O132" i="21" s="1"/>
  <c r="N104" i="21"/>
  <c r="P104" i="21" s="1"/>
  <c r="K40" i="21"/>
  <c r="O40" i="21" s="1"/>
  <c r="K126" i="21"/>
  <c r="O126" i="21" s="1"/>
  <c r="N66" i="21"/>
  <c r="P66" i="21" s="1"/>
  <c r="K66" i="21"/>
  <c r="O66" i="21" s="1"/>
  <c r="K86" i="21"/>
  <c r="O86" i="21" s="1"/>
  <c r="N86" i="21"/>
  <c r="P86" i="21" s="1"/>
  <c r="K154" i="21"/>
  <c r="O154" i="21" s="1"/>
  <c r="N125" i="21"/>
  <c r="P125" i="21" s="1"/>
  <c r="K149" i="21"/>
  <c r="O149" i="21" s="1"/>
  <c r="M95" i="21"/>
  <c r="K143" i="21"/>
  <c r="O143" i="21" s="1"/>
  <c r="K31" i="21"/>
  <c r="O31" i="21" s="1"/>
  <c r="N58" i="21"/>
  <c r="P58" i="21" s="1"/>
  <c r="K16" i="21"/>
  <c r="O16" i="21" s="1"/>
  <c r="N142" i="21"/>
  <c r="P142" i="21" s="1"/>
  <c r="M46" i="21"/>
  <c r="K85" i="21"/>
  <c r="O85" i="21" s="1"/>
  <c r="K84" i="21"/>
  <c r="O84" i="21" s="1"/>
  <c r="M62" i="21"/>
  <c r="N76" i="21"/>
  <c r="K76" i="21"/>
  <c r="O76" i="21" s="1"/>
  <c r="O75" i="21" s="1"/>
  <c r="N91" i="21"/>
  <c r="K91" i="21"/>
  <c r="O91" i="21" s="1"/>
  <c r="O90" i="21" s="1"/>
  <c r="K108" i="21"/>
  <c r="O108" i="21" s="1"/>
  <c r="N108" i="21"/>
  <c r="P108" i="21" s="1"/>
  <c r="K148" i="21"/>
  <c r="O148" i="21" s="1"/>
  <c r="N148" i="21"/>
  <c r="P148" i="21" s="1"/>
  <c r="N176" i="21"/>
  <c r="P176" i="21" s="1"/>
  <c r="K176" i="21"/>
  <c r="O176" i="21" s="1"/>
  <c r="N106" i="21"/>
  <c r="P106" i="21" s="1"/>
  <c r="K106" i="21"/>
  <c r="O106" i="21" s="1"/>
  <c r="K112" i="21"/>
  <c r="O112" i="21" s="1"/>
  <c r="N112" i="21"/>
  <c r="P112" i="21" s="1"/>
  <c r="N119" i="21"/>
  <c r="P119" i="21" s="1"/>
  <c r="K119" i="21"/>
  <c r="O119" i="21" s="1"/>
  <c r="O116" i="21" s="1"/>
  <c r="N15" i="21"/>
  <c r="P15" i="21" s="1"/>
  <c r="K15" i="21"/>
  <c r="O15" i="21" s="1"/>
  <c r="K28" i="21"/>
  <c r="O28" i="21" s="1"/>
  <c r="N28" i="21"/>
  <c r="P28" i="21" s="1"/>
  <c r="N56" i="21"/>
  <c r="P56" i="21" s="1"/>
  <c r="K56" i="21"/>
  <c r="O56" i="21" s="1"/>
  <c r="K159" i="21"/>
  <c r="O159" i="21" s="1"/>
  <c r="N159" i="21"/>
  <c r="P159" i="21" s="1"/>
  <c r="N163" i="21"/>
  <c r="P163" i="21" s="1"/>
  <c r="K163" i="21"/>
  <c r="O163" i="21" s="1"/>
  <c r="K41" i="21"/>
  <c r="O41" i="21" s="1"/>
  <c r="N41" i="21"/>
  <c r="P41" i="21" s="1"/>
  <c r="N122" i="21"/>
  <c r="K122" i="21"/>
  <c r="O122" i="21" s="1"/>
  <c r="K155" i="21"/>
  <c r="O155" i="21" s="1"/>
  <c r="N155" i="21"/>
  <c r="P155" i="21" s="1"/>
  <c r="N117" i="21"/>
  <c r="K80" i="21"/>
  <c r="O80" i="21" s="1"/>
  <c r="N165" i="21"/>
  <c r="P165" i="21" s="1"/>
  <c r="N27" i="21"/>
  <c r="P27" i="21" s="1"/>
  <c r="M33" i="21"/>
  <c r="M39" i="21"/>
  <c r="M57" i="21"/>
  <c r="N34" i="21"/>
  <c r="P34" i="21" s="1"/>
  <c r="N107" i="21"/>
  <c r="P107" i="21" s="1"/>
  <c r="N17" i="21"/>
  <c r="P17" i="21" s="1"/>
  <c r="M92" i="21"/>
  <c r="M72" i="21"/>
  <c r="M69" i="21" s="1"/>
  <c r="K61" i="21"/>
  <c r="O61" i="21" s="1"/>
  <c r="K19" i="21"/>
  <c r="O19" i="21" s="1"/>
  <c r="K79" i="21"/>
  <c r="O79" i="21" s="1"/>
  <c r="N42" i="21"/>
  <c r="P42" i="21" s="1"/>
  <c r="N49" i="21"/>
  <c r="P49" i="21" s="1"/>
  <c r="M120" i="21"/>
  <c r="M14" i="21"/>
  <c r="K18" i="21"/>
  <c r="O18" i="21" s="1"/>
  <c r="N18" i="21"/>
  <c r="P18" i="21" s="1"/>
  <c r="O95" i="21"/>
  <c r="K30" i="21"/>
  <c r="O30" i="21" s="1"/>
  <c r="N30" i="21"/>
  <c r="P30" i="21" s="1"/>
  <c r="N113" i="21"/>
  <c r="P113" i="21" s="1"/>
  <c r="K113" i="21"/>
  <c r="O113" i="21" s="1"/>
  <c r="N115" i="21"/>
  <c r="P115" i="21" s="1"/>
  <c r="K115" i="21"/>
  <c r="O115" i="21" s="1"/>
  <c r="N179" i="21"/>
  <c r="P179" i="21" s="1"/>
  <c r="K179" i="21"/>
  <c r="O179" i="21" s="1"/>
  <c r="I131" i="21"/>
  <c r="M131" i="21" s="1"/>
  <c r="N20" i="21"/>
  <c r="P20" i="21" s="1"/>
  <c r="K20" i="21"/>
  <c r="O20" i="21" s="1"/>
  <c r="K35" i="21"/>
  <c r="O35" i="21" s="1"/>
  <c r="N35" i="21"/>
  <c r="P35" i="21" s="1"/>
  <c r="M78" i="21"/>
  <c r="M77" i="21" s="1"/>
  <c r="K88" i="21"/>
  <c r="O88" i="21" s="1"/>
  <c r="N88" i="21"/>
  <c r="N102" i="21"/>
  <c r="P102" i="21" s="1"/>
  <c r="K102" i="21"/>
  <c r="O102" i="21" s="1"/>
  <c r="K103" i="21"/>
  <c r="O103" i="21" s="1"/>
  <c r="N103" i="21"/>
  <c r="P103" i="21" s="1"/>
  <c r="K157" i="21"/>
  <c r="O157" i="21" s="1"/>
  <c r="N157" i="21"/>
  <c r="P157" i="21" s="1"/>
  <c r="N158" i="21"/>
  <c r="P158" i="21" s="1"/>
  <c r="K158" i="21"/>
  <c r="O158" i="21" s="1"/>
  <c r="K167" i="21"/>
  <c r="O167" i="21" s="1"/>
  <c r="N167" i="21"/>
  <c r="P167" i="21" s="1"/>
  <c r="K71" i="21"/>
  <c r="O71" i="21" s="1"/>
  <c r="O70" i="21" s="1"/>
  <c r="N101" i="21"/>
  <c r="K43" i="21"/>
  <c r="O43" i="21" s="1"/>
  <c r="N111" i="21"/>
  <c r="N97" i="21"/>
  <c r="P97" i="21" s="1"/>
  <c r="K180" i="21"/>
  <c r="O180" i="21" s="1"/>
  <c r="K99" i="21"/>
  <c r="O99" i="21" s="1"/>
  <c r="N29" i="21"/>
  <c r="N22" i="21"/>
  <c r="P22" i="21" s="1"/>
  <c r="K22" i="21"/>
  <c r="O22" i="21" s="1"/>
  <c r="K23" i="21"/>
  <c r="O23" i="21" s="1"/>
  <c r="N23" i="21"/>
  <c r="P23" i="21" s="1"/>
  <c r="N36" i="21"/>
  <c r="P36" i="21" s="1"/>
  <c r="N37" i="21"/>
  <c r="P37" i="21" s="1"/>
  <c r="K37" i="21"/>
  <c r="O37" i="21" s="1"/>
  <c r="N44" i="21"/>
  <c r="K48" i="21"/>
  <c r="O48" i="21" s="1"/>
  <c r="O46" i="21" s="1"/>
  <c r="CI55" i="21"/>
  <c r="J55" i="21" s="1"/>
  <c r="N65" i="21"/>
  <c r="P65" i="21" s="1"/>
  <c r="K65" i="21"/>
  <c r="O65" i="21" s="1"/>
  <c r="CI73" i="21"/>
  <c r="J73" i="21" s="1"/>
  <c r="N74" i="21"/>
  <c r="P74" i="21" s="1"/>
  <c r="K74" i="21"/>
  <c r="O74" i="21" s="1"/>
  <c r="K105" i="21"/>
  <c r="O105" i="21" s="1"/>
  <c r="N105" i="21"/>
  <c r="P105" i="21" s="1"/>
  <c r="N177" i="21"/>
  <c r="P177" i="21" s="1"/>
  <c r="K94" i="21"/>
  <c r="O94" i="21" s="1"/>
  <c r="N47" i="21"/>
  <c r="K63" i="21"/>
  <c r="O63" i="21" s="1"/>
  <c r="K21" i="21"/>
  <c r="O21" i="21" s="1"/>
  <c r="N64" i="21"/>
  <c r="P64" i="21" s="1"/>
  <c r="N50" i="21"/>
  <c r="P50" i="21" s="1"/>
  <c r="K172" i="21"/>
  <c r="O172" i="21" s="1"/>
  <c r="K24" i="21"/>
  <c r="O24" i="21" s="1"/>
  <c r="K38" i="21"/>
  <c r="O38" i="21" s="1"/>
  <c r="N59" i="21"/>
  <c r="P59" i="21" s="1"/>
  <c r="K59" i="21"/>
  <c r="O59" i="21" s="1"/>
  <c r="N82" i="21"/>
  <c r="K82" i="21"/>
  <c r="O82" i="21" s="1"/>
  <c r="N93" i="21"/>
  <c r="K93" i="21"/>
  <c r="O93" i="21" s="1"/>
  <c r="M98" i="21"/>
  <c r="K114" i="21"/>
  <c r="O114" i="21" s="1"/>
  <c r="N114" i="21"/>
  <c r="P114" i="21" s="1"/>
  <c r="M116" i="21"/>
  <c r="N137" i="21"/>
  <c r="P137" i="21" s="1"/>
  <c r="K137" i="21"/>
  <c r="O137" i="21" s="1"/>
  <c r="N144" i="21"/>
  <c r="P144" i="21" s="1"/>
  <c r="K144" i="21"/>
  <c r="O144" i="21" s="1"/>
  <c r="K136" i="21"/>
  <c r="O136" i="21" s="1"/>
  <c r="N136" i="21"/>
  <c r="P136" i="21" s="1"/>
  <c r="N109" i="12" l="1"/>
  <c r="J109" i="12" s="1"/>
  <c r="O39" i="12"/>
  <c r="L14" i="14"/>
  <c r="P60" i="19"/>
  <c r="N57" i="19"/>
  <c r="L30" i="11"/>
  <c r="M30" i="11" s="1"/>
  <c r="P212" i="19"/>
  <c r="N208" i="19"/>
  <c r="P208" i="19" s="1"/>
  <c r="O188" i="18"/>
  <c r="N33" i="12"/>
  <c r="O169" i="20"/>
  <c r="O168" i="20" s="1"/>
  <c r="P57" i="19"/>
  <c r="N31" i="10"/>
  <c r="N109" i="11"/>
  <c r="J109" i="11" s="1"/>
  <c r="N252" i="20"/>
  <c r="P252" i="20" s="1"/>
  <c r="M32" i="8"/>
  <c r="M31" i="12"/>
  <c r="L46" i="14"/>
  <c r="O142" i="14"/>
  <c r="P27" i="19"/>
  <c r="N26" i="19"/>
  <c r="P26" i="19" s="1"/>
  <c r="N81" i="14"/>
  <c r="O81" i="14"/>
  <c r="K130" i="14"/>
  <c r="N78" i="14"/>
  <c r="N247" i="14"/>
  <c r="M214" i="20"/>
  <c r="P91" i="10"/>
  <c r="M29" i="12"/>
  <c r="O71" i="10"/>
  <c r="N181" i="14"/>
  <c r="O231" i="12"/>
  <c r="I613" i="5"/>
  <c r="J1718" i="5"/>
  <c r="L46" i="15"/>
  <c r="O240" i="12"/>
  <c r="O138" i="12"/>
  <c r="N120" i="12"/>
  <c r="J120" i="12" s="1"/>
  <c r="O73" i="12"/>
  <c r="O145" i="8"/>
  <c r="P145" i="8"/>
  <c r="P72" i="19"/>
  <c r="P153" i="19"/>
  <c r="N152" i="19"/>
  <c r="O65" i="14"/>
  <c r="N65" i="14"/>
  <c r="N62" i="14" s="1"/>
  <c r="P135" i="8"/>
  <c r="O135" i="8"/>
  <c r="M138" i="12"/>
  <c r="L129" i="22"/>
  <c r="O281" i="14"/>
  <c r="I32" i="10"/>
  <c r="O32" i="10" s="1"/>
  <c r="Q32" i="10" s="1"/>
  <c r="O238" i="14"/>
  <c r="O69" i="18"/>
  <c r="P69" i="18"/>
  <c r="P49" i="20"/>
  <c r="N46" i="20"/>
  <c r="P46" i="20" s="1"/>
  <c r="L66" i="12"/>
  <c r="O66" i="12" s="1"/>
  <c r="M66" i="12"/>
  <c r="M44" i="12"/>
  <c r="O44" i="12"/>
  <c r="M234" i="12"/>
  <c r="F275" i="14"/>
  <c r="P275" i="14" s="1"/>
  <c r="O275" i="14" s="1"/>
  <c r="K268" i="14"/>
  <c r="F268" i="14" s="1"/>
  <c r="M111" i="12"/>
  <c r="O111" i="12"/>
  <c r="L109" i="21"/>
  <c r="M214" i="19"/>
  <c r="K181" i="14"/>
  <c r="F181" i="14" s="1"/>
  <c r="H32" i="12"/>
  <c r="N14" i="11"/>
  <c r="O145" i="12"/>
  <c r="M240" i="12"/>
  <c r="M160" i="12"/>
  <c r="M81" i="12"/>
  <c r="N252" i="14"/>
  <c r="N84" i="15"/>
  <c r="N195" i="15"/>
  <c r="O247" i="16"/>
  <c r="O269" i="16"/>
  <c r="M268" i="18"/>
  <c r="M214" i="18"/>
  <c r="M284" i="18" s="1"/>
  <c r="O214" i="20"/>
  <c r="J124" i="5"/>
  <c r="J886" i="5"/>
  <c r="I1408" i="5"/>
  <c r="N152" i="12"/>
  <c r="J152" i="12" s="1"/>
  <c r="O57" i="8"/>
  <c r="O130" i="20"/>
  <c r="O181" i="19"/>
  <c r="O168" i="19" s="1"/>
  <c r="O278" i="18"/>
  <c r="O231" i="14"/>
  <c r="O45" i="8"/>
  <c r="P40" i="19"/>
  <c r="N39" i="19"/>
  <c r="P39" i="19" s="1"/>
  <c r="L122" i="12"/>
  <c r="O122" i="12" s="1"/>
  <c r="L18" i="11"/>
  <c r="M18" i="11" s="1"/>
  <c r="O249" i="14"/>
  <c r="N235" i="14"/>
  <c r="L157" i="12"/>
  <c r="O157" i="12" s="1"/>
  <c r="L134" i="12"/>
  <c r="O134" i="12" s="1"/>
  <c r="M115" i="12"/>
  <c r="O115" i="12"/>
  <c r="N45" i="15"/>
  <c r="O45" i="15"/>
  <c r="N230" i="14"/>
  <c r="N78" i="15"/>
  <c r="O225" i="19"/>
  <c r="O214" i="19" s="1"/>
  <c r="L258" i="12"/>
  <c r="O258" i="12" s="1"/>
  <c r="L263" i="12"/>
  <c r="O263" i="12" s="1"/>
  <c r="M208" i="22"/>
  <c r="O194" i="20"/>
  <c r="O274" i="12"/>
  <c r="N73" i="15"/>
  <c r="N47" i="15"/>
  <c r="N129" i="11"/>
  <c r="J129" i="11" s="1"/>
  <c r="J32" i="15"/>
  <c r="O197" i="12"/>
  <c r="Q38" i="10"/>
  <c r="O26" i="20"/>
  <c r="P14" i="18"/>
  <c r="K109" i="14"/>
  <c r="F109" i="14" s="1"/>
  <c r="N269" i="12"/>
  <c r="N78" i="12"/>
  <c r="N77" i="12" s="1"/>
  <c r="J77" i="12" s="1"/>
  <c r="P222" i="20"/>
  <c r="N215" i="20"/>
  <c r="P250" i="20"/>
  <c r="N247" i="20"/>
  <c r="P247" i="20" s="1"/>
  <c r="P227" i="20"/>
  <c r="N225" i="20"/>
  <c r="P225" i="20" s="1"/>
  <c r="P223" i="19"/>
  <c r="N215" i="19"/>
  <c r="N214" i="19" s="1"/>
  <c r="P254" i="18"/>
  <c r="O254" i="18"/>
  <c r="N153" i="14"/>
  <c r="K78" i="15"/>
  <c r="F78" i="15" s="1"/>
  <c r="O260" i="14"/>
  <c r="L279" i="12"/>
  <c r="O279" i="12" s="1"/>
  <c r="O165" i="14"/>
  <c r="L15" i="12"/>
  <c r="O15" i="12" s="1"/>
  <c r="M15" i="12"/>
  <c r="N281" i="14"/>
  <c r="Q151" i="10"/>
  <c r="P193" i="20"/>
  <c r="N190" i="20"/>
  <c r="P190" i="20" s="1"/>
  <c r="P207" i="18"/>
  <c r="O207" i="18"/>
  <c r="N92" i="20"/>
  <c r="P92" i="20" s="1"/>
  <c r="P93" i="20"/>
  <c r="O53" i="8"/>
  <c r="P53" i="8"/>
  <c r="L142" i="12"/>
  <c r="O142" i="12" s="1"/>
  <c r="O72" i="22"/>
  <c r="O69" i="22" s="1"/>
  <c r="L214" i="18"/>
  <c r="O16" i="14"/>
  <c r="K269" i="15"/>
  <c r="F269" i="15" s="1"/>
  <c r="N225" i="14"/>
  <c r="M39" i="14"/>
  <c r="O39" i="14" s="1"/>
  <c r="N121" i="15"/>
  <c r="O32" i="8"/>
  <c r="L77" i="19"/>
  <c r="I213" i="10"/>
  <c r="J791" i="5"/>
  <c r="I124" i="5"/>
  <c r="I920" i="5"/>
  <c r="M188" i="12"/>
  <c r="L284" i="16"/>
  <c r="O120" i="8"/>
  <c r="P63" i="20"/>
  <c r="N62" i="20"/>
  <c r="P62" i="20" s="1"/>
  <c r="O23" i="14"/>
  <c r="N23" i="14"/>
  <c r="N149" i="14"/>
  <c r="O149" i="14"/>
  <c r="N42" i="14"/>
  <c r="L249" i="12"/>
  <c r="O249" i="12" s="1"/>
  <c r="M249" i="12"/>
  <c r="L40" i="15"/>
  <c r="L32" i="15" s="1"/>
  <c r="N260" i="14"/>
  <c r="N259" i="14" s="1"/>
  <c r="J33" i="12"/>
  <c r="N32" i="12"/>
  <c r="J269" i="12"/>
  <c r="N268" i="12"/>
  <c r="J268" i="12" s="1"/>
  <c r="P50" i="19"/>
  <c r="N46" i="19"/>
  <c r="P46" i="19" s="1"/>
  <c r="N208" i="20"/>
  <c r="P208" i="20" s="1"/>
  <c r="P209" i="20"/>
  <c r="P258" i="18"/>
  <c r="O258" i="18"/>
  <c r="P85" i="18"/>
  <c r="O85" i="18"/>
  <c r="N83" i="18"/>
  <c r="P83" i="18" s="1"/>
  <c r="L216" i="12"/>
  <c r="O216" i="12" s="1"/>
  <c r="O144" i="8"/>
  <c r="P144" i="8"/>
  <c r="L212" i="12"/>
  <c r="O212" i="12" s="1"/>
  <c r="M212" i="12"/>
  <c r="L91" i="12"/>
  <c r="O91" i="12" s="1"/>
  <c r="L71" i="12"/>
  <c r="O71" i="12" s="1"/>
  <c r="M71" i="12"/>
  <c r="L28" i="12"/>
  <c r="K26" i="12"/>
  <c r="O30" i="14"/>
  <c r="N30" i="14"/>
  <c r="O164" i="12"/>
  <c r="N279" i="15"/>
  <c r="O137" i="12"/>
  <c r="O40" i="15"/>
  <c r="N109" i="14"/>
  <c r="L14" i="11"/>
  <c r="L268" i="20"/>
  <c r="L109" i="22"/>
  <c r="I1587" i="5"/>
  <c r="O210" i="12"/>
  <c r="P76" i="10"/>
  <c r="J110" i="12"/>
  <c r="M203" i="12"/>
  <c r="L32" i="22"/>
  <c r="O62" i="18"/>
  <c r="P62" i="18"/>
  <c r="P243" i="18"/>
  <c r="O243" i="18"/>
  <c r="P27" i="20"/>
  <c r="N26" i="20"/>
  <c r="P26" i="20" s="1"/>
  <c r="O63" i="12"/>
  <c r="O34" i="14"/>
  <c r="O101" i="14"/>
  <c r="N101" i="14"/>
  <c r="N98" i="14" s="1"/>
  <c r="M251" i="12"/>
  <c r="K151" i="10"/>
  <c r="O82" i="12"/>
  <c r="M23" i="12"/>
  <c r="N96" i="21"/>
  <c r="N75" i="22"/>
  <c r="P75" i="22" s="1"/>
  <c r="L214" i="22"/>
  <c r="M168" i="16"/>
  <c r="O72" i="16"/>
  <c r="N129" i="10"/>
  <c r="I2206" i="5"/>
  <c r="N278" i="14"/>
  <c r="O168" i="10"/>
  <c r="P268" i="20"/>
  <c r="O190" i="16"/>
  <c r="L45" i="20"/>
  <c r="L13" i="16"/>
  <c r="P119" i="10"/>
  <c r="J1408" i="5"/>
  <c r="N14" i="12"/>
  <c r="J14" i="12" s="1"/>
  <c r="Q160" i="10"/>
  <c r="M26" i="14"/>
  <c r="N26" i="14" s="1"/>
  <c r="M167" i="12"/>
  <c r="L32" i="21"/>
  <c r="P228" i="18"/>
  <c r="O228" i="18"/>
  <c r="P183" i="20"/>
  <c r="N181" i="20"/>
  <c r="P181" i="20" s="1"/>
  <c r="L45" i="18"/>
  <c r="L200" i="12"/>
  <c r="O200" i="12" s="1"/>
  <c r="L241" i="12"/>
  <c r="O241" i="12" s="1"/>
  <c r="M241" i="12"/>
  <c r="L47" i="12"/>
  <c r="O47" i="12" s="1"/>
  <c r="L30" i="12"/>
  <c r="O30" i="12" s="1"/>
  <c r="Q281" i="10"/>
  <c r="P281" i="10"/>
  <c r="O136" i="12"/>
  <c r="I16" i="12"/>
  <c r="I14" i="12" s="1"/>
  <c r="H14" i="12"/>
  <c r="P161" i="8"/>
  <c r="N152" i="8"/>
  <c r="P152" i="8" s="1"/>
  <c r="P132" i="8"/>
  <c r="O132" i="8"/>
  <c r="L43" i="11"/>
  <c r="L39" i="11" s="1"/>
  <c r="M39" i="11" s="1"/>
  <c r="M284" i="20"/>
  <c r="O110" i="21"/>
  <c r="N169" i="16"/>
  <c r="P169" i="16" s="1"/>
  <c r="K252" i="18"/>
  <c r="O83" i="18"/>
  <c r="O45" i="20"/>
  <c r="K98" i="14"/>
  <c r="F98" i="14" s="1"/>
  <c r="N152" i="14"/>
  <c r="M28" i="12"/>
  <c r="N214" i="12"/>
  <c r="J214" i="12" s="1"/>
  <c r="N63" i="15"/>
  <c r="N46" i="15" s="1"/>
  <c r="P97" i="10"/>
  <c r="O77" i="8"/>
  <c r="O77" i="19"/>
  <c r="I44" i="10"/>
  <c r="J1504" i="5"/>
  <c r="O234" i="14"/>
  <c r="M61" i="12"/>
  <c r="M45" i="10"/>
  <c r="M44" i="10" s="1"/>
  <c r="P160" i="10"/>
  <c r="I32" i="12"/>
  <c r="P39" i="20"/>
  <c r="M84" i="12"/>
  <c r="O14" i="18"/>
  <c r="P220" i="18"/>
  <c r="O220" i="18"/>
  <c r="O142" i="8"/>
  <c r="P142" i="8"/>
  <c r="O280" i="10"/>
  <c r="K279" i="10"/>
  <c r="M280" i="10"/>
  <c r="Q71" i="10"/>
  <c r="M183" i="12"/>
  <c r="N151" i="10"/>
  <c r="L235" i="12"/>
  <c r="O235" i="12" s="1"/>
  <c r="L7" i="23"/>
  <c r="K32" i="14"/>
  <c r="F32" i="14" s="1"/>
  <c r="F33" i="14"/>
  <c r="F78" i="14"/>
  <c r="K77" i="14"/>
  <c r="F77" i="14" s="1"/>
  <c r="N110" i="21"/>
  <c r="M13" i="20"/>
  <c r="O128" i="18"/>
  <c r="O62" i="16"/>
  <c r="K215" i="18"/>
  <c r="O268" i="19"/>
  <c r="K194" i="14"/>
  <c r="F194" i="14" s="1"/>
  <c r="M49" i="12"/>
  <c r="N77" i="14"/>
  <c r="O13" i="23"/>
  <c r="L69" i="20"/>
  <c r="P69" i="20" s="1"/>
  <c r="P54" i="20"/>
  <c r="N51" i="20"/>
  <c r="P82" i="19"/>
  <c r="N78" i="19"/>
  <c r="P80" i="18"/>
  <c r="O80" i="18"/>
  <c r="P70" i="19"/>
  <c r="N69" i="19"/>
  <c r="P69" i="19" s="1"/>
  <c r="N190" i="18"/>
  <c r="P190" i="18" s="1"/>
  <c r="O191" i="18"/>
  <c r="P191" i="18"/>
  <c r="O26" i="18"/>
  <c r="P26" i="18"/>
  <c r="J169" i="12"/>
  <c r="N168" i="12"/>
  <c r="J168" i="12" s="1"/>
  <c r="O138" i="8"/>
  <c r="P138" i="8"/>
  <c r="O143" i="8"/>
  <c r="P143" i="8"/>
  <c r="J1587" i="5"/>
  <c r="N26" i="8"/>
  <c r="M52" i="14"/>
  <c r="L51" i="14"/>
  <c r="L45" i="14" s="1"/>
  <c r="M27" i="12"/>
  <c r="L25" i="12"/>
  <c r="O25" i="12" s="1"/>
  <c r="L21" i="12"/>
  <c r="M21" i="12" s="1"/>
  <c r="N268" i="11"/>
  <c r="J268" i="11" s="1"/>
  <c r="L37" i="11"/>
  <c r="M37" i="11" s="1"/>
  <c r="I28" i="11"/>
  <c r="I26" i="11" s="1"/>
  <c r="H26" i="11"/>
  <c r="N281" i="10"/>
  <c r="J282" i="8"/>
  <c r="J280" i="10"/>
  <c r="M86" i="12"/>
  <c r="N77" i="8"/>
  <c r="L129" i="8"/>
  <c r="M191" i="12"/>
  <c r="P131" i="20"/>
  <c r="N130" i="20"/>
  <c r="O194" i="19"/>
  <c r="O190" i="19"/>
  <c r="P183" i="19"/>
  <c r="N181" i="19"/>
  <c r="N168" i="19" s="1"/>
  <c r="P168" i="19" s="1"/>
  <c r="P52" i="19"/>
  <c r="N51" i="19"/>
  <c r="I791" i="5"/>
  <c r="L284" i="21"/>
  <c r="N169" i="22"/>
  <c r="I1588" i="5"/>
  <c r="L268" i="19"/>
  <c r="P269" i="19"/>
  <c r="P100" i="19"/>
  <c r="N98" i="19"/>
  <c r="P98" i="19" s="1"/>
  <c r="P65" i="18"/>
  <c r="O65" i="18"/>
  <c r="P130" i="18"/>
  <c r="N129" i="18"/>
  <c r="P129" i="18" s="1"/>
  <c r="N78" i="18"/>
  <c r="O79" i="18"/>
  <c r="P79" i="18"/>
  <c r="O170" i="14"/>
  <c r="N170" i="14"/>
  <c r="N169" i="14" s="1"/>
  <c r="N168" i="14" s="1"/>
  <c r="P192" i="18"/>
  <c r="O192" i="18"/>
  <c r="N33" i="18"/>
  <c r="P33" i="18" s="1"/>
  <c r="L36" i="12"/>
  <c r="I36" i="11"/>
  <c r="I33" i="11" s="1"/>
  <c r="I32" i="11" s="1"/>
  <c r="H33" i="11"/>
  <c r="H32" i="11" s="1"/>
  <c r="P148" i="8"/>
  <c r="O148" i="8"/>
  <c r="N129" i="12"/>
  <c r="J129" i="12" s="1"/>
  <c r="K33" i="12"/>
  <c r="K32" i="12" s="1"/>
  <c r="O108" i="10"/>
  <c r="Q108" i="10" s="1"/>
  <c r="Q109" i="10"/>
  <c r="P49" i="10"/>
  <c r="Q49" i="10"/>
  <c r="N77" i="11"/>
  <c r="J77" i="11" s="1"/>
  <c r="O53" i="10"/>
  <c r="K50" i="10"/>
  <c r="K44" i="10" s="1"/>
  <c r="I25" i="10"/>
  <c r="Q27" i="10"/>
  <c r="P81" i="20"/>
  <c r="N78" i="20"/>
  <c r="P78" i="20" s="1"/>
  <c r="P196" i="19"/>
  <c r="N194" i="19"/>
  <c r="P194" i="19" s="1"/>
  <c r="P191" i="19"/>
  <c r="N190" i="19"/>
  <c r="P190" i="19" s="1"/>
  <c r="O51" i="19"/>
  <c r="P279" i="18"/>
  <c r="N278" i="18"/>
  <c r="P278" i="18" s="1"/>
  <c r="O263" i="18"/>
  <c r="P263" i="18"/>
  <c r="P237" i="18"/>
  <c r="O237" i="18"/>
  <c r="P233" i="18"/>
  <c r="O233" i="18"/>
  <c r="M13" i="19"/>
  <c r="O152" i="18"/>
  <c r="J2206" i="5"/>
  <c r="I2378" i="5"/>
  <c r="N169" i="15"/>
  <c r="O32" i="18"/>
  <c r="O130" i="18"/>
  <c r="P126" i="18"/>
  <c r="O126" i="18"/>
  <c r="O102" i="18"/>
  <c r="P102" i="18"/>
  <c r="L94" i="12"/>
  <c r="O94" i="12" s="1"/>
  <c r="L100" i="12"/>
  <c r="O100" i="12" s="1"/>
  <c r="P186" i="18"/>
  <c r="O186" i="18"/>
  <c r="J46" i="11"/>
  <c r="N45" i="11"/>
  <c r="J45" i="11" s="1"/>
  <c r="L16" i="12"/>
  <c r="M16" i="12" s="1"/>
  <c r="K14" i="12"/>
  <c r="J72" i="11"/>
  <c r="N69" i="11"/>
  <c r="J69" i="11" s="1"/>
  <c r="P92" i="19"/>
  <c r="J78" i="12"/>
  <c r="K14" i="11"/>
  <c r="P269" i="20"/>
  <c r="K51" i="14"/>
  <c r="F51" i="14" s="1"/>
  <c r="N52" i="14"/>
  <c r="N51" i="14" s="1"/>
  <c r="N45" i="14" s="1"/>
  <c r="M165" i="12"/>
  <c r="O165" i="12"/>
  <c r="L35" i="11"/>
  <c r="L33" i="11" s="1"/>
  <c r="K33" i="11"/>
  <c r="K32" i="11" s="1"/>
  <c r="K26" i="11"/>
  <c r="L28" i="11"/>
  <c r="L26" i="11" s="1"/>
  <c r="M26" i="11" s="1"/>
  <c r="N268" i="14"/>
  <c r="M39" i="12"/>
  <c r="J1683" i="5"/>
  <c r="O152" i="20"/>
  <c r="O129" i="20" s="1"/>
  <c r="L214" i="19"/>
  <c r="O62" i="19"/>
  <c r="O33" i="19"/>
  <c r="O32" i="19" s="1"/>
  <c r="P18" i="19"/>
  <c r="N14" i="19"/>
  <c r="P14" i="19" s="1"/>
  <c r="O276" i="18"/>
  <c r="P276" i="18"/>
  <c r="O120" i="16"/>
  <c r="M262" i="12"/>
  <c r="P181" i="19"/>
  <c r="P151" i="10"/>
  <c r="P128" i="10" s="1"/>
  <c r="N194" i="14"/>
  <c r="P100" i="20"/>
  <c r="N98" i="20"/>
  <c r="P98" i="20" s="1"/>
  <c r="N67" i="20"/>
  <c r="P67" i="20" s="1"/>
  <c r="P68" i="20"/>
  <c r="O60" i="18"/>
  <c r="P60" i="18"/>
  <c r="P124" i="19"/>
  <c r="N120" i="19"/>
  <c r="P120" i="19" s="1"/>
  <c r="P201" i="18"/>
  <c r="O201" i="18"/>
  <c r="N109" i="16"/>
  <c r="P109" i="16" s="1"/>
  <c r="P110" i="16"/>
  <c r="N275" i="19"/>
  <c r="L109" i="8"/>
  <c r="O31" i="18"/>
  <c r="P31" i="18"/>
  <c r="L245" i="12"/>
  <c r="O245" i="12" s="1"/>
  <c r="J920" i="5"/>
  <c r="J46" i="12"/>
  <c r="N45" i="12"/>
  <c r="J45" i="12" s="1"/>
  <c r="M233" i="12"/>
  <c r="M88" i="12"/>
  <c r="O88" i="12"/>
  <c r="N33" i="11"/>
  <c r="N283" i="8"/>
  <c r="K283" i="8"/>
  <c r="P131" i="8"/>
  <c r="O131" i="8"/>
  <c r="L45" i="8"/>
  <c r="J613" i="5"/>
  <c r="O54" i="8"/>
  <c r="N51" i="8"/>
  <c r="P54" i="8"/>
  <c r="N169" i="20"/>
  <c r="P171" i="20"/>
  <c r="P154" i="20"/>
  <c r="N152" i="20"/>
  <c r="P152" i="20" s="1"/>
  <c r="N67" i="19"/>
  <c r="P67" i="19" s="1"/>
  <c r="P68" i="19"/>
  <c r="P65" i="19"/>
  <c r="N62" i="19"/>
  <c r="P62" i="19" s="1"/>
  <c r="P35" i="19"/>
  <c r="N33" i="19"/>
  <c r="O14" i="19"/>
  <c r="O234" i="18"/>
  <c r="P234" i="18"/>
  <c r="P221" i="18"/>
  <c r="O221" i="18"/>
  <c r="P209" i="18"/>
  <c r="O209" i="18"/>
  <c r="O284" i="23"/>
  <c r="N284" i="23"/>
  <c r="N13" i="23"/>
  <c r="F170" i="15"/>
  <c r="K169" i="15"/>
  <c r="F169" i="15" s="1"/>
  <c r="F225" i="14"/>
  <c r="K214" i="14"/>
  <c r="F214" i="14" s="1"/>
  <c r="J14" i="11"/>
  <c r="P110" i="20"/>
  <c r="N109" i="20"/>
  <c r="P109" i="20" s="1"/>
  <c r="L168" i="18"/>
  <c r="L13" i="18" s="1"/>
  <c r="P169" i="18"/>
  <c r="P232" i="18"/>
  <c r="O232" i="18"/>
  <c r="N225" i="18"/>
  <c r="P225" i="18" s="1"/>
  <c r="N39" i="16"/>
  <c r="P39" i="16" s="1"/>
  <c r="P40" i="16"/>
  <c r="N95" i="16"/>
  <c r="P95" i="16" s="1"/>
  <c r="P96" i="16"/>
  <c r="N130" i="16"/>
  <c r="P131" i="16"/>
  <c r="L72" i="14"/>
  <c r="M73" i="14"/>
  <c r="O151" i="8"/>
  <c r="P151" i="8"/>
  <c r="O132" i="10"/>
  <c r="K129" i="10"/>
  <c r="O45" i="10"/>
  <c r="Q48" i="10"/>
  <c r="O75" i="10"/>
  <c r="Q76" i="10"/>
  <c r="J32" i="12"/>
  <c r="N226" i="15"/>
  <c r="N215" i="15" s="1"/>
  <c r="K215" i="15"/>
  <c r="F215" i="15" s="1"/>
  <c r="O278" i="16"/>
  <c r="O252" i="16"/>
  <c r="O208" i="16"/>
  <c r="K110" i="15"/>
  <c r="F110" i="15" s="1"/>
  <c r="O275" i="16"/>
  <c r="O268" i="16" s="1"/>
  <c r="O215" i="16"/>
  <c r="O198" i="18"/>
  <c r="P198" i="18"/>
  <c r="N194" i="18"/>
  <c r="P194" i="18" s="1"/>
  <c r="L13" i="21"/>
  <c r="O169" i="22"/>
  <c r="P34" i="16"/>
  <c r="N33" i="16"/>
  <c r="M129" i="16"/>
  <c r="O273" i="18"/>
  <c r="O269" i="18" s="1"/>
  <c r="P273" i="18"/>
  <c r="N269" i="18"/>
  <c r="O69" i="16"/>
  <c r="O277" i="18"/>
  <c r="P277" i="18"/>
  <c r="N275" i="18"/>
  <c r="P275" i="18" s="1"/>
  <c r="P103" i="18"/>
  <c r="O103" i="18"/>
  <c r="P212" i="18"/>
  <c r="O212" i="18"/>
  <c r="P125" i="18"/>
  <c r="O125" i="18"/>
  <c r="N120" i="18"/>
  <c r="P61" i="18"/>
  <c r="O61" i="18"/>
  <c r="N57" i="18"/>
  <c r="O39" i="16"/>
  <c r="O78" i="16"/>
  <c r="O77" i="16" s="1"/>
  <c r="N62" i="16"/>
  <c r="P62" i="16" s="1"/>
  <c r="P63" i="16"/>
  <c r="P216" i="18"/>
  <c r="N215" i="18"/>
  <c r="O26" i="16"/>
  <c r="K208" i="14"/>
  <c r="F208" i="14" s="1"/>
  <c r="P171" i="8"/>
  <c r="N169" i="8"/>
  <c r="F14" i="14"/>
  <c r="F57" i="14"/>
  <c r="P133" i="8"/>
  <c r="O133" i="8"/>
  <c r="N130" i="8"/>
  <c r="F169" i="14"/>
  <c r="K168" i="14"/>
  <c r="F168" i="14" s="1"/>
  <c r="J215" i="11"/>
  <c r="N214" i="11"/>
  <c r="J214" i="11" s="1"/>
  <c r="P48" i="10"/>
  <c r="P45" i="10" s="1"/>
  <c r="P44" i="10" s="1"/>
  <c r="N131" i="15"/>
  <c r="N70" i="15"/>
  <c r="M46" i="15"/>
  <c r="N117" i="15"/>
  <c r="N110" i="15" s="1"/>
  <c r="N153" i="15"/>
  <c r="N130" i="14"/>
  <c r="N129" i="14" s="1"/>
  <c r="M20" i="11"/>
  <c r="N278" i="16"/>
  <c r="P279" i="16"/>
  <c r="N247" i="16"/>
  <c r="P247" i="16" s="1"/>
  <c r="P248" i="16"/>
  <c r="N269" i="16"/>
  <c r="P270" i="16"/>
  <c r="N252" i="16"/>
  <c r="P252" i="16" s="1"/>
  <c r="P253" i="16"/>
  <c r="N208" i="16"/>
  <c r="P208" i="16" s="1"/>
  <c r="P209" i="16"/>
  <c r="M80" i="12"/>
  <c r="N275" i="16"/>
  <c r="P275" i="16" s="1"/>
  <c r="P276" i="16"/>
  <c r="N215" i="16"/>
  <c r="P216" i="16"/>
  <c r="P207" i="20"/>
  <c r="N194" i="20"/>
  <c r="N90" i="20"/>
  <c r="P90" i="20" s="1"/>
  <c r="P91" i="20"/>
  <c r="O51" i="16"/>
  <c r="O120" i="21"/>
  <c r="O77" i="20"/>
  <c r="L284" i="19"/>
  <c r="O152" i="16"/>
  <c r="M214" i="16"/>
  <c r="P256" i="18"/>
  <c r="O256" i="18"/>
  <c r="O252" i="18" s="1"/>
  <c r="N252" i="18"/>
  <c r="P252" i="18" s="1"/>
  <c r="P211" i="18"/>
  <c r="O211" i="18"/>
  <c r="M45" i="16"/>
  <c r="N70" i="16"/>
  <c r="P71" i="16"/>
  <c r="K269" i="18"/>
  <c r="P245" i="18"/>
  <c r="O245" i="18"/>
  <c r="P97" i="18"/>
  <c r="N95" i="18"/>
  <c r="P95" i="18" s="1"/>
  <c r="O97" i="18"/>
  <c r="O95" i="18" s="1"/>
  <c r="N72" i="16"/>
  <c r="P72" i="16" s="1"/>
  <c r="P73" i="16"/>
  <c r="O63" i="18"/>
  <c r="P63" i="18"/>
  <c r="N46" i="16"/>
  <c r="P47" i="16"/>
  <c r="N78" i="16"/>
  <c r="P79" i="16"/>
  <c r="O14" i="16"/>
  <c r="O99" i="18"/>
  <c r="P99" i="18"/>
  <c r="N98" i="18"/>
  <c r="P98" i="18" s="1"/>
  <c r="N26" i="16"/>
  <c r="P26" i="16" s="1"/>
  <c r="P27" i="16"/>
  <c r="O134" i="8"/>
  <c r="P134" i="8"/>
  <c r="F130" i="14"/>
  <c r="K129" i="14"/>
  <c r="F129" i="14" s="1"/>
  <c r="P147" i="8"/>
  <c r="O147" i="8"/>
  <c r="P30" i="10"/>
  <c r="Q30" i="10"/>
  <c r="O25" i="10"/>
  <c r="M274" i="12"/>
  <c r="N215" i="14"/>
  <c r="N214" i="14" s="1"/>
  <c r="N120" i="14"/>
  <c r="O181" i="16"/>
  <c r="O259" i="16"/>
  <c r="P14" i="8"/>
  <c r="O14" i="8"/>
  <c r="L13" i="19"/>
  <c r="O225" i="16"/>
  <c r="O194" i="16"/>
  <c r="M284" i="19"/>
  <c r="N98" i="16"/>
  <c r="P98" i="16" s="1"/>
  <c r="P99" i="16"/>
  <c r="N190" i="22"/>
  <c r="P190" i="22" s="1"/>
  <c r="L214" i="20"/>
  <c r="P215" i="20"/>
  <c r="P84" i="20"/>
  <c r="N83" i="20"/>
  <c r="P185" i="18"/>
  <c r="O185" i="18"/>
  <c r="O181" i="18" s="1"/>
  <c r="O168" i="18" s="1"/>
  <c r="N181" i="18"/>
  <c r="O169" i="16"/>
  <c r="M109" i="16"/>
  <c r="M13" i="16" s="1"/>
  <c r="Q13" i="16" s="1"/>
  <c r="O205" i="18"/>
  <c r="P267" i="18"/>
  <c r="O267" i="18"/>
  <c r="O259" i="18" s="1"/>
  <c r="N259" i="18"/>
  <c r="P259" i="18" s="1"/>
  <c r="O91" i="18"/>
  <c r="P91" i="18"/>
  <c r="P223" i="18"/>
  <c r="O223" i="18"/>
  <c r="N152" i="16"/>
  <c r="P152" i="16" s="1"/>
  <c r="N51" i="16"/>
  <c r="P51" i="16" s="1"/>
  <c r="P52" i="16"/>
  <c r="P110" i="19"/>
  <c r="N109" i="19"/>
  <c r="P93" i="18"/>
  <c r="O93" i="18"/>
  <c r="O92" i="18" s="1"/>
  <c r="N92" i="18"/>
  <c r="P92" i="18" s="1"/>
  <c r="M13" i="18"/>
  <c r="O46" i="16"/>
  <c r="O98" i="16"/>
  <c r="N14" i="16"/>
  <c r="P15" i="16"/>
  <c r="N67" i="16"/>
  <c r="P67" i="16" s="1"/>
  <c r="P68" i="16"/>
  <c r="O130" i="16"/>
  <c r="K131" i="15"/>
  <c r="P74" i="10"/>
  <c r="I68" i="10"/>
  <c r="O33" i="16"/>
  <c r="O32" i="16" s="1"/>
  <c r="N38" i="14"/>
  <c r="O38" i="14"/>
  <c r="M33" i="14"/>
  <c r="J181" i="11"/>
  <c r="N168" i="11"/>
  <c r="J168" i="11" s="1"/>
  <c r="F32" i="15"/>
  <c r="O109" i="16"/>
  <c r="Q168" i="10"/>
  <c r="N181" i="16"/>
  <c r="P181" i="16" s="1"/>
  <c r="P182" i="16"/>
  <c r="N259" i="16"/>
  <c r="P259" i="16" s="1"/>
  <c r="P260" i="16"/>
  <c r="I279" i="8"/>
  <c r="M280" i="8"/>
  <c r="N190" i="16"/>
  <c r="P190" i="16" s="1"/>
  <c r="P191" i="16"/>
  <c r="P119" i="8"/>
  <c r="N118" i="8"/>
  <c r="O119" i="8"/>
  <c r="N225" i="16"/>
  <c r="P225" i="16" s="1"/>
  <c r="P226" i="16"/>
  <c r="N194" i="16"/>
  <c r="P194" i="16" s="1"/>
  <c r="P195" i="16"/>
  <c r="K65" i="22"/>
  <c r="O65" i="22" s="1"/>
  <c r="N185" i="22"/>
  <c r="P185" i="22" s="1"/>
  <c r="N25" i="22"/>
  <c r="P25" i="22" s="1"/>
  <c r="N21" i="22"/>
  <c r="P21" i="22" s="1"/>
  <c r="M168" i="22"/>
  <c r="O190" i="22"/>
  <c r="K221" i="22"/>
  <c r="O221" i="22" s="1"/>
  <c r="O215" i="22" s="1"/>
  <c r="N208" i="22"/>
  <c r="P208" i="22" s="1"/>
  <c r="O208" i="22"/>
  <c r="K189" i="22"/>
  <c r="O189" i="22" s="1"/>
  <c r="M130" i="22"/>
  <c r="M129" i="22" s="1"/>
  <c r="M45" i="22"/>
  <c r="M77" i="22"/>
  <c r="M32" i="22"/>
  <c r="O57" i="22"/>
  <c r="K101" i="22"/>
  <c r="O101" i="22" s="1"/>
  <c r="O98" i="22" s="1"/>
  <c r="N90" i="22"/>
  <c r="P90" i="22" s="1"/>
  <c r="N17" i="22"/>
  <c r="P17" i="22" s="1"/>
  <c r="N113" i="22"/>
  <c r="N110" i="22" s="1"/>
  <c r="K113" i="22"/>
  <c r="O113" i="22" s="1"/>
  <c r="O110" i="22" s="1"/>
  <c r="N98" i="22"/>
  <c r="P98" i="22" s="1"/>
  <c r="N95" i="22"/>
  <c r="P95" i="22" s="1"/>
  <c r="M109" i="22"/>
  <c r="CI168" i="22"/>
  <c r="CI181" i="22"/>
  <c r="O26" i="22"/>
  <c r="CI281" i="22"/>
  <c r="J281" i="22" s="1"/>
  <c r="I281" i="22"/>
  <c r="M281" i="22" s="1"/>
  <c r="O14" i="22"/>
  <c r="K282" i="22"/>
  <c r="O282" i="22" s="1"/>
  <c r="N282" i="22"/>
  <c r="P282" i="22" s="1"/>
  <c r="N182" i="22"/>
  <c r="P182" i="22" s="1"/>
  <c r="K182" i="22"/>
  <c r="O182" i="22" s="1"/>
  <c r="O181" i="22" s="1"/>
  <c r="N70" i="22"/>
  <c r="P70" i="22" s="1"/>
  <c r="P71" i="22"/>
  <c r="O51" i="22"/>
  <c r="N130" i="22"/>
  <c r="P130" i="22" s="1"/>
  <c r="O130" i="22"/>
  <c r="O120" i="22"/>
  <c r="O62" i="22"/>
  <c r="O33" i="22"/>
  <c r="P93" i="22"/>
  <c r="N92" i="22"/>
  <c r="P92" i="22" s="1"/>
  <c r="P84" i="22"/>
  <c r="N83" i="22"/>
  <c r="P83" i="22" s="1"/>
  <c r="N120" i="22"/>
  <c r="P120" i="22" s="1"/>
  <c r="P68" i="22"/>
  <c r="N67" i="22"/>
  <c r="P67" i="22" s="1"/>
  <c r="O194" i="22"/>
  <c r="P89" i="22"/>
  <c r="N87" i="22"/>
  <c r="P87" i="22" s="1"/>
  <c r="P40" i="22"/>
  <c r="N39" i="22"/>
  <c r="P39" i="22" s="1"/>
  <c r="P118" i="22"/>
  <c r="N116" i="22"/>
  <c r="P116" i="22" s="1"/>
  <c r="P59" i="22"/>
  <c r="N57" i="22"/>
  <c r="P57" i="22" s="1"/>
  <c r="O78" i="22"/>
  <c r="O77" i="22" s="1"/>
  <c r="N26" i="22"/>
  <c r="P26" i="22" s="1"/>
  <c r="N215" i="22"/>
  <c r="N62" i="22"/>
  <c r="P62" i="22" s="1"/>
  <c r="P47" i="22"/>
  <c r="N46" i="22"/>
  <c r="O152" i="22"/>
  <c r="N51" i="22"/>
  <c r="P51" i="22" s="1"/>
  <c r="P52" i="22"/>
  <c r="N78" i="22"/>
  <c r="P79" i="22"/>
  <c r="P173" i="22"/>
  <c r="P15" i="22"/>
  <c r="N194" i="22"/>
  <c r="P194" i="22" s="1"/>
  <c r="P201" i="22"/>
  <c r="O39" i="22"/>
  <c r="P188" i="22"/>
  <c r="N181" i="22"/>
  <c r="P181" i="22" s="1"/>
  <c r="N33" i="22"/>
  <c r="N152" i="22"/>
  <c r="P152" i="22" s="1"/>
  <c r="K139" i="21"/>
  <c r="O139" i="21" s="1"/>
  <c r="N150" i="21"/>
  <c r="P150" i="21" s="1"/>
  <c r="K173" i="21"/>
  <c r="O173" i="21" s="1"/>
  <c r="O169" i="21" s="1"/>
  <c r="M130" i="21"/>
  <c r="M129" i="21" s="1"/>
  <c r="K153" i="21"/>
  <c r="O153" i="21" s="1"/>
  <c r="N68" i="21"/>
  <c r="P68" i="21" s="1"/>
  <c r="O83" i="21"/>
  <c r="M109" i="21"/>
  <c r="O57" i="21"/>
  <c r="O39" i="21"/>
  <c r="N170" i="21"/>
  <c r="N169" i="21" s="1"/>
  <c r="P169" i="21" s="1"/>
  <c r="N151" i="21"/>
  <c r="P151" i="21" s="1"/>
  <c r="CI130" i="21"/>
  <c r="P89" i="21"/>
  <c r="CI45" i="21"/>
  <c r="N83" i="21"/>
  <c r="P83" i="21" s="1"/>
  <c r="N120" i="21"/>
  <c r="P120" i="21" s="1"/>
  <c r="N161" i="21"/>
  <c r="P161" i="21" s="1"/>
  <c r="K161" i="21"/>
  <c r="O161" i="21" s="1"/>
  <c r="N134" i="21"/>
  <c r="P134" i="21" s="1"/>
  <c r="K134" i="21"/>
  <c r="O134" i="21" s="1"/>
  <c r="K147" i="21"/>
  <c r="O147" i="21" s="1"/>
  <c r="N147" i="21"/>
  <c r="P147" i="21" s="1"/>
  <c r="I282" i="21"/>
  <c r="M282" i="21" s="1"/>
  <c r="CI282" i="21"/>
  <c r="J282" i="21" s="1"/>
  <c r="N283" i="21"/>
  <c r="P283" i="21" s="1"/>
  <c r="K283" i="21"/>
  <c r="O283" i="21" s="1"/>
  <c r="N162" i="21"/>
  <c r="P162" i="21" s="1"/>
  <c r="K162" i="21"/>
  <c r="O162" i="21" s="1"/>
  <c r="K53" i="21"/>
  <c r="O53" i="21" s="1"/>
  <c r="N53" i="21"/>
  <c r="P53" i="21" s="1"/>
  <c r="O109" i="21"/>
  <c r="O78" i="21"/>
  <c r="O26" i="21"/>
  <c r="P122" i="21"/>
  <c r="M32" i="21"/>
  <c r="N116" i="21"/>
  <c r="P116" i="21" s="1"/>
  <c r="P117" i="21"/>
  <c r="P91" i="21"/>
  <c r="N90" i="21"/>
  <c r="P90" i="21" s="1"/>
  <c r="N75" i="21"/>
  <c r="P75" i="21" s="1"/>
  <c r="P76" i="21"/>
  <c r="CI52" i="21"/>
  <c r="J52" i="21" s="1"/>
  <c r="I52" i="21"/>
  <c r="M52" i="21" s="1"/>
  <c r="M51" i="21" s="1"/>
  <c r="M45" i="21" s="1"/>
  <c r="P153" i="21"/>
  <c r="O92" i="21"/>
  <c r="O62" i="21"/>
  <c r="P96" i="21"/>
  <c r="N95" i="21"/>
  <c r="P95" i="21" s="1"/>
  <c r="P93" i="21"/>
  <c r="N92" i="21"/>
  <c r="P92" i="21" s="1"/>
  <c r="P47" i="21"/>
  <c r="N46" i="21"/>
  <c r="N55" i="21"/>
  <c r="P55" i="21" s="1"/>
  <c r="K55" i="21"/>
  <c r="O55" i="21" s="1"/>
  <c r="P29" i="21"/>
  <c r="N26" i="21"/>
  <c r="P26" i="21" s="1"/>
  <c r="P111" i="21"/>
  <c r="N131" i="21"/>
  <c r="K131" i="21"/>
  <c r="O131" i="21" s="1"/>
  <c r="N14" i="21"/>
  <c r="N33" i="21"/>
  <c r="K73" i="21"/>
  <c r="O73" i="21" s="1"/>
  <c r="O72" i="21" s="1"/>
  <c r="O69" i="21" s="1"/>
  <c r="N73" i="21"/>
  <c r="O98" i="21"/>
  <c r="N62" i="21"/>
  <c r="P62" i="21" s="1"/>
  <c r="N78" i="21"/>
  <c r="P82" i="21"/>
  <c r="P44" i="21"/>
  <c r="N39" i="21"/>
  <c r="P39" i="21" s="1"/>
  <c r="P101" i="21"/>
  <c r="N98" i="21"/>
  <c r="P98" i="21" s="1"/>
  <c r="O33" i="21"/>
  <c r="O14" i="21"/>
  <c r="N57" i="21"/>
  <c r="P57" i="21" s="1"/>
  <c r="M91" i="12" l="1"/>
  <c r="P152" i="19"/>
  <c r="N129" i="19"/>
  <c r="P129" i="19" s="1"/>
  <c r="I31" i="10"/>
  <c r="O31" i="10" s="1"/>
  <c r="Q31" i="10" s="1"/>
  <c r="M263" i="12"/>
  <c r="M258" i="12"/>
  <c r="M122" i="12"/>
  <c r="O129" i="16"/>
  <c r="K128" i="10"/>
  <c r="P214" i="19"/>
  <c r="K13" i="12"/>
  <c r="M142" i="12"/>
  <c r="M279" i="12"/>
  <c r="M157" i="12"/>
  <c r="O208" i="18"/>
  <c r="O78" i="18"/>
  <c r="O77" i="18" s="1"/>
  <c r="M284" i="16"/>
  <c r="L13" i="22"/>
  <c r="N214" i="20"/>
  <c r="P214" i="20" s="1"/>
  <c r="P215" i="19"/>
  <c r="O168" i="16"/>
  <c r="O120" i="18"/>
  <c r="O275" i="18"/>
  <c r="M100" i="12"/>
  <c r="M30" i="12"/>
  <c r="M134" i="12"/>
  <c r="O215" i="18"/>
  <c r="O57" i="18"/>
  <c r="O45" i="18" s="1"/>
  <c r="L284" i="22"/>
  <c r="K13" i="11"/>
  <c r="O33" i="18"/>
  <c r="O279" i="10"/>
  <c r="K278" i="10"/>
  <c r="M279" i="10"/>
  <c r="M47" i="12"/>
  <c r="M200" i="12"/>
  <c r="M216" i="12"/>
  <c r="N67" i="21"/>
  <c r="P67" i="21" s="1"/>
  <c r="O225" i="18"/>
  <c r="L32" i="11"/>
  <c r="O45" i="19"/>
  <c r="P280" i="10"/>
  <c r="Q280" i="10"/>
  <c r="N128" i="10"/>
  <c r="O32" i="21"/>
  <c r="O168" i="22"/>
  <c r="L284" i="20"/>
  <c r="L13" i="8"/>
  <c r="M245" i="12"/>
  <c r="O13" i="20"/>
  <c r="J2378" i="5"/>
  <c r="M235" i="12"/>
  <c r="M43" i="11"/>
  <c r="O28" i="12"/>
  <c r="L26" i="12"/>
  <c r="M26" i="12" s="1"/>
  <c r="P13" i="23"/>
  <c r="L8" i="23" s="1"/>
  <c r="O13" i="19"/>
  <c r="O284" i="19"/>
  <c r="P283" i="8"/>
  <c r="O283" i="8"/>
  <c r="O36" i="12"/>
  <c r="L33" i="12"/>
  <c r="N282" i="8"/>
  <c r="K282" i="8"/>
  <c r="O77" i="21"/>
  <c r="O109" i="22"/>
  <c r="O45" i="16"/>
  <c r="O284" i="20"/>
  <c r="K45" i="14"/>
  <c r="F45" i="14" s="1"/>
  <c r="P33" i="19"/>
  <c r="N32" i="19"/>
  <c r="P32" i="19" s="1"/>
  <c r="O21" i="12"/>
  <c r="P275" i="19"/>
  <c r="N268" i="19"/>
  <c r="P268" i="19" s="1"/>
  <c r="M35" i="11"/>
  <c r="M94" i="12"/>
  <c r="O129" i="18"/>
  <c r="O26" i="8"/>
  <c r="P26" i="8"/>
  <c r="N168" i="20"/>
  <c r="P168" i="20" s="1"/>
  <c r="P169" i="20"/>
  <c r="M28" i="11"/>
  <c r="O16" i="12"/>
  <c r="L14" i="12"/>
  <c r="Q53" i="10"/>
  <c r="O50" i="10"/>
  <c r="Q50" i="10" s="1"/>
  <c r="M36" i="12"/>
  <c r="P51" i="19"/>
  <c r="N45" i="19"/>
  <c r="P45" i="19" s="1"/>
  <c r="J279" i="10"/>
  <c r="N280" i="10"/>
  <c r="J281" i="8"/>
  <c r="J1588" i="5"/>
  <c r="N77" i="19"/>
  <c r="P77" i="19" s="1"/>
  <c r="P78" i="19"/>
  <c r="O98" i="18"/>
  <c r="N13" i="12"/>
  <c r="J13" i="12" s="1"/>
  <c r="P51" i="8"/>
  <c r="N45" i="8"/>
  <c r="P45" i="8" s="1"/>
  <c r="N32" i="11"/>
  <c r="M33" i="11"/>
  <c r="J33" i="11"/>
  <c r="N77" i="18"/>
  <c r="P78" i="18"/>
  <c r="P130" i="20"/>
  <c r="N129" i="20"/>
  <c r="P129" i="20" s="1"/>
  <c r="N76" i="8"/>
  <c r="P77" i="8"/>
  <c r="M25" i="12"/>
  <c r="O52" i="14"/>
  <c r="M51" i="14"/>
  <c r="O190" i="18"/>
  <c r="P51" i="20"/>
  <c r="N45" i="20"/>
  <c r="P45" i="20" s="1"/>
  <c r="P284" i="23"/>
  <c r="F131" i="15"/>
  <c r="K130" i="15"/>
  <c r="P109" i="19"/>
  <c r="P83" i="20"/>
  <c r="N77" i="20"/>
  <c r="P25" i="10"/>
  <c r="Q25" i="10"/>
  <c r="N77" i="16"/>
  <c r="P77" i="16" s="1"/>
  <c r="P78" i="16"/>
  <c r="N130" i="15"/>
  <c r="P215" i="18"/>
  <c r="N214" i="18"/>
  <c r="P214" i="18" s="1"/>
  <c r="Q75" i="10"/>
  <c r="O74" i="10"/>
  <c r="Q74" i="10" s="1"/>
  <c r="Q132" i="10"/>
  <c r="O129" i="10"/>
  <c r="L69" i="14"/>
  <c r="M69" i="14" s="1"/>
  <c r="O69" i="14" s="1"/>
  <c r="L13" i="14"/>
  <c r="O45" i="22"/>
  <c r="P14" i="16"/>
  <c r="N168" i="18"/>
  <c r="P168" i="18" s="1"/>
  <c r="P181" i="18"/>
  <c r="N69" i="16"/>
  <c r="P69" i="16" s="1"/>
  <c r="P70" i="16"/>
  <c r="N214" i="16"/>
  <c r="P214" i="16" s="1"/>
  <c r="P215" i="16"/>
  <c r="P269" i="18"/>
  <c r="N268" i="18"/>
  <c r="P268" i="18" s="1"/>
  <c r="N32" i="16"/>
  <c r="P32" i="16" s="1"/>
  <c r="P33" i="16"/>
  <c r="L13" i="20"/>
  <c r="N13" i="11"/>
  <c r="J13" i="11" s="1"/>
  <c r="O118" i="8"/>
  <c r="P118" i="8"/>
  <c r="N117" i="8"/>
  <c r="O33" i="14"/>
  <c r="M32" i="14"/>
  <c r="Q68" i="10"/>
  <c r="P68" i="10"/>
  <c r="N45" i="16"/>
  <c r="P45" i="16" s="1"/>
  <c r="P46" i="16"/>
  <c r="P194" i="20"/>
  <c r="N268" i="16"/>
  <c r="P268" i="16" s="1"/>
  <c r="P269" i="16"/>
  <c r="P278" i="16"/>
  <c r="P130" i="8"/>
  <c r="N129" i="8"/>
  <c r="P129" i="8" s="1"/>
  <c r="O130" i="8"/>
  <c r="O129" i="8" s="1"/>
  <c r="K13" i="14"/>
  <c r="N119" i="18"/>
  <c r="P120" i="18"/>
  <c r="Q45" i="10"/>
  <c r="N129" i="16"/>
  <c r="P129" i="16" s="1"/>
  <c r="P130" i="16"/>
  <c r="M279" i="8"/>
  <c r="M278" i="8" s="1"/>
  <c r="I277" i="8"/>
  <c r="I283" i="10"/>
  <c r="P169" i="8"/>
  <c r="P57" i="18"/>
  <c r="N45" i="18"/>
  <c r="O268" i="18"/>
  <c r="O194" i="18"/>
  <c r="O214" i="16"/>
  <c r="N73" i="14"/>
  <c r="N72" i="14" s="1"/>
  <c r="N69" i="14" s="1"/>
  <c r="O73" i="14"/>
  <c r="N168" i="16"/>
  <c r="P168" i="16" s="1"/>
  <c r="O129" i="22"/>
  <c r="N14" i="22"/>
  <c r="P14" i="22" s="1"/>
  <c r="P113" i="22"/>
  <c r="N69" i="22"/>
  <c r="P69" i="22" s="1"/>
  <c r="I280" i="22"/>
  <c r="M280" i="22" s="1"/>
  <c r="CI280" i="22"/>
  <c r="J280" i="22" s="1"/>
  <c r="N281" i="22"/>
  <c r="P281" i="22" s="1"/>
  <c r="K281" i="22"/>
  <c r="O281" i="22" s="1"/>
  <c r="O32" i="22"/>
  <c r="N129" i="22"/>
  <c r="P129" i="22" s="1"/>
  <c r="N77" i="22"/>
  <c r="P77" i="22" s="1"/>
  <c r="P78" i="22"/>
  <c r="P215" i="22"/>
  <c r="P33" i="22"/>
  <c r="N32" i="22"/>
  <c r="P32" i="22" s="1"/>
  <c r="P46" i="22"/>
  <c r="N45" i="22"/>
  <c r="P45" i="22" s="1"/>
  <c r="P169" i="22"/>
  <c r="N168" i="22"/>
  <c r="P168" i="22" s="1"/>
  <c r="O130" i="21"/>
  <c r="N152" i="21"/>
  <c r="P152" i="21" s="1"/>
  <c r="O152" i="21"/>
  <c r="CI281" i="21"/>
  <c r="J281" i="21" s="1"/>
  <c r="I281" i="21"/>
  <c r="M281" i="21" s="1"/>
  <c r="K282" i="21"/>
  <c r="O282" i="21" s="1"/>
  <c r="N282" i="21"/>
  <c r="P282" i="21" s="1"/>
  <c r="P14" i="21"/>
  <c r="N109" i="21"/>
  <c r="P109" i="21" s="1"/>
  <c r="P110" i="21"/>
  <c r="CI46" i="21"/>
  <c r="N77" i="21"/>
  <c r="P77" i="21" s="1"/>
  <c r="P78" i="21"/>
  <c r="P73" i="21"/>
  <c r="N72" i="21"/>
  <c r="P46" i="21"/>
  <c r="N32" i="21"/>
  <c r="P32" i="21" s="1"/>
  <c r="P33" i="21"/>
  <c r="N130" i="21"/>
  <c r="P131" i="21"/>
  <c r="N52" i="21"/>
  <c r="K52" i="21"/>
  <c r="O52" i="21" s="1"/>
  <c r="O51" i="21" s="1"/>
  <c r="O45" i="21" s="1"/>
  <c r="N284" i="20" l="1"/>
  <c r="P284" i="20" s="1"/>
  <c r="O44" i="10"/>
  <c r="Q44" i="10" s="1"/>
  <c r="O284" i="16"/>
  <c r="N13" i="19"/>
  <c r="M278" i="10"/>
  <c r="M277" i="10" s="1"/>
  <c r="K277" i="10"/>
  <c r="K276" i="10" s="1"/>
  <c r="O278" i="10"/>
  <c r="N284" i="19"/>
  <c r="P284" i="19" s="1"/>
  <c r="Q279" i="10"/>
  <c r="P279" i="10"/>
  <c r="O214" i="18"/>
  <c r="M45" i="14"/>
  <c r="O51" i="14"/>
  <c r="N75" i="8"/>
  <c r="P75" i="8" s="1"/>
  <c r="P76" i="8"/>
  <c r="P77" i="18"/>
  <c r="N76" i="18"/>
  <c r="N279" i="10"/>
  <c r="J278" i="10"/>
  <c r="J280" i="8"/>
  <c r="O282" i="8"/>
  <c r="P282" i="8"/>
  <c r="O33" i="12"/>
  <c r="M33" i="12"/>
  <c r="L32" i="12"/>
  <c r="J32" i="11"/>
  <c r="M32" i="11"/>
  <c r="N281" i="8"/>
  <c r="K281" i="8"/>
  <c r="O32" i="14"/>
  <c r="M13" i="14"/>
  <c r="N13" i="14" s="1"/>
  <c r="N284" i="16"/>
  <c r="P284" i="16" s="1"/>
  <c r="Q129" i="10"/>
  <c r="O128" i="10"/>
  <c r="Q128" i="10" s="1"/>
  <c r="Q13" i="19"/>
  <c r="P13" i="19"/>
  <c r="P119" i="18"/>
  <c r="N118" i="18"/>
  <c r="O119" i="18"/>
  <c r="F130" i="15"/>
  <c r="K13" i="15"/>
  <c r="N116" i="8"/>
  <c r="O117" i="8"/>
  <c r="O116" i="8" s="1"/>
  <c r="P117" i="8"/>
  <c r="N13" i="16"/>
  <c r="I276" i="8"/>
  <c r="M277" i="8"/>
  <c r="O13" i="16"/>
  <c r="P45" i="18"/>
  <c r="P77" i="20"/>
  <c r="N13" i="20"/>
  <c r="P13" i="20" s="1"/>
  <c r="P110" i="22"/>
  <c r="N109" i="22"/>
  <c r="P109" i="22" s="1"/>
  <c r="K280" i="22"/>
  <c r="O280" i="22" s="1"/>
  <c r="N280" i="22"/>
  <c r="P280" i="22" s="1"/>
  <c r="I279" i="22"/>
  <c r="M279" i="22" s="1"/>
  <c r="M278" i="22" s="1"/>
  <c r="CI279" i="22"/>
  <c r="J279" i="22" s="1"/>
  <c r="O129" i="21"/>
  <c r="K281" i="21"/>
  <c r="O281" i="21" s="1"/>
  <c r="N281" i="21"/>
  <c r="P281" i="21" s="1"/>
  <c r="I280" i="21"/>
  <c r="M280" i="21" s="1"/>
  <c r="CI280" i="21"/>
  <c r="J280" i="21" s="1"/>
  <c r="P130" i="21"/>
  <c r="N129" i="21"/>
  <c r="P129" i="21" s="1"/>
  <c r="P52" i="21"/>
  <c r="N51" i="21"/>
  <c r="P72" i="21"/>
  <c r="N69" i="21"/>
  <c r="P69" i="21" s="1"/>
  <c r="M276" i="10" l="1"/>
  <c r="K275" i="10"/>
  <c r="O276" i="10"/>
  <c r="P278" i="10"/>
  <c r="P277" i="10" s="1"/>
  <c r="Q278" i="10"/>
  <c r="O277" i="10"/>
  <c r="Q277" i="10" s="1"/>
  <c r="O281" i="8"/>
  <c r="P281" i="8"/>
  <c r="O32" i="12"/>
  <c r="M32" i="12"/>
  <c r="K280" i="8"/>
  <c r="N280" i="8"/>
  <c r="P76" i="18"/>
  <c r="N75" i="18"/>
  <c r="P75" i="18" s="1"/>
  <c r="J277" i="10"/>
  <c r="J276" i="10" s="1"/>
  <c r="N278" i="10"/>
  <c r="N277" i="10" s="1"/>
  <c r="J279" i="8"/>
  <c r="P13" i="16"/>
  <c r="N117" i="18"/>
  <c r="P118" i="18"/>
  <c r="O118" i="18"/>
  <c r="N115" i="8"/>
  <c r="P116" i="8"/>
  <c r="N13" i="15"/>
  <c r="I13" i="15"/>
  <c r="Q13" i="20"/>
  <c r="M276" i="8"/>
  <c r="M275" i="8" s="1"/>
  <c r="I274" i="8"/>
  <c r="N279" i="22"/>
  <c r="K279" i="22"/>
  <c r="O279" i="22" s="1"/>
  <c r="O278" i="22" s="1"/>
  <c r="CI278" i="22"/>
  <c r="CI279" i="21"/>
  <c r="J279" i="21" s="1"/>
  <c r="I279" i="21"/>
  <c r="M279" i="21" s="1"/>
  <c r="M278" i="21" s="1"/>
  <c r="N280" i="21"/>
  <c r="P280" i="21" s="1"/>
  <c r="K280" i="21"/>
  <c r="O280" i="21" s="1"/>
  <c r="P51" i="21"/>
  <c r="N45" i="21"/>
  <c r="P276" i="10" l="1"/>
  <c r="Q276" i="10"/>
  <c r="O275" i="10"/>
  <c r="K274" i="10"/>
  <c r="K273" i="10" s="1"/>
  <c r="M275" i="10"/>
  <c r="M274" i="10" s="1"/>
  <c r="N279" i="8"/>
  <c r="K279" i="8"/>
  <c r="P280" i="8"/>
  <c r="O280" i="8"/>
  <c r="N276" i="10"/>
  <c r="J275" i="10"/>
  <c r="J277" i="8"/>
  <c r="I273" i="8"/>
  <c r="M274" i="8"/>
  <c r="P115" i="8"/>
  <c r="N114" i="8"/>
  <c r="O115" i="8"/>
  <c r="O117" i="18"/>
  <c r="O116" i="18" s="1"/>
  <c r="N116" i="18"/>
  <c r="P117" i="18"/>
  <c r="P279" i="22"/>
  <c r="N278" i="22"/>
  <c r="I277" i="22"/>
  <c r="M277" i="22" s="1"/>
  <c r="CI277" i="22"/>
  <c r="J277" i="22" s="1"/>
  <c r="N279" i="21"/>
  <c r="K279" i="21"/>
  <c r="O279" i="21" s="1"/>
  <c r="O278" i="21" s="1"/>
  <c r="CI278" i="21"/>
  <c r="P45" i="21"/>
  <c r="K272" i="10" l="1"/>
  <c r="M273" i="10"/>
  <c r="O273" i="10"/>
  <c r="O274" i="10"/>
  <c r="Q274" i="10" s="1"/>
  <c r="Q275" i="10"/>
  <c r="P275" i="10"/>
  <c r="P274" i="10" s="1"/>
  <c r="K277" i="8"/>
  <c r="N277" i="8"/>
  <c r="N275" i="10"/>
  <c r="N274" i="10" s="1"/>
  <c r="J274" i="10"/>
  <c r="J273" i="10" s="1"/>
  <c r="J276" i="8"/>
  <c r="O279" i="8"/>
  <c r="O278" i="8" s="1"/>
  <c r="P279" i="8"/>
  <c r="N278" i="8"/>
  <c r="P278" i="8" s="1"/>
  <c r="P114" i="8"/>
  <c r="N113" i="8"/>
  <c r="O114" i="8"/>
  <c r="I272" i="8"/>
  <c r="M273" i="8"/>
  <c r="P116" i="18"/>
  <c r="N115" i="18"/>
  <c r="K277" i="22"/>
  <c r="O277" i="22" s="1"/>
  <c r="N277" i="22"/>
  <c r="P277" i="22" s="1"/>
  <c r="P278" i="22"/>
  <c r="I276" i="22"/>
  <c r="M276" i="22" s="1"/>
  <c r="M275" i="22" s="1"/>
  <c r="CI276" i="22"/>
  <c r="J276" i="22" s="1"/>
  <c r="I277" i="21"/>
  <c r="M277" i="21" s="1"/>
  <c r="CI277" i="21"/>
  <c r="J277" i="21" s="1"/>
  <c r="P279" i="21"/>
  <c r="N278" i="21"/>
  <c r="P278" i="21" s="1"/>
  <c r="Q273" i="10" l="1"/>
  <c r="P273" i="10"/>
  <c r="M272" i="10"/>
  <c r="O272" i="10"/>
  <c r="K271" i="10"/>
  <c r="N273" i="10"/>
  <c r="J272" i="10"/>
  <c r="J274" i="8"/>
  <c r="O277" i="8"/>
  <c r="P277" i="8"/>
  <c r="N276" i="8"/>
  <c r="K276" i="8"/>
  <c r="K275" i="8" s="1"/>
  <c r="O113" i="8"/>
  <c r="N112" i="8"/>
  <c r="P113" i="8"/>
  <c r="P115" i="18"/>
  <c r="N114" i="18"/>
  <c r="O115" i="18"/>
  <c r="M272" i="8"/>
  <c r="I271" i="8"/>
  <c r="N276" i="22"/>
  <c r="K276" i="22"/>
  <c r="O276" i="22" s="1"/>
  <c r="O275" i="22" s="1"/>
  <c r="CI275" i="22"/>
  <c r="K277" i="21"/>
  <c r="O277" i="21" s="1"/>
  <c r="N277" i="21"/>
  <c r="P277" i="21" s="1"/>
  <c r="I276" i="21"/>
  <c r="M276" i="21" s="1"/>
  <c r="M275" i="21" s="1"/>
  <c r="CI276" i="21"/>
  <c r="J276" i="21" s="1"/>
  <c r="P272" i="10" l="1"/>
  <c r="Q272" i="10"/>
  <c r="K270" i="10"/>
  <c r="M271" i="10"/>
  <c r="O271" i="10"/>
  <c r="N274" i="8"/>
  <c r="K274" i="8"/>
  <c r="O276" i="8"/>
  <c r="O275" i="8" s="1"/>
  <c r="N275" i="8"/>
  <c r="P275" i="8" s="1"/>
  <c r="P276" i="8"/>
  <c r="N272" i="10"/>
  <c r="J271" i="10"/>
  <c r="J273" i="8"/>
  <c r="N111" i="8"/>
  <c r="P112" i="8"/>
  <c r="O112" i="8"/>
  <c r="P114" i="18"/>
  <c r="O114" i="18"/>
  <c r="N113" i="18"/>
  <c r="M271" i="8"/>
  <c r="I270" i="8"/>
  <c r="CI274" i="22"/>
  <c r="J274" i="22" s="1"/>
  <c r="I274" i="22"/>
  <c r="M274" i="22" s="1"/>
  <c r="P276" i="22"/>
  <c r="N275" i="22"/>
  <c r="P275" i="22" s="1"/>
  <c r="CI275" i="21"/>
  <c r="K276" i="21"/>
  <c r="O276" i="21" s="1"/>
  <c r="O275" i="21" s="1"/>
  <c r="N276" i="21"/>
  <c r="M270" i="10" l="1"/>
  <c r="O270" i="10"/>
  <c r="K269" i="10"/>
  <c r="P271" i="10"/>
  <c r="Q271" i="10"/>
  <c r="K273" i="8"/>
  <c r="N273" i="8"/>
  <c r="N271" i="10"/>
  <c r="J270" i="10"/>
  <c r="J272" i="8"/>
  <c r="P274" i="8"/>
  <c r="O274" i="8"/>
  <c r="M270" i="8"/>
  <c r="M269" i="8" s="1"/>
  <c r="M268" i="8" s="1"/>
  <c r="I269" i="8"/>
  <c r="N110" i="8"/>
  <c r="O111" i="8"/>
  <c r="O110" i="8" s="1"/>
  <c r="O109" i="8" s="1"/>
  <c r="P111" i="8"/>
  <c r="P113" i="18"/>
  <c r="O113" i="18"/>
  <c r="N112" i="18"/>
  <c r="CI273" i="22"/>
  <c r="J273" i="22" s="1"/>
  <c r="I273" i="22"/>
  <c r="M273" i="22" s="1"/>
  <c r="K274" i="22"/>
  <c r="O274" i="22" s="1"/>
  <c r="N274" i="22"/>
  <c r="P274" i="22" s="1"/>
  <c r="N275" i="21"/>
  <c r="P275" i="21" s="1"/>
  <c r="P276" i="21"/>
  <c r="I274" i="21"/>
  <c r="M274" i="21" s="1"/>
  <c r="CI274" i="21"/>
  <c r="J274" i="21" s="1"/>
  <c r="O269" i="10" l="1"/>
  <c r="M269" i="10"/>
  <c r="M268" i="10" s="1"/>
  <c r="M267" i="10" s="1"/>
  <c r="K268" i="10"/>
  <c r="K267" i="10" s="1"/>
  <c r="K266" i="10" s="1"/>
  <c r="Q270" i="10"/>
  <c r="P270" i="10"/>
  <c r="N270" i="10"/>
  <c r="J269" i="10"/>
  <c r="J271" i="8"/>
  <c r="O273" i="8"/>
  <c r="P273" i="8"/>
  <c r="N272" i="8"/>
  <c r="K272" i="8"/>
  <c r="P110" i="8"/>
  <c r="N109" i="8"/>
  <c r="N111" i="18"/>
  <c r="O112" i="18"/>
  <c r="P112" i="18"/>
  <c r="I267" i="8"/>
  <c r="CI272" i="22"/>
  <c r="J272" i="22" s="1"/>
  <c r="I272" i="22"/>
  <c r="M272" i="22" s="1"/>
  <c r="K273" i="22"/>
  <c r="O273" i="22" s="1"/>
  <c r="N273" i="22"/>
  <c r="P273" i="22" s="1"/>
  <c r="CI273" i="21"/>
  <c r="J273" i="21" s="1"/>
  <c r="I273" i="21"/>
  <c r="M273" i="21" s="1"/>
  <c r="N274" i="21"/>
  <c r="P274" i="21" s="1"/>
  <c r="K274" i="21"/>
  <c r="O274" i="21" s="1"/>
  <c r="O266" i="10" l="1"/>
  <c r="M266" i="10"/>
  <c r="K265" i="10"/>
  <c r="O268" i="10"/>
  <c r="P269" i="10"/>
  <c r="P268" i="10" s="1"/>
  <c r="P267" i="10" s="1"/>
  <c r="Q269" i="10"/>
  <c r="K271" i="8"/>
  <c r="N271" i="8"/>
  <c r="O272" i="8"/>
  <c r="P272" i="8"/>
  <c r="J268" i="10"/>
  <c r="N269" i="10"/>
  <c r="N268" i="10" s="1"/>
  <c r="N267" i="10" s="1"/>
  <c r="J270" i="8"/>
  <c r="P111" i="18"/>
  <c r="N110" i="18"/>
  <c r="O111" i="18"/>
  <c r="O110" i="18" s="1"/>
  <c r="O109" i="18" s="1"/>
  <c r="P109" i="8"/>
  <c r="M267" i="8"/>
  <c r="I266" i="8"/>
  <c r="K272" i="22"/>
  <c r="O272" i="22" s="1"/>
  <c r="N272" i="22"/>
  <c r="P272" i="22" s="1"/>
  <c r="CI271" i="22"/>
  <c r="J271" i="22" s="1"/>
  <c r="I271" i="22"/>
  <c r="M271" i="22" s="1"/>
  <c r="N273" i="21"/>
  <c r="P273" i="21" s="1"/>
  <c r="K273" i="21"/>
  <c r="O273" i="21" s="1"/>
  <c r="CI272" i="21"/>
  <c r="J272" i="21" s="1"/>
  <c r="I272" i="21"/>
  <c r="M272" i="21" s="1"/>
  <c r="O265" i="10" l="1"/>
  <c r="K264" i="10"/>
  <c r="M265" i="10"/>
  <c r="O267" i="10"/>
  <c r="Q267" i="10" s="1"/>
  <c r="Q268" i="10"/>
  <c r="Q266" i="10"/>
  <c r="P266" i="10"/>
  <c r="N270" i="8"/>
  <c r="K270" i="8"/>
  <c r="K269" i="8" s="1"/>
  <c r="O271" i="8"/>
  <c r="P271" i="8"/>
  <c r="J267" i="10"/>
  <c r="J266" i="10" s="1"/>
  <c r="J269" i="8"/>
  <c r="M266" i="8"/>
  <c r="I265" i="8"/>
  <c r="P110" i="18"/>
  <c r="N109" i="18"/>
  <c r="O13" i="18"/>
  <c r="O284" i="18"/>
  <c r="P284" i="18" s="1"/>
  <c r="N271" i="22"/>
  <c r="P271" i="22" s="1"/>
  <c r="K271" i="22"/>
  <c r="O271" i="22" s="1"/>
  <c r="CI270" i="22"/>
  <c r="J270" i="22" s="1"/>
  <c r="I270" i="22"/>
  <c r="M270" i="22" s="1"/>
  <c r="M269" i="22" s="1"/>
  <c r="M268" i="22" s="1"/>
  <c r="N272" i="21"/>
  <c r="P272" i="21" s="1"/>
  <c r="K272" i="21"/>
  <c r="O272" i="21" s="1"/>
  <c r="I271" i="21"/>
  <c r="M271" i="21" s="1"/>
  <c r="CI271" i="21"/>
  <c r="J271" i="21" s="1"/>
  <c r="K263" i="10" l="1"/>
  <c r="M264" i="10"/>
  <c r="O264" i="10"/>
  <c r="P265" i="10"/>
  <c r="Q265" i="10"/>
  <c r="N266" i="10"/>
  <c r="J265" i="10"/>
  <c r="J267" i="8"/>
  <c r="N269" i="8"/>
  <c r="O270" i="8"/>
  <c r="O269" i="8" s="1"/>
  <c r="O268" i="8" s="1"/>
  <c r="P270" i="8"/>
  <c r="P109" i="18"/>
  <c r="N13" i="18"/>
  <c r="P13" i="18" s="1"/>
  <c r="M265" i="8"/>
  <c r="I264" i="8"/>
  <c r="CI269" i="22"/>
  <c r="K270" i="22"/>
  <c r="O270" i="22" s="1"/>
  <c r="O269" i="22" s="1"/>
  <c r="O268" i="22" s="1"/>
  <c r="N270" i="22"/>
  <c r="I270" i="21"/>
  <c r="M270" i="21" s="1"/>
  <c r="M269" i="21" s="1"/>
  <c r="M268" i="21" s="1"/>
  <c r="CI270" i="21"/>
  <c r="J270" i="21" s="1"/>
  <c r="N271" i="21"/>
  <c r="P271" i="21" s="1"/>
  <c r="K271" i="21"/>
  <c r="O271" i="21" s="1"/>
  <c r="P264" i="10" l="1"/>
  <c r="Q264" i="10"/>
  <c r="K262" i="10"/>
  <c r="O263" i="10"/>
  <c r="M263" i="10"/>
  <c r="K267" i="8"/>
  <c r="N267" i="8"/>
  <c r="N268" i="8"/>
  <c r="P268" i="8" s="1"/>
  <c r="P269" i="8"/>
  <c r="J264" i="10"/>
  <c r="N265" i="10"/>
  <c r="J266" i="8"/>
  <c r="I263" i="8"/>
  <c r="M264" i="8"/>
  <c r="CI268" i="22"/>
  <c r="P270" i="22"/>
  <c r="N269" i="22"/>
  <c r="N270" i="21"/>
  <c r="K270" i="21"/>
  <c r="O270" i="21" s="1"/>
  <c r="O269" i="21" s="1"/>
  <c r="O268" i="21" s="1"/>
  <c r="CI269" i="21"/>
  <c r="M262" i="10" l="1"/>
  <c r="K261" i="10"/>
  <c r="O262" i="10"/>
  <c r="P263" i="10"/>
  <c r="Q263" i="10"/>
  <c r="N266" i="8"/>
  <c r="K266" i="8"/>
  <c r="O267" i="8"/>
  <c r="P267" i="8"/>
  <c r="J263" i="10"/>
  <c r="N264" i="10"/>
  <c r="J265" i="8"/>
  <c r="I262" i="8"/>
  <c r="M263" i="8"/>
  <c r="P269" i="22"/>
  <c r="N268" i="22"/>
  <c r="I267" i="22"/>
  <c r="M267" i="22" s="1"/>
  <c r="CI267" i="22"/>
  <c r="J267" i="22" s="1"/>
  <c r="CI268" i="21"/>
  <c r="N269" i="21"/>
  <c r="P270" i="21"/>
  <c r="P262" i="10" l="1"/>
  <c r="Q262" i="10"/>
  <c r="M261" i="10"/>
  <c r="O261" i="10"/>
  <c r="K260" i="10"/>
  <c r="N265" i="8"/>
  <c r="K265" i="8"/>
  <c r="N263" i="10"/>
  <c r="J262" i="10"/>
  <c r="J264" i="8"/>
  <c r="O266" i="8"/>
  <c r="P266" i="8"/>
  <c r="M262" i="8"/>
  <c r="I261" i="8"/>
  <c r="P268" i="22"/>
  <c r="I266" i="22"/>
  <c r="M266" i="22" s="1"/>
  <c r="CI266" i="22"/>
  <c r="J266" i="22" s="1"/>
  <c r="K267" i="22"/>
  <c r="O267" i="22" s="1"/>
  <c r="N267" i="22"/>
  <c r="P267" i="22" s="1"/>
  <c r="P269" i="21"/>
  <c r="N268" i="21"/>
  <c r="P268" i="21" s="1"/>
  <c r="CI267" i="21"/>
  <c r="J267" i="21" s="1"/>
  <c r="I267" i="21"/>
  <c r="M267" i="21" s="1"/>
  <c r="Q261" i="10" l="1"/>
  <c r="P261" i="10"/>
  <c r="M260" i="10"/>
  <c r="K259" i="10"/>
  <c r="O260" i="10"/>
  <c r="N262" i="10"/>
  <c r="J261" i="10"/>
  <c r="J263" i="8"/>
  <c r="K264" i="8"/>
  <c r="N264" i="8"/>
  <c r="O265" i="8"/>
  <c r="P265" i="8"/>
  <c r="M261" i="8"/>
  <c r="I260" i="8"/>
  <c r="CI265" i="22"/>
  <c r="J265" i="22" s="1"/>
  <c r="I265" i="22"/>
  <c r="M265" i="22" s="1"/>
  <c r="N266" i="22"/>
  <c r="P266" i="22" s="1"/>
  <c r="K266" i="22"/>
  <c r="O266" i="22" s="1"/>
  <c r="I266" i="21"/>
  <c r="M266" i="21" s="1"/>
  <c r="CI266" i="21"/>
  <c r="J266" i="21" s="1"/>
  <c r="K267" i="21"/>
  <c r="O267" i="21" s="1"/>
  <c r="N267" i="21"/>
  <c r="P267" i="21" s="1"/>
  <c r="M259" i="10" l="1"/>
  <c r="M258" i="10" s="1"/>
  <c r="O259" i="10"/>
  <c r="K258" i="10"/>
  <c r="K257" i="10" s="1"/>
  <c r="P260" i="10"/>
  <c r="Q260" i="10"/>
  <c r="K263" i="8"/>
  <c r="N263" i="8"/>
  <c r="N261" i="10"/>
  <c r="J260" i="10"/>
  <c r="J262" i="8"/>
  <c r="P264" i="8"/>
  <c r="O264" i="8"/>
  <c r="M260" i="8"/>
  <c r="M259" i="8" s="1"/>
  <c r="I258" i="8"/>
  <c r="N265" i="22"/>
  <c r="P265" i="22" s="1"/>
  <c r="K265" i="22"/>
  <c r="O265" i="22" s="1"/>
  <c r="CI264" i="22"/>
  <c r="J264" i="22" s="1"/>
  <c r="I264" i="22"/>
  <c r="M264" i="22" s="1"/>
  <c r="K266" i="21"/>
  <c r="O266" i="21" s="1"/>
  <c r="N266" i="21"/>
  <c r="P266" i="21" s="1"/>
  <c r="CI265" i="21"/>
  <c r="J265" i="21" s="1"/>
  <c r="I265" i="21"/>
  <c r="M265" i="21" s="1"/>
  <c r="K256" i="10" l="1"/>
  <c r="O257" i="10"/>
  <c r="M257" i="10"/>
  <c r="O258" i="10"/>
  <c r="Q258" i="10" s="1"/>
  <c r="P259" i="10"/>
  <c r="P258" i="10" s="1"/>
  <c r="Q259" i="10"/>
  <c r="J259" i="10"/>
  <c r="N260" i="10"/>
  <c r="J261" i="8"/>
  <c r="O263" i="8"/>
  <c r="P263" i="8"/>
  <c r="K262" i="8"/>
  <c r="N262" i="8"/>
  <c r="I257" i="8"/>
  <c r="M258" i="8"/>
  <c r="N264" i="22"/>
  <c r="P264" i="22" s="1"/>
  <c r="K264" i="22"/>
  <c r="O264" i="22" s="1"/>
  <c r="CI263" i="22"/>
  <c r="J263" i="22" s="1"/>
  <c r="I263" i="22"/>
  <c r="M263" i="22" s="1"/>
  <c r="N265" i="21"/>
  <c r="P265" i="21" s="1"/>
  <c r="K265" i="21"/>
  <c r="O265" i="21" s="1"/>
  <c r="CI264" i="21"/>
  <c r="J264" i="21" s="1"/>
  <c r="I264" i="21"/>
  <c r="M264" i="21" s="1"/>
  <c r="P257" i="10" l="1"/>
  <c r="Q257" i="10"/>
  <c r="M256" i="10"/>
  <c r="K255" i="10"/>
  <c r="O256" i="10"/>
  <c r="N261" i="8"/>
  <c r="K261" i="8"/>
  <c r="P262" i="8"/>
  <c r="O262" i="8"/>
  <c r="J258" i="10"/>
  <c r="J257" i="10" s="1"/>
  <c r="N259" i="10"/>
  <c r="N258" i="10" s="1"/>
  <c r="J260" i="8"/>
  <c r="M257" i="8"/>
  <c r="I256" i="8"/>
  <c r="CI262" i="22"/>
  <c r="J262" i="22" s="1"/>
  <c r="I262" i="22"/>
  <c r="M262" i="22" s="1"/>
  <c r="N263" i="22"/>
  <c r="P263" i="22" s="1"/>
  <c r="K263" i="22"/>
  <c r="O263" i="22" s="1"/>
  <c r="K264" i="21"/>
  <c r="O264" i="21" s="1"/>
  <c r="N264" i="21"/>
  <c r="P264" i="21" s="1"/>
  <c r="I263" i="21"/>
  <c r="M263" i="21" s="1"/>
  <c r="CI263" i="21"/>
  <c r="J263" i="21" s="1"/>
  <c r="O255" i="10" l="1"/>
  <c r="M255" i="10"/>
  <c r="K254" i="10"/>
  <c r="P256" i="10"/>
  <c r="Q256" i="10"/>
  <c r="K260" i="8"/>
  <c r="N260" i="8"/>
  <c r="J256" i="10"/>
  <c r="N257" i="10"/>
  <c r="J258" i="8"/>
  <c r="O261" i="8"/>
  <c r="P261" i="8"/>
  <c r="I255" i="8"/>
  <c r="M256" i="8"/>
  <c r="CI261" i="22"/>
  <c r="J261" i="22" s="1"/>
  <c r="I261" i="22"/>
  <c r="M261" i="22" s="1"/>
  <c r="N262" i="22"/>
  <c r="P262" i="22" s="1"/>
  <c r="K262" i="22"/>
  <c r="O262" i="22" s="1"/>
  <c r="I262" i="21"/>
  <c r="M262" i="21" s="1"/>
  <c r="CI262" i="21"/>
  <c r="J262" i="21" s="1"/>
  <c r="K263" i="21"/>
  <c r="O263" i="21" s="1"/>
  <c r="N263" i="21"/>
  <c r="P263" i="21" s="1"/>
  <c r="K253" i="10" l="1"/>
  <c r="O254" i="10"/>
  <c r="M254" i="10"/>
  <c r="P255" i="10"/>
  <c r="Q255" i="10"/>
  <c r="J255" i="10"/>
  <c r="N256" i="10"/>
  <c r="J257" i="8"/>
  <c r="N259" i="8"/>
  <c r="P259" i="8" s="1"/>
  <c r="O260" i="8"/>
  <c r="O259" i="8" s="1"/>
  <c r="P260" i="8"/>
  <c r="N258" i="8"/>
  <c r="K258" i="8"/>
  <c r="I254" i="8"/>
  <c r="M255" i="8"/>
  <c r="CI260" i="22"/>
  <c r="J260" i="22" s="1"/>
  <c r="I260" i="22"/>
  <c r="M260" i="22" s="1"/>
  <c r="M259" i="22" s="1"/>
  <c r="N261" i="22"/>
  <c r="P261" i="22" s="1"/>
  <c r="K261" i="22"/>
  <c r="O261" i="22" s="1"/>
  <c r="K262" i="21"/>
  <c r="O262" i="21" s="1"/>
  <c r="N262" i="21"/>
  <c r="P262" i="21" s="1"/>
  <c r="I261" i="21"/>
  <c r="M261" i="21" s="1"/>
  <c r="CI261" i="21"/>
  <c r="J261" i="21" s="1"/>
  <c r="P254" i="10" l="1"/>
  <c r="Q254" i="10"/>
  <c r="O253" i="10"/>
  <c r="M253" i="10"/>
  <c r="K252" i="10"/>
  <c r="O258" i="8"/>
  <c r="P258" i="8"/>
  <c r="N257" i="8"/>
  <c r="K257" i="8"/>
  <c r="J254" i="10"/>
  <c r="N255" i="10"/>
  <c r="J256" i="8"/>
  <c r="I253" i="8"/>
  <c r="M254" i="8"/>
  <c r="N260" i="22"/>
  <c r="K260" i="22"/>
  <c r="O260" i="22" s="1"/>
  <c r="O259" i="22" s="1"/>
  <c r="CI259" i="22"/>
  <c r="CI260" i="21"/>
  <c r="J260" i="21" s="1"/>
  <c r="I260" i="21"/>
  <c r="M260" i="21" s="1"/>
  <c r="M259" i="21" s="1"/>
  <c r="N261" i="21"/>
  <c r="P261" i="21" s="1"/>
  <c r="K261" i="21"/>
  <c r="O261" i="21" s="1"/>
  <c r="P253" i="10" l="1"/>
  <c r="Q253" i="10"/>
  <c r="O252" i="10"/>
  <c r="K251" i="10"/>
  <c r="K250" i="10" s="1"/>
  <c r="M252" i="10"/>
  <c r="M251" i="10" s="1"/>
  <c r="K256" i="8"/>
  <c r="N256" i="8"/>
  <c r="O257" i="8"/>
  <c r="P257" i="8"/>
  <c r="J253" i="10"/>
  <c r="N254" i="10"/>
  <c r="J255" i="8"/>
  <c r="M253" i="8"/>
  <c r="M252" i="8" s="1"/>
  <c r="I252" i="8"/>
  <c r="I258" i="22"/>
  <c r="M258" i="22" s="1"/>
  <c r="CI258" i="22"/>
  <c r="J258" i="22" s="1"/>
  <c r="P260" i="22"/>
  <c r="N259" i="22"/>
  <c r="N260" i="21"/>
  <c r="K260" i="21"/>
  <c r="O260" i="21" s="1"/>
  <c r="O259" i="21" s="1"/>
  <c r="CI259" i="21"/>
  <c r="M250" i="10" l="1"/>
  <c r="K249" i="10"/>
  <c r="O250" i="10"/>
  <c r="O251" i="10"/>
  <c r="Q251" i="10" s="1"/>
  <c r="P252" i="10"/>
  <c r="P251" i="10" s="1"/>
  <c r="Q252" i="10"/>
  <c r="K255" i="8"/>
  <c r="N255" i="8"/>
  <c r="P256" i="8"/>
  <c r="O256" i="8"/>
  <c r="N253" i="10"/>
  <c r="J252" i="10"/>
  <c r="J254" i="8"/>
  <c r="I251" i="8"/>
  <c r="I257" i="22"/>
  <c r="M257" i="22" s="1"/>
  <c r="CI257" i="22"/>
  <c r="J257" i="22" s="1"/>
  <c r="P259" i="22"/>
  <c r="K258" i="22"/>
  <c r="O258" i="22" s="1"/>
  <c r="N258" i="22"/>
  <c r="P258" i="22" s="1"/>
  <c r="N259" i="21"/>
  <c r="P259" i="21" s="1"/>
  <c r="P260" i="21"/>
  <c r="CI258" i="21"/>
  <c r="J258" i="21" s="1"/>
  <c r="I258" i="21"/>
  <c r="M258" i="21" s="1"/>
  <c r="P250" i="10" l="1"/>
  <c r="Q250" i="10"/>
  <c r="K248" i="10"/>
  <c r="O249" i="10"/>
  <c r="M249" i="10"/>
  <c r="N254" i="8"/>
  <c r="K254" i="8"/>
  <c r="J251" i="10"/>
  <c r="N252" i="10"/>
  <c r="N251" i="10" s="1"/>
  <c r="J253" i="8"/>
  <c r="O255" i="8"/>
  <c r="P255" i="8"/>
  <c r="M251" i="8"/>
  <c r="I250" i="8"/>
  <c r="I256" i="22"/>
  <c r="M256" i="22" s="1"/>
  <c r="CI256" i="22"/>
  <c r="J256" i="22" s="1"/>
  <c r="K257" i="22"/>
  <c r="O257" i="22" s="1"/>
  <c r="N257" i="22"/>
  <c r="P257" i="22" s="1"/>
  <c r="CI257" i="21"/>
  <c r="J257" i="21" s="1"/>
  <c r="I257" i="21"/>
  <c r="M257" i="21" s="1"/>
  <c r="K258" i="21"/>
  <c r="O258" i="21" s="1"/>
  <c r="N258" i="21"/>
  <c r="P258" i="21" s="1"/>
  <c r="Q249" i="10" l="1"/>
  <c r="P249" i="10"/>
  <c r="M248" i="10"/>
  <c r="O248" i="10"/>
  <c r="K247" i="10"/>
  <c r="J250" i="10"/>
  <c r="J252" i="8"/>
  <c r="N253" i="8"/>
  <c r="K253" i="8"/>
  <c r="K252" i="8" s="1"/>
  <c r="O254" i="8"/>
  <c r="P254" i="8"/>
  <c r="I249" i="8"/>
  <c r="M250" i="8"/>
  <c r="N256" i="22"/>
  <c r="P256" i="22" s="1"/>
  <c r="K256" i="22"/>
  <c r="O256" i="22" s="1"/>
  <c r="I255" i="22"/>
  <c r="M255" i="22" s="1"/>
  <c r="CI255" i="22"/>
  <c r="J255" i="22" s="1"/>
  <c r="K257" i="21"/>
  <c r="O257" i="21" s="1"/>
  <c r="N257" i="21"/>
  <c r="P257" i="21" s="1"/>
  <c r="CI256" i="21"/>
  <c r="J256" i="21" s="1"/>
  <c r="I256" i="21"/>
  <c r="M256" i="21" s="1"/>
  <c r="P248" i="10" l="1"/>
  <c r="Q248" i="10"/>
  <c r="K246" i="10"/>
  <c r="K245" i="10" s="1"/>
  <c r="M247" i="10"/>
  <c r="M246" i="10" s="1"/>
  <c r="O247" i="10"/>
  <c r="P253" i="8"/>
  <c r="N252" i="8"/>
  <c r="P252" i="8" s="1"/>
  <c r="O253" i="8"/>
  <c r="O252" i="8" s="1"/>
  <c r="N250" i="10"/>
  <c r="J249" i="10"/>
  <c r="J251" i="8"/>
  <c r="M249" i="8"/>
  <c r="I248" i="8"/>
  <c r="I254" i="22"/>
  <c r="M254" i="22" s="1"/>
  <c r="CI254" i="22"/>
  <c r="J254" i="22" s="1"/>
  <c r="K255" i="22"/>
  <c r="O255" i="22" s="1"/>
  <c r="N255" i="22"/>
  <c r="P255" i="22" s="1"/>
  <c r="CI255" i="21"/>
  <c r="J255" i="21" s="1"/>
  <c r="I255" i="21"/>
  <c r="M255" i="21" s="1"/>
  <c r="N256" i="21"/>
  <c r="P256" i="21" s="1"/>
  <c r="K256" i="21"/>
  <c r="O256" i="21" s="1"/>
  <c r="K244" i="10" l="1"/>
  <c r="O245" i="10"/>
  <c r="M245" i="10"/>
  <c r="P247" i="10"/>
  <c r="P246" i="10" s="1"/>
  <c r="O246" i="10"/>
  <c r="Q246" i="10" s="1"/>
  <c r="Q247" i="10"/>
  <c r="K251" i="8"/>
  <c r="N251" i="8"/>
  <c r="N249" i="10"/>
  <c r="J248" i="10"/>
  <c r="J250" i="8"/>
  <c r="M248" i="8"/>
  <c r="M247" i="8" s="1"/>
  <c r="I247" i="8"/>
  <c r="K254" i="22"/>
  <c r="O254" i="22" s="1"/>
  <c r="N254" i="22"/>
  <c r="P254" i="22" s="1"/>
  <c r="CI253" i="22"/>
  <c r="J253" i="22" s="1"/>
  <c r="I253" i="22"/>
  <c r="M253" i="22" s="1"/>
  <c r="M252" i="22" s="1"/>
  <c r="N255" i="21"/>
  <c r="P255" i="21" s="1"/>
  <c r="K255" i="21"/>
  <c r="O255" i="21" s="1"/>
  <c r="CI254" i="21"/>
  <c r="J254" i="21" s="1"/>
  <c r="I254" i="21"/>
  <c r="M254" i="21" s="1"/>
  <c r="P245" i="10" l="1"/>
  <c r="Q245" i="10"/>
  <c r="O244" i="10"/>
  <c r="K243" i="10"/>
  <c r="M244" i="10"/>
  <c r="J247" i="10"/>
  <c r="N248" i="10"/>
  <c r="J249" i="8"/>
  <c r="P251" i="8"/>
  <c r="O251" i="8"/>
  <c r="K250" i="8"/>
  <c r="N250" i="8"/>
  <c r="I246" i="8"/>
  <c r="N253" i="22"/>
  <c r="K253" i="22"/>
  <c r="O253" i="22" s="1"/>
  <c r="O252" i="22" s="1"/>
  <c r="CI252" i="22"/>
  <c r="K254" i="21"/>
  <c r="O254" i="21" s="1"/>
  <c r="N254" i="21"/>
  <c r="P254" i="21" s="1"/>
  <c r="I253" i="21"/>
  <c r="M253" i="21" s="1"/>
  <c r="M252" i="21" s="1"/>
  <c r="CI253" i="21"/>
  <c r="J253" i="21" s="1"/>
  <c r="Q244" i="10" l="1"/>
  <c r="P244" i="10"/>
  <c r="O243" i="10"/>
  <c r="M243" i="10"/>
  <c r="K242" i="10"/>
  <c r="P250" i="8"/>
  <c r="O250" i="8"/>
  <c r="K249" i="8"/>
  <c r="N249" i="8"/>
  <c r="N247" i="10"/>
  <c r="N246" i="10" s="1"/>
  <c r="J246" i="10"/>
  <c r="J248" i="8"/>
  <c r="I245" i="8"/>
  <c r="M246" i="8"/>
  <c r="CI251" i="22"/>
  <c r="J251" i="22" s="1"/>
  <c r="I251" i="22"/>
  <c r="M251" i="22" s="1"/>
  <c r="P253" i="22"/>
  <c r="N252" i="22"/>
  <c r="P252" i="22" s="1"/>
  <c r="K253" i="21"/>
  <c r="O253" i="21" s="1"/>
  <c r="O252" i="21" s="1"/>
  <c r="N253" i="21"/>
  <c r="CI252" i="21"/>
  <c r="P243" i="10" l="1"/>
  <c r="Q243" i="10"/>
  <c r="K241" i="10"/>
  <c r="O242" i="10"/>
  <c r="M242" i="10"/>
  <c r="N248" i="8"/>
  <c r="K248" i="8"/>
  <c r="K247" i="8" s="1"/>
  <c r="P249" i="8"/>
  <c r="O249" i="8"/>
  <c r="J245" i="10"/>
  <c r="J247" i="8"/>
  <c r="M245" i="8"/>
  <c r="I244" i="8"/>
  <c r="N251" i="22"/>
  <c r="P251" i="22" s="1"/>
  <c r="K251" i="22"/>
  <c r="O251" i="22" s="1"/>
  <c r="CI250" i="22"/>
  <c r="J250" i="22" s="1"/>
  <c r="I250" i="22"/>
  <c r="M250" i="22" s="1"/>
  <c r="I251" i="21"/>
  <c r="M251" i="21" s="1"/>
  <c r="CI251" i="21"/>
  <c r="J251" i="21" s="1"/>
  <c r="N252" i="21"/>
  <c r="P252" i="21" s="1"/>
  <c r="P253" i="21"/>
  <c r="O241" i="10" l="1"/>
  <c r="K240" i="10"/>
  <c r="M241" i="10"/>
  <c r="Q242" i="10"/>
  <c r="P242" i="10"/>
  <c r="J244" i="10"/>
  <c r="N245" i="10"/>
  <c r="J246" i="8"/>
  <c r="P248" i="8"/>
  <c r="O248" i="8"/>
  <c r="O247" i="8" s="1"/>
  <c r="N247" i="8"/>
  <c r="P247" i="8" s="1"/>
  <c r="I243" i="8"/>
  <c r="M244" i="8"/>
  <c r="CI249" i="22"/>
  <c r="J249" i="22" s="1"/>
  <c r="I249" i="22"/>
  <c r="M249" i="22" s="1"/>
  <c r="N250" i="22"/>
  <c r="P250" i="22" s="1"/>
  <c r="K250" i="22"/>
  <c r="O250" i="22" s="1"/>
  <c r="N251" i="21"/>
  <c r="P251" i="21" s="1"/>
  <c r="K251" i="21"/>
  <c r="O251" i="21" s="1"/>
  <c r="CI250" i="21"/>
  <c r="J250" i="21" s="1"/>
  <c r="I250" i="21"/>
  <c r="M250" i="21" s="1"/>
  <c r="O240" i="10" l="1"/>
  <c r="K239" i="10"/>
  <c r="M240" i="10"/>
  <c r="P241" i="10"/>
  <c r="Q241" i="10"/>
  <c r="K246" i="8"/>
  <c r="N246" i="8"/>
  <c r="J243" i="10"/>
  <c r="N244" i="10"/>
  <c r="J245" i="8"/>
  <c r="M243" i="8"/>
  <c r="I242" i="8"/>
  <c r="I248" i="22"/>
  <c r="M248" i="22" s="1"/>
  <c r="M247" i="22" s="1"/>
  <c r="CI248" i="22"/>
  <c r="J248" i="22" s="1"/>
  <c r="K249" i="22"/>
  <c r="O249" i="22" s="1"/>
  <c r="N249" i="22"/>
  <c r="P249" i="22" s="1"/>
  <c r="K250" i="21"/>
  <c r="O250" i="21" s="1"/>
  <c r="N250" i="21"/>
  <c r="P250" i="21" s="1"/>
  <c r="I249" i="21"/>
  <c r="M249" i="21" s="1"/>
  <c r="CI249" i="21"/>
  <c r="J249" i="21" s="1"/>
  <c r="K238" i="10" l="1"/>
  <c r="O239" i="10"/>
  <c r="M239" i="10"/>
  <c r="Q240" i="10"/>
  <c r="P240" i="10"/>
  <c r="N243" i="10"/>
  <c r="J242" i="10"/>
  <c r="J244" i="8"/>
  <c r="O246" i="8"/>
  <c r="P246" i="8"/>
  <c r="K245" i="8"/>
  <c r="N245" i="8"/>
  <c r="I241" i="8"/>
  <c r="M242" i="8"/>
  <c r="K248" i="22"/>
  <c r="O248" i="22" s="1"/>
  <c r="O247" i="22" s="1"/>
  <c r="N248" i="22"/>
  <c r="CI247" i="22"/>
  <c r="I248" i="21"/>
  <c r="M248" i="21" s="1"/>
  <c r="M247" i="21" s="1"/>
  <c r="CI248" i="21"/>
  <c r="J248" i="21" s="1"/>
  <c r="N249" i="21"/>
  <c r="P249" i="21" s="1"/>
  <c r="K249" i="21"/>
  <c r="O249" i="21" s="1"/>
  <c r="P239" i="10" l="1"/>
  <c r="Q239" i="10"/>
  <c r="K237" i="10"/>
  <c r="M238" i="10"/>
  <c r="O238" i="10"/>
  <c r="O245" i="8"/>
  <c r="P245" i="8"/>
  <c r="K244" i="8"/>
  <c r="N244" i="8"/>
  <c r="N242" i="10"/>
  <c r="J241" i="10"/>
  <c r="J243" i="8"/>
  <c r="I240" i="8"/>
  <c r="M241" i="8"/>
  <c r="P248" i="22"/>
  <c r="N247" i="22"/>
  <c r="P247" i="22" s="1"/>
  <c r="I246" i="22"/>
  <c r="M246" i="22" s="1"/>
  <c r="CI246" i="22"/>
  <c r="J246" i="22" s="1"/>
  <c r="K248" i="21"/>
  <c r="O248" i="21" s="1"/>
  <c r="O247" i="21" s="1"/>
  <c r="N248" i="21"/>
  <c r="CI247" i="21"/>
  <c r="K236" i="10" l="1"/>
  <c r="O237" i="10"/>
  <c r="Q238" i="10"/>
  <c r="P238" i="10"/>
  <c r="O244" i="8"/>
  <c r="P244" i="8"/>
  <c r="K243" i="8"/>
  <c r="N243" i="8"/>
  <c r="N241" i="10"/>
  <c r="J240" i="10"/>
  <c r="J242" i="8"/>
  <c r="M240" i="8"/>
  <c r="I239" i="8"/>
  <c r="I245" i="22"/>
  <c r="M245" i="22" s="1"/>
  <c r="CI245" i="22"/>
  <c r="J245" i="22" s="1"/>
  <c r="N246" i="22"/>
  <c r="P246" i="22" s="1"/>
  <c r="K246" i="22"/>
  <c r="O246" i="22" s="1"/>
  <c r="I246" i="21"/>
  <c r="M246" i="21" s="1"/>
  <c r="CI246" i="21"/>
  <c r="J246" i="21" s="1"/>
  <c r="P248" i="21"/>
  <c r="N247" i="21"/>
  <c r="P247" i="21" s="1"/>
  <c r="Q237" i="10" l="1"/>
  <c r="P237" i="10"/>
  <c r="O236" i="10"/>
  <c r="M236" i="10"/>
  <c r="K235" i="10"/>
  <c r="P243" i="8"/>
  <c r="O243" i="8"/>
  <c r="K242" i="8"/>
  <c r="N242" i="8"/>
  <c r="N240" i="10"/>
  <c r="J239" i="10"/>
  <c r="J241" i="8"/>
  <c r="I238" i="8"/>
  <c r="M239" i="8"/>
  <c r="K245" i="22"/>
  <c r="O245" i="22" s="1"/>
  <c r="N245" i="22"/>
  <c r="P245" i="22" s="1"/>
  <c r="I244" i="22"/>
  <c r="M244" i="22" s="1"/>
  <c r="CI244" i="22"/>
  <c r="J244" i="22" s="1"/>
  <c r="K246" i="21"/>
  <c r="O246" i="21" s="1"/>
  <c r="N246" i="21"/>
  <c r="P246" i="21" s="1"/>
  <c r="CI245" i="21"/>
  <c r="J245" i="21" s="1"/>
  <c r="I245" i="21"/>
  <c r="M245" i="21" s="1"/>
  <c r="Q236" i="10" l="1"/>
  <c r="P236" i="10"/>
  <c r="K234" i="10"/>
  <c r="O235" i="10"/>
  <c r="M235" i="10"/>
  <c r="O242" i="8"/>
  <c r="P242" i="8"/>
  <c r="N241" i="8"/>
  <c r="K241" i="8"/>
  <c r="J238" i="10"/>
  <c r="N239" i="10"/>
  <c r="J240" i="8"/>
  <c r="M238" i="8"/>
  <c r="I237" i="8"/>
  <c r="I243" i="22"/>
  <c r="M243" i="22" s="1"/>
  <c r="CI243" i="22"/>
  <c r="J243" i="22" s="1"/>
  <c r="K244" i="22"/>
  <c r="O244" i="22" s="1"/>
  <c r="N244" i="22"/>
  <c r="P244" i="22" s="1"/>
  <c r="N245" i="21"/>
  <c r="P245" i="21" s="1"/>
  <c r="K245" i="21"/>
  <c r="O245" i="21" s="1"/>
  <c r="CI244" i="21"/>
  <c r="J244" i="21" s="1"/>
  <c r="I244" i="21"/>
  <c r="M244" i="21" s="1"/>
  <c r="Q235" i="10" l="1"/>
  <c r="P235" i="10"/>
  <c r="K233" i="10"/>
  <c r="M234" i="10"/>
  <c r="O234" i="10"/>
  <c r="N240" i="8"/>
  <c r="K240" i="8"/>
  <c r="O241" i="8"/>
  <c r="P241" i="8"/>
  <c r="N238" i="10"/>
  <c r="J237" i="10"/>
  <c r="J239" i="8"/>
  <c r="I236" i="8"/>
  <c r="M237" i="8"/>
  <c r="K243" i="22"/>
  <c r="O243" i="22" s="1"/>
  <c r="N243" i="22"/>
  <c r="P243" i="22" s="1"/>
  <c r="I242" i="22"/>
  <c r="M242" i="22" s="1"/>
  <c r="CI242" i="22"/>
  <c r="J242" i="22" s="1"/>
  <c r="N244" i="21"/>
  <c r="P244" i="21" s="1"/>
  <c r="K244" i="21"/>
  <c r="O244" i="21" s="1"/>
  <c r="CI243" i="21"/>
  <c r="J243" i="21" s="1"/>
  <c r="I243" i="21"/>
  <c r="M243" i="21" s="1"/>
  <c r="K232" i="10" l="1"/>
  <c r="M233" i="10"/>
  <c r="O233" i="10"/>
  <c r="Q234" i="10"/>
  <c r="P234" i="10"/>
  <c r="K239" i="8"/>
  <c r="N239" i="8"/>
  <c r="J236" i="10"/>
  <c r="N237" i="10"/>
  <c r="J238" i="8"/>
  <c r="N238" i="8" s="1"/>
  <c r="O240" i="8"/>
  <c r="P240" i="8"/>
  <c r="I235" i="8"/>
  <c r="M236" i="8"/>
  <c r="I241" i="22"/>
  <c r="M241" i="22" s="1"/>
  <c r="CI241" i="22"/>
  <c r="J241" i="22" s="1"/>
  <c r="N242" i="22"/>
  <c r="P242" i="22" s="1"/>
  <c r="K242" i="22"/>
  <c r="O242" i="22" s="1"/>
  <c r="K243" i="21"/>
  <c r="O243" i="21" s="1"/>
  <c r="N243" i="21"/>
  <c r="P243" i="21" s="1"/>
  <c r="CI242" i="21"/>
  <c r="J242" i="21" s="1"/>
  <c r="I242" i="21"/>
  <c r="M242" i="21" s="1"/>
  <c r="P233" i="10" l="1"/>
  <c r="Q233" i="10"/>
  <c r="O232" i="10"/>
  <c r="K231" i="10"/>
  <c r="M232" i="10"/>
  <c r="N236" i="10"/>
  <c r="J235" i="10"/>
  <c r="J237" i="8"/>
  <c r="O239" i="8"/>
  <c r="P239" i="8"/>
  <c r="O238" i="8"/>
  <c r="P238" i="8"/>
  <c r="I234" i="8"/>
  <c r="M235" i="8"/>
  <c r="CI240" i="22"/>
  <c r="J240" i="22" s="1"/>
  <c r="I240" i="22"/>
  <c r="M240" i="22" s="1"/>
  <c r="K241" i="22"/>
  <c r="O241" i="22" s="1"/>
  <c r="N241" i="22"/>
  <c r="P241" i="22" s="1"/>
  <c r="K242" i="21"/>
  <c r="O242" i="21" s="1"/>
  <c r="N242" i="21"/>
  <c r="P242" i="21" s="1"/>
  <c r="CI241" i="21"/>
  <c r="J241" i="21" s="1"/>
  <c r="I241" i="21"/>
  <c r="M241" i="21" s="1"/>
  <c r="P232" i="10" l="1"/>
  <c r="Q232" i="10"/>
  <c r="O231" i="10"/>
  <c r="K230" i="10"/>
  <c r="M231" i="10"/>
  <c r="J234" i="10"/>
  <c r="N235" i="10"/>
  <c r="J236" i="8"/>
  <c r="K237" i="8"/>
  <c r="N237" i="8"/>
  <c r="M234" i="8"/>
  <c r="I233" i="8"/>
  <c r="K240" i="22"/>
  <c r="O240" i="22" s="1"/>
  <c r="N240" i="22"/>
  <c r="P240" i="22" s="1"/>
  <c r="CI239" i="22"/>
  <c r="J239" i="22" s="1"/>
  <c r="I239" i="22"/>
  <c r="M239" i="22" s="1"/>
  <c r="K241" i="21"/>
  <c r="O241" i="21" s="1"/>
  <c r="N241" i="21"/>
  <c r="P241" i="21" s="1"/>
  <c r="I240" i="21"/>
  <c r="M240" i="21" s="1"/>
  <c r="CI240" i="21"/>
  <c r="J240" i="21" s="1"/>
  <c r="K229" i="10" l="1"/>
  <c r="O230" i="10"/>
  <c r="P231" i="10"/>
  <c r="Q231" i="10"/>
  <c r="K236" i="8"/>
  <c r="N236" i="8"/>
  <c r="O237" i="8"/>
  <c r="P237" i="8"/>
  <c r="N234" i="10"/>
  <c r="J233" i="10"/>
  <c r="J235" i="8"/>
  <c r="I232" i="8"/>
  <c r="M233" i="8"/>
  <c r="K239" i="22"/>
  <c r="O239" i="22" s="1"/>
  <c r="N239" i="22"/>
  <c r="P239" i="22" s="1"/>
  <c r="CI238" i="22"/>
  <c r="J238" i="22" s="1"/>
  <c r="I238" i="22"/>
  <c r="M238" i="22" s="1"/>
  <c r="I239" i="21"/>
  <c r="M239" i="21" s="1"/>
  <c r="CI239" i="21"/>
  <c r="J239" i="21" s="1"/>
  <c r="K240" i="21"/>
  <c r="O240" i="21" s="1"/>
  <c r="N240" i="21"/>
  <c r="P240" i="21" s="1"/>
  <c r="P230" i="10" l="1"/>
  <c r="Q230" i="10"/>
  <c r="M229" i="10"/>
  <c r="K228" i="10"/>
  <c r="O229" i="10"/>
  <c r="K235" i="8"/>
  <c r="N235" i="8"/>
  <c r="N233" i="10"/>
  <c r="J232" i="10"/>
  <c r="J234" i="8"/>
  <c r="O236" i="8"/>
  <c r="P236" i="8"/>
  <c r="I231" i="8"/>
  <c r="M232" i="8"/>
  <c r="CI237" i="22"/>
  <c r="J237" i="22" s="1"/>
  <c r="I237" i="22"/>
  <c r="M237" i="22" s="1"/>
  <c r="N238" i="22"/>
  <c r="P238" i="22" s="1"/>
  <c r="K238" i="22"/>
  <c r="O238" i="22" s="1"/>
  <c r="N239" i="21"/>
  <c r="P239" i="21" s="1"/>
  <c r="K239" i="21"/>
  <c r="O239" i="21" s="1"/>
  <c r="I238" i="21"/>
  <c r="M238" i="21" s="1"/>
  <c r="CI238" i="21"/>
  <c r="J238" i="21" s="1"/>
  <c r="K227" i="10" l="1"/>
  <c r="M228" i="10"/>
  <c r="O228" i="10"/>
  <c r="Q229" i="10"/>
  <c r="P229" i="10"/>
  <c r="N232" i="10"/>
  <c r="J231" i="10"/>
  <c r="J233" i="8"/>
  <c r="O235" i="8"/>
  <c r="P235" i="8"/>
  <c r="K234" i="8"/>
  <c r="N234" i="8"/>
  <c r="M231" i="8"/>
  <c r="I230" i="8"/>
  <c r="K237" i="22"/>
  <c r="O237" i="22" s="1"/>
  <c r="N237" i="22"/>
  <c r="P237" i="22" s="1"/>
  <c r="CI236" i="22"/>
  <c r="J236" i="22" s="1"/>
  <c r="I236" i="22"/>
  <c r="M236" i="22" s="1"/>
  <c r="I237" i="21"/>
  <c r="M237" i="21" s="1"/>
  <c r="CI237" i="21"/>
  <c r="J237" i="21" s="1"/>
  <c r="N238" i="21"/>
  <c r="P238" i="21" s="1"/>
  <c r="K238" i="21"/>
  <c r="O238" i="21" s="1"/>
  <c r="P228" i="10" l="1"/>
  <c r="Q228" i="10"/>
  <c r="K226" i="10"/>
  <c r="O227" i="10"/>
  <c r="M227" i="10"/>
  <c r="P234" i="8"/>
  <c r="O234" i="8"/>
  <c r="N233" i="8"/>
  <c r="K233" i="8"/>
  <c r="N231" i="10"/>
  <c r="J230" i="10"/>
  <c r="J232" i="8"/>
  <c r="I229" i="8"/>
  <c r="M230" i="8"/>
  <c r="N236" i="22"/>
  <c r="P236" i="22" s="1"/>
  <c r="K236" i="22"/>
  <c r="O236" i="22" s="1"/>
  <c r="CI235" i="22"/>
  <c r="J235" i="22" s="1"/>
  <c r="I235" i="22"/>
  <c r="M235" i="22" s="1"/>
  <c r="N237" i="21"/>
  <c r="P237" i="21" s="1"/>
  <c r="K237" i="21"/>
  <c r="O237" i="21" s="1"/>
  <c r="I236" i="21"/>
  <c r="M236" i="21" s="1"/>
  <c r="CI236" i="21"/>
  <c r="J236" i="21" s="1"/>
  <c r="O226" i="10" l="1"/>
  <c r="M226" i="10"/>
  <c r="K225" i="10"/>
  <c r="Q227" i="10"/>
  <c r="P227" i="10"/>
  <c r="K232" i="8"/>
  <c r="N232" i="8"/>
  <c r="P233" i="8"/>
  <c r="O233" i="8"/>
  <c r="J229" i="10"/>
  <c r="N230" i="10"/>
  <c r="J231" i="8"/>
  <c r="N231" i="8" s="1"/>
  <c r="M229" i="8"/>
  <c r="I228" i="8"/>
  <c r="CI234" i="22"/>
  <c r="J234" i="22" s="1"/>
  <c r="I234" i="22"/>
  <c r="M234" i="22" s="1"/>
  <c r="K235" i="22"/>
  <c r="O235" i="22" s="1"/>
  <c r="N235" i="22"/>
  <c r="P235" i="22" s="1"/>
  <c r="I235" i="21"/>
  <c r="M235" i="21" s="1"/>
  <c r="CI235" i="21"/>
  <c r="J235" i="21" s="1"/>
  <c r="K236" i="21"/>
  <c r="O236" i="21" s="1"/>
  <c r="N236" i="21"/>
  <c r="P236" i="21" s="1"/>
  <c r="O225" i="10" l="1"/>
  <c r="K224" i="10"/>
  <c r="K223" i="10" s="1"/>
  <c r="M225" i="10"/>
  <c r="M224" i="10" s="1"/>
  <c r="Q226" i="10"/>
  <c r="P226" i="10"/>
  <c r="O231" i="8"/>
  <c r="P231" i="8"/>
  <c r="O232" i="8"/>
  <c r="P232" i="8"/>
  <c r="N229" i="10"/>
  <c r="J228" i="10"/>
  <c r="J230" i="8"/>
  <c r="M228" i="8"/>
  <c r="M225" i="8" s="1"/>
  <c r="M214" i="8" s="1"/>
  <c r="CI233" i="22"/>
  <c r="J233" i="22" s="1"/>
  <c r="I233" i="22"/>
  <c r="M233" i="22" s="1"/>
  <c r="N234" i="22"/>
  <c r="P234" i="22" s="1"/>
  <c r="K234" i="22"/>
  <c r="O234" i="22" s="1"/>
  <c r="N235" i="21"/>
  <c r="P235" i="21" s="1"/>
  <c r="K235" i="21"/>
  <c r="O235" i="21" s="1"/>
  <c r="I234" i="21"/>
  <c r="M234" i="21" s="1"/>
  <c r="CI234" i="21"/>
  <c r="J234" i="21" s="1"/>
  <c r="M223" i="10" l="1"/>
  <c r="O223" i="10"/>
  <c r="K222" i="10"/>
  <c r="Q225" i="10"/>
  <c r="O224" i="10"/>
  <c r="Q224" i="10" s="1"/>
  <c r="P225" i="10"/>
  <c r="P224" i="10" s="1"/>
  <c r="N230" i="8"/>
  <c r="K230" i="8"/>
  <c r="N228" i="10"/>
  <c r="J227" i="10"/>
  <c r="J229" i="8"/>
  <c r="M13" i="8"/>
  <c r="M284" i="8"/>
  <c r="CI232" i="22"/>
  <c r="J232" i="22" s="1"/>
  <c r="I232" i="22"/>
  <c r="M232" i="22" s="1"/>
  <c r="K233" i="22"/>
  <c r="O233" i="22" s="1"/>
  <c r="N233" i="22"/>
  <c r="P233" i="22" s="1"/>
  <c r="I233" i="21"/>
  <c r="M233" i="21" s="1"/>
  <c r="CI233" i="21"/>
  <c r="J233" i="21" s="1"/>
  <c r="K234" i="21"/>
  <c r="O234" i="21" s="1"/>
  <c r="N234" i="21"/>
  <c r="P234" i="21" s="1"/>
  <c r="K221" i="10" l="1"/>
  <c r="O222" i="10"/>
  <c r="M222" i="10"/>
  <c r="P223" i="10"/>
  <c r="Q223" i="10"/>
  <c r="N227" i="10"/>
  <c r="J226" i="10"/>
  <c r="J228" i="8"/>
  <c r="K229" i="8"/>
  <c r="N229" i="8"/>
  <c r="P230" i="8"/>
  <c r="O230" i="8"/>
  <c r="CI231" i="22"/>
  <c r="J231" i="22" s="1"/>
  <c r="I231" i="22"/>
  <c r="M231" i="22" s="1"/>
  <c r="N232" i="22"/>
  <c r="P232" i="22" s="1"/>
  <c r="K232" i="22"/>
  <c r="O232" i="22" s="1"/>
  <c r="K233" i="21"/>
  <c r="O233" i="21" s="1"/>
  <c r="N233" i="21"/>
  <c r="P233" i="21" s="1"/>
  <c r="CI232" i="21"/>
  <c r="J232" i="21" s="1"/>
  <c r="I232" i="21"/>
  <c r="M232" i="21" s="1"/>
  <c r="Q222" i="10" l="1"/>
  <c r="P222" i="10"/>
  <c r="K220" i="10"/>
  <c r="O221" i="10"/>
  <c r="M221" i="10"/>
  <c r="N228" i="8"/>
  <c r="K228" i="8"/>
  <c r="J225" i="10"/>
  <c r="J227" i="8"/>
  <c r="N226" i="10"/>
  <c r="P229" i="8"/>
  <c r="O229" i="8"/>
  <c r="CI230" i="22"/>
  <c r="J230" i="22" s="1"/>
  <c r="I230" i="22"/>
  <c r="M230" i="22" s="1"/>
  <c r="N231" i="22"/>
  <c r="P231" i="22" s="1"/>
  <c r="K231" i="22"/>
  <c r="O231" i="22" s="1"/>
  <c r="K232" i="21"/>
  <c r="O232" i="21" s="1"/>
  <c r="N232" i="21"/>
  <c r="P232" i="21" s="1"/>
  <c r="CI231" i="21"/>
  <c r="J231" i="21" s="1"/>
  <c r="I231" i="21"/>
  <c r="M231" i="21" s="1"/>
  <c r="M220" i="10" l="1"/>
  <c r="O220" i="10"/>
  <c r="K219" i="10"/>
  <c r="Q221" i="10"/>
  <c r="P221" i="10"/>
  <c r="N227" i="8"/>
  <c r="K227" i="8"/>
  <c r="J224" i="10"/>
  <c r="N225" i="10"/>
  <c r="N224" i="10" s="1"/>
  <c r="J226" i="8"/>
  <c r="O228" i="8"/>
  <c r="P228" i="8"/>
  <c r="I229" i="22"/>
  <c r="M229" i="22" s="1"/>
  <c r="CI229" i="22"/>
  <c r="J229" i="22" s="1"/>
  <c r="N230" i="22"/>
  <c r="P230" i="22" s="1"/>
  <c r="K230" i="22"/>
  <c r="O230" i="22" s="1"/>
  <c r="K231" i="21"/>
  <c r="O231" i="21" s="1"/>
  <c r="N231" i="21"/>
  <c r="P231" i="21" s="1"/>
  <c r="I230" i="21"/>
  <c r="M230" i="21" s="1"/>
  <c r="CI230" i="21"/>
  <c r="J230" i="21" s="1"/>
  <c r="M219" i="10" l="1"/>
  <c r="O219" i="10"/>
  <c r="K218" i="10"/>
  <c r="P220" i="10"/>
  <c r="Q220" i="10"/>
  <c r="J225" i="8"/>
  <c r="J223" i="10"/>
  <c r="N226" i="8"/>
  <c r="K226" i="8"/>
  <c r="O227" i="8"/>
  <c r="P227" i="8"/>
  <c r="I228" i="22"/>
  <c r="M228" i="22" s="1"/>
  <c r="M225" i="22" s="1"/>
  <c r="M214" i="22" s="1"/>
  <c r="CI228" i="22"/>
  <c r="J228" i="22" s="1"/>
  <c r="K229" i="22"/>
  <c r="O229" i="22" s="1"/>
  <c r="N229" i="22"/>
  <c r="P229" i="22" s="1"/>
  <c r="I229" i="21"/>
  <c r="M229" i="21" s="1"/>
  <c r="CI229" i="21"/>
  <c r="J229" i="21" s="1"/>
  <c r="N230" i="21"/>
  <c r="P230" i="21" s="1"/>
  <c r="K230" i="21"/>
  <c r="O230" i="21" s="1"/>
  <c r="O218" i="10" l="1"/>
  <c r="K217" i="10"/>
  <c r="Q219" i="10"/>
  <c r="P219" i="10"/>
  <c r="O226" i="8"/>
  <c r="O225" i="8" s="1"/>
  <c r="N225" i="8"/>
  <c r="P225" i="8" s="1"/>
  <c r="P226" i="8"/>
  <c r="J224" i="8"/>
  <c r="J222" i="10"/>
  <c r="N223" i="10"/>
  <c r="N228" i="22"/>
  <c r="K228" i="22"/>
  <c r="O228" i="22" s="1"/>
  <c r="O225" i="22" s="1"/>
  <c r="O214" i="22" s="1"/>
  <c r="O13" i="22" s="1"/>
  <c r="M13" i="22"/>
  <c r="M284" i="22"/>
  <c r="K229" i="21"/>
  <c r="O229" i="21" s="1"/>
  <c r="N229" i="21"/>
  <c r="P229" i="21" s="1"/>
  <c r="CI228" i="21"/>
  <c r="J228" i="21" s="1"/>
  <c r="I228" i="21"/>
  <c r="M228" i="21" s="1"/>
  <c r="O217" i="10" l="1"/>
  <c r="M217" i="10"/>
  <c r="K216" i="10"/>
  <c r="Q218" i="10"/>
  <c r="P218" i="10"/>
  <c r="K224" i="8"/>
  <c r="N224" i="8"/>
  <c r="J221" i="10"/>
  <c r="J223" i="8"/>
  <c r="N222" i="10"/>
  <c r="L7" i="22"/>
  <c r="O284" i="22"/>
  <c r="P228" i="22"/>
  <c r="N225" i="22"/>
  <c r="N228" i="21"/>
  <c r="P228" i="21" s="1"/>
  <c r="K228" i="21"/>
  <c r="O228" i="21" s="1"/>
  <c r="I227" i="21"/>
  <c r="M227" i="21" s="1"/>
  <c r="CI227" i="21"/>
  <c r="J227" i="21" s="1"/>
  <c r="O216" i="10" l="1"/>
  <c r="M216" i="10"/>
  <c r="K215" i="10"/>
  <c r="P217" i="10"/>
  <c r="Q217" i="10"/>
  <c r="N223" i="8"/>
  <c r="K223" i="8"/>
  <c r="N221" i="10"/>
  <c r="J220" i="10"/>
  <c r="J222" i="8"/>
  <c r="P224" i="8"/>
  <c r="O224" i="8"/>
  <c r="P225" i="22"/>
  <c r="N214" i="22"/>
  <c r="CI226" i="21"/>
  <c r="J226" i="21" s="1"/>
  <c r="I226" i="21"/>
  <c r="M226" i="21" s="1"/>
  <c r="M225" i="21" s="1"/>
  <c r="N227" i="21"/>
  <c r="P227" i="21" s="1"/>
  <c r="K227" i="21"/>
  <c r="O227" i="21" s="1"/>
  <c r="O215" i="10" l="1"/>
  <c r="K214" i="10"/>
  <c r="K213" i="10" s="1"/>
  <c r="K212" i="10" s="1"/>
  <c r="M215" i="10"/>
  <c r="M214" i="10" s="1"/>
  <c r="M213" i="10" s="1"/>
  <c r="Q216" i="10"/>
  <c r="P216" i="10"/>
  <c r="N220" i="10"/>
  <c r="J219" i="10"/>
  <c r="J221" i="8"/>
  <c r="K222" i="8"/>
  <c r="N222" i="8"/>
  <c r="P223" i="8"/>
  <c r="O223" i="8"/>
  <c r="P214" i="22"/>
  <c r="N13" i="22"/>
  <c r="N284" i="22"/>
  <c r="P284" i="22" s="1"/>
  <c r="K226" i="21"/>
  <c r="O226" i="21" s="1"/>
  <c r="O225" i="21" s="1"/>
  <c r="N226" i="21"/>
  <c r="I225" i="21"/>
  <c r="CI225" i="21"/>
  <c r="J225" i="21" s="1"/>
  <c r="K225" i="21" s="1"/>
  <c r="M212" i="10" l="1"/>
  <c r="K211" i="10"/>
  <c r="O212" i="10"/>
  <c r="Q215" i="10"/>
  <c r="P215" i="10"/>
  <c r="P214" i="10" s="1"/>
  <c r="P213" i="10" s="1"/>
  <c r="O214" i="10"/>
  <c r="P222" i="8"/>
  <c r="O222" i="8"/>
  <c r="K221" i="8"/>
  <c r="N221" i="8"/>
  <c r="J220" i="8"/>
  <c r="N219" i="10"/>
  <c r="J218" i="10"/>
  <c r="P13" i="22"/>
  <c r="L8" i="22" s="1"/>
  <c r="CI224" i="21"/>
  <c r="J224" i="21" s="1"/>
  <c r="I224" i="21"/>
  <c r="M224" i="21" s="1"/>
  <c r="P226" i="21"/>
  <c r="N225" i="21"/>
  <c r="P225" i="21" s="1"/>
  <c r="Q212" i="10" l="1"/>
  <c r="P212" i="10"/>
  <c r="Q214" i="10"/>
  <c r="O213" i="10"/>
  <c r="Q213" i="10" s="1"/>
  <c r="O211" i="10"/>
  <c r="K210" i="10"/>
  <c r="M211" i="10"/>
  <c r="O221" i="8"/>
  <c r="P221" i="8"/>
  <c r="J219" i="8"/>
  <c r="N219" i="8" s="1"/>
  <c r="J217" i="10"/>
  <c r="K220" i="8"/>
  <c r="N220" i="8"/>
  <c r="K224" i="21"/>
  <c r="O224" i="21" s="1"/>
  <c r="N224" i="21"/>
  <c r="P224" i="21" s="1"/>
  <c r="CI223" i="21"/>
  <c r="J223" i="21" s="1"/>
  <c r="I223" i="21"/>
  <c r="M223" i="21" s="1"/>
  <c r="K209" i="10" l="1"/>
  <c r="O210" i="10"/>
  <c r="M210" i="10"/>
  <c r="Q211" i="10"/>
  <c r="P211" i="10"/>
  <c r="P219" i="8"/>
  <c r="O219" i="8"/>
  <c r="P220" i="8"/>
  <c r="O220" i="8"/>
  <c r="J216" i="10"/>
  <c r="J218" i="8"/>
  <c r="N217" i="10"/>
  <c r="N223" i="21"/>
  <c r="P223" i="21" s="1"/>
  <c r="K223" i="21"/>
  <c r="O223" i="21" s="1"/>
  <c r="I222" i="21"/>
  <c r="M222" i="21" s="1"/>
  <c r="CI222" i="21"/>
  <c r="J222" i="21" s="1"/>
  <c r="Q210" i="10" l="1"/>
  <c r="P210" i="10"/>
  <c r="M209" i="10"/>
  <c r="O209" i="10"/>
  <c r="K208" i="10"/>
  <c r="K218" i="8"/>
  <c r="N218" i="8"/>
  <c r="J215" i="10"/>
  <c r="J217" i="8"/>
  <c r="N216" i="10"/>
  <c r="CI221" i="21"/>
  <c r="J221" i="21" s="1"/>
  <c r="I221" i="21"/>
  <c r="M221" i="21" s="1"/>
  <c r="K222" i="21"/>
  <c r="O222" i="21" s="1"/>
  <c r="N222" i="21"/>
  <c r="P222" i="21" s="1"/>
  <c r="P209" i="10" l="1"/>
  <c r="Q209" i="10"/>
  <c r="K207" i="10"/>
  <c r="K206" i="10" s="1"/>
  <c r="M208" i="10"/>
  <c r="M207" i="10" s="1"/>
  <c r="O208" i="10"/>
  <c r="N217" i="8"/>
  <c r="K217" i="8"/>
  <c r="N215" i="10"/>
  <c r="N214" i="10" s="1"/>
  <c r="N213" i="10" s="1"/>
  <c r="J214" i="10"/>
  <c r="J216" i="8"/>
  <c r="O218" i="8"/>
  <c r="P218" i="8"/>
  <c r="K221" i="21"/>
  <c r="O221" i="21" s="1"/>
  <c r="N221" i="21"/>
  <c r="P221" i="21" s="1"/>
  <c r="CI220" i="21"/>
  <c r="J220" i="21" s="1"/>
  <c r="I220" i="21"/>
  <c r="M220" i="21" s="1"/>
  <c r="M206" i="10" l="1"/>
  <c r="K205" i="10"/>
  <c r="Q208" i="10"/>
  <c r="P208" i="10"/>
  <c r="P207" i="10" s="1"/>
  <c r="O207" i="10"/>
  <c r="J215" i="8"/>
  <c r="J213" i="10"/>
  <c r="J212" i="10" s="1"/>
  <c r="N216" i="8"/>
  <c r="K216" i="8"/>
  <c r="K215" i="8" s="1"/>
  <c r="P217" i="8"/>
  <c r="O217" i="8"/>
  <c r="CI219" i="21"/>
  <c r="J219" i="21" s="1"/>
  <c r="I219" i="21"/>
  <c r="M219" i="21" s="1"/>
  <c r="N220" i="21"/>
  <c r="P220" i="21" s="1"/>
  <c r="K220" i="21"/>
  <c r="O220" i="21" s="1"/>
  <c r="K204" i="10" l="1"/>
  <c r="M205" i="10"/>
  <c r="O206" i="10"/>
  <c r="Q207" i="10"/>
  <c r="O216" i="8"/>
  <c r="O215" i="8" s="1"/>
  <c r="O214" i="8" s="1"/>
  <c r="P216" i="8"/>
  <c r="N215" i="8"/>
  <c r="J211" i="10"/>
  <c r="J213" i="8"/>
  <c r="N212" i="10"/>
  <c r="N219" i="21"/>
  <c r="P219" i="21" s="1"/>
  <c r="K219" i="21"/>
  <c r="O219" i="21" s="1"/>
  <c r="CI218" i="21"/>
  <c r="J218" i="21" s="1"/>
  <c r="I218" i="21"/>
  <c r="M218" i="21" s="1"/>
  <c r="Q206" i="10" l="1"/>
  <c r="P206" i="10"/>
  <c r="O205" i="10"/>
  <c r="M204" i="10"/>
  <c r="K203" i="10"/>
  <c r="J212" i="8"/>
  <c r="N211" i="10"/>
  <c r="J210" i="10"/>
  <c r="N214" i="8"/>
  <c r="P214" i="8" s="1"/>
  <c r="P215" i="8"/>
  <c r="N213" i="8"/>
  <c r="K213" i="8"/>
  <c r="K218" i="21"/>
  <c r="O218" i="21" s="1"/>
  <c r="N218" i="21"/>
  <c r="P218" i="21" s="1"/>
  <c r="I217" i="21"/>
  <c r="M217" i="21" s="1"/>
  <c r="CI217" i="21"/>
  <c r="J217" i="21" s="1"/>
  <c r="O204" i="10" l="1"/>
  <c r="P205" i="10"/>
  <c r="Q205" i="10"/>
  <c r="M203" i="10"/>
  <c r="K202" i="10"/>
  <c r="J209" i="10"/>
  <c r="J211" i="8"/>
  <c r="N210" i="10"/>
  <c r="P213" i="8"/>
  <c r="O213" i="8"/>
  <c r="N212" i="8"/>
  <c r="K212" i="8"/>
  <c r="CI216" i="21"/>
  <c r="J216" i="21" s="1"/>
  <c r="I216" i="21"/>
  <c r="M216" i="21" s="1"/>
  <c r="M215" i="21" s="1"/>
  <c r="M214" i="21" s="1"/>
  <c r="K217" i="21"/>
  <c r="O217" i="21" s="1"/>
  <c r="N217" i="21"/>
  <c r="P217" i="21" s="1"/>
  <c r="K201" i="10" l="1"/>
  <c r="M202" i="10"/>
  <c r="O203" i="10"/>
  <c r="Q204" i="10"/>
  <c r="P204" i="10"/>
  <c r="P212" i="8"/>
  <c r="O212" i="8"/>
  <c r="K211" i="8"/>
  <c r="N211" i="8"/>
  <c r="N209" i="10"/>
  <c r="J208" i="10"/>
  <c r="J210" i="8"/>
  <c r="K216" i="21"/>
  <c r="O216" i="21" s="1"/>
  <c r="O215" i="21" s="1"/>
  <c r="O214" i="21" s="1"/>
  <c r="N216" i="21"/>
  <c r="CI215" i="21"/>
  <c r="O202" i="10" l="1"/>
  <c r="Q203" i="10"/>
  <c r="P203" i="10"/>
  <c r="K200" i="10"/>
  <c r="M201" i="10"/>
  <c r="O211" i="8"/>
  <c r="P211" i="8"/>
  <c r="N210" i="8"/>
  <c r="K210" i="8"/>
  <c r="J207" i="10"/>
  <c r="J206" i="10" s="1"/>
  <c r="N208" i="10"/>
  <c r="N207" i="10" s="1"/>
  <c r="N206" i="10" s="1"/>
  <c r="N205" i="10" s="1"/>
  <c r="N204" i="10" s="1"/>
  <c r="N203" i="10" s="1"/>
  <c r="N202" i="10" s="1"/>
  <c r="N201" i="10" s="1"/>
  <c r="N200" i="10" s="1"/>
  <c r="N199" i="10" s="1"/>
  <c r="N198" i="10" s="1"/>
  <c r="N197" i="10" s="1"/>
  <c r="N196" i="10" s="1"/>
  <c r="N195" i="10" s="1"/>
  <c r="N194" i="10" s="1"/>
  <c r="N193" i="10" s="1"/>
  <c r="J209" i="8"/>
  <c r="CI214" i="21"/>
  <c r="P216" i="21"/>
  <c r="N215" i="21"/>
  <c r="M200" i="10" l="1"/>
  <c r="K199" i="10"/>
  <c r="Q202" i="10"/>
  <c r="O201" i="10"/>
  <c r="P202" i="10"/>
  <c r="K209" i="8"/>
  <c r="N209" i="8"/>
  <c r="O210" i="8"/>
  <c r="P210" i="8"/>
  <c r="J205" i="10"/>
  <c r="J207" i="8"/>
  <c r="N214" i="21"/>
  <c r="P214" i="21" s="1"/>
  <c r="P215" i="21"/>
  <c r="CI213" i="21"/>
  <c r="J213" i="21" s="1"/>
  <c r="I213" i="21"/>
  <c r="M213" i="21" s="1"/>
  <c r="M199" i="10" l="1"/>
  <c r="K198" i="10"/>
  <c r="P201" i="10"/>
  <c r="O200" i="10"/>
  <c r="Q201" i="10"/>
  <c r="K207" i="8"/>
  <c r="N207" i="8"/>
  <c r="P209" i="8"/>
  <c r="O209" i="8"/>
  <c r="O208" i="8" s="1"/>
  <c r="J206" i="8"/>
  <c r="J204" i="10"/>
  <c r="K213" i="21"/>
  <c r="O213" i="21" s="1"/>
  <c r="N213" i="21"/>
  <c r="P213" i="21" s="1"/>
  <c r="CI212" i="21"/>
  <c r="J212" i="21" s="1"/>
  <c r="I212" i="21"/>
  <c r="M212" i="21" s="1"/>
  <c r="P200" i="10" l="1"/>
  <c r="O199" i="10"/>
  <c r="Q200" i="10"/>
  <c r="K197" i="10"/>
  <c r="M198" i="10"/>
  <c r="J205" i="8"/>
  <c r="J203" i="10"/>
  <c r="O207" i="8"/>
  <c r="P207" i="8"/>
  <c r="N206" i="8"/>
  <c r="K206" i="8"/>
  <c r="K212" i="21"/>
  <c r="O212" i="21" s="1"/>
  <c r="N212" i="21"/>
  <c r="P212" i="21" s="1"/>
  <c r="CI211" i="21"/>
  <c r="J211" i="21" s="1"/>
  <c r="I211" i="21"/>
  <c r="M211" i="21" s="1"/>
  <c r="P199" i="10" l="1"/>
  <c r="O198" i="10"/>
  <c r="Q199" i="10"/>
  <c r="K196" i="10"/>
  <c r="M197" i="10"/>
  <c r="J204" i="8"/>
  <c r="J202" i="10"/>
  <c r="P206" i="8"/>
  <c r="O206" i="8"/>
  <c r="K205" i="8"/>
  <c r="N205" i="8"/>
  <c r="I210" i="21"/>
  <c r="M210" i="21" s="1"/>
  <c r="CI210" i="21"/>
  <c r="J210" i="21" s="1"/>
  <c r="K211" i="21"/>
  <c r="O211" i="21" s="1"/>
  <c r="N211" i="21"/>
  <c r="P211" i="21" s="1"/>
  <c r="O197" i="10" l="1"/>
  <c r="P198" i="10"/>
  <c r="Q198" i="10"/>
  <c r="K195" i="10"/>
  <c r="M196" i="10"/>
  <c r="J203" i="8"/>
  <c r="J201" i="10"/>
  <c r="O205" i="8"/>
  <c r="P205" i="8"/>
  <c r="K204" i="8"/>
  <c r="N204" i="8"/>
  <c r="K210" i="21"/>
  <c r="O210" i="21" s="1"/>
  <c r="N210" i="21"/>
  <c r="P210" i="21" s="1"/>
  <c r="CI209" i="21"/>
  <c r="J209" i="21" s="1"/>
  <c r="I209" i="21"/>
  <c r="M209" i="21" s="1"/>
  <c r="M208" i="21" s="1"/>
  <c r="K194" i="10" l="1"/>
  <c r="M195" i="10"/>
  <c r="P197" i="10"/>
  <c r="Q197" i="10"/>
  <c r="O196" i="10"/>
  <c r="O204" i="8"/>
  <c r="P204" i="8"/>
  <c r="J200" i="10"/>
  <c r="J202" i="8"/>
  <c r="N203" i="8"/>
  <c r="K203" i="8"/>
  <c r="CI208" i="21"/>
  <c r="N209" i="21"/>
  <c r="K209" i="21"/>
  <c r="O209" i="21" s="1"/>
  <c r="O208" i="21" s="1"/>
  <c r="P196" i="10" l="1"/>
  <c r="O195" i="10"/>
  <c r="Q196" i="10"/>
  <c r="M194" i="10"/>
  <c r="M193" i="10" s="1"/>
  <c r="K193" i="10"/>
  <c r="K192" i="10" s="1"/>
  <c r="N202" i="8"/>
  <c r="K202" i="8"/>
  <c r="J199" i="10"/>
  <c r="J201" i="8"/>
  <c r="P203" i="8"/>
  <c r="O203" i="8"/>
  <c r="N208" i="21"/>
  <c r="P208" i="21" s="1"/>
  <c r="P209" i="21"/>
  <c r="I207" i="21"/>
  <c r="M207" i="21" s="1"/>
  <c r="CI207" i="21"/>
  <c r="J207" i="21" s="1"/>
  <c r="P195" i="10" l="1"/>
  <c r="O194" i="10"/>
  <c r="Q195" i="10"/>
  <c r="K191" i="10"/>
  <c r="M192" i="10"/>
  <c r="O192" i="10"/>
  <c r="P202" i="8"/>
  <c r="O202" i="8"/>
  <c r="N201" i="8"/>
  <c r="K201" i="8"/>
  <c r="J200" i="8"/>
  <c r="J198" i="10"/>
  <c r="CI206" i="21"/>
  <c r="J206" i="21" s="1"/>
  <c r="I206" i="21"/>
  <c r="M206" i="21" s="1"/>
  <c r="N207" i="21"/>
  <c r="P207" i="21" s="1"/>
  <c r="K207" i="21"/>
  <c r="O207" i="21" s="1"/>
  <c r="O191" i="10" l="1"/>
  <c r="K190" i="10"/>
  <c r="M191" i="10"/>
  <c r="Q192" i="10"/>
  <c r="P192" i="10"/>
  <c r="P194" i="10"/>
  <c r="P193" i="10" s="1"/>
  <c r="O193" i="10"/>
  <c r="Q193" i="10" s="1"/>
  <c r="Q194" i="10"/>
  <c r="O201" i="8"/>
  <c r="P201" i="8"/>
  <c r="J199" i="8"/>
  <c r="J197" i="10"/>
  <c r="K200" i="8"/>
  <c r="N200" i="8"/>
  <c r="K206" i="21"/>
  <c r="O206" i="21" s="1"/>
  <c r="N206" i="21"/>
  <c r="P206" i="21" s="1"/>
  <c r="I205" i="21"/>
  <c r="M205" i="21" s="1"/>
  <c r="CI205" i="21"/>
  <c r="J205" i="21" s="1"/>
  <c r="M190" i="10" l="1"/>
  <c r="M189" i="10" s="1"/>
  <c r="O190" i="10"/>
  <c r="K189" i="10"/>
  <c r="K188" i="10" s="1"/>
  <c r="Q191" i="10"/>
  <c r="P191" i="10"/>
  <c r="K199" i="8"/>
  <c r="N199" i="8"/>
  <c r="P200" i="8"/>
  <c r="O200" i="8"/>
  <c r="J196" i="10"/>
  <c r="J198" i="8"/>
  <c r="CI204" i="21"/>
  <c r="J204" i="21" s="1"/>
  <c r="I204" i="21"/>
  <c r="M204" i="21" s="1"/>
  <c r="N205" i="21"/>
  <c r="P205" i="21" s="1"/>
  <c r="K205" i="21"/>
  <c r="O205" i="21" s="1"/>
  <c r="K187" i="10" l="1"/>
  <c r="O188" i="10"/>
  <c r="M188" i="10"/>
  <c r="O189" i="10"/>
  <c r="Q189" i="10" s="1"/>
  <c r="Q190" i="10"/>
  <c r="P190" i="10"/>
  <c r="P189" i="10" s="1"/>
  <c r="N198" i="8"/>
  <c r="K198" i="8"/>
  <c r="O199" i="8"/>
  <c r="P199" i="8"/>
  <c r="J197" i="8"/>
  <c r="J195" i="10"/>
  <c r="K204" i="21"/>
  <c r="O204" i="21" s="1"/>
  <c r="N204" i="21"/>
  <c r="P204" i="21" s="1"/>
  <c r="I203" i="21"/>
  <c r="M203" i="21" s="1"/>
  <c r="CI203" i="21"/>
  <c r="J203" i="21" s="1"/>
  <c r="P188" i="10" l="1"/>
  <c r="Q188" i="10"/>
  <c r="K186" i="10"/>
  <c r="M187" i="10"/>
  <c r="O187" i="10"/>
  <c r="J196" i="8"/>
  <c r="J194" i="10"/>
  <c r="K197" i="8"/>
  <c r="N197" i="8"/>
  <c r="P198" i="8"/>
  <c r="O198" i="8"/>
  <c r="I202" i="21"/>
  <c r="M202" i="21" s="1"/>
  <c r="CI202" i="21"/>
  <c r="J202" i="21" s="1"/>
  <c r="K203" i="21"/>
  <c r="O203" i="21" s="1"/>
  <c r="N203" i="21"/>
  <c r="P203" i="21" s="1"/>
  <c r="K185" i="10" l="1"/>
  <c r="M186" i="10"/>
  <c r="O186" i="10"/>
  <c r="P187" i="10"/>
  <c r="Q187" i="10"/>
  <c r="J195" i="8"/>
  <c r="J193" i="10"/>
  <c r="J192" i="10" s="1"/>
  <c r="N196" i="8"/>
  <c r="K196" i="8"/>
  <c r="O197" i="8"/>
  <c r="P197" i="8"/>
  <c r="K202" i="21"/>
  <c r="O202" i="21" s="1"/>
  <c r="N202" i="21"/>
  <c r="P202" i="21" s="1"/>
  <c r="CI201" i="21"/>
  <c r="J201" i="21" s="1"/>
  <c r="I201" i="21"/>
  <c r="M201" i="21" s="1"/>
  <c r="Q186" i="10" l="1"/>
  <c r="P186" i="10"/>
  <c r="M185" i="10"/>
  <c r="O185" i="10"/>
  <c r="K184" i="10"/>
  <c r="O196" i="8"/>
  <c r="P196" i="8"/>
  <c r="N192" i="10"/>
  <c r="J191" i="10"/>
  <c r="J193" i="8"/>
  <c r="K195" i="8"/>
  <c r="N195" i="8"/>
  <c r="K201" i="21"/>
  <c r="O201" i="21" s="1"/>
  <c r="N201" i="21"/>
  <c r="P201" i="21" s="1"/>
  <c r="CI200" i="21"/>
  <c r="J200" i="21" s="1"/>
  <c r="I200" i="21"/>
  <c r="M200" i="21" s="1"/>
  <c r="P185" i="10" l="1"/>
  <c r="Q185" i="10"/>
  <c r="M184" i="10"/>
  <c r="O184" i="10"/>
  <c r="K183" i="10"/>
  <c r="N193" i="8"/>
  <c r="K193" i="8"/>
  <c r="J190" i="10"/>
  <c r="N191" i="10"/>
  <c r="J192" i="8"/>
  <c r="P195" i="8"/>
  <c r="O195" i="8"/>
  <c r="O194" i="8" s="1"/>
  <c r="N194" i="8"/>
  <c r="P194" i="8" s="1"/>
  <c r="K200" i="21"/>
  <c r="O200" i="21" s="1"/>
  <c r="N200" i="21"/>
  <c r="P200" i="21" s="1"/>
  <c r="CI199" i="21"/>
  <c r="J199" i="21" s="1"/>
  <c r="I199" i="21"/>
  <c r="M199" i="21" s="1"/>
  <c r="P184" i="10" l="1"/>
  <c r="Q184" i="10"/>
  <c r="O183" i="10"/>
  <c r="K182" i="10"/>
  <c r="M183" i="10"/>
  <c r="N190" i="10"/>
  <c r="N189" i="10" s="1"/>
  <c r="J189" i="10"/>
  <c r="J188" i="10" s="1"/>
  <c r="J191" i="8"/>
  <c r="K192" i="8"/>
  <c r="N192" i="8"/>
  <c r="P193" i="8"/>
  <c r="O193" i="8"/>
  <c r="K199" i="21"/>
  <c r="O199" i="21" s="1"/>
  <c r="N199" i="21"/>
  <c r="P199" i="21" s="1"/>
  <c r="I198" i="21"/>
  <c r="M198" i="21" s="1"/>
  <c r="CI198" i="21"/>
  <c r="J198" i="21" s="1"/>
  <c r="Q183" i="10" l="1"/>
  <c r="P183" i="10"/>
  <c r="M182" i="10"/>
  <c r="K181" i="10"/>
  <c r="O182" i="10"/>
  <c r="K191" i="8"/>
  <c r="N191" i="8"/>
  <c r="J187" i="10"/>
  <c r="N188" i="10"/>
  <c r="J189" i="8"/>
  <c r="O192" i="8"/>
  <c r="P192" i="8"/>
  <c r="I197" i="21"/>
  <c r="M197" i="21" s="1"/>
  <c r="CI197" i="21"/>
  <c r="J197" i="21" s="1"/>
  <c r="K198" i="21"/>
  <c r="O198" i="21" s="1"/>
  <c r="N198" i="21"/>
  <c r="P198" i="21" s="1"/>
  <c r="O181" i="10" l="1"/>
  <c r="K180" i="10"/>
  <c r="M181" i="10"/>
  <c r="M180" i="10" s="1"/>
  <c r="M167" i="10" s="1"/>
  <c r="P182" i="10"/>
  <c r="Q182" i="10"/>
  <c r="N187" i="10"/>
  <c r="J188" i="8"/>
  <c r="J186" i="10"/>
  <c r="N190" i="8"/>
  <c r="P190" i="8" s="1"/>
  <c r="P191" i="8"/>
  <c r="O191" i="8"/>
  <c r="O190" i="8" s="1"/>
  <c r="K189" i="8"/>
  <c r="N189" i="8"/>
  <c r="K197" i="21"/>
  <c r="O197" i="21" s="1"/>
  <c r="N197" i="21"/>
  <c r="P197" i="21" s="1"/>
  <c r="I196" i="21"/>
  <c r="M196" i="21" s="1"/>
  <c r="CI196" i="21"/>
  <c r="J196" i="21" s="1"/>
  <c r="Q181" i="10" l="1"/>
  <c r="P181" i="10"/>
  <c r="P180" i="10" s="1"/>
  <c r="P167" i="10" s="1"/>
  <c r="P283" i="10" s="1"/>
  <c r="O180" i="10"/>
  <c r="J185" i="10"/>
  <c r="N186" i="10"/>
  <c r="J187" i="8"/>
  <c r="K188" i="8"/>
  <c r="N188" i="8"/>
  <c r="P189" i="8"/>
  <c r="O189" i="8"/>
  <c r="I195" i="21"/>
  <c r="M195" i="21" s="1"/>
  <c r="M194" i="21" s="1"/>
  <c r="CI195" i="21"/>
  <c r="J195" i="21" s="1"/>
  <c r="N196" i="21"/>
  <c r="P196" i="21" s="1"/>
  <c r="K196" i="21"/>
  <c r="O196" i="21" s="1"/>
  <c r="O167" i="10" l="1"/>
  <c r="Q180" i="10"/>
  <c r="K187" i="8"/>
  <c r="N187" i="8"/>
  <c r="O188" i="8"/>
  <c r="P188" i="8"/>
  <c r="J184" i="10"/>
  <c r="N185" i="10"/>
  <c r="J186" i="8"/>
  <c r="K195" i="21"/>
  <c r="O195" i="21" s="1"/>
  <c r="O194" i="21" s="1"/>
  <c r="N195" i="21"/>
  <c r="CI194" i="21"/>
  <c r="Q167" i="10" l="1"/>
  <c r="O283" i="10"/>
  <c r="J183" i="10"/>
  <c r="N184" i="10"/>
  <c r="J185" i="8"/>
  <c r="K186" i="8"/>
  <c r="N186" i="8"/>
  <c r="P187" i="8"/>
  <c r="O187" i="8"/>
  <c r="I193" i="21"/>
  <c r="M193" i="21" s="1"/>
  <c r="CI193" i="21"/>
  <c r="J193" i="21" s="1"/>
  <c r="N194" i="21"/>
  <c r="P194" i="21" s="1"/>
  <c r="P195" i="21"/>
  <c r="O186" i="8" l="1"/>
  <c r="P186" i="8"/>
  <c r="N183" i="10"/>
  <c r="J184" i="8"/>
  <c r="J182" i="10"/>
  <c r="N185" i="8"/>
  <c r="K185" i="8"/>
  <c r="K193" i="21"/>
  <c r="O193" i="21" s="1"/>
  <c r="N193" i="21"/>
  <c r="P193" i="21" s="1"/>
  <c r="I192" i="21"/>
  <c r="M192" i="21" s="1"/>
  <c r="CI192" i="21"/>
  <c r="J192" i="21" s="1"/>
  <c r="J183" i="8" l="1"/>
  <c r="J181" i="10"/>
  <c r="N182" i="10"/>
  <c r="N184" i="8"/>
  <c r="K184" i="8"/>
  <c r="O185" i="8"/>
  <c r="P185" i="8"/>
  <c r="I191" i="21"/>
  <c r="M191" i="21" s="1"/>
  <c r="M190" i="21" s="1"/>
  <c r="CI191" i="21"/>
  <c r="J191" i="21" s="1"/>
  <c r="N192" i="21"/>
  <c r="P192" i="21" s="1"/>
  <c r="K192" i="21"/>
  <c r="O192" i="21" s="1"/>
  <c r="N181" i="10" l="1"/>
  <c r="N180" i="10" s="1"/>
  <c r="N167" i="10" s="1"/>
  <c r="N283" i="10" s="1"/>
  <c r="J182" i="8"/>
  <c r="J180" i="10"/>
  <c r="J167" i="10" s="1"/>
  <c r="K167" i="10" s="1"/>
  <c r="O184" i="8"/>
  <c r="P184" i="8"/>
  <c r="N183" i="8"/>
  <c r="K183" i="8"/>
  <c r="K191" i="21"/>
  <c r="O191" i="21" s="1"/>
  <c r="O190" i="21" s="1"/>
  <c r="N191" i="21"/>
  <c r="CI190" i="21"/>
  <c r="O183" i="8" l="1"/>
  <c r="P183" i="8"/>
  <c r="Q283" i="10"/>
  <c r="J6" i="10"/>
  <c r="K182" i="8"/>
  <c r="N182" i="8"/>
  <c r="CI189" i="21"/>
  <c r="J189" i="21" s="1"/>
  <c r="I189" i="21"/>
  <c r="M189" i="21" s="1"/>
  <c r="P191" i="21"/>
  <c r="N190" i="21"/>
  <c r="P190" i="21" s="1"/>
  <c r="J7" i="10" l="1"/>
  <c r="M6" i="10"/>
  <c r="P182" i="8"/>
  <c r="N181" i="8"/>
  <c r="O182" i="8"/>
  <c r="O181" i="8" s="1"/>
  <c r="O168" i="8" s="1"/>
  <c r="N189" i="21"/>
  <c r="P189" i="21" s="1"/>
  <c r="K189" i="21"/>
  <c r="O189" i="21" s="1"/>
  <c r="I188" i="21"/>
  <c r="M188" i="21" s="1"/>
  <c r="CI188" i="21"/>
  <c r="J188" i="21" s="1"/>
  <c r="O13" i="8" l="1"/>
  <c r="O284" i="8"/>
  <c r="P284" i="8" s="1"/>
  <c r="J8" i="10"/>
  <c r="M7" i="10"/>
  <c r="P181" i="8"/>
  <c r="N168" i="8"/>
  <c r="I187" i="21"/>
  <c r="M187" i="21" s="1"/>
  <c r="CI187" i="21"/>
  <c r="J187" i="21" s="1"/>
  <c r="K188" i="21"/>
  <c r="O188" i="21" s="1"/>
  <c r="N188" i="21"/>
  <c r="P188" i="21" s="1"/>
  <c r="P168" i="8" l="1"/>
  <c r="N13" i="8"/>
  <c r="P13" i="8" s="1"/>
  <c r="K187" i="21"/>
  <c r="O187" i="21" s="1"/>
  <c r="N187" i="21"/>
  <c r="P187" i="21" s="1"/>
  <c r="I186" i="21"/>
  <c r="M186" i="21" s="1"/>
  <c r="CI186" i="21"/>
  <c r="J186" i="21" s="1"/>
  <c r="CI185" i="21" l="1"/>
  <c r="J185" i="21" s="1"/>
  <c r="I185" i="21"/>
  <c r="M185" i="21" s="1"/>
  <c r="N186" i="21"/>
  <c r="P186" i="21" s="1"/>
  <c r="K186" i="21"/>
  <c r="O186" i="21" s="1"/>
  <c r="K185" i="21" l="1"/>
  <c r="O185" i="21" s="1"/>
  <c r="N185" i="21"/>
  <c r="P185" i="21" s="1"/>
  <c r="I184" i="21"/>
  <c r="M184" i="21" s="1"/>
  <c r="CI184" i="21"/>
  <c r="J184" i="21" s="1"/>
  <c r="CI183" i="21" l="1"/>
  <c r="J183" i="21" s="1"/>
  <c r="I183" i="21"/>
  <c r="M183" i="21" s="1"/>
  <c r="K184" i="21"/>
  <c r="O184" i="21" s="1"/>
  <c r="N184" i="21"/>
  <c r="P184" i="21" s="1"/>
  <c r="N183" i="21" l="1"/>
  <c r="P183" i="21" s="1"/>
  <c r="K183" i="21"/>
  <c r="O183" i="21" s="1"/>
  <c r="CI169" i="21"/>
  <c r="CI182" i="21"/>
  <c r="J182" i="21" s="1"/>
  <c r="I182" i="21"/>
  <c r="M182" i="21" s="1"/>
  <c r="M181" i="21" s="1"/>
  <c r="M168" i="21" s="1"/>
  <c r="K182" i="21" l="1"/>
  <c r="O182" i="21" s="1"/>
  <c r="O181" i="21" s="1"/>
  <c r="O168" i="21" s="1"/>
  <c r="N182" i="21"/>
  <c r="M284" i="21"/>
  <c r="M13" i="21"/>
  <c r="N181" i="21" l="1"/>
  <c r="P182" i="21"/>
  <c r="O284" i="21"/>
  <c r="O13" i="21"/>
  <c r="P181" i="21" l="1"/>
  <c r="N168" i="21"/>
  <c r="P168" i="21" l="1"/>
  <c r="N13" i="21"/>
  <c r="N284" i="21"/>
  <c r="P284" i="21" s="1"/>
  <c r="P13" i="21" l="1"/>
  <c r="Q13" i="21"/>
  <c r="M59" i="24" l="1"/>
  <c r="M58" i="24" s="1"/>
  <c r="M46" i="24" s="1"/>
  <c r="CI59" i="24"/>
  <c r="J59" i="24" s="1"/>
  <c r="K59" i="24" l="1"/>
  <c r="O59" i="24" s="1"/>
  <c r="O58" i="24" s="1"/>
  <c r="O46" i="24" s="1"/>
  <c r="N59" i="24"/>
  <c r="N58" i="24" s="1"/>
  <c r="N46" i="24" s="1"/>
  <c r="P59" i="24" l="1"/>
  <c r="P58" i="24"/>
  <c r="P46" i="24"/>
  <c r="CI77" i="24"/>
  <c r="J77" i="24" s="1"/>
  <c r="I77" i="24"/>
  <c r="M77" i="24" s="1"/>
  <c r="M76" i="24" s="1"/>
  <c r="M70" i="24" s="1"/>
  <c r="N77" i="24" l="1"/>
  <c r="K77" i="24"/>
  <c r="O77" i="24" s="1"/>
  <c r="O76" i="24" s="1"/>
  <c r="O70" i="24" s="1"/>
  <c r="P77" i="24" l="1"/>
  <c r="N76" i="24"/>
  <c r="N70" i="24" l="1"/>
  <c r="P76" i="24"/>
  <c r="P70" i="24" l="1"/>
  <c r="I97" i="24"/>
  <c r="M97" i="24" s="1"/>
  <c r="M96" i="24" s="1"/>
  <c r="CI97" i="24"/>
  <c r="J97" i="24" s="1"/>
  <c r="K97" i="24" l="1"/>
  <c r="O97" i="24" s="1"/>
  <c r="O96" i="24" s="1"/>
  <c r="N97" i="24"/>
  <c r="N96" i="24" s="1"/>
  <c r="P96" i="24" l="1"/>
  <c r="P97" i="24"/>
  <c r="I32" i="24"/>
  <c r="M32" i="24" s="1"/>
  <c r="M27" i="24" s="1"/>
  <c r="CI32" i="24"/>
  <c r="J32" i="24" s="1"/>
  <c r="N32" i="24" l="1"/>
  <c r="K32" i="24"/>
  <c r="O32" i="24" s="1"/>
  <c r="O27" i="24" s="1"/>
  <c r="O13" i="24" s="1"/>
  <c r="M285" i="24"/>
  <c r="M13" i="24"/>
  <c r="L7" i="24" l="1"/>
  <c r="CQ8" i="24"/>
  <c r="O285" i="24"/>
  <c r="P32" i="24"/>
  <c r="N27" i="24"/>
  <c r="N13" i="24" s="1"/>
  <c r="CD11" i="24" s="1"/>
  <c r="N285" i="24" l="1"/>
  <c r="P285" i="24" s="1"/>
  <c r="P13" i="24"/>
  <c r="L8" i="24" s="1"/>
  <c r="P27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Vlademir Bordone</author>
  </authors>
  <commentList>
    <comment ref="A14" authorId="0" shapeId="0" xr:uid="{00000000-0006-0000-0100-000001000000}">
      <text>
        <r>
          <rPr>
            <sz val="9"/>
            <color indexed="81"/>
            <rFont val="Tahoma"/>
            <family val="2"/>
          </rPr>
          <t>Consulta SQL: CONSULTA PLANILH APRESENTRACAO METRO COM CO ORGAO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Vlademir Bordone</author>
  </authors>
  <commentList>
    <comment ref="A14" authorId="0" shapeId="0" xr:uid="{00000000-0006-0000-0A00-000001000000}">
      <text>
        <r>
          <rPr>
            <sz val="9"/>
            <color indexed="81"/>
            <rFont val="Tahoma"/>
            <family val="2"/>
          </rPr>
          <t>Consulta SQL: CONSULTA PLANILH APRESENTRACAO METRO COM CO ORGAO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Vlademir Bordone</author>
  </authors>
  <commentList>
    <comment ref="A14" authorId="0" shapeId="0" xr:uid="{00000000-0006-0000-0B00-000001000000}">
      <text>
        <r>
          <rPr>
            <sz val="9"/>
            <color indexed="81"/>
            <rFont val="Tahoma"/>
            <family val="2"/>
          </rPr>
          <t>Consulta SQL: CONSULTA PLANILH APRESENTRACAO METRO COM CO ORGAO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Vlademir Bordone</author>
  </authors>
  <commentList>
    <comment ref="A14" authorId="0" shapeId="0" xr:uid="{00000000-0006-0000-0C00-000001000000}">
      <text>
        <r>
          <rPr>
            <sz val="9"/>
            <color indexed="81"/>
            <rFont val="Tahoma"/>
            <family val="2"/>
          </rPr>
          <t>Consulta SQL: CONSULTA PLANILH APRESENTRACAO METRO COM CO ORGAO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Vlademir Bordone</author>
  </authors>
  <commentList>
    <comment ref="A15" authorId="0" shapeId="0" xr:uid="{00000000-0006-0000-0D00-000001000000}">
      <text>
        <r>
          <rPr>
            <sz val="9"/>
            <color indexed="81"/>
            <rFont val="Tahoma"/>
            <family val="2"/>
          </rPr>
          <t>Consulta SQL: CONSULTA PLANILH APRESENTRACAO METRO COM CO ORGAO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Vlademir Bordone</author>
  </authors>
  <commentList>
    <comment ref="A15" authorId="0" shapeId="0" xr:uid="{00000000-0006-0000-0E00-000001000000}">
      <text>
        <r>
          <rPr>
            <sz val="9"/>
            <color indexed="81"/>
            <rFont val="Tahoma"/>
            <family val="2"/>
          </rPr>
          <t>Consulta SQL: CONSULTA PLANILH APRESENTRACAO METRO COM CO ORGAO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Vlademir Bordone</author>
  </authors>
  <commentList>
    <comment ref="A15" authorId="0" shapeId="0" xr:uid="{00000000-0006-0000-0F00-000001000000}">
      <text>
        <r>
          <rPr>
            <sz val="9"/>
            <color indexed="81"/>
            <rFont val="Tahoma"/>
            <family val="2"/>
          </rPr>
          <t>Consulta SQL: CONSULTA PLANILH APRESENTRACAO METRO COM CO ORGAO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Vlademir Bordone</author>
  </authors>
  <commentList>
    <comment ref="A14" authorId="0" shapeId="0" xr:uid="{00000000-0006-0000-1000-000001000000}">
      <text>
        <r>
          <rPr>
            <sz val="9"/>
            <color indexed="81"/>
            <rFont val="Tahoma"/>
            <family val="2"/>
          </rPr>
          <t>Consulta SQL: CONSULTA PLANILH APRESENTRACAO METRO COM CO ORGAO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Vlademir Bordone</author>
  </authors>
  <commentList>
    <comment ref="A14" authorId="0" shapeId="0" xr:uid="{00000000-0006-0000-0200-000001000000}">
      <text>
        <r>
          <rPr>
            <sz val="9"/>
            <color indexed="81"/>
            <rFont val="Tahoma"/>
            <family val="2"/>
          </rPr>
          <t>Consulta SQL: CONSULTA PLANILH APRESENTRACAO METRO COM CO ORGAO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Vlademir Bordone</author>
  </authors>
  <commentList>
    <comment ref="A14" authorId="0" shapeId="0" xr:uid="{00000000-0006-0000-0300-000001000000}">
      <text>
        <r>
          <rPr>
            <sz val="9"/>
            <color indexed="81"/>
            <rFont val="Tahoma"/>
            <family val="2"/>
          </rPr>
          <t>Consulta SQL: CONSULTA PLANILH APRESENTRACAO METRO COM CO ORGAO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Vlademir Bordone</author>
  </authors>
  <commentList>
    <comment ref="A14" authorId="0" shapeId="0" xr:uid="{00000000-0006-0000-0400-000001000000}">
      <text>
        <r>
          <rPr>
            <sz val="9"/>
            <color indexed="81"/>
            <rFont val="Tahoma"/>
            <family val="2"/>
          </rPr>
          <t>Consulta SQL: CONSULTA PLANILH APRESENTRACAO METRO COM CO ORGAO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Vlademir Bordone</author>
  </authors>
  <commentList>
    <comment ref="A13" authorId="0" shapeId="0" xr:uid="{00000000-0006-0000-0500-000001000000}">
      <text>
        <r>
          <rPr>
            <sz val="9"/>
            <color indexed="81"/>
            <rFont val="Tahoma"/>
            <family val="2"/>
          </rPr>
          <t>Consulta SQL: CONSULTA PLANILH APRESENTRACAO METRO COM CO ORGAO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Vlademir Bordone</author>
  </authors>
  <commentList>
    <comment ref="A14" authorId="0" shapeId="0" xr:uid="{00000000-0006-0000-0600-000001000000}">
      <text>
        <r>
          <rPr>
            <sz val="9"/>
            <color indexed="81"/>
            <rFont val="Tahoma"/>
            <family val="2"/>
          </rPr>
          <t>Consulta SQL: CONSULTA PLANILH APRESENTRACAO METRO COM CO ORGAO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Vlademir Bordone</author>
  </authors>
  <commentList>
    <comment ref="A14" authorId="0" shapeId="0" xr:uid="{00000000-0006-0000-0700-000001000000}">
      <text>
        <r>
          <rPr>
            <sz val="9"/>
            <color indexed="81"/>
            <rFont val="Tahoma"/>
            <family val="2"/>
          </rPr>
          <t>Consulta SQL: CONSULTA PLANILH APRESENTRACAO METRO COM CO ORGAO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Vlademir Bordone</author>
  </authors>
  <commentList>
    <comment ref="A14" authorId="0" shapeId="0" xr:uid="{00000000-0006-0000-0800-000001000000}">
      <text>
        <r>
          <rPr>
            <sz val="9"/>
            <color indexed="81"/>
            <rFont val="Tahoma"/>
            <family val="2"/>
          </rPr>
          <t>Consulta SQL: CONSULTA PLANILH APRESENTRACAO METRO COM CO ORGAO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Vlademir Bordone</author>
  </authors>
  <commentList>
    <comment ref="A14" authorId="0" shapeId="0" xr:uid="{00000000-0006-0000-0900-000001000000}">
      <text>
        <r>
          <rPr>
            <sz val="9"/>
            <color indexed="81"/>
            <rFont val="Tahoma"/>
            <family val="2"/>
          </rPr>
          <t>Consulta SQL: CONSULTA PLANILH APRESENTRACAO METRO COM CO ORGAO</t>
        </r>
      </text>
    </comment>
  </commentList>
</comments>
</file>

<file path=xl/sharedStrings.xml><?xml version="1.0" encoding="utf-8"?>
<sst xmlns="http://schemas.openxmlformats.org/spreadsheetml/2006/main" count="24257" uniqueCount="2054">
  <si>
    <t>CRECHE PROINFÂNCIA TIPO B</t>
  </si>
  <si>
    <t>BAIRRO: BARREIRAS I</t>
  </si>
  <si>
    <t>OBRA SIMEC ID</t>
  </si>
  <si>
    <t>BDI:</t>
  </si>
  <si>
    <t>ITEM</t>
  </si>
  <si>
    <t>DESCRIÇÃO DOS SERVIÇOS</t>
  </si>
  <si>
    <t>UNID.</t>
  </si>
  <si>
    <t>QUANT.</t>
  </si>
  <si>
    <t>1.0</t>
  </si>
  <si>
    <t>SERVIÇOS PRELIMINARES</t>
  </si>
  <si>
    <t>1.1</t>
  </si>
  <si>
    <t>CANTEIRO DE OBRAS</t>
  </si>
  <si>
    <t>1.1.1</t>
  </si>
  <si>
    <t>Barracão para escritório de obra</t>
  </si>
  <si>
    <t>m²</t>
  </si>
  <si>
    <t>74209/001</t>
  </si>
  <si>
    <t>1.1.2</t>
  </si>
  <si>
    <t>Placa de obra em chapa zincada, conforme modelo do Governo Federal</t>
  </si>
  <si>
    <t>1.1.3</t>
  </si>
  <si>
    <t>Tapume em chapa de madeira compensada,  E= 10 mm, com pintura a cal  e reaproveitamento de 2X</t>
  </si>
  <si>
    <t>74077/003</t>
  </si>
  <si>
    <t>1.1.4</t>
  </si>
  <si>
    <t>Locação da obra</t>
  </si>
  <si>
    <t>m2</t>
  </si>
  <si>
    <t>Subtotal item 1</t>
  </si>
  <si>
    <t>2.0</t>
  </si>
  <si>
    <t>FUNDAÇÕES E ESTRUTURAS</t>
  </si>
  <si>
    <t>2.1</t>
  </si>
  <si>
    <t>Fundação Castelo d'água - Estacas</t>
  </si>
  <si>
    <t>2.1.1</t>
  </si>
  <si>
    <t>Concreto 25 Mpa</t>
  </si>
  <si>
    <t>2.1.2</t>
  </si>
  <si>
    <t>Lançamento com uso de baldes, adensamento e acabamento de concreto em estruturas</t>
  </si>
  <si>
    <t>2.1.3</t>
  </si>
  <si>
    <t>Aço</t>
  </si>
  <si>
    <t>kg</t>
  </si>
  <si>
    <t>2.1.4</t>
  </si>
  <si>
    <t>Escavação manual para bloco de coroamento ou sapata, com previsão de fôrma.</t>
  </si>
  <si>
    <t>Subtotal item 2</t>
  </si>
  <si>
    <t>3.0</t>
  </si>
  <si>
    <t>ESTRUTURAS DE CONCRETO</t>
  </si>
  <si>
    <t>3.1</t>
  </si>
  <si>
    <t>Pilares</t>
  </si>
  <si>
    <t>3.1.1</t>
  </si>
  <si>
    <t>Formas</t>
  </si>
  <si>
    <t>3.1.2</t>
  </si>
  <si>
    <t>Armadura</t>
  </si>
  <si>
    <t>3.1.3</t>
  </si>
  <si>
    <t>m³</t>
  </si>
  <si>
    <t>3.1.4</t>
  </si>
  <si>
    <t>3.2</t>
  </si>
  <si>
    <t>Vigas</t>
  </si>
  <si>
    <t>3.2.1</t>
  </si>
  <si>
    <t>3.2.2</t>
  </si>
  <si>
    <t>3.2.3</t>
  </si>
  <si>
    <t>3.2.4</t>
  </si>
  <si>
    <t>3.3</t>
  </si>
  <si>
    <t>Lajes</t>
  </si>
  <si>
    <t>74202/002</t>
  </si>
  <si>
    <t>3.3.1</t>
  </si>
  <si>
    <t>Lajes Pré Fabricadas: fornecimento,  montagem e escoramento</t>
  </si>
  <si>
    <t>3.3.2</t>
  </si>
  <si>
    <t>Armadura Complementar</t>
  </si>
  <si>
    <t>3.3.3</t>
  </si>
  <si>
    <t>3.3.4</t>
  </si>
  <si>
    <t>3.4</t>
  </si>
  <si>
    <t>Caixas d'água</t>
  </si>
  <si>
    <t>3.4.1</t>
  </si>
  <si>
    <t>3.4.2</t>
  </si>
  <si>
    <t>3.4.3</t>
  </si>
  <si>
    <t>3.4.4</t>
  </si>
  <si>
    <t>Subtotal item 3</t>
  </si>
  <si>
    <t>4.0</t>
  </si>
  <si>
    <t>PAREDES E DIVISÓRIAS</t>
  </si>
  <si>
    <t>4.1</t>
  </si>
  <si>
    <t>Alvenaria de bloco cerâmico</t>
  </si>
  <si>
    <t>4.1.1</t>
  </si>
  <si>
    <t>Levante de alvenaria de bloco cerâmico, espessura de 14 cm</t>
  </si>
  <si>
    <t>Composição</t>
  </si>
  <si>
    <t>4.1.2</t>
  </si>
  <si>
    <t>Aperto de alvenaria de bloco cerâmico, espessura de 14 cm</t>
  </si>
  <si>
    <t>m</t>
  </si>
  <si>
    <t>00171/ORSE</t>
  </si>
  <si>
    <t>4.1.3</t>
  </si>
  <si>
    <t>Alvenaria de elementos vazados de concreto (cobogós), dimensões de 20 x 20 cm.</t>
  </si>
  <si>
    <t>73909/001</t>
  </si>
  <si>
    <t>4.1.4</t>
  </si>
  <si>
    <t>Divisórias em madeira com laminado com portas de 80x210cm</t>
  </si>
  <si>
    <t>00191/ORSE</t>
  </si>
  <si>
    <t>4.1.5</t>
  </si>
  <si>
    <t>Divisória em granito cinza andorinha polido, e=2cm, inclusive montagem com ferragens</t>
  </si>
  <si>
    <t>4.1.6</t>
  </si>
  <si>
    <t>Vergas contínuas no perímetro das edificações</t>
  </si>
  <si>
    <t>4.1.7</t>
  </si>
  <si>
    <t>Vergas e contravergas embutidas nas paredes</t>
  </si>
  <si>
    <t>Sub-total item 4</t>
  </si>
  <si>
    <t>5.0</t>
  </si>
  <si>
    <t>ESQUADRIAS</t>
  </si>
  <si>
    <t>5.1</t>
  </si>
  <si>
    <t>Portas em madeira</t>
  </si>
  <si>
    <t>5.1.1</t>
  </si>
  <si>
    <t>PM-2 - porta comum 80 x 210 cm</t>
  </si>
  <si>
    <t>un</t>
  </si>
  <si>
    <t>5.1.2</t>
  </si>
  <si>
    <t>PM-3 - porta com barra de proteção 80 x 210 cm</t>
  </si>
  <si>
    <t>5.1.3</t>
  </si>
  <si>
    <t>PM-04a - porta comum p/ divisórias de granito 60 x 180 cm</t>
  </si>
  <si>
    <t>5.1.4</t>
  </si>
  <si>
    <t>PM-04b - porta comum p/ divisórias de granito 60 x 60 cm e guiches</t>
  </si>
  <si>
    <t>5.1.5</t>
  </si>
  <si>
    <t>PM-6 - porta comum 60 x 210 cm</t>
  </si>
  <si>
    <t>5.1.6</t>
  </si>
  <si>
    <t>PM-7 - porta com visor 80 x 210 cm</t>
  </si>
  <si>
    <t>5.1.7</t>
  </si>
  <si>
    <t>PM-8 - porta com veneziana 80 x 210 cm</t>
  </si>
  <si>
    <t>Sub-total item 5.1</t>
  </si>
  <si>
    <t>5.2</t>
  </si>
  <si>
    <t>Esquadria Metálica</t>
  </si>
  <si>
    <t>5.2.1</t>
  </si>
  <si>
    <t>Portas</t>
  </si>
  <si>
    <t>73933/003</t>
  </si>
  <si>
    <t>5.2.1.1</t>
  </si>
  <si>
    <t>Portas metálica  80x80cm veneziana  (Castelo D'água)</t>
  </si>
  <si>
    <t>5.2.2</t>
  </si>
  <si>
    <t>Janelas</t>
  </si>
  <si>
    <t>5.2.2.1</t>
  </si>
  <si>
    <t>EF-10 pivotante 120 x 30 cm</t>
  </si>
  <si>
    <t>5.2.2.2</t>
  </si>
  <si>
    <t>EF-11 pivotante 180 x 30 cm</t>
  </si>
  <si>
    <t>5.2.2.3</t>
  </si>
  <si>
    <t>EF-12 pivotante 90 x 30 cm</t>
  </si>
  <si>
    <t>5.2.2.4</t>
  </si>
  <si>
    <t>EF-13 pivotante 210 x 30 cm</t>
  </si>
  <si>
    <t>5.2.2.5</t>
  </si>
  <si>
    <t>EF-14 pivotante 210 x 60 cm</t>
  </si>
  <si>
    <t>5.2.2.6</t>
  </si>
  <si>
    <t>EF-15 pivotante 240 x 30 cm</t>
  </si>
  <si>
    <t>5.2.2.7</t>
  </si>
  <si>
    <t>EF-16 pivotante 300 x 30 cm</t>
  </si>
  <si>
    <t>5.2.2.8</t>
  </si>
  <si>
    <t>EF-17 basculante 50 x 50 cm</t>
  </si>
  <si>
    <t>5.2.2.9</t>
  </si>
  <si>
    <t>EF-18 corrediça 120 x 60 cm</t>
  </si>
  <si>
    <t>5.2.2.10</t>
  </si>
  <si>
    <t>EF-19 corrediça 150 x 120 cm</t>
  </si>
  <si>
    <t>5.2.2.11</t>
  </si>
  <si>
    <t>EF-20 corrediça 120 x 90 cm</t>
  </si>
  <si>
    <t>5.2.2.12</t>
  </si>
  <si>
    <t>EF-21 corrediça 180 x 90 cm</t>
  </si>
  <si>
    <t>5.2.2.13</t>
  </si>
  <si>
    <t>EF-22 corrediça 240 x 90 cm</t>
  </si>
  <si>
    <t>5.2.2.14</t>
  </si>
  <si>
    <t>EF-23 corrediça 240 x 120 cm</t>
  </si>
  <si>
    <t>5.2.2.15</t>
  </si>
  <si>
    <t>EF-24 corrediça 300 x 120 cm</t>
  </si>
  <si>
    <t>5.2.2.16</t>
  </si>
  <si>
    <t>EF-26 corrediça 270 x 160 cm</t>
  </si>
  <si>
    <t>5.2.2.17</t>
  </si>
  <si>
    <t>EF-27 corrediça 360 x 160 cm</t>
  </si>
  <si>
    <t>5.2.2.18</t>
  </si>
  <si>
    <t>EF-28 corrediça 200 x 105 cm</t>
  </si>
  <si>
    <t>04518/ORSE</t>
  </si>
  <si>
    <t>5.2.2.19</t>
  </si>
  <si>
    <t>Telas em nylon</t>
  </si>
  <si>
    <t>5.2.2.20</t>
  </si>
  <si>
    <t>Veneziana metálica circular com diamêtro de 120 cm (Castelo D'água)</t>
  </si>
  <si>
    <r>
      <rPr>
        <b/>
        <sz val="9"/>
        <rFont val="Arial"/>
        <family val="2"/>
      </rPr>
      <t>SINAPI
06.2018</t>
    </r>
  </si>
  <si>
    <r>
      <rPr>
        <b/>
        <sz val="9"/>
        <rFont val="Arial"/>
        <family val="2"/>
      </rPr>
      <t>PR. UNIT. S/ BDI
(R$)</t>
    </r>
  </si>
  <si>
    <r>
      <rPr>
        <b/>
        <sz val="9"/>
        <rFont val="Arial"/>
        <family val="2"/>
      </rPr>
      <t>PR. UNIT. C/
BDI (R$)</t>
    </r>
  </si>
  <si>
    <r>
      <rPr>
        <b/>
        <sz val="9"/>
        <rFont val="Arial"/>
        <family val="2"/>
      </rPr>
      <t>VALORES S/
BDI (R$)</t>
    </r>
  </si>
  <si>
    <r>
      <rPr>
        <b/>
        <sz val="9"/>
        <rFont val="Arial"/>
        <family val="2"/>
      </rPr>
      <t>VALORES C/
BDI (R$)</t>
    </r>
  </si>
  <si>
    <r>
      <rPr>
        <vertAlign val="subscript"/>
        <sz val="9"/>
        <rFont val="Arial"/>
        <family val="2"/>
      </rPr>
      <t>m</t>
    </r>
    <r>
      <rPr>
        <sz val="9"/>
        <rFont val="Arial"/>
        <family val="2"/>
      </rPr>
      <t>3</t>
    </r>
  </si>
  <si>
    <t>5.2.3</t>
  </si>
  <si>
    <t>Grades e portões</t>
  </si>
  <si>
    <t>5.2.3.1</t>
  </si>
  <si>
    <t>Portões 90X110cm (cobogós)</t>
  </si>
  <si>
    <t>5.2.3.2</t>
  </si>
  <si>
    <t>Portões 90X200cm (cobogós)</t>
  </si>
  <si>
    <t>07640/ORSE</t>
  </si>
  <si>
    <t>5.2.3.3</t>
  </si>
  <si>
    <t>Grades e portões h=210cm</t>
  </si>
  <si>
    <t>Sub-total item 5.2</t>
  </si>
  <si>
    <t>Sub-total item 5</t>
  </si>
  <si>
    <t>6.0</t>
  </si>
  <si>
    <t>VIDROS</t>
  </si>
  <si>
    <t>11556/ORSE</t>
  </si>
  <si>
    <t>6.1</t>
  </si>
  <si>
    <t>PV6 - Portas de vidro temperado -160x210cm</t>
  </si>
  <si>
    <t>6.2</t>
  </si>
  <si>
    <t>Espelhos 4mm</t>
  </si>
  <si>
    <t>Sub-total item 6</t>
  </si>
  <si>
    <t>7.0</t>
  </si>
  <si>
    <t>COBERTURA</t>
  </si>
  <si>
    <t>7.1</t>
  </si>
  <si>
    <t>Estrutura em madeira para cobertura</t>
  </si>
  <si>
    <t>7.2</t>
  </si>
  <si>
    <t>Telhas cerämicas</t>
  </si>
  <si>
    <t>7.3</t>
  </si>
  <si>
    <t>Telhas de vidro</t>
  </si>
  <si>
    <t>7.4</t>
  </si>
  <si>
    <t>Cumeeiras/Espigões</t>
  </si>
  <si>
    <t>7.5</t>
  </si>
  <si>
    <t>Calha metálica</t>
  </si>
  <si>
    <t>00304/ORSE</t>
  </si>
  <si>
    <t>7.6</t>
  </si>
  <si>
    <t>Rufos de concreto</t>
  </si>
  <si>
    <t>Sub-total item 7</t>
  </si>
  <si>
    <t>8.0</t>
  </si>
  <si>
    <t>IMPERMEABILIZAÇÃO</t>
  </si>
  <si>
    <t>74106/001</t>
  </si>
  <si>
    <t>8.1</t>
  </si>
  <si>
    <t>Impermeabilização das vigas baldrame</t>
  </si>
  <si>
    <t>10026/ORSE</t>
  </si>
  <si>
    <t>8.2</t>
  </si>
  <si>
    <t>Impermeabilização de calhas (piso)</t>
  </si>
  <si>
    <t>10023/ORSE</t>
  </si>
  <si>
    <t>8.3</t>
  </si>
  <si>
    <t>Impermeabilização do castelo d'água</t>
  </si>
  <si>
    <t>8.4</t>
  </si>
  <si>
    <t>Impermeabilização de calhas (telhado)  com manta asfáltica</t>
  </si>
  <si>
    <t>Sub-total item 8</t>
  </si>
  <si>
    <t>9.0</t>
  </si>
  <si>
    <t>REVESTIMENTO</t>
  </si>
  <si>
    <t>9.1</t>
  </si>
  <si>
    <t>Revestimento Interno</t>
  </si>
  <si>
    <t>9.1.1</t>
  </si>
  <si>
    <t>Paredes</t>
  </si>
  <si>
    <t>9.1.1.1</t>
  </si>
  <si>
    <t>Emboço</t>
  </si>
  <si>
    <t>03317/ORSE</t>
  </si>
  <si>
    <t>9.1.1.2</t>
  </si>
  <si>
    <t>Reboco</t>
  </si>
  <si>
    <t>9.1.1.3</t>
  </si>
  <si>
    <t>Cerâmica 20x20, inclusive rejuntamento.</t>
  </si>
  <si>
    <t>9.1.2</t>
  </si>
  <si>
    <t>Tetos</t>
  </si>
  <si>
    <t>03315/ORSE</t>
  </si>
  <si>
    <t>9.1.2.1</t>
  </si>
  <si>
    <t>Sub-total item 9.1</t>
  </si>
  <si>
    <t>9.2</t>
  </si>
  <si>
    <t>Revestimento Externo</t>
  </si>
  <si>
    <t>9.2.1</t>
  </si>
  <si>
    <t>Paredes e fachadas</t>
  </si>
  <si>
    <t>9.2.1.1</t>
  </si>
  <si>
    <t>Chapisco externo</t>
  </si>
  <si>
    <t>9.2.1.2</t>
  </si>
  <si>
    <t>9.2.1.3</t>
  </si>
  <si>
    <t>11369/ORSE</t>
  </si>
  <si>
    <t>9.2.1.4</t>
  </si>
  <si>
    <t>Cerâmica 10x10, inclusive rejuntamento.</t>
  </si>
  <si>
    <t>Sub-total item  9.2</t>
  </si>
  <si>
    <t>Sub-total item 9</t>
  </si>
  <si>
    <t>10.0</t>
  </si>
  <si>
    <t>PAVIMENTAÇÃO</t>
  </si>
  <si>
    <t>10.1</t>
  </si>
  <si>
    <t>Camada impermeabilizadora de concreto com espessura de 7 cm, FCK 15 Mpa.</t>
  </si>
  <si>
    <t>10.2</t>
  </si>
  <si>
    <t>Regularização de piso com aditivo impermeabilizante</t>
  </si>
  <si>
    <t>10.3</t>
  </si>
  <si>
    <t>Bloco de concreto intertravado</t>
  </si>
  <si>
    <t>04750/ORSE</t>
  </si>
  <si>
    <t>10.4</t>
  </si>
  <si>
    <t>Cerâmica, inclusive rejuntamento</t>
  </si>
  <si>
    <t>10.5</t>
  </si>
  <si>
    <t>Cimento desempenado</t>
  </si>
  <si>
    <t>10.6</t>
  </si>
  <si>
    <t>Piso em granitina espessura de 8 cm, Incluso juntas de dilatação plasticas.</t>
  </si>
  <si>
    <t>03230/ORSE</t>
  </si>
  <si>
    <t>10.7</t>
  </si>
  <si>
    <t>Calha de concreto com grelhas</t>
  </si>
  <si>
    <t>Sub-total item 10</t>
  </si>
  <si>
    <t>11.0</t>
  </si>
  <si>
    <t>SOLEIRAS, RODAPÉS E PEITORIS</t>
  </si>
  <si>
    <t>10653/ORSE</t>
  </si>
  <si>
    <t>11.1</t>
  </si>
  <si>
    <t>Soleiras em granito espessura de 15 cm</t>
  </si>
  <si>
    <t>11.2</t>
  </si>
  <si>
    <t>Rodapé em cerâmica</t>
  </si>
  <si>
    <t>11.3</t>
  </si>
  <si>
    <t>Rejuntamento de rodapés de cerâmica</t>
  </si>
  <si>
    <t>73886/001</t>
  </si>
  <si>
    <t>11.4</t>
  </si>
  <si>
    <t>Rodameio de madeira L=10cm</t>
  </si>
  <si>
    <t>Sub-total item 11</t>
  </si>
  <si>
    <t>12.0</t>
  </si>
  <si>
    <t>PINTURA</t>
  </si>
  <si>
    <t>Paredes internas</t>
  </si>
  <si>
    <t>Pintura acrílica s/ massa corrida</t>
  </si>
  <si>
    <t>Aplicação e lixamento de massa látex em paredes internas, duas demãos</t>
  </si>
  <si>
    <t>Pintura PVA</t>
  </si>
  <si>
    <t>12.2</t>
  </si>
  <si>
    <t>Paredes externas</t>
  </si>
  <si>
    <t>12.3</t>
  </si>
  <si>
    <t>12,3,1</t>
  </si>
  <si>
    <t>12,3,2</t>
  </si>
  <si>
    <t>12.4</t>
  </si>
  <si>
    <t>Outros</t>
  </si>
  <si>
    <t>3739/001</t>
  </si>
  <si>
    <t>Pintura esmalte em portas em madeira</t>
  </si>
  <si>
    <t>Tratamento em verniz em rodameio de madeira</t>
  </si>
  <si>
    <t>73924/002</t>
  </si>
  <si>
    <t>Pintura esmalte em esquadrias e grades de ferro</t>
  </si>
  <si>
    <t>Sub-total item 12</t>
  </si>
  <si>
    <t>13.0</t>
  </si>
  <si>
    <t>SERVIÇOS COMPLEMENTARES</t>
  </si>
  <si>
    <t>10759/ORSE</t>
  </si>
  <si>
    <t>13.1</t>
  </si>
  <si>
    <t>Bancadas e balcões em granito Cinza Andorinha</t>
  </si>
  <si>
    <t>Cotação</t>
  </si>
  <si>
    <t>13.2</t>
  </si>
  <si>
    <t>Lavatórios em granito Cinza Andorinha</t>
  </si>
  <si>
    <t>13.3</t>
  </si>
  <si>
    <t>Armários e escaninhos em granito Cinza Andorinha (A-01 ao  A-09)</t>
  </si>
  <si>
    <t>13.4</t>
  </si>
  <si>
    <t>Prateleiras em granito Cinza Andorinha</t>
  </si>
  <si>
    <t>13.5</t>
  </si>
  <si>
    <t>Rodamão em granito h=10cm Cinza Andorinha</t>
  </si>
  <si>
    <t>13.6</t>
  </si>
  <si>
    <t>Acabamento de bordas em bancadas e balcões de Cinza Andorinha</t>
  </si>
  <si>
    <t>13.7</t>
  </si>
  <si>
    <t>Acabamento de armários e escaninhos de Cinza Andorinha</t>
  </si>
  <si>
    <t>13.8</t>
  </si>
  <si>
    <t>Acabamento de prateleiras de Cinza Andorinha</t>
  </si>
  <si>
    <t>13.9</t>
  </si>
  <si>
    <t>Acabamento de lavatórios  Cinza Andorinha</t>
  </si>
  <si>
    <t>13.10</t>
  </si>
  <si>
    <t>Barras de proteção c=300cm h=45cm</t>
  </si>
  <si>
    <t>13.11</t>
  </si>
  <si>
    <t>Guarda-corpos metalico castelo d'água h=120cm</t>
  </si>
  <si>
    <t>74194/001</t>
  </si>
  <si>
    <t>13.12</t>
  </si>
  <si>
    <t>Escadas metálicas do castelo d'água com proteção</t>
  </si>
  <si>
    <t>13.13</t>
  </si>
  <si>
    <t>Plataforma metalica de transição das escadas do castelo d'água</t>
  </si>
  <si>
    <t>13.14</t>
  </si>
  <si>
    <t>Bancos retráteis para PNE</t>
  </si>
  <si>
    <t>cj.</t>
  </si>
  <si>
    <t>13.15</t>
  </si>
  <si>
    <t>Barras 90cm para PNE</t>
  </si>
  <si>
    <t>13.16</t>
  </si>
  <si>
    <t>Barras 45 cm para PNE</t>
  </si>
  <si>
    <t>13.17</t>
  </si>
  <si>
    <t>Bancos de concreto da administração</t>
  </si>
  <si>
    <t>13.18</t>
  </si>
  <si>
    <t>Bancos de concreto do pátio</t>
  </si>
  <si>
    <t>02421/ORSE</t>
  </si>
  <si>
    <t>13.19</t>
  </si>
  <si>
    <t>Mastros para bandeiras</t>
  </si>
  <si>
    <t>13.20</t>
  </si>
  <si>
    <t>Quadro negro</t>
  </si>
  <si>
    <t>13.21</t>
  </si>
  <si>
    <t>Alçapão de acesso à caixa d'água</t>
  </si>
  <si>
    <t>Sub-total item 13</t>
  </si>
  <si>
    <t>14.0</t>
  </si>
  <si>
    <t>INSTALAÇÕES HIDRÁULICAS E SANITÁRIAS</t>
  </si>
  <si>
    <t>14.1</t>
  </si>
  <si>
    <t>ÁGUA FRIA</t>
  </si>
  <si>
    <t>TUBULAÇÕES E CONEXÕES DE PVC RÍGIDO</t>
  </si>
  <si>
    <t>01220/ORSE</t>
  </si>
  <si>
    <t>14.1.1.1</t>
  </si>
  <si>
    <t>Tubo PVC soldável, diâmetro 25mm</t>
  </si>
  <si>
    <t>01029/ORSE</t>
  </si>
  <si>
    <t>14.1.1.2</t>
  </si>
  <si>
    <t>Tubo PVC soldável, diâmetro 32mm</t>
  </si>
  <si>
    <t>01031/ORSE</t>
  </si>
  <si>
    <t>14.1.1.3</t>
  </si>
  <si>
    <t>Tubo PVC soldável, diâmetro 50mm</t>
  </si>
  <si>
    <t>01032/ORSE</t>
  </si>
  <si>
    <t>14.1.1.4</t>
  </si>
  <si>
    <t>Tubo PVC soldável, diâmetro 60mm</t>
  </si>
  <si>
    <t>01034/ORSE</t>
  </si>
  <si>
    <t>14.1.1.5</t>
  </si>
  <si>
    <t>Tubo PVC soldável, diâmetro 85mm</t>
  </si>
  <si>
    <t>Adaptadores</t>
  </si>
  <si>
    <t>14.1.2.1</t>
  </si>
  <si>
    <t>Adaptador PVC soldável curto com bolsa e rosca, diâmetro 25x3/4"</t>
  </si>
  <si>
    <t>14.1.2.2</t>
  </si>
  <si>
    <t>Adaptador PVC soldável curto com bolsa e rosca, diâmetro 32x1"</t>
  </si>
  <si>
    <t>14.1.2.3</t>
  </si>
  <si>
    <t>Adaptador PVC soldável curto com bolsa e rosca, diâmetro 50x1.1/2"</t>
  </si>
  <si>
    <t>14.1.2.4</t>
  </si>
  <si>
    <t>Adaptador PVC soldável curto com bolsa e rosca, diâmetro 85x3"</t>
  </si>
  <si>
    <t>14.1.2.5</t>
  </si>
  <si>
    <t>Adaptador PVC soldável com flanges livres, diâmetro 25x3/4"</t>
  </si>
  <si>
    <t>14.1.2.6</t>
  </si>
  <si>
    <t>Adaptador PVC soldável com flanges livres, diâmetro 32x1"</t>
  </si>
  <si>
    <t>14.1.2.7</t>
  </si>
  <si>
    <t>Adaptador PVC soldável com flanges livres, diâmetro 50x1.1/2"</t>
  </si>
  <si>
    <t>14.1.2.8</t>
  </si>
  <si>
    <t>Adaptador PVC soldável com flanges livres, diâmetro 85x3"</t>
  </si>
  <si>
    <t>Buchas de redução</t>
  </si>
  <si>
    <t>01072/ORSE</t>
  </si>
  <si>
    <t>14.1.3.1</t>
  </si>
  <si>
    <t>Bucha de  redução, PVC soldável, diâmetro 32x25mm</t>
  </si>
  <si>
    <t>01083/ORSE</t>
  </si>
  <si>
    <t>14.1.3.2</t>
  </si>
  <si>
    <t>Bucha de  redução, PVC soldável, diâmetro 50x25mm</t>
  </si>
  <si>
    <t>01084/ORSE</t>
  </si>
  <si>
    <t>14.1.3.3</t>
  </si>
  <si>
    <t>Bucha de  redução, PVC soldável, diâmetro 50x32mm</t>
  </si>
  <si>
    <t>01085/ORSE</t>
  </si>
  <si>
    <t>14.1.3.4</t>
  </si>
  <si>
    <t>Bucha de  redução, PVC soldável, diâmetro 60x25mm</t>
  </si>
  <si>
    <t>01086/ORSE</t>
  </si>
  <si>
    <t>14.1.3.5</t>
  </si>
  <si>
    <t>Bucha de  redução, PVC soldável, diâmetro 60x32mm</t>
  </si>
  <si>
    <t>01075/ORSE</t>
  </si>
  <si>
    <t>14.1.3.6</t>
  </si>
  <si>
    <t>Bucha de  redução, PVC soldável, diâmetro 60x50mm</t>
  </si>
  <si>
    <t>01090/ORSE</t>
  </si>
  <si>
    <t>14.1.3.7</t>
  </si>
  <si>
    <t>Bucha de  redução, PVC soldável, diâmetro 85x60mm</t>
  </si>
  <si>
    <t>Joelhos</t>
  </si>
  <si>
    <t>14.1.4.1</t>
  </si>
  <si>
    <t>Joelho  90º PVC soldável, diâmetro 25mm</t>
  </si>
  <si>
    <t>14.1.4.2</t>
  </si>
  <si>
    <t>Joelho  90º PVC soldável, diâmetro 32mm</t>
  </si>
  <si>
    <t>14.1.4.3</t>
  </si>
  <si>
    <t>Joelho  90º PVC soldável, diâmetro 50mm</t>
  </si>
  <si>
    <t>14.1.4.4</t>
  </si>
  <si>
    <t>Joelho  90º PVC soldável, diâmetro 60mm</t>
  </si>
  <si>
    <t>14.1.4.5</t>
  </si>
  <si>
    <t>Joelho  90º PVC soldável, diâmetro 85mm</t>
  </si>
  <si>
    <t>14.1.4.6</t>
  </si>
  <si>
    <t>Joelho  45º PVC soldável, diâmetro 25mm</t>
  </si>
  <si>
    <t>14.1.4.7</t>
  </si>
  <si>
    <t>Joelho  45º PVC soldável, diâmetro 32mm</t>
  </si>
  <si>
    <t>14.1.4.8</t>
  </si>
  <si>
    <t>Joelho  45º PVC soldável, diâmetro 50mm</t>
  </si>
  <si>
    <t>14.1.4.9</t>
  </si>
  <si>
    <t>Joelho  90º PVC soldável com bucha de latão, diâmetro 25x3/4"</t>
  </si>
  <si>
    <t>14.1.4.10</t>
  </si>
  <si>
    <t>Joelho de redução 90º PVC soldável com bucha de latão, diâmetro 25x1/2"</t>
  </si>
  <si>
    <t>01144/ORSE</t>
  </si>
  <si>
    <t>14.1.4.11</t>
  </si>
  <si>
    <t>Joelho de redução 90º PVC soldável, diâmetro 32x25mm</t>
  </si>
  <si>
    <t>Luvas</t>
  </si>
  <si>
    <t>14.1.5.1</t>
  </si>
  <si>
    <t>Luva de PVC soldável diâmetro 25mm</t>
  </si>
  <si>
    <t>14.1.5.2</t>
  </si>
  <si>
    <t>Luva de PVC soldável diâmetro 32mm</t>
  </si>
  <si>
    <t>14.1.5.3</t>
  </si>
  <si>
    <t>Luva de PVC soldável diâmetro 50mm</t>
  </si>
  <si>
    <t>14.1.5.4</t>
  </si>
  <si>
    <t>Luva de PVC soldável diâmetro 60mm</t>
  </si>
  <si>
    <t>14.1.5.5</t>
  </si>
  <si>
    <t>Luva de PVC soldável diâmetro 85mm</t>
  </si>
  <si>
    <t>01311/ORSE</t>
  </si>
  <si>
    <t>14.1.5.6</t>
  </si>
  <si>
    <t>Luva de redução de PVC soldável com rosca diâmetro 25x1/2"</t>
  </si>
  <si>
    <t>Tê</t>
  </si>
  <si>
    <t>14.1.6.1</t>
  </si>
  <si>
    <t>Tê de 90º  PVC soldável, diâmetro 25mm</t>
  </si>
  <si>
    <t>14.1.6.2</t>
  </si>
  <si>
    <t>Tê de 90º  PVC soldável, diâmetro 32mm</t>
  </si>
  <si>
    <t>14.1.6.3</t>
  </si>
  <si>
    <t>Tê de 90º  PVC soldável, diâmetro 50mm</t>
  </si>
  <si>
    <t>14.1.6.4</t>
  </si>
  <si>
    <t>Tê de 90º  PVC soldável, diâmetro 60mm</t>
  </si>
  <si>
    <t>14.1.6.5</t>
  </si>
  <si>
    <t>Tê de 90º  PVC soldável, diâmetro 85mm</t>
  </si>
  <si>
    <t>14.1.6.6</t>
  </si>
  <si>
    <t>Tê de redução PVC soldável com rosca central, diâmetro 25x1/2"</t>
  </si>
  <si>
    <t>14.1.6.7</t>
  </si>
  <si>
    <t>Tê de redução PVC soldável com rosca central, diâmetro 32x3/4"</t>
  </si>
  <si>
    <t>14.1.6.8</t>
  </si>
  <si>
    <t>Tê de redução PVC soldável, diâmetro 32x25mm</t>
  </si>
  <si>
    <t>14.1.6.9</t>
  </si>
  <si>
    <t>Tê de redução PVC soldável, diâmetro 50x25mm</t>
  </si>
  <si>
    <t>14.1.6.10</t>
  </si>
  <si>
    <t>Tê de redução PVC soldável, diâmetro 60x25mm</t>
  </si>
  <si>
    <t>14.1.6.11</t>
  </si>
  <si>
    <t>Tê de redução PVC soldável, diâmetro 85x60mm</t>
  </si>
  <si>
    <t>União</t>
  </si>
  <si>
    <t>14.1.7.1</t>
  </si>
  <si>
    <t>União de PVC soldável diâmetro 25mm</t>
  </si>
  <si>
    <t>14.1.7.2</t>
  </si>
  <si>
    <t>União de PVC soldável diâmetro 32mm</t>
  </si>
  <si>
    <t>14.1.7.3</t>
  </si>
  <si>
    <t>União de PVC soldável diâmetro 50mm</t>
  </si>
  <si>
    <t>14.1.7.4</t>
  </si>
  <si>
    <t>União de PVC soldável diâmetro 85mm</t>
  </si>
  <si>
    <t>Plug</t>
  </si>
  <si>
    <t>01356/ORSE</t>
  </si>
  <si>
    <t>14.1..8.1</t>
  </si>
  <si>
    <t>Plug de PVC com rosca diâmetro 1/2"</t>
  </si>
  <si>
    <t>01355/ORSE</t>
  </si>
  <si>
    <t>14.1..8.2</t>
  </si>
  <si>
    <t>Plug de PVC com rosca diâmetro 3/4"</t>
  </si>
  <si>
    <t>14.1..8.3</t>
  </si>
  <si>
    <t>Plug de PVC com rosca diâmetro 1.1/4"</t>
  </si>
  <si>
    <t>Subtotal item   14</t>
  </si>
  <si>
    <t>15.0</t>
  </si>
  <si>
    <t>APARELHOS E ACESSÓRIOS SANITÁRIOS</t>
  </si>
  <si>
    <t>15.1</t>
  </si>
  <si>
    <t>Lavatório individual com coluna suspensa, cor branca</t>
  </si>
  <si>
    <t>15.2</t>
  </si>
  <si>
    <t>Cuba de embutir oval grande, cor branca</t>
  </si>
  <si>
    <t>15.3</t>
  </si>
  <si>
    <t>Cuba de embutir redonda pequena, cor branca</t>
  </si>
  <si>
    <t>15.4</t>
  </si>
  <si>
    <t>Bacia sifonada com abertura frontal, cor branca</t>
  </si>
  <si>
    <t>15.5</t>
  </si>
  <si>
    <t>Bacia sifonada infantil, cor branca</t>
  </si>
  <si>
    <t>15.6</t>
  </si>
  <si>
    <t>Bacia sifonada sem abertura frontal, cor branca</t>
  </si>
  <si>
    <t>15.7</t>
  </si>
  <si>
    <t>Assento para bacia com abertura frontal, cor branca</t>
  </si>
  <si>
    <t>15.8</t>
  </si>
  <si>
    <t>Assento para bacia infantil, cor branca</t>
  </si>
  <si>
    <t>02066/ORSE</t>
  </si>
  <si>
    <t>15.9</t>
  </si>
  <si>
    <t>Assento para bacia sem abertura frontal, cor branca</t>
  </si>
  <si>
    <t>15.10</t>
  </si>
  <si>
    <t>Cuba para pia de aço inox, 625x505x300mm, acabamento alto brilho</t>
  </si>
  <si>
    <t>15.11</t>
  </si>
  <si>
    <t>Cuba para pia de aço inox, 560x340x140mm, acabamento polido</t>
  </si>
  <si>
    <t>15.12</t>
  </si>
  <si>
    <t>Cuba para pia de aço inox, 400x340x170mm, acabamento polido</t>
  </si>
  <si>
    <t>15.13</t>
  </si>
  <si>
    <t>Tanque duplo com capacidade de 27+30 litros, acabamento alto brilho, 1200x550mm</t>
  </si>
  <si>
    <t>15.14</t>
  </si>
  <si>
    <t>Torneira de mesa, bica alta</t>
  </si>
  <si>
    <t>15.15</t>
  </si>
  <si>
    <t>Torneira de parede</t>
  </si>
  <si>
    <t>15.16</t>
  </si>
  <si>
    <t>Torneira de mesa, bica baixa</t>
  </si>
  <si>
    <t>08758/ORSE</t>
  </si>
  <si>
    <t>15.17</t>
  </si>
  <si>
    <t>Torneira elétrica, 5500W</t>
  </si>
  <si>
    <t>15.18</t>
  </si>
  <si>
    <t>Torneira de parede, bica móvel</t>
  </si>
  <si>
    <t>15.19</t>
  </si>
  <si>
    <t>Torneira de mesa, bica móvel</t>
  </si>
  <si>
    <t>15.20</t>
  </si>
  <si>
    <t>Torneira para uso geral</t>
  </si>
  <si>
    <t>08236/ORSE</t>
  </si>
  <si>
    <t>15.21</t>
  </si>
  <si>
    <t>Torneira para jardim/mangueira</t>
  </si>
  <si>
    <t>15.22</t>
  </si>
  <si>
    <t>Torneira de bóia, diâmetro 25mm</t>
  </si>
  <si>
    <t>15.23</t>
  </si>
  <si>
    <t>Registro de pressão com canopla p/ chuveiro, diâmetro 3/4"</t>
  </si>
  <si>
    <t>15.24</t>
  </si>
  <si>
    <t>Registro de gaveta bruto, diâmetro 3/4"</t>
  </si>
  <si>
    <t>02040/ORSE</t>
  </si>
  <si>
    <t>15.25</t>
  </si>
  <si>
    <t>Registro de gaveta bruto, diâmetro 1"</t>
  </si>
  <si>
    <t>02041/ORSE</t>
  </si>
  <si>
    <t>15.26</t>
  </si>
  <si>
    <t>Registro de gaveta bruto, diâmetro 1.1/2"</t>
  </si>
  <si>
    <t>01462/ORSE</t>
  </si>
  <si>
    <t>15.27</t>
  </si>
  <si>
    <t>Registro de gaveta bruto, diâmetro 3"</t>
  </si>
  <si>
    <t>15.28</t>
  </si>
  <si>
    <t>Registro de gaveta com canopla, diâmetro 3/4"</t>
  </si>
  <si>
    <t>15.29</t>
  </si>
  <si>
    <t>Registro de gaveta com canopla, diâmetro 1"</t>
  </si>
  <si>
    <t>15.30</t>
  </si>
  <si>
    <t>Registro de gaveta com canopla, diâmetro 1.1/2"</t>
  </si>
  <si>
    <t>15.31</t>
  </si>
  <si>
    <t>Ligação flexível metálica para lavatório de 1/2"</t>
  </si>
  <si>
    <t>15.32</t>
  </si>
  <si>
    <t>Ligação flexível metálica para pia de 3/4"</t>
  </si>
  <si>
    <t>15.33</t>
  </si>
  <si>
    <t>Ducha elétrica com desviador, 5500W, cor branca</t>
  </si>
  <si>
    <t>15.34</t>
  </si>
  <si>
    <t>Ducha higiênica</t>
  </si>
  <si>
    <t>15.35</t>
  </si>
  <si>
    <t>Ducha elétrica 4000W com desviador</t>
  </si>
  <si>
    <t>15.36</t>
  </si>
  <si>
    <t>Chuveiro elétrico, 5500W, acabamento cromado</t>
  </si>
  <si>
    <t>15.37</t>
  </si>
  <si>
    <t>Válvula de descarga duplo acionamento p/ vaso sanitário de 1.1/2"</t>
  </si>
  <si>
    <t>15.38</t>
  </si>
  <si>
    <t>Caixa d'água pré-fabricada capacidade 15000 litros</t>
  </si>
  <si>
    <t>15.39</t>
  </si>
  <si>
    <t>Tubo de descarga VDE, série normal, diâmetro 38 mm</t>
  </si>
  <si>
    <t>73796/003</t>
  </si>
  <si>
    <t>15.40</t>
  </si>
  <si>
    <t>Válvula de pé com crivo, 1.1/2"</t>
  </si>
  <si>
    <t>08447/ORSE</t>
  </si>
  <si>
    <t>15.41</t>
  </si>
  <si>
    <t>Válvula de retenção com portinhola de bronze, 1"</t>
  </si>
  <si>
    <t>04429/ORSE</t>
  </si>
  <si>
    <t>15.42</t>
  </si>
  <si>
    <t>Caixa em alvenaria 30x30 cm - CRG e CTD</t>
  </si>
  <si>
    <t>15.43</t>
  </si>
  <si>
    <t>Caixa em alvenaria 100x160 cm para bombas</t>
  </si>
  <si>
    <t>15.44</t>
  </si>
  <si>
    <t>Tampa de ferro fundido 30x30 cm - tipo leve</t>
  </si>
  <si>
    <t>15.45</t>
  </si>
  <si>
    <t>Tampa de ferro fundido 60x60 cm - tipo leve</t>
  </si>
  <si>
    <t>15.46</t>
  </si>
  <si>
    <t>Braçadeira metálica tipo ômega, diâmetro 25 mm</t>
  </si>
  <si>
    <t>15.47</t>
  </si>
  <si>
    <t>Braçadeira metálica tipo ômega, diâmetro 32 mm</t>
  </si>
  <si>
    <t>15.48</t>
  </si>
  <si>
    <t>Braçadeira metálica tipo ômega, diâmetro 40 mm</t>
  </si>
  <si>
    <t>15.49</t>
  </si>
  <si>
    <t>Braçadeira metálica tipo ômega, diâmetro 50 mm</t>
  </si>
  <si>
    <t>15.50</t>
  </si>
  <si>
    <t>Braçadeira metálica tipo ômega, diâmetro 85 mm</t>
  </si>
  <si>
    <t>15.51</t>
  </si>
  <si>
    <t>Porta-sabonete líquido de parede</t>
  </si>
  <si>
    <t>15.52</t>
  </si>
  <si>
    <t>Porta papel-toalha de parede</t>
  </si>
  <si>
    <t>02033/ORSE</t>
  </si>
  <si>
    <t>15.53</t>
  </si>
  <si>
    <t>Porta papel higiênico em louça de embutir</t>
  </si>
  <si>
    <t>02032/ORSE</t>
  </si>
  <si>
    <t>15.54</t>
  </si>
  <si>
    <t>Saboneteira em louça de embutir</t>
  </si>
  <si>
    <t>Subtotal item 15</t>
  </si>
  <si>
    <t>16.0</t>
  </si>
  <si>
    <t>EQUIPAMENTOS</t>
  </si>
  <si>
    <t>16.1</t>
  </si>
  <si>
    <t>Conjunto moto-bomba com rotor em bronze, 3/4 cv, Hman=15mca, Q=5m³/h, 380 Volts, trifásica</t>
  </si>
  <si>
    <t>16.2</t>
  </si>
  <si>
    <t>Automático de bóia nível máximo</t>
  </si>
  <si>
    <t>16.3</t>
  </si>
  <si>
    <t>Automático de bóia nível mínimo</t>
  </si>
  <si>
    <t>Subtotal item 16</t>
  </si>
  <si>
    <t>17.0</t>
  </si>
  <si>
    <t>TUBULAÇÕES E CONEXÕES DE FERRO GALVANIZADO</t>
  </si>
  <si>
    <t>17.1</t>
  </si>
  <si>
    <t>Tubo</t>
  </si>
  <si>
    <t>Tubo FG roscável, diâmetro 3/4"</t>
  </si>
  <si>
    <t>Tubo FG roscável, diâmetro 1"</t>
  </si>
  <si>
    <t>Tubo FG roscável, diâmetro 1.1/2"</t>
  </si>
  <si>
    <t>Tubo FG roscável, diâmetro 3"</t>
  </si>
  <si>
    <t>17.2</t>
  </si>
  <si>
    <t>Bucha de redução</t>
  </si>
  <si>
    <t>Bucha de redução, FG roscável, diâmetro 1"x3/4"</t>
  </si>
  <si>
    <t>17.3</t>
  </si>
  <si>
    <t>Joelho</t>
  </si>
  <si>
    <t>Joelho 90º FG roscável, diâmetro 3/4"</t>
  </si>
  <si>
    <t>Joelho 90º FG roscável, diâmetro 1.1/2"</t>
  </si>
  <si>
    <t>Joelho 90º FG roscável, diâmetro 1"</t>
  </si>
  <si>
    <t>Joelho 90º FG roscável, diâmetro 3"</t>
  </si>
  <si>
    <t>17.4</t>
  </si>
  <si>
    <t>Luva</t>
  </si>
  <si>
    <t>Luva FG, F/F roscável, diâmetro 1"</t>
  </si>
  <si>
    <t>Luva FG, F/F roscável, diâmetro 1.1/2"</t>
  </si>
  <si>
    <t>17.5</t>
  </si>
  <si>
    <t>Te 90º FG roscável, diâmetro 1.1/2"</t>
  </si>
  <si>
    <t>Te 90º FG roscável, diâmetro 1"</t>
  </si>
  <si>
    <t>Te 45º FG roscável, diâmetro 1"</t>
  </si>
  <si>
    <t>17.6</t>
  </si>
  <si>
    <t>União FG roscável MF, diâmetro 1"</t>
  </si>
  <si>
    <t>União FG roscável MF, diâmetro 1.1/2"</t>
  </si>
  <si>
    <t>17.7</t>
  </si>
  <si>
    <t>Niple</t>
  </si>
  <si>
    <t>Niple FG roscável diâmetro 1"</t>
  </si>
  <si>
    <t>Subtotal item 17</t>
  </si>
  <si>
    <t>18.0</t>
  </si>
  <si>
    <t>DRENAGEM DE ÁGUAS PLUVIAIS</t>
  </si>
  <si>
    <t>18.1</t>
  </si>
  <si>
    <t>Tubo de PVC esgoto série R, ponta e bolsa com anel de borracha, Ø100mm</t>
  </si>
  <si>
    <t>Tubo de PVC esgoto série R, ponta e bolsa com anel de borracha, Ø150mm</t>
  </si>
  <si>
    <t>Tubo de PVC esgoto, tipo Vinilfort ou equivalente, ponta e bolsa com junta elástica integrada, Ø150mm</t>
  </si>
  <si>
    <t>Tubo de PVC esgoto, tipo Vinilfort ou equivalente, ponta e bolsa com junta elástica integrada, Ø200mm</t>
  </si>
  <si>
    <t>Tubo de PVC esgoto, tipo Vinilfort ou equivalente, ponta e bolsa com junta elástica integrada, Ø250mm</t>
  </si>
  <si>
    <t>Tubo de PVC esgoto, tipo Vinilfort ou equivalente, ponta e bolsa com junta elástica integrada, Ø300mm</t>
  </si>
  <si>
    <t>18.2</t>
  </si>
  <si>
    <t>Curva</t>
  </si>
  <si>
    <t>Curva 87º30' de PVC esgoto Série R, com anel de borracha, Ø150mm</t>
  </si>
  <si>
    <t>Curva 87º30' de PVC esgoto Série R, com anel de borracha, Ø100mm</t>
  </si>
  <si>
    <t>18.3</t>
  </si>
  <si>
    <t>Joelho 45 graus de PVC esgoto série R, com anel de borracha, Ø150mm</t>
  </si>
  <si>
    <t>Joelho 90 graus de PVC esgoto série R, com anel de borracha, Ø150mm</t>
  </si>
  <si>
    <t>18.4</t>
  </si>
  <si>
    <t>Luva de PVC esgoto, série R, com anel de borracha, Ø100mm</t>
  </si>
  <si>
    <t>Luva de PVC esgoto, série R, com anel de borracha, Ø150mm</t>
  </si>
  <si>
    <t>Luva de PVC esgoto, tipo Vinilfort ou equivalente, com junta elástica integrada, Ø100mm</t>
  </si>
  <si>
    <t>Luva de PVC esgoto, tipo Vinilfort ou equivalente, com junta elástica integrada, Ø150mm</t>
  </si>
  <si>
    <t>Luva de PVC esgoto, tipo Vinilfort ou equivalente, com junta elástica integrada, Ø200mm</t>
  </si>
  <si>
    <t>Luva de PVC esgoto, tipo Vinilfort ou equivalente, com junta elástica integrada, Ø250mm</t>
  </si>
  <si>
    <t>Luva de PVC esgoto, tipo Vinilfort ou equivalente, com junta elástica integrada, Ø300mm</t>
  </si>
  <si>
    <t>18.5</t>
  </si>
  <si>
    <t>Tê de inspeção</t>
  </si>
  <si>
    <t>Tê de inspeção de PVC esgoto, série R, com anel de borracha, Ø150x100mm</t>
  </si>
  <si>
    <t>Tê de inspeção de PVC esgoto, série R, com anel de borracha, Ø100x75mm</t>
  </si>
  <si>
    <t>Subtotal item 18</t>
  </si>
  <si>
    <t>ACESSÓRIOS</t>
  </si>
  <si>
    <t>19.1</t>
  </si>
  <si>
    <t>Ralo hemisférico</t>
  </si>
  <si>
    <t>07752/ORSE</t>
  </si>
  <si>
    <t>Ralo hemisférico (formato abacaxi) de ferro fundido, Ø150mm</t>
  </si>
  <si>
    <t>04283/ORSE</t>
  </si>
  <si>
    <t>Ralo hemisférico (formato abacaxi) de ferro fundido, Ø100mm</t>
  </si>
  <si>
    <t>19.2</t>
  </si>
  <si>
    <t>Caixa de passagem</t>
  </si>
  <si>
    <t>05027/ORSE</t>
  </si>
  <si>
    <t>Caixa de inspeção em alvenaria com fundo em concreto, 60x60cm</t>
  </si>
  <si>
    <t>Tampa de concreto 60x60cm para caixa de inspeção</t>
  </si>
  <si>
    <t>02794/ORSE</t>
  </si>
  <si>
    <t>Caixa de ralo em alvenaria com fundo em concreto, 40x40cm</t>
  </si>
  <si>
    <t>08769/ORSE</t>
  </si>
  <si>
    <t>Grelha de ferro fundido 40x40cm, tipo leve, para caixa de ralo</t>
  </si>
  <si>
    <t>03233/ORSE</t>
  </si>
  <si>
    <t>Caixa de brita 40x40cm</t>
  </si>
  <si>
    <t>19.3</t>
  </si>
  <si>
    <t>Poço de visita</t>
  </si>
  <si>
    <t>02689/ORSE</t>
  </si>
  <si>
    <t>Poço de visita em alvenaria com fundo em concreto, 110x110cm</t>
  </si>
  <si>
    <t>Tampa de concreto Ø60cm para poço de visita</t>
  </si>
  <si>
    <t>19.4</t>
  </si>
  <si>
    <t>Tampa para inspeção</t>
  </si>
  <si>
    <t>Chapa de aço galvanizado aparafusável, 15x15cm, para inspeção em alvenaria</t>
  </si>
  <si>
    <t>19.5</t>
  </si>
  <si>
    <t>Grelha</t>
  </si>
  <si>
    <t>04957/ORSE</t>
  </si>
  <si>
    <t>Calha de piso em PVC DN 130, com grelha</t>
  </si>
  <si>
    <t>05077/ORSE</t>
  </si>
  <si>
    <t>Calha de cobertura em PVC DN 130</t>
  </si>
  <si>
    <t>Subtotal item 19</t>
  </si>
  <si>
    <t>20.0</t>
  </si>
  <si>
    <t>ESGOTOS SANITÁRIOS</t>
  </si>
  <si>
    <t>20.1</t>
  </si>
  <si>
    <t>Tubo de PVC rígido esgoto série R 150mm</t>
  </si>
  <si>
    <t>09387/ORSE</t>
  </si>
  <si>
    <t>Tubo de PVC rígido esgoto série R 100mm</t>
  </si>
  <si>
    <t>Tubo de PVC rígido esgoto série R 75mm</t>
  </si>
  <si>
    <t>Tubo de PVC rígido esgoto série R 50mm</t>
  </si>
  <si>
    <t>Tubo de PVC rígido esgoto série R 40mm</t>
  </si>
  <si>
    <t>20.2</t>
  </si>
  <si>
    <t>Cap</t>
  </si>
  <si>
    <t>01612/ORSE</t>
  </si>
  <si>
    <t>Cap de PVC rígido esgoto série R com anel de borracha 100mm</t>
  </si>
  <si>
    <t>20.3</t>
  </si>
  <si>
    <t>Joelho 45 graus série R 100mm</t>
  </si>
  <si>
    <t>Joelho 45 graus série R 75mm</t>
  </si>
  <si>
    <t>Joelho 45 graus série R 50mm</t>
  </si>
  <si>
    <t>Joelho 45 graus série R 40mm</t>
  </si>
  <si>
    <t>Joelho 90 graus série R 100mm</t>
  </si>
  <si>
    <t>Joelho 90 graus série R 75mm</t>
  </si>
  <si>
    <t>Joelho 90 graus série R 50mm</t>
  </si>
  <si>
    <t>Joelho 90 graus série R 40mm</t>
  </si>
  <si>
    <t>20.4</t>
  </si>
  <si>
    <t>Junção</t>
  </si>
  <si>
    <t>Junção simples série R 50mm</t>
  </si>
  <si>
    <t>Junção simples série R 40mm</t>
  </si>
  <si>
    <t>20.5</t>
  </si>
  <si>
    <t>Luva de PVC série R 150mm</t>
  </si>
  <si>
    <t>Luva de PVC série R 100mm</t>
  </si>
  <si>
    <t>Luva de PVC série R 75mm</t>
  </si>
  <si>
    <t>Luva de PVC série R 50mm</t>
  </si>
  <si>
    <t>Luva de PVC série R 40mm</t>
  </si>
  <si>
    <t>20.6</t>
  </si>
  <si>
    <t>Redução</t>
  </si>
  <si>
    <t>Redução excêntrica série R 75x50mm</t>
  </si>
  <si>
    <t>Bucha de redução longa série R 50x40mm</t>
  </si>
  <si>
    <t>20.7</t>
  </si>
  <si>
    <t>Ligação para saída de vaso sanitário</t>
  </si>
  <si>
    <t>Adaptador para saída de vaso sanitário série N 100mm</t>
  </si>
  <si>
    <t>20.8</t>
  </si>
  <si>
    <t>Vedação para saída de vaso sanitário</t>
  </si>
  <si>
    <t>Vedação para saída de vaso sanitário série N 100mm</t>
  </si>
  <si>
    <t>20.9</t>
  </si>
  <si>
    <t>Adaptadores para sifão</t>
  </si>
  <si>
    <t>Adaptador para válvula de pia, lavatório, tanque e bebedouro série N 40x1"</t>
  </si>
  <si>
    <t>20.10</t>
  </si>
  <si>
    <t>Tê série R 100x50mm</t>
  </si>
  <si>
    <t>Tê série R 75x50mm</t>
  </si>
  <si>
    <t>Tê série R 100mm</t>
  </si>
  <si>
    <t>Tê série R 75mm</t>
  </si>
  <si>
    <t>Tê série N 50mm</t>
  </si>
  <si>
    <t>20.11</t>
  </si>
  <si>
    <t>Caixa sifonada</t>
  </si>
  <si>
    <t>20.11.1.1</t>
  </si>
  <si>
    <t>Corpo caixa sifonada 250x230x75mm</t>
  </si>
  <si>
    <t>20.11.1.2</t>
  </si>
  <si>
    <t>Corpo caixa sifonada 150x185x75mm</t>
  </si>
  <si>
    <t>Ralo seco</t>
  </si>
  <si>
    <t>20.11.2.1</t>
  </si>
  <si>
    <t>Corpo caixa seca 100x100x40mm</t>
  </si>
  <si>
    <t>20.11.3.1</t>
  </si>
  <si>
    <t>Grelha redonda de alumínio 150mm</t>
  </si>
  <si>
    <t>20.11.3.2</t>
  </si>
  <si>
    <t>Grelha redonda de alumínio 100mm</t>
  </si>
  <si>
    <t>20.11.3.3</t>
  </si>
  <si>
    <t>Grelha redonda escamoteável em aço inox, cromada, com caixilho 150mm</t>
  </si>
  <si>
    <t>20.11.3.4</t>
  </si>
  <si>
    <t>Grelha redonda escamoteável em aço inox, cromada, com caixilho 100mm</t>
  </si>
  <si>
    <t>20.11.3.5</t>
  </si>
  <si>
    <t>Calha de piso normal em PVC, cor branca, DN 130, 250cm x 129mm x 140mm</t>
  </si>
  <si>
    <t>20.11.3.6</t>
  </si>
  <si>
    <t>Grelha para calha de piso normal em PVC, cor branca, DN 130, 500mm x 128mm x 20mm</t>
  </si>
  <si>
    <t>20.11.3.7</t>
  </si>
  <si>
    <t>Antiespuma 150mm</t>
  </si>
  <si>
    <t>20.11.3.8</t>
  </si>
  <si>
    <t>Tampa cega redonda de aluminio 250mm</t>
  </si>
  <si>
    <t>20.11.3.9</t>
  </si>
  <si>
    <t>Porta grelha redondo cromado 250mm</t>
  </si>
  <si>
    <t>20.11.3.10</t>
  </si>
  <si>
    <t>Porta grelha redondo cromado 150mm</t>
  </si>
  <si>
    <t>20.11.3.11</t>
  </si>
  <si>
    <t>Porta grelha redondo cromado 100mm</t>
  </si>
  <si>
    <t>Caixa de gordura</t>
  </si>
  <si>
    <t>20.11.4.1</t>
  </si>
  <si>
    <t>Caixa de gordura dupla, 120 litros, 60x60x95 cm</t>
  </si>
  <si>
    <t>20.11.4.2</t>
  </si>
  <si>
    <t>Caixa de gordura especial, 350 litros, 80x80x105 cm</t>
  </si>
  <si>
    <t>20.11.4.3</t>
  </si>
  <si>
    <t>Tampa de ferro fundido 60x60 cm, tipo leve, para caixas de gordura dupla e especial</t>
  </si>
  <si>
    <t>Terminal de ventilação</t>
  </si>
  <si>
    <t>20.11.5.1</t>
  </si>
  <si>
    <t>Terminal de ventilação 75mm</t>
  </si>
  <si>
    <t>20.11.5.2</t>
  </si>
  <si>
    <t>Terminal de ventilação 50mm</t>
  </si>
  <si>
    <t>Caixa de inspeção em alvenaria</t>
  </si>
  <si>
    <t>20.11.6.1</t>
  </si>
  <si>
    <t>Caixa de inspeção em alvenaria 60x60cm</t>
  </si>
  <si>
    <t>20.11.6.2</t>
  </si>
  <si>
    <t>Tampa de ferro fundido tipo leve 60x60cm para caixa de inspeção</t>
  </si>
  <si>
    <t>20.11.6.3</t>
  </si>
  <si>
    <t>Caixa de inspeção em alvenaria 80x80cm</t>
  </si>
  <si>
    <t>07127/ORSE</t>
  </si>
  <si>
    <t>20.11.7.1</t>
  </si>
  <si>
    <t>Poço de visita em alvenaria com fundo em concreto, 110x110 cm</t>
  </si>
  <si>
    <t>20.11.7.2</t>
  </si>
  <si>
    <t>Tampa de ferro fundido tipo pesado Ø60cm para poço de visita</t>
  </si>
  <si>
    <t>Subtotal item 20</t>
  </si>
  <si>
    <t>21.0</t>
  </si>
  <si>
    <t>INSTALAÇÕES ELÉTRICAS E ELETRÔNICAS</t>
  </si>
  <si>
    <t>21.1</t>
  </si>
  <si>
    <t>Haste para aterramento</t>
  </si>
  <si>
    <t>Caixa de inspeção tipo solo em PVC, com tampa de ferro de 30cm.</t>
  </si>
  <si>
    <t>Conector em bronze para conecção de dois cabos com a haste.</t>
  </si>
  <si>
    <t>Subtotal item 21.1</t>
  </si>
  <si>
    <t>21.2</t>
  </si>
  <si>
    <t>Cordoalha de cobre nú</t>
  </si>
  <si>
    <t>Cordoalha de cobre nú 50mm2.</t>
  </si>
  <si>
    <t>Cordoalha de cobre nú 35mm2.</t>
  </si>
  <si>
    <t>Subtotal item 21.2</t>
  </si>
  <si>
    <t>21.3</t>
  </si>
  <si>
    <t>Quadros de Força</t>
  </si>
  <si>
    <t>C 2062 SEINFRA</t>
  </si>
  <si>
    <t>Quadro de medição completo com TC(transformador de corrente) para medição em baixa tensão, compatível com disjuntor trifásico geral de entrada de 500A, padrão da concessionária local.</t>
  </si>
  <si>
    <t>12241/ORSE</t>
  </si>
  <si>
    <t>Quadro de comando de sobrepor completo com porta e trinco, com 4 barramentos de cobre de 2"x1/4" para as fases e o neutro e 1"x3/16" para proteção.</t>
  </si>
  <si>
    <t>12226/ORSE</t>
  </si>
  <si>
    <t>Quadro de comando de embutir completo com porta e trinco, com 4 barramentos de cobre de 1/2"x1/8" para as fases e o neutro e 1/2"x1/16" para proteção.</t>
  </si>
  <si>
    <t>Quadro de comando de embutir completo com porta e trinco, com 4 barramentos de cobre de 5/8"x1/8" para as fases e o neutro e 1/2"x1/16" para proteção.</t>
  </si>
  <si>
    <t>Quadro de comando de embutir completo com porta e trinco, com 4 barramentos de cobre de 3/4"x1/8" para as fases e o neutro e 5/8"x1/16" para proteção.</t>
  </si>
  <si>
    <t>Quadro de comando de embutir completo com porta e trinco</t>
  </si>
  <si>
    <t>Subtotal item 21.3</t>
  </si>
  <si>
    <t>21.4</t>
  </si>
  <si>
    <t>Centro de distribuição de iluminação e tomadas</t>
  </si>
  <si>
    <t>Quadro de distribuição de embutir, 24 módulos (2x12) completo com barramentos 150A, placa de montagem, porta interna e perfis verticais com trilhos DIN para fixação de acessórios.</t>
  </si>
  <si>
    <t>12233/ORSE</t>
  </si>
  <si>
    <t>Quadro de distribuição de embutir, 70 módulos (2x35) completo com barramentos 150A, placa de montagem, porta interna e perfis verticais com trilhos DIN para fixação de acessórios.</t>
  </si>
  <si>
    <t>12232/ORSE</t>
  </si>
  <si>
    <t>Subtotal item 21.4</t>
  </si>
  <si>
    <t>21.5</t>
  </si>
  <si>
    <t>Eletrodutos e Acessórios</t>
  </si>
  <si>
    <t>Eletroduto metálico flexível, Ø3/4”</t>
  </si>
  <si>
    <t>Eletroduto PVC flexível corrugado reforçado, Ø3/4”</t>
  </si>
  <si>
    <t>Eletroduto PVC flexível corrugado reforçado, Ø1”</t>
  </si>
  <si>
    <t>Eletroduto de Aço Galvanizado, tipo pesado, entradas lisas,    Ø 3/4"x 3,00 m</t>
  </si>
  <si>
    <t>Eletroduto de Pead-Polietileno de alta densidade corrugado, Ø1 1/2"</t>
  </si>
  <si>
    <t>Eletroduto de Pead-Polietileno de alta densidade corrugado, Ø2"</t>
  </si>
  <si>
    <r>
      <rPr>
        <sz val="9"/>
        <rFont val="Arial"/>
        <family val="2"/>
      </rPr>
      <t>Haste de aço galvanizado recoberta com 200 micras de cobre de diâmetro nominal de 5/8" com 3 metros de
comprimento.</t>
    </r>
  </si>
  <si>
    <r>
      <rPr>
        <sz val="9"/>
        <rFont val="Arial"/>
        <family val="2"/>
      </rPr>
      <t>Quadro de distribuição de embutir, 56 módulos (2x28) completo com barramentos 225A, placa de montagem, porta interna e perfis verticais com trilhos DIN para fixação de acessórios. Ref. Comercial: CEMAR  (Ref.
QDETG UX 225A) ou equivalente.</t>
    </r>
  </si>
  <si>
    <t>Eletroduto de Pead-Polietileno de alta densidade corrugado, Ø3"</t>
  </si>
  <si>
    <t>Eletroduto de Pead-Polietileno de alta densidade corrugado, Ø4"</t>
  </si>
  <si>
    <t>Eletroduto de Pead-Polietileno de alta densidade corrugado, Ø5"</t>
  </si>
  <si>
    <t>Curva 90º de PVC, série reforçada, Ø 3/4"</t>
  </si>
  <si>
    <t>Abraçadeira de aço galvanizado,  Ø 3/4”, tipo "copo"</t>
  </si>
  <si>
    <t>Abraçadeira de aço galvanizado,  Ø 1”, tipo "copo"</t>
  </si>
  <si>
    <t>Subtotal item 21.5</t>
  </si>
  <si>
    <t>21.6</t>
  </si>
  <si>
    <t>Cabos e Fios(condutores)</t>
  </si>
  <si>
    <t>Condutor de cobre unipolar, isolação em PVC/70ºC, camada de proteção em PVC, não propagador de chamas, classe de tensão 750V, encordoamento classe 5, flexível, com as seguintes seções nominais:</t>
  </si>
  <si>
    <t>#2,5mm2</t>
  </si>
  <si>
    <t>#4mm2</t>
  </si>
  <si>
    <t>#6mm2</t>
  </si>
  <si>
    <t>Condutor de cobre unipolar, isolação em PVC/70ºC, camada de proteção em PVC, não propagador de chamas, classe de tensão 1 kV, encordoamento classe 5, flexível, com as seguintes seções nominais:</t>
  </si>
  <si>
    <t>#10mm2</t>
  </si>
  <si>
    <t>#16mm2</t>
  </si>
  <si>
    <t>#25mm2</t>
  </si>
  <si>
    <t>#35mm2</t>
  </si>
  <si>
    <t>#50mm2</t>
  </si>
  <si>
    <t>Cabo tripolar, condutor de cobre, isolação em PVC/70°C, não propagador de chama, classe de tensão, encordoamento classe 5, flexível, com as seguintes seções nominais:</t>
  </si>
  <si>
    <t>3x1,5mm2</t>
  </si>
  <si>
    <t>3x2,5mm2</t>
  </si>
  <si>
    <t>Subtotal item 21.6</t>
  </si>
  <si>
    <t>21.7</t>
  </si>
  <si>
    <t>Caixas de Passagem</t>
  </si>
  <si>
    <t>Condulete metálico, entradas lisas, tipo T, Ø3/4”.</t>
  </si>
  <si>
    <t>Condulete metálico, entradas lisas, tipo C, Ø3/4”.</t>
  </si>
  <si>
    <t>Condulete metálico, entradas lisas, tipo E, Ø3/4”.</t>
  </si>
  <si>
    <t>Condulete metálico, entradas lisas, tipo X, Ø3/4”.</t>
  </si>
  <si>
    <t>Condulete metálico, entradas lisas, tipo LR, Ø3/4”.</t>
  </si>
  <si>
    <t>Tampa para condulete metálico com entrada para tomada 2P+T</t>
  </si>
  <si>
    <t>Tampa cega para condulete metálico.</t>
  </si>
  <si>
    <t>Tampa para condulete metálico com furo</t>
  </si>
  <si>
    <t>Caixa de passagem em PVC, série reforçada, 4x2”</t>
  </si>
  <si>
    <t>Caixa de ferro esmaltada, octogonal, 4x4”</t>
  </si>
  <si>
    <t>Caixa de passagem metálica, quadrada, 20x20” com tampa</t>
  </si>
  <si>
    <t>08075/ORSE</t>
  </si>
  <si>
    <t>Caixa de passagem 20x20cm em alvenaria com tampa</t>
  </si>
  <si>
    <t>Caixa de passagem 40x40cm em alvenaria com tampa</t>
  </si>
  <si>
    <t>Subtotal item 21.7</t>
  </si>
  <si>
    <t>21.8</t>
  </si>
  <si>
    <t>Chaves com Fusíveis</t>
  </si>
  <si>
    <t>Base-fusível completa (com tampa, anel de proteção e parafuso de ajuste), fusíveis diazed de 10A.</t>
  </si>
  <si>
    <t>Base-fusível completa (com tampa, anel de proteção e parafuso de ajuste), fusíveis diazed de 6A.</t>
  </si>
  <si>
    <t>Relé térmico de sobrecarga 1,8A a 2,5A</t>
  </si>
  <si>
    <t>Contator de potência, bobina 220V/60Hz.</t>
  </si>
  <si>
    <t>Alarme sonoro, 220V/60Hz, com frequência tonal diferente do alarme contra incêndio.</t>
  </si>
  <si>
    <t>Controle do reservatório superior, composto por chave nível tipo bóia, com haste móvel e contatos reversíveis (NA,NF).</t>
  </si>
  <si>
    <t>Controle do reservatório inferior, composto por chave nível tipo bóia, com haste móvel e contatos reversíveis (NA,NF).</t>
  </si>
  <si>
    <t>Alarme de extravasamento do reservatório inferior, composto por chave nível tipo bóia, com haste móvel e contatos reversíveis (NA,NF).</t>
  </si>
  <si>
    <t>03808/ORSE</t>
  </si>
  <si>
    <t>Comutador com retenção, ф 22mm, cor preta, 3 posições (zero central), com blocos de contato 2NA+2NF.</t>
  </si>
  <si>
    <t>03807/ORSE</t>
  </si>
  <si>
    <t>Comutador com retenção, ф 22mm, cor preta, 2 posições, com blocos de contato 2NA+2NF.</t>
  </si>
  <si>
    <t>Sinalizador luminoso, redondo, aro frontal pretonas cor vermelha (vm) com lâmpada neon/220V, soquete BA9S</t>
  </si>
  <si>
    <t>Sinalizador luminoso, redondo, aro frontal pretonas cor âmbar (am) com lâmpada neon/220V, soquete BA9S</t>
  </si>
  <si>
    <t>Subtotal item 21.8</t>
  </si>
  <si>
    <t>21.9</t>
  </si>
  <si>
    <t>Disjuntores</t>
  </si>
  <si>
    <t>Mini-Disjuntor monopolar, tipo 5Sx1, curva C, 20A</t>
  </si>
  <si>
    <t>Mini-Disjuntor monopolar, tipo 5Sx1, curva C, 25A</t>
  </si>
  <si>
    <t>Mini-Disjuntor tripolar, tipo 5Sx1, curva C, 10A</t>
  </si>
  <si>
    <t>Mini-Disjuntor tripolar, tipo 5Sx2, curva C, 20A</t>
  </si>
  <si>
    <t>Mini-Disjuntor tripolar, tipo 5Sx2, curva C, 32A</t>
  </si>
  <si>
    <t>Mini-Disjuntor tripolar, tipo 5Sx2, curva C, 50A</t>
  </si>
  <si>
    <t>00452/ORSE</t>
  </si>
  <si>
    <t>Mini-Disjuntor tripolar, tipo 5Sx1, curva C, 63A</t>
  </si>
  <si>
    <t>09004/ORSE</t>
  </si>
  <si>
    <t>Mini-Disjuntor tripolar, tipo 5Sx1, curva C, 80A</t>
  </si>
  <si>
    <t>Disjuntor tripolar, 3VF23-13, DIN= 20A, Icc = 25 kA/380V</t>
  </si>
  <si>
    <t>Disjuntor tripolar, 3VF23-13, DIN= 32A, Icc = 255 kA/380V</t>
  </si>
  <si>
    <t>Disjuntor tripolar, 3VF23-13, DIN= 500A, Icc = 25 kA/380V</t>
  </si>
  <si>
    <t>11431/ORSE</t>
  </si>
  <si>
    <t>Disjuntor tripolar, 3VF23-13, DIN= 80A, Icc = 25 kA/380V</t>
  </si>
  <si>
    <t>11267/ORSE</t>
  </si>
  <si>
    <t>Disjuntor tripolar, JXD63B250, DIN= 200A, Icu = 35 kA/380V, tensão nominal máxima 415V</t>
  </si>
  <si>
    <t>Módulo Diferencial Residual (DDR) de alta sensibilidade, bipolar, 25A com corrente nominal residual de 30mA.</t>
  </si>
  <si>
    <t>Módulo Diferencial Residual (DDR) de alta sensibilidade, tetrapolar, 25A com corrente nominal residual de 30mA.</t>
  </si>
  <si>
    <t>08894/ORSE</t>
  </si>
  <si>
    <t>Dispositivo de Proteção contra Surtos (DPS), monopolar, tensão nominal máxima 275 VCA, corrente de surto máxima 40kA</t>
  </si>
  <si>
    <t>Subtotal item 21.9</t>
  </si>
  <si>
    <t>21.10</t>
  </si>
  <si>
    <t>Iluminação e Tomadas</t>
  </si>
  <si>
    <t>00673/ORSE</t>
  </si>
  <si>
    <t>Luminária de sobrepor completa com 2 lâmpadas fluorescentes tubulares de 32W com reator eletrônico duplo</t>
  </si>
  <si>
    <t>07740/ORSE</t>
  </si>
  <si>
    <t>Luminária de sobrepor completa com 2 lâmpadas fluorescentes tubulares de 16W com reator eletrônico duplo</t>
  </si>
  <si>
    <t>Arandela completa com uma lâmpada incandescente de 60W comandada por dimmer.</t>
  </si>
  <si>
    <t>Arandela completa com uma lâmpada fluorescente compacta de 20W.</t>
  </si>
  <si>
    <t>07260/ORSE</t>
  </si>
  <si>
    <t>Projetor completo com uma lâmpada a vapor metálico de 250W, ignitor e reator eletrônico de alta freqüência, alto fator de potência e baixa taxa de distorção harmônica (FP &gt; 0,92 e THD &lt; 10%).</t>
  </si>
  <si>
    <t>07259/ORSE</t>
  </si>
  <si>
    <t>Projetor completo com uma lâmpada a vapor metálico de 150W, ignitor e reator eletrônico de alta freqüência, alto fator de potência e baixa taxa de distorção harmônica (FP &gt; 0,92 e THD &lt; 10%).</t>
  </si>
  <si>
    <t>Luminária de embutir em piso completa com uma lâmpada a vapor metálico de 70W, grau de proteção IP 65 (proteção hermética contra poeira e proteção contra jatos d´água), com ignitor e reator eletrônico de alta freqüência, alto fator de potência e baixa taxa de distorção harmônica (FP &gt; 0,92 e THD &lt; 10%).</t>
  </si>
  <si>
    <t>Subtotal item 21.10</t>
  </si>
  <si>
    <t>21.11</t>
  </si>
  <si>
    <t>Interruptores</t>
  </si>
  <si>
    <t>Interruptor simples para montagem em paineis, 8A/250V.</t>
  </si>
  <si>
    <t>Interruptor simples, 10A, 250V</t>
  </si>
  <si>
    <t>Interruptor 2 seções, 10A por seção, 250V</t>
  </si>
  <si>
    <t>Interruptor 3 seções, 10A por seção, 250V</t>
  </si>
  <si>
    <t>Interruptor paralelo (three way) 1 seção, 10A por seção, 250V</t>
  </si>
  <si>
    <t>Interruptor paralelo (three way) 2 seções, 10A por seção, 250V</t>
  </si>
  <si>
    <t>Interruptor paralelo (three way) 3 seções, 10A por seção, 250V</t>
  </si>
  <si>
    <t>Suporte de interruptor simples para duto em aço perfil revestido com pintura em epóxi a pó.</t>
  </si>
  <si>
    <t>Variador de luminosidade rotativo (dimmer) 220V/300W com espelho.</t>
  </si>
  <si>
    <t>Espelho 4x2" com entrada para interruptor simples.</t>
  </si>
  <si>
    <t>Espelho 4x2" com entrada para interruptor de 2 seções.</t>
  </si>
  <si>
    <t>Espelho 4x2" com entrada para interruptor de 3 seções.</t>
  </si>
  <si>
    <t>Espelho 4x4" com entrada para dois módulos de interruptores de 3 seções.</t>
  </si>
  <si>
    <t>Subtotal item 21.11</t>
  </si>
  <si>
    <t>21.12</t>
  </si>
  <si>
    <t>Tomadas</t>
  </si>
  <si>
    <t>Tomada universal, quadrada, 2P+T, 15A/250V, cor preta.</t>
  </si>
  <si>
    <t>Suporte de tomadas para duto em aço perfil revestido com pintura em epóxi a pó, com entrada para duas tomadas quadradas 2P+T.</t>
  </si>
  <si>
    <t>08818/ORSE</t>
  </si>
  <si>
    <t>Tomada universal, circular, 2P+T, 15A/250V, cor preta.</t>
  </si>
  <si>
    <t>09422/ORSE</t>
  </si>
  <si>
    <t>Tomada universal, circular, 3P, 20A/250V, cor preta.</t>
  </si>
  <si>
    <t>Espelho com entrada para tomada circular 2P+T.</t>
  </si>
  <si>
    <t>Espelho com furo.</t>
  </si>
  <si>
    <t>Subtotal item 21.12</t>
  </si>
  <si>
    <t>21.13</t>
  </si>
  <si>
    <t>Fixadores</t>
  </si>
  <si>
    <t>04190/ORSE</t>
  </si>
  <si>
    <t>21.13.1</t>
  </si>
  <si>
    <t>Chubadores 3/8"CBA</t>
  </si>
  <si>
    <t>21.13.2</t>
  </si>
  <si>
    <t>Parafuso e bucha S6</t>
  </si>
  <si>
    <t>21.13.3</t>
  </si>
  <si>
    <t>Suspensão simples para tirante 1/4"</t>
  </si>
  <si>
    <t>21.13.4</t>
  </si>
  <si>
    <t>Suspensão para luminária</t>
  </si>
  <si>
    <t>21.13.5</t>
  </si>
  <si>
    <t>Porca sextavada e arruela lisa 1/4"</t>
  </si>
  <si>
    <t>21.13.6</t>
  </si>
  <si>
    <t>Vergalhão rosca total 1/4"</t>
  </si>
  <si>
    <t>Subtotal item 21.13</t>
  </si>
  <si>
    <t>21.14</t>
  </si>
  <si>
    <t>ATERRAMENTO E PROTEÇÃO CONTRA DESCARGAS ATMOSFÉRICAS</t>
  </si>
  <si>
    <t>21.14.1</t>
  </si>
  <si>
    <t>Captores</t>
  </si>
  <si>
    <t>21.14.1.1</t>
  </si>
  <si>
    <t>Pára-raios, tipo Franklin</t>
  </si>
  <si>
    <t>pç</t>
  </si>
  <si>
    <t>21.14.1.2</t>
  </si>
  <si>
    <t>Cordoalha de cobre nu, têmpera dura, 35mm²</t>
  </si>
  <si>
    <t>10908/ORSE</t>
  </si>
  <si>
    <t>21.14.1.3</t>
  </si>
  <si>
    <t>Barra de aço galvanizado, Ø10mm x 6,00m</t>
  </si>
  <si>
    <t>21.14.2</t>
  </si>
  <si>
    <t>Conectores e Terminais</t>
  </si>
  <si>
    <t>21.14.2.1</t>
  </si>
  <si>
    <t>Conector  de bronze fosforoso, haste de 5/8"/cabo de 50 mm²</t>
  </si>
  <si>
    <t>08440/ORSE</t>
  </si>
  <si>
    <t>21.14.2.2</t>
  </si>
  <si>
    <t>Conector  de bronze,"split bolt" para  cordoalha de 35 mm²</t>
  </si>
  <si>
    <t>21.14.2.3</t>
  </si>
  <si>
    <t>Conector  de furo vertical, Ø10mm/cabo de 35 mm²</t>
  </si>
  <si>
    <t>08389/ORSE</t>
  </si>
  <si>
    <t>21.14.2.4</t>
  </si>
  <si>
    <t>Clips de aço galvanizado a fogo, Ø10mm</t>
  </si>
  <si>
    <t>21.14.3</t>
  </si>
  <si>
    <t>Cabos de Descida</t>
  </si>
  <si>
    <t>21.14.3.1</t>
  </si>
  <si>
    <t>21.14.4</t>
  </si>
  <si>
    <t>Eletrodos de Terra</t>
  </si>
  <si>
    <t>21.14.4.1</t>
  </si>
  <si>
    <t>09379/ORSE</t>
  </si>
  <si>
    <t>21.14.4.2</t>
  </si>
  <si>
    <t>Haste de aço revestida de camada de cobre, 200microns, no mínimo, Ø 5/8" x 3,00m</t>
  </si>
  <si>
    <t>21.14.4.3</t>
  </si>
  <si>
    <t>Cordoalha de cobre nu , 50 mm²</t>
  </si>
  <si>
    <t>21.14.5</t>
  </si>
  <si>
    <t>Caixa de inspeção</t>
  </si>
  <si>
    <t>04718/ORSE</t>
  </si>
  <si>
    <t>21.14.5.1</t>
  </si>
  <si>
    <t>Caixa de inspeção, PVC de 12", com tampa de aço galvanizado,conforme detalhe no projeto</t>
  </si>
  <si>
    <t>Subtotal item 21.14</t>
  </si>
  <si>
    <t>Subtotal item 21</t>
  </si>
  <si>
    <t>22.0</t>
  </si>
  <si>
    <t>INSTALAÇÕES DE REDE ESTRUTURADA</t>
  </si>
  <si>
    <t>22.1</t>
  </si>
  <si>
    <t>Equipamentos Passivos</t>
  </si>
  <si>
    <t>Patch Panel 19"  - 24 portas, Categoria 6</t>
  </si>
  <si>
    <t>Bloco 110 para rack 19” 100 pares 1,75” de altura</t>
  </si>
  <si>
    <t>00520/ORSE</t>
  </si>
  <si>
    <t>Guia de Cabos Frontal, fechado</t>
  </si>
  <si>
    <t>Guia de Cabos Traseiro</t>
  </si>
  <si>
    <t>Trava Patch Panel</t>
  </si>
  <si>
    <t>Guia de Cabos Vertical, fechado</t>
  </si>
  <si>
    <t>Guia de Cabos Superior, fechado</t>
  </si>
  <si>
    <t>22.2</t>
  </si>
  <si>
    <t>Cabos em par trançados</t>
  </si>
  <si>
    <t>Cabo par trançado não blindado (UTP)-4 pares 24 AWG,100 Ohms - Categoria 6</t>
  </si>
  <si>
    <t>Cabo telefônico interno CI-50, 20 pares</t>
  </si>
  <si>
    <t>22.3</t>
  </si>
  <si>
    <t>Cabos de Conexão</t>
  </si>
  <si>
    <t>Cabos de conexões – Patch Cord ultra flexível com RJ 45 nas 2 pontas - 1,50 metros</t>
  </si>
  <si>
    <t>Cabos de conexões – Patch Cord ultra flexível com RJ 45 em 1 ponta - 1,50 metros</t>
  </si>
  <si>
    <t>Cabos de conexões – Patch Cord (Azul) ultra flexível com RJ 45 nas 2 pontas - 3,00 metros</t>
  </si>
  <si>
    <t>Cabos de conexões – Patch cord 110 / RJ-45 1 par -1,50m</t>
  </si>
  <si>
    <t>22.4</t>
  </si>
  <si>
    <t>Tomada modular RJ-45 Categoria 6</t>
  </si>
  <si>
    <t>Conector de TV Tipo F (Coaxial)</t>
  </si>
  <si>
    <t>22.5</t>
  </si>
  <si>
    <t>Caixas e acessórios</t>
  </si>
  <si>
    <t>Condulete metálico, tipo C, para eletroduto de ponta lisa, Ø 3/4"</t>
  </si>
  <si>
    <t>Caixa subterrânea em alvenaria, tipo R1,60x35x50cm, com tampão em ferro fundido</t>
  </si>
  <si>
    <t>Caixa de sobrepor, em aço estampado com pintura eletrostática à base de epoxi, na cor cinza, com fundo de madeira de lei envernizada, porta com trinco e fechadura, 80X80X20cm</t>
  </si>
  <si>
    <t>Tampa para condulete metálico com espaço para 2 módulos RJ-45</t>
  </si>
  <si>
    <t>Espelho para caixa 4x2" com espaço para 2 módulos RJ-45</t>
  </si>
  <si>
    <t>Tampa para condulete metálico com espaço uma tomada tipo F</t>
  </si>
  <si>
    <t>Espelho para caixa 4x2" com espaço uma tomada tipo F (Cabo coaxial de TV)</t>
  </si>
  <si>
    <t>Caixa - 4x2" - aço estampado e esmaltado</t>
  </si>
  <si>
    <t>22.6</t>
  </si>
  <si>
    <t>Eletrodutos metálicos ultra-flexíveis aspirado:</t>
  </si>
  <si>
    <t>Ø 1"</t>
  </si>
  <si>
    <t>Ø 3/4"</t>
  </si>
  <si>
    <t>Eletroduto de aço galvanizado a quente, tipo pesado</t>
  </si>
  <si>
    <t>Eletroduto de aço galvanizado a quente, tipo pesado, rosqueável</t>
  </si>
  <si>
    <t>Eletroduto de PEAD flexível corrugado</t>
  </si>
  <si>
    <t>Ø 4"</t>
  </si>
  <si>
    <t>Abraçadeira de aço galvanizado a quente, tipo "D", para eletrodutos</t>
  </si>
  <si>
    <t>Chumbador CBA com parafuso e arruela lisa, Ø1/4"X2"</t>
  </si>
  <si>
    <t>Bucha S/8</t>
  </si>
  <si>
    <t>Parafuso, rosca soberba, cabeça sextavada, 1/4"x2", aço galvanizado</t>
  </si>
  <si>
    <t>Porca sextavada, aço galvanizado a quente, Ø1/4"</t>
  </si>
  <si>
    <t>Arruela lisa, aço galvanizado a quente, Ø1/4"</t>
  </si>
  <si>
    <t>22.7</t>
  </si>
  <si>
    <t>Eletrocalhas, Perfilados e Acessórios</t>
  </si>
  <si>
    <t>Eletrocalha com virola (perfil "C"), lisa, em aço galvanizado a quente, com tampa, chapa #18 MSG, 100x50x3000mm</t>
  </si>
  <si>
    <t>Curva Horizontal 90°, lisa, com tampa,100x50mm</t>
  </si>
  <si>
    <t>Te Vertical de Descida, liso, com tampa,100x50mm</t>
  </si>
  <si>
    <t>Te Horizontal 90°, liso, com tampa,100x50mm</t>
  </si>
  <si>
    <t>Saída Vertical p/ eletrodutos, Ø3/4"</t>
  </si>
  <si>
    <t>Terminal de fechamento, 100x50mm</t>
  </si>
  <si>
    <t>Junção Simples, 50mm</t>
  </si>
  <si>
    <t>Mão Francesa, 38x38x210 mm</t>
  </si>
  <si>
    <t>Parafuso cabeça lentilha, com fenda, Ø1/4"</t>
  </si>
  <si>
    <t>Parafuso cabeça lentilha, autotravante, Ø1/4"</t>
  </si>
  <si>
    <t>Suspensão ômega, 100x50mm</t>
  </si>
  <si>
    <t>Porca losangular com mola, Ø1/4"</t>
  </si>
  <si>
    <t>Vergalhão rosca total (tirante),em aço galvanizado a quente, Ø1/4"x3000mm</t>
  </si>
  <si>
    <t>Arruela lisa, em aço galvanizado a quente, Ø1/4"</t>
  </si>
  <si>
    <t>Box reto Ø3/4" em alumínio</t>
  </si>
  <si>
    <t>22.8</t>
  </si>
  <si>
    <t>Dutos de passagem e Acessórios</t>
  </si>
  <si>
    <t>Perfil base sem tampa em aço 129 x 44 x 2000mm</t>
  </si>
  <si>
    <t>Divisor “L” 2000mm.</t>
  </si>
  <si>
    <t>Tampa perfil acabamento na cor bege 1000mm.</t>
  </si>
  <si>
    <t>Derivação "L"</t>
  </si>
  <si>
    <t>Fixa cabo</t>
  </si>
  <si>
    <t>Terminal</t>
  </si>
  <si>
    <t>Suporte de tomada tipo RJ, 2 furos, bege</t>
  </si>
  <si>
    <t>22.9</t>
  </si>
  <si>
    <t>Teste de desempenho dos pontos lógicos (voz e dados)</t>
  </si>
  <si>
    <t>Pontos lógicos, categoria 6</t>
  </si>
  <si>
    <t>Subtotal item 22</t>
  </si>
  <si>
    <t>23.0</t>
  </si>
  <si>
    <t>INSTALAÇÕES MECÂNICAS E DE UTILIDADES (AR CONDICIONADO CENTRAL)</t>
  </si>
  <si>
    <t>23.1</t>
  </si>
  <si>
    <t>Gaiola anti-furto em aço para aparelho condicionador de janela 30 kBTU/h</t>
  </si>
  <si>
    <t>Gaiola anti-furto em aço para aparelho condicionador de janela 21 kBTU/h</t>
  </si>
  <si>
    <t>Gaiola anti-furto em aço para aparelho condicionador de janela 10 kBTU/h</t>
  </si>
  <si>
    <t>Subtotal item 23.1</t>
  </si>
  <si>
    <t>23.2</t>
  </si>
  <si>
    <t>VENTILAÇÃO MECÂNICA</t>
  </si>
  <si>
    <t>REDE DE DUTOS</t>
  </si>
  <si>
    <t>23.2.1.1</t>
  </si>
  <si>
    <t>23.2.1.2</t>
  </si>
  <si>
    <t>23.2.1.3</t>
  </si>
  <si>
    <t>Boca de ar tipo saída para descarga horizontal com filtro em tela ø 40 cm</t>
  </si>
  <si>
    <t>23.2.1.4</t>
  </si>
  <si>
    <t>Conexão tipo curva ø 19,5 cm</t>
  </si>
  <si>
    <t>23.2.1.5</t>
  </si>
  <si>
    <t>Conexão tipo curva ø 40 cm</t>
  </si>
  <si>
    <t>23.2.1.6</t>
  </si>
  <si>
    <t>Conexão alargadora de seção (expansão ø 19,5 / ø 40 cm)</t>
  </si>
  <si>
    <t>EQUIPAMENTOS AUXILIARES</t>
  </si>
  <si>
    <t>23.2.2.1</t>
  </si>
  <si>
    <t>Coifa industrial simples de exaustão tipo "ilha" 60 x 90 com descarga centrada circular ø 19,5 cm</t>
  </si>
  <si>
    <t>23.2.3.1</t>
  </si>
  <si>
    <t>Apoio simples ("berço") para tubulação horizontal de exaustão ø 40 cm</t>
  </si>
  <si>
    <t>23.2.3.2</t>
  </si>
  <si>
    <t>Apoio simples ("berço") para tubulação horizontal de exaustão ø 19,5 cm</t>
  </si>
  <si>
    <t>23.2.3.3</t>
  </si>
  <si>
    <t>Apoio simples ("berço") para tubulação vertical de exaustão ø 40 cm</t>
  </si>
  <si>
    <t>23.2.3.4</t>
  </si>
  <si>
    <t>Abraçadeira simples para duto de exaustão ø 40 cm</t>
  </si>
  <si>
    <t>Subtotal item 23.2</t>
  </si>
  <si>
    <t>Subtotal item 23</t>
  </si>
  <si>
    <t>24.0</t>
  </si>
  <si>
    <t>GÁS COMBUSTÍVEL</t>
  </si>
  <si>
    <t>24.1</t>
  </si>
  <si>
    <t>TUBULAÇÕES DE AÇO CARBONO E CONEXÕES DE FERRO MALEÁVEL</t>
  </si>
  <si>
    <t>24.1.1.1</t>
  </si>
  <si>
    <t>Tubo de aço sem costura SCH-40 ASTM A-106, diâmetro 3/4"</t>
  </si>
  <si>
    <t>24.1.1.2</t>
  </si>
  <si>
    <t>Tubo de aço sem costura SCH-40 ASTM A-106, diâmetro 1/2"</t>
  </si>
  <si>
    <t>24.1.2.1</t>
  </si>
  <si>
    <t>Tê de redução NPT classe 300, roscável, diâmetro 3/4"x1/2"</t>
  </si>
  <si>
    <t>24.1.3.1</t>
  </si>
  <si>
    <t>Luva de redução FG NPT classe 300, roscável, diâmetro 3/4"x1/2"</t>
  </si>
  <si>
    <t>24.1.3.2</t>
  </si>
  <si>
    <t>Luva de redução FG NPT classe 300, roscável, diâmetro 1/2"x1/4"</t>
  </si>
  <si>
    <t>24.1.4.1</t>
  </si>
  <si>
    <t>Niple NPT classe 300, diâmetro 3/4"</t>
  </si>
  <si>
    <t>24.1.4.2</t>
  </si>
  <si>
    <t>Niple NPT classe 300, diâmetro 1/2"</t>
  </si>
  <si>
    <r>
      <t>Duto para exaustão de ar ø 19,5 cm chapa galvanizada ( 4 kg/m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</si>
  <si>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>Duto para exaustão de ar ø 40 cm chapa galvanizada ( 4 kg/m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</si>
  <si>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Meia luva</t>
  </si>
  <si>
    <t>24.1.5.1</t>
  </si>
  <si>
    <t>Meia luva com assento para solda NPT classe 300, diâmetro 3/4"</t>
  </si>
  <si>
    <t>24.1.6.1</t>
  </si>
  <si>
    <t>União NPT classe 300, diâmetro 3/4"</t>
  </si>
  <si>
    <t>Cotovelo</t>
  </si>
  <si>
    <t>24.1.7.1</t>
  </si>
  <si>
    <t>Cotovelo FG NPT classe 300, diâmetro 3/4"</t>
  </si>
  <si>
    <t>24.1.7.2</t>
  </si>
  <si>
    <t>Cotovelo FG NPT classe 300, diâmetro 1/2"</t>
  </si>
  <si>
    <t>Válvula</t>
  </si>
  <si>
    <t>24.1.8.1</t>
  </si>
  <si>
    <t>Válvula esfera NPT classe 300, diâmetro 3/4"</t>
  </si>
  <si>
    <t>Tampão</t>
  </si>
  <si>
    <t>24.1.9.1</t>
  </si>
  <si>
    <t>Tampão NPT classe 300, diâmetro 3/4"</t>
  </si>
  <si>
    <t>24.1.9.2</t>
  </si>
  <si>
    <t>Tampão NPT classe 300, diâmetro 1/4"</t>
  </si>
  <si>
    <t>24.2</t>
  </si>
  <si>
    <t>EQUIPAMENTOS E ACESSÓRIOS</t>
  </si>
  <si>
    <t>Pig Tail</t>
  </si>
  <si>
    <t>24.2.1.1</t>
  </si>
  <si>
    <t>Pig tail flexível de borracha para botijão P45</t>
  </si>
  <si>
    <t>Regulador</t>
  </si>
  <si>
    <t>24.2.2.1</t>
  </si>
  <si>
    <t>Regulador de 1° estágio, NPT, com manômetro, diâmetro 1/2"</t>
  </si>
  <si>
    <t>24.2.2.2</t>
  </si>
  <si>
    <t>Regulador de 2° estágio, baixa pressão, NPT com registro</t>
  </si>
  <si>
    <t>Registro</t>
  </si>
  <si>
    <t>24.2.3.1</t>
  </si>
  <si>
    <t>Registro de linha NPT 1/2" x SAE 3/8"</t>
  </si>
  <si>
    <t>Manômetro</t>
  </si>
  <si>
    <t>Manômetro com caixa em aço carbono, 0-300 psi, NPT entrada 1/4"</t>
  </si>
  <si>
    <t>Braçadeira</t>
  </si>
  <si>
    <t>24.2.4.1</t>
  </si>
  <si>
    <t>Braçadeira metálica tipo ômega para tubo diâmetro 3/4"</t>
  </si>
  <si>
    <t>Subtotal item 24</t>
  </si>
  <si>
    <t>25.0</t>
  </si>
  <si>
    <t>INSTALAÇÕES DE COMBATE E PREVENÇÃO A INCÊNDIO</t>
  </si>
  <si>
    <t>25.1</t>
  </si>
  <si>
    <t>Extintor PQS tipo ABC - 6kg</t>
  </si>
  <si>
    <t>Suporte tipo L para extintor</t>
  </si>
  <si>
    <t>Suporte tipo bandeja para bloco autônomo de emergência (2x55W)</t>
  </si>
  <si>
    <t>Bloco autônomo 2x7W para iluminação de emergência nos ambientes</t>
  </si>
  <si>
    <t>Bloco autônomo 2x7W para saída de emergência, com indicação "SAÍDA"</t>
  </si>
  <si>
    <t>Bloco autônomo 2x55W para iluminação de emergência no pátio</t>
  </si>
  <si>
    <t>Sinalizador fotoluminescente de saída para direita</t>
  </si>
  <si>
    <t>Sinalizador fotoluminescente de saída para esquerda</t>
  </si>
  <si>
    <t>Sinalizador fotoluminescente para extintor</t>
  </si>
  <si>
    <t>Sinalizador fotoluminescente “Proibido Fumar”</t>
  </si>
  <si>
    <t>Sinalizador fotoluminescente “Proibido produzir chamas”</t>
  </si>
  <si>
    <t>Sinalizador fotoluminescente “Cuidado, risco de incêndio”</t>
  </si>
  <si>
    <t>Sinalizador fotoluminescente “Cuidado, risco de choque elétrico”</t>
  </si>
  <si>
    <t>Subtotal item 25</t>
  </si>
  <si>
    <t>26.0</t>
  </si>
  <si>
    <t>SERVIÇOS FINAIS</t>
  </si>
  <si>
    <t>26.1</t>
  </si>
  <si>
    <t>Limpeza final da obra</t>
  </si>
  <si>
    <t>Sub-total item 26</t>
  </si>
  <si>
    <t>27.0</t>
  </si>
  <si>
    <t>SERVIÇOS ADICIONAIS</t>
  </si>
  <si>
    <t>27.1</t>
  </si>
  <si>
    <t>MURO</t>
  </si>
  <si>
    <t>ESCAVAÇÃO MANUAL PARA BLOCO DE COROAMENTO OU SAPATA, COM PREVISÃO DE FÔRMA</t>
  </si>
  <si>
    <t>LASTRO DE CONCRETO MAGRO, APLICADO EM BLOCOS DE COROAMENTO OU SAPATAS</t>
  </si>
  <si>
    <t>MONTAGEM DE ARMADURA TRANSVERSAL DE ESTACAS DE SEÇÃO RETANGULAR ), DIÂMETRO = 5.0 MM</t>
  </si>
  <si>
    <t>MONTAGEM DE ARMADURA TRANSVERSAL DE ESTACAS DE SEÇÃO RETANGULAR ), DIÂMETRO = 8.0 MM</t>
  </si>
  <si>
    <t>CONCRETO 25 MPA</t>
  </si>
  <si>
    <t>LANÇAMENTO COM USO DE BALDES, ADENSAMENTO E ACABAMENTO DE CONCRETO EM ESTRUTURAS</t>
  </si>
  <si>
    <t>REATERRO MANUAL APILOADO COM SOQUETE</t>
  </si>
  <si>
    <t>PORTAO DE FERRO EM CHAPA GALVANIZADA PLANA 14 GSG COM PINTURA EM ESMALTE SINTÉTICO</t>
  </si>
  <si>
    <t>ALVENARIA DE VEDAÇÃO DE BLOCOS CERÂMICOS FURADOS NA HORIZONTAL DE 9X19X19CM (ESPESSURA 9CM) DE PAREDES COM ÁREA LÍQUIDA MAIOR OU IGUAL A 6M² SEM VÃOS E ARGAMASSA DE ASSENTAMENTO COM PREPARO EM BETONEIRA</t>
  </si>
  <si>
    <t>73937/001</t>
  </si>
  <si>
    <t>COBOGO DE CONCRETO (ELEMENTO VAZADO), 7X50X50CM, ASSENTADO COM ARGAMASSA TRACO 1:4</t>
  </si>
  <si>
    <t>CHAPISCO APLICADO EM ALVENARIAS E ESTRUTURAS DE CONCRETO INTERNAS, COM COLHER DE PEDREIRO. ARGAMASSA TRAÇO 1:3 COM PREPARO MANUAL</t>
  </si>
  <si>
    <t>REBOCO</t>
  </si>
  <si>
    <t>PINTURA ACRÍLICA SEM MASSA CORRIDA</t>
  </si>
  <si>
    <t>Subtotal item 27.1</t>
  </si>
  <si>
    <t>27.2</t>
  </si>
  <si>
    <t>PAVIMENTAÇÃO EXTERNA</t>
  </si>
  <si>
    <t>EXECUÇÃO DE PATIO/ESTACIONAMENTO EM PISO INTERTRAVADO, BLOCO RETANGULAR DE 20 x 10 CM, ESPESSURA DE 8 CM.</t>
  </si>
  <si>
    <t>ASSENTAMENTO DE GUIA (MEIO-FIO) EM TRECHO RETO, CONFECCIONADA EM CONCRETO PRÉ- FABRICADO, DIMENSÕES 100X15X13X30 CM (COMPRIMENTO X BASE INFERIOR X BASE SUPERIOR X ALTURA), PARA VIAS URBANAS (USO VIÁRIO)</t>
  </si>
  <si>
    <t>Subtotal item 27.2</t>
  </si>
  <si>
    <t>Sub-total item 27</t>
  </si>
  <si>
    <t>CUSTO TOTAL</t>
  </si>
  <si>
    <t>Fundações - Sapatas</t>
  </si>
  <si>
    <t>2.2</t>
  </si>
  <si>
    <t>2.2.1</t>
  </si>
  <si>
    <t>2.2.2</t>
  </si>
  <si>
    <t>2.2.3</t>
  </si>
  <si>
    <t>2.2.4</t>
  </si>
  <si>
    <t>10.8</t>
  </si>
  <si>
    <t>Sub-total item 27.1</t>
  </si>
  <si>
    <t>SUPERAÇÃO DE INCONFORMIDADES</t>
  </si>
  <si>
    <t>DEMOLIÇÃO DE PILARES E VIGAS EM CONCRETO ARMADO, DE FORMA MECANIZADA COM MARTELETE, SEM REAPROVEITAMENTO.</t>
  </si>
  <si>
    <t>CARGA MANUAL DE ENTULHO EM CAMINHAO BASCULANTE 6 M3</t>
  </si>
  <si>
    <t>Sub-total item 27.2</t>
  </si>
  <si>
    <t>Marcação 1ª fiada alvenaria de bloco cerâmico, espessura de 14 cm</t>
  </si>
  <si>
    <t>4.1.8</t>
  </si>
  <si>
    <t>CRECHE PROINFÂNCIA TIPO B SALVE DEUS</t>
  </si>
  <si>
    <t>BAIRRO: VILA AMORIM</t>
  </si>
  <si>
    <t>BAIRRO: RIBEIRÃO</t>
  </si>
  <si>
    <r>
      <rPr>
        <b/>
        <sz val="9"/>
        <rFont val="Arial"/>
        <family val="2"/>
      </rPr>
      <t>PR. UNIT.
S/ BDI (R$)</t>
    </r>
  </si>
  <si>
    <t>PR. UNIT. C/BDI (R$)</t>
  </si>
  <si>
    <t>Total</t>
  </si>
  <si>
    <t>QUANT. PERIODO</t>
  </si>
  <si>
    <t>QUANT. ACUMULADA</t>
  </si>
  <si>
    <t>VALORES NO PERIODO</t>
  </si>
  <si>
    <t>VALORES ACUMULADO</t>
  </si>
  <si>
    <t>CONTRATO N°</t>
  </si>
  <si>
    <t>VALOR MEDIÇÃO R$</t>
  </si>
  <si>
    <t>PERCENTUALMEDIDO</t>
  </si>
  <si>
    <t xml:space="preserve">VALOR CONTRATUAL R$ </t>
  </si>
  <si>
    <t>MEDIDO  ACUMULADO R$</t>
  </si>
  <si>
    <t>DATA CONCLUSÃO</t>
  </si>
  <si>
    <t>DATA DA MEDIÇÃO</t>
  </si>
  <si>
    <t>SALDO R$</t>
  </si>
  <si>
    <t>PERIODO MEDIÇÃO</t>
  </si>
  <si>
    <t>SALDO</t>
  </si>
  <si>
    <t>%</t>
  </si>
  <si>
    <t>___________________________________</t>
  </si>
  <si>
    <t>Resp. Técnico Fiscalização: Nei Frederico</t>
  </si>
  <si>
    <t>Representante do Tomador /Ag. Promotor ou</t>
  </si>
  <si>
    <t>CREA: 101562139-2</t>
  </si>
  <si>
    <t xml:space="preserve">            Portaria n° 301.2017 de 16/03/2017</t>
  </si>
  <si>
    <t>tomador</t>
  </si>
  <si>
    <t>Nome: João Barbosa de Souza Sobrinho</t>
  </si>
  <si>
    <t xml:space="preserve">Cargo:   Prefeito Municipal </t>
  </si>
  <si>
    <t xml:space="preserve">            Secretária  Municipal de Educação, Cultura, Espote e Lazer</t>
  </si>
  <si>
    <t xml:space="preserve">           Cátia Pereira</t>
  </si>
  <si>
    <t xml:space="preserve">            _____________________________________________</t>
  </si>
  <si>
    <t>_____________________________________________</t>
  </si>
  <si>
    <t>PERCENTUAL ACUMULADO</t>
  </si>
  <si>
    <t>DATA O.S.</t>
  </si>
  <si>
    <t>MEMORIA DE CALCULO</t>
  </si>
  <si>
    <t>Armadura de vigas memoria a parte</t>
  </si>
  <si>
    <t>Concreto</t>
  </si>
  <si>
    <t>m3</t>
  </si>
  <si>
    <t xml:space="preserve">ART: </t>
  </si>
  <si>
    <r>
      <rPr>
        <b/>
        <sz val="10"/>
        <rFont val="Arial"/>
        <family val="2"/>
      </rPr>
      <t>PR. UNIT. S/ BDI
(R$)</t>
    </r>
  </si>
  <si>
    <r>
      <rPr>
        <b/>
        <sz val="10"/>
        <rFont val="Arial"/>
        <family val="2"/>
      </rPr>
      <t>PR. UNIT. C/
BDI (R$)</t>
    </r>
  </si>
  <si>
    <r>
      <rPr>
        <b/>
        <sz val="10"/>
        <rFont val="Arial"/>
        <family val="2"/>
      </rPr>
      <t>VALORES C/
BDI (R$)</t>
    </r>
  </si>
  <si>
    <t xml:space="preserve">LOCAL: </t>
  </si>
  <si>
    <t>EMPRESA CONTRATADA: BMF ENGENHARIA LTDA</t>
  </si>
  <si>
    <t>OBJETIVO: CONCLUSÃO QUADRA POLIESPORTIVA TIPO 1</t>
  </si>
  <si>
    <t>ESCOLA CLEONICE LOPES</t>
  </si>
  <si>
    <t>249/2019</t>
  </si>
  <si>
    <t>SINAPI</t>
  </si>
  <si>
    <t xml:space="preserve">ITEM </t>
  </si>
  <si>
    <t>CÓDIGO</t>
  </si>
  <si>
    <t>FONTE</t>
  </si>
  <si>
    <t>74209/1</t>
  </si>
  <si>
    <t>Placa de obra em chapa de aço galvanizado, Padrão Governo Federal</t>
  </si>
  <si>
    <t>1.2</t>
  </si>
  <si>
    <t>74220/1</t>
  </si>
  <si>
    <t>Tapume de chapa de madeira compensada, espessura 6mm e h= 2,20m</t>
  </si>
  <si>
    <t>1.3</t>
  </si>
  <si>
    <t>Entrada de energia elétrica aérea monofásica 50A com poste de concreto; inclusive cabeamento, caixa de proteção para medidor e aterramento</t>
  </si>
  <si>
    <t>1.4</t>
  </si>
  <si>
    <t>73960/1</t>
  </si>
  <si>
    <t xml:space="preserve">Instalação provisória de energia elétrica em baixa tensão </t>
  </si>
  <si>
    <t>1.5</t>
  </si>
  <si>
    <t>CPU</t>
  </si>
  <si>
    <t xml:space="preserve">Instalação provisória de água </t>
  </si>
  <si>
    <t>1.6</t>
  </si>
  <si>
    <t>C2849</t>
  </si>
  <si>
    <t>SEINFRA</t>
  </si>
  <si>
    <t>Instalações provisórias de esgoto</t>
  </si>
  <si>
    <t>1.7</t>
  </si>
  <si>
    <t>73752/1</t>
  </si>
  <si>
    <t>Sanitário com vaso e chuveiro para pessoal de obra, coletivo de 2 módulos e 4m², inclusive instalação e aparelhos</t>
  </si>
  <si>
    <t>1.8</t>
  </si>
  <si>
    <t>74210/1</t>
  </si>
  <si>
    <t>Barracão provisório para depósito</t>
  </si>
  <si>
    <t>1.9</t>
  </si>
  <si>
    <t>74077/1</t>
  </si>
  <si>
    <t xml:space="preserve">Locação da obra (execução de gabarito) </t>
  </si>
  <si>
    <t>1.10</t>
  </si>
  <si>
    <t>C2290</t>
  </si>
  <si>
    <t>Sondagem do terreno (um furo com 7m de profundidade a cada 200m²)</t>
  </si>
  <si>
    <t>1.11</t>
  </si>
  <si>
    <t>Limpeza manual de terreno com remoção de camada vegetal</t>
  </si>
  <si>
    <t>MOVIMENTO DE TERRA PARA FUNDAÇÕES</t>
  </si>
  <si>
    <t>Aterro apiloado em camadas de 0,20 m com material argilo-arenoso (entre baldrames)</t>
  </si>
  <si>
    <t>Escavação manual de valas em qualquer terreno exceto rocha até h= 2,0m</t>
  </si>
  <si>
    <t>2.3</t>
  </si>
  <si>
    <t>Regularização e compactação do fundo de valas</t>
  </si>
  <si>
    <t>2.4</t>
  </si>
  <si>
    <t>Reaterro apiloado de vala com material da obra</t>
  </si>
  <si>
    <t>2.5</t>
  </si>
  <si>
    <t>Aterro compactado manualmente sob arquibancadas</t>
  </si>
  <si>
    <t>FUNDAÇÕES</t>
  </si>
  <si>
    <t>CONCRETO ARMADO - SAPATAS</t>
  </si>
  <si>
    <t>Lastro de concreto não-estrutural, espessura 5cm</t>
  </si>
  <si>
    <t>Forma de madeira em tábuas para fundações, com reaproveitamento</t>
  </si>
  <si>
    <t>Armação de aço CA-50 Ø 6,3 a 12,5mm; incluso fornecimento, corte, dobra e colocação</t>
  </si>
  <si>
    <t>Armação de aço CA-60 Ø 3,4 a 6,0mm; incluso fornecimento, corte, dobra e colocação</t>
  </si>
  <si>
    <t>3.1.5</t>
  </si>
  <si>
    <t>Concreto Bombeado fck= 25MPa; incluindo preparo, lançamento e adensamento</t>
  </si>
  <si>
    <t>CONCRETO ARMADO - VIGAS BALDRAMES</t>
  </si>
  <si>
    <t>3.2.5</t>
  </si>
  <si>
    <t>SUPERESTRUTURA</t>
  </si>
  <si>
    <t>CONCRETO ARMADO - VIGAS</t>
  </si>
  <si>
    <t>Montagem e desmontagem de forma para viga, madeira serrada com reaproveitamento</t>
  </si>
  <si>
    <t>4.2</t>
  </si>
  <si>
    <t>CONCRETO ARMADO - LAJES E PILARES</t>
  </si>
  <si>
    <t>4.2.1</t>
  </si>
  <si>
    <t>Montagem e desmontagem de forma, madeira compensada com reaproveitamento</t>
  </si>
  <si>
    <t>4.2.2</t>
  </si>
  <si>
    <t>4.2.3</t>
  </si>
  <si>
    <t>4.2.4</t>
  </si>
  <si>
    <t>4.2.5</t>
  </si>
  <si>
    <t>74202/1</t>
  </si>
  <si>
    <t>Laje de concreto pré-moldada para forro com escoramento</t>
  </si>
  <si>
    <t>4.3</t>
  </si>
  <si>
    <t>CONCRETO ARMADO - ARQUIBANCADAS E BANCOS</t>
  </si>
  <si>
    <t>4.3.1</t>
  </si>
  <si>
    <t>4.3.2</t>
  </si>
  <si>
    <t>4.3.3</t>
  </si>
  <si>
    <t>4.3.4</t>
  </si>
  <si>
    <t>4.4</t>
  </si>
  <si>
    <t>CONCRETO ARMADO - LAJE DE PISO PARA QUADRA</t>
  </si>
  <si>
    <t>4.4.1</t>
  </si>
  <si>
    <t>4.4.2</t>
  </si>
  <si>
    <t>74164/4</t>
  </si>
  <si>
    <t>Lastro de brita compactada,  espessura 5cm</t>
  </si>
  <si>
    <t>4.4.3</t>
  </si>
  <si>
    <t>Armação em tela de aço Q-92 # 15cm; incluso fornecimento e colocação</t>
  </si>
  <si>
    <t>4.4.4</t>
  </si>
  <si>
    <t>4.5</t>
  </si>
  <si>
    <t>CONCRETO ARMADO - VERGAS E CONTRAVERGAS</t>
  </si>
  <si>
    <t>4.5.1</t>
  </si>
  <si>
    <t>74200/1</t>
  </si>
  <si>
    <t>Verga e contraverga pré-moldada fck= 20MPa, seção 10x10cm</t>
  </si>
  <si>
    <t>SISTEMAS DE VEDAÇÃO VERTICAL</t>
  </si>
  <si>
    <t>ELEMENTO VAZADO</t>
  </si>
  <si>
    <t>73937/4</t>
  </si>
  <si>
    <t>Cobogó de concreto 6x29x29cm, assentado com argamassa traço 1:7 (cimento e areia)</t>
  </si>
  <si>
    <t>ALVENARIA DE VEDAÇÃO</t>
  </si>
  <si>
    <t>Alvenaria de vedação com blocos cerâmicos de 8 furos 9x19x19cm em ½ vez; assentamento com argamassa traço 1:2:8 (cimento, cal e areia)</t>
  </si>
  <si>
    <t>73988/2</t>
  </si>
  <si>
    <t>Encunhamento (aperto de alvenaria) com tijolos cerâmicos maciços 5,7x9x19cm em ½ vez (espessura 9cm); assentamento com argamassa traço 1:2 (cimento e areia)</t>
  </si>
  <si>
    <t>5.3</t>
  </si>
  <si>
    <t>ALVENARIA EM ARQUIBANCADAS</t>
  </si>
  <si>
    <t>5.3.1</t>
  </si>
  <si>
    <t>73935/2</t>
  </si>
  <si>
    <t>Alvenaria de tijolo cerâmico 9x19x19 em 1 vez; assentamento com argamassa traço 1:2:8 (cimento, cal e areia)</t>
  </si>
  <si>
    <t>PORTAS DE MADEIRA</t>
  </si>
  <si>
    <t>6.1.1</t>
  </si>
  <si>
    <t>PM1 - Porta de madeira para pintura, semi-oca (leve ou média), dimensões 80x210cm, espessura 3,5cm; incluso dobradiças, batentes e fechadura</t>
  </si>
  <si>
    <t>6.1.2</t>
  </si>
  <si>
    <t>PM2 - Porta de madeira para pintura, semi-oca (leve ou média), dimensões 90x210cm, espessura 3,5cm; incluso dobradiças, batentes e fechadura</t>
  </si>
  <si>
    <t>6.1.3</t>
  </si>
  <si>
    <t>74139/2</t>
  </si>
  <si>
    <t>PM3 - Porta de madeira para banheiro em MDF melamínico, dimensões 60x170cm, espessura 1,8cm; incluso marco e dobradiças</t>
  </si>
  <si>
    <t>6.1.4</t>
  </si>
  <si>
    <t>74139/1</t>
  </si>
  <si>
    <t>PM4 - Porta de madeira para banheiro em MDF melamínico, dimensões 90x170cm espessura 1,8cm; incluso marco e dobradiças</t>
  </si>
  <si>
    <t>FERRAGENS E ACESSÓRIOS</t>
  </si>
  <si>
    <t>6.2.1</t>
  </si>
  <si>
    <t>Peças de apoio para PNE em aço inox para WC, em PM1, PM2, PM4, lavatórios e paredes</t>
  </si>
  <si>
    <t>6.2.2</t>
  </si>
  <si>
    <t>Chapa metálica plana resistente a impactos 14GSG 1,95mm; nas portas PM1, PM2 e PM4</t>
  </si>
  <si>
    <t>6.2.3</t>
  </si>
  <si>
    <t>74046/2</t>
  </si>
  <si>
    <t>Tarjeta metálica circular tipo LIVRE/OCUPADO para porta em banheiro</t>
  </si>
  <si>
    <t>6.3</t>
  </si>
  <si>
    <t>JANELAS DE ALUMÍNIO</t>
  </si>
  <si>
    <t>6.3.1</t>
  </si>
  <si>
    <t>JA-1 Janela basculante de alumínio, dimensões 100x40cm com vidro liso</t>
  </si>
  <si>
    <t>6.3.2</t>
  </si>
  <si>
    <t>Caixilho fixo de alumínio, dimensões 100x40cm e 80x40cm (bandeiras) com vidro liso</t>
  </si>
  <si>
    <t>6.4</t>
  </si>
  <si>
    <t>6.4.1</t>
  </si>
  <si>
    <t>74125/2</t>
  </si>
  <si>
    <t>Espelho cristal com moldura em alumínio e compensado plastificado, espessura 4mm</t>
  </si>
  <si>
    <t>SISTEMAS DE COBERTURA</t>
  </si>
  <si>
    <t>75381/1</t>
  </si>
  <si>
    <t>Telha metálica ondulada pré pintada na cor branca, espessura 0,5mm (cobertura em arco)</t>
  </si>
  <si>
    <t>Estrutura metálica em arco; vão de 22,5m</t>
  </si>
  <si>
    <t>74106/1</t>
  </si>
  <si>
    <t>Impermeabilização de superfície com tinta betuminosa em fundações, 2 demãos</t>
  </si>
  <si>
    <t>Fornecimento e instalação de lona plástica em laje de piso da quadra, espessura 150 micras</t>
  </si>
  <si>
    <t>REVESTIMENTOS INTERNO E EXTERNO</t>
  </si>
  <si>
    <t>Chapisco em parede com argamassa traço 1:3 (cimento e areia)</t>
  </si>
  <si>
    <t>Chapisco em teto com argamassa traço 1:4 (cimento e areia)</t>
  </si>
  <si>
    <t>9.3</t>
  </si>
  <si>
    <t>Emboço de parede com argamassa traço 1:2:8 (cimento, cal e areia), espessura 2cm</t>
  </si>
  <si>
    <t>9.4</t>
  </si>
  <si>
    <t>74001/1</t>
  </si>
  <si>
    <t>Reboco de parede com argamassa pré-fabricada, espessura 0,5cm</t>
  </si>
  <si>
    <t>9.5</t>
  </si>
  <si>
    <t>Reboco de teto com argamassa pré-fabricada, espessura 0,5cm</t>
  </si>
  <si>
    <t>9.6</t>
  </si>
  <si>
    <t>Chapisco em parede com argamassa traço 1:3 em arquibancadas</t>
  </si>
  <si>
    <t>9.7</t>
  </si>
  <si>
    <t>Emboço de parede com argamassa traço 1:2:8 em arquibancadas, espessura 2cm</t>
  </si>
  <si>
    <t>9.8</t>
  </si>
  <si>
    <t>Reboco de parede com argamassa pré-fabricada em arquibancadas, espessura 0,5cm</t>
  </si>
  <si>
    <t>9.9</t>
  </si>
  <si>
    <t>Revestimento cerâmico com placas de dimensões 30x40cm aplicadas à altura inteira das paredes</t>
  </si>
  <si>
    <t>9.10</t>
  </si>
  <si>
    <t>Revestimento cerâmico com placas de dimensões 10x10cm aplicadas à meia altura das paredes</t>
  </si>
  <si>
    <t>SISTEMAS DE PISOS</t>
  </si>
  <si>
    <t>PAVIMENTAÇÃO INTERNA</t>
  </si>
  <si>
    <t>10.1.1</t>
  </si>
  <si>
    <t>Camada impermeabilizadora, espessura 5cm</t>
  </si>
  <si>
    <t>10.1.2</t>
  </si>
  <si>
    <t>Camada regularizadora com preparo mecânico, espessura 3cm</t>
  </si>
  <si>
    <t>10.1.3</t>
  </si>
  <si>
    <t>Piso industrial em concreto polido para quadra poliesportiva, com juntas de dilatação plásticas e polimento mecanizado, espessura 1cm</t>
  </si>
  <si>
    <t>10.1.4</t>
  </si>
  <si>
    <t>Revestimento cerâmico para piso com placas de dimensões 40x40cm antiderrapante</t>
  </si>
  <si>
    <t>10.1.5</t>
  </si>
  <si>
    <t>Soleira em granito cinza andorinha, L= 15cm, espessura 2cm</t>
  </si>
  <si>
    <t>10.2.1</t>
  </si>
  <si>
    <t>Passeio em concreto desempenado, espessura 5cm</t>
  </si>
  <si>
    <t>10.2.2</t>
  </si>
  <si>
    <t>Rampa de acesso ao pátio coberto em concreto não-estrutural</t>
  </si>
  <si>
    <t>10.2.3</t>
  </si>
  <si>
    <t>Piso podotátil em placas pré-moldadas de concreto, assentado com argamassa de cimento, cal e areia; espessura 3cm</t>
  </si>
  <si>
    <t>PINTURAS E ACABAMENTOS</t>
  </si>
  <si>
    <t>Emassamento de paredes, platibanda, pilares e tetos com massa PVA, 2 demãos</t>
  </si>
  <si>
    <t>Pintura em látex acrílico sobre paredes, platibanda e pilares, 2 demãos</t>
  </si>
  <si>
    <t>Pintura em látex PVA sobre teto, 2 demãos</t>
  </si>
  <si>
    <t>Pintura epóxi sobre piso industrial</t>
  </si>
  <si>
    <t>11.5</t>
  </si>
  <si>
    <t>Pintura acrílica de faixas de demarcação em quadra poliesportiva</t>
  </si>
  <si>
    <t>11.6</t>
  </si>
  <si>
    <t>73865/1</t>
  </si>
  <si>
    <t>Pintura prime epóxi para estrutura metálica</t>
  </si>
  <si>
    <t>11.7</t>
  </si>
  <si>
    <t>73924/3</t>
  </si>
  <si>
    <t>Pintura esmalte para estrutura metálica e alambrado, 2 demãos</t>
  </si>
  <si>
    <t>11.8</t>
  </si>
  <si>
    <t>74145/1</t>
  </si>
  <si>
    <t>Pintura esmalte para telhamento metálico com fundo anticorrosivo, 2 demãos</t>
  </si>
  <si>
    <t>INSTALAÇÃO HIDRÁULICA</t>
  </si>
  <si>
    <t>12.1</t>
  </si>
  <si>
    <t>TUBULAÇÕES E CONEXÕES DE PVC</t>
  </si>
  <si>
    <t>12.1.1</t>
  </si>
  <si>
    <t>Tubo PVC soldável Ø 20mm, fornecimento e instalação</t>
  </si>
  <si>
    <t>12.1.2</t>
  </si>
  <si>
    <t>Tubo PVC soldável Ø 25mm, fornecimento e instalação</t>
  </si>
  <si>
    <t>12.1.3</t>
  </si>
  <si>
    <t>Tubo PVC soldável Ø 32mm, fornecimento e instalação</t>
  </si>
  <si>
    <t>12.1.4</t>
  </si>
  <si>
    <t>Tubo PVC soldável Ø 40mm, fornecimento e instalação</t>
  </si>
  <si>
    <t>12.1.5</t>
  </si>
  <si>
    <t>Tubo PVC soldável Ø 50mm, fornecimento e instalação</t>
  </si>
  <si>
    <t>12.1.6</t>
  </si>
  <si>
    <t>Joelho PVC 90º soldável Ø 25mm, fornecimento e instalação</t>
  </si>
  <si>
    <t>12.1.7</t>
  </si>
  <si>
    <t>Joelho PVC 90º soldável Ø 32mm, fornecimento e instalação</t>
  </si>
  <si>
    <t>12.1.8</t>
  </si>
  <si>
    <t>Joelho PVC 90º soldável Ø 50mm, fornecimento e instalação</t>
  </si>
  <si>
    <t>12.1.9</t>
  </si>
  <si>
    <t>Joelho PVC 90ª soldável com bucha de latão 40mm x 1¼", fornecimento e instalação</t>
  </si>
  <si>
    <t>12.1.10</t>
  </si>
  <si>
    <t>Joelho PVC de redução 90º soldável 32mm x 25mm, fornecimento e instalação</t>
  </si>
  <si>
    <t>12.1.11</t>
  </si>
  <si>
    <t>Joelho PVC de redução 90º soldável com bucha de latão 25mm x 1/2", fornecimento e instalação</t>
  </si>
  <si>
    <t>12.1.12</t>
  </si>
  <si>
    <t>Tê PVC de redução soldável 32mm x 25mm, fornecimento e instalação</t>
  </si>
  <si>
    <t>12.1.13</t>
  </si>
  <si>
    <t>Tê PVC de redução soldável 50mm x 40mm, fornecimento e instalação</t>
  </si>
  <si>
    <t>12.1.14</t>
  </si>
  <si>
    <t>Luva soldável com rosca 25mm x ¾", fornecimento e instalação</t>
  </si>
  <si>
    <t>12.1.15</t>
  </si>
  <si>
    <t>Luva soldável Ø 32mm, fornecimento e instalação</t>
  </si>
  <si>
    <t>12.1.16</t>
  </si>
  <si>
    <t>Luva redução soldável 40mm x 32mm, fornecimento e instalação</t>
  </si>
  <si>
    <t>12.1.17</t>
  </si>
  <si>
    <t>Luva redução soldável 50mm x 40mm, fornecimento e instalação</t>
  </si>
  <si>
    <t>12.1.18</t>
  </si>
  <si>
    <t>Bucha PVC de redução soldável curta 50mm x 40mm, fornecimento e instalação</t>
  </si>
  <si>
    <t>12.1.19</t>
  </si>
  <si>
    <t>Bucha PVC de redução soldável longa 40mm x 25mm, fornecimento e instalação</t>
  </si>
  <si>
    <t>12.1.20</t>
  </si>
  <si>
    <t>União soldável Ø 20mm, fornecimento e instalação</t>
  </si>
  <si>
    <t>12.1.21</t>
  </si>
  <si>
    <t>União soldável Ø 50mm, fornecimento e instalação</t>
  </si>
  <si>
    <t>REGISTROS E OUTROS</t>
  </si>
  <si>
    <t>12.2.1</t>
  </si>
  <si>
    <t>Registro de gaveta bruto Ø ¾", fornecimento e instalação</t>
  </si>
  <si>
    <t>12.2.2</t>
  </si>
  <si>
    <t>74182/1</t>
  </si>
  <si>
    <t>Registro de gaveta bruto Ø 1½", fornecimento e instalação</t>
  </si>
  <si>
    <t>12.2.3</t>
  </si>
  <si>
    <t>74174/1</t>
  </si>
  <si>
    <t>Registro de gaveta com canopla cromada 1½", fornecimento e instalação</t>
  </si>
  <si>
    <t>12.2.4</t>
  </si>
  <si>
    <t>73797/1</t>
  </si>
  <si>
    <t>Registro de gaveta com canopla cromada 1¼", fornecimento e instalação</t>
  </si>
  <si>
    <t>12.2.5</t>
  </si>
  <si>
    <t>74175/1</t>
  </si>
  <si>
    <t>Registro de gaveta com canopla cromada 1", fornecimento e instalação</t>
  </si>
  <si>
    <t>12.2.6</t>
  </si>
  <si>
    <t>Registro de gaveta com canopla cromada ¾", fornecimento e instalação</t>
  </si>
  <si>
    <t>12.2.7</t>
  </si>
  <si>
    <t>Registro de pressão com canopla Ø ¾", fornecimento e instalação</t>
  </si>
  <si>
    <t>12.2.8</t>
  </si>
  <si>
    <t>Adaptador PVC soldável Ø 25mm x ¾" para registro, fornecimento e instalação</t>
  </si>
  <si>
    <t>12.2.9</t>
  </si>
  <si>
    <t>Adaptador PVC soldável Ø 32mm x 1" para registro, fornecimento e instalação</t>
  </si>
  <si>
    <t>12.2.10</t>
  </si>
  <si>
    <t>Adaptador PVC soldável  Ø 40mm x 1½" para registro, fornecimento e instalação</t>
  </si>
  <si>
    <t>12.2.11</t>
  </si>
  <si>
    <t>Adaptador PVC soldável Ø 50mm x 1½" para registro, fornecimento e instalação</t>
  </si>
  <si>
    <t>12.2.12</t>
  </si>
  <si>
    <t>Engate flexível plástico ½" x 30cm, fornecimento e instalação</t>
  </si>
  <si>
    <t>12.2.13</t>
  </si>
  <si>
    <t>Flange para caixa d'água Ø 25mm, fornecimento e instalação</t>
  </si>
  <si>
    <t>12.2.14</t>
  </si>
  <si>
    <t>Flange para caixa d'água Ø 50mm, fornecimento e instalação</t>
  </si>
  <si>
    <t>12.2.15</t>
  </si>
  <si>
    <t>Caixa d'água em fibra de vidro, capacidade 3000L, fornecimento e instalação</t>
  </si>
  <si>
    <t>INSTALAÇÃO SANITÁRIA</t>
  </si>
  <si>
    <t>13.1.1</t>
  </si>
  <si>
    <t>Tubo de PVC Série Normal Ø 40mm, fornecimento e instalação</t>
  </si>
  <si>
    <t>13.1.2</t>
  </si>
  <si>
    <t>Tubo de PVC Série Normal Ø 50mm, fornecimento e instalação</t>
  </si>
  <si>
    <t>13.1.3</t>
  </si>
  <si>
    <t>Tubo de PVC Série Normal Ø 100mm, fornecimento e instalação</t>
  </si>
  <si>
    <t>13.1.4</t>
  </si>
  <si>
    <t>Joelho PVC 45º Ø 40mm, fornecimento e instalação</t>
  </si>
  <si>
    <t>13.1.5</t>
  </si>
  <si>
    <t>Joelho PVC 90º Ø 100mm, fornecimento e instalação</t>
  </si>
  <si>
    <t>13.1.6</t>
  </si>
  <si>
    <t>Joelho PVC 90º com anel 40mm x 1½", fornecimento e instalação</t>
  </si>
  <si>
    <t>13.1.7</t>
  </si>
  <si>
    <t>Junção PVC esgoto 50mm x 40mm, fornecimento e instalação</t>
  </si>
  <si>
    <t>13.1.8</t>
  </si>
  <si>
    <t>Junção PVC esgoto 100mm x 50mm, fornecimento e instalação</t>
  </si>
  <si>
    <t>13.1.9</t>
  </si>
  <si>
    <t>Junção PVC simples 100mm x 100mm, fornecimento e instalação</t>
  </si>
  <si>
    <t>13.1.10</t>
  </si>
  <si>
    <t>Curva curta PVC 45º Ø 100mm, fornecimento e instalação</t>
  </si>
  <si>
    <t>13.1.11</t>
  </si>
  <si>
    <t>Curva curta PVC 90º Ø 40mm, fornecimento e instalação</t>
  </si>
  <si>
    <t>CAIXAS E ACESSÓRIOS</t>
  </si>
  <si>
    <t>13.2.1</t>
  </si>
  <si>
    <t>Caixa Sifonada 150x150x50mm, fornecimento e instalação</t>
  </si>
  <si>
    <t>13.2.2</t>
  </si>
  <si>
    <t>74104/1</t>
  </si>
  <si>
    <t>Caixa de inspeção em alvenaria 60x60x60cm</t>
  </si>
  <si>
    <t>13.2.3</t>
  </si>
  <si>
    <t>Ralo Seco PVC rígido 100mm x 40mm, fornecimento e instalação</t>
  </si>
  <si>
    <t>13.2.4</t>
  </si>
  <si>
    <t>Terminal de Ventilação Série Normal Ø 50mm, fornecimento e instalação</t>
  </si>
  <si>
    <t>13.2.5</t>
  </si>
  <si>
    <t>Sifão PVC tipo copo 1" x 1½", fornecimento e instalação</t>
  </si>
  <si>
    <t>13.2.6</t>
  </si>
  <si>
    <t>73795/2</t>
  </si>
  <si>
    <t>Válvula de retenção para lavatório Ø 1", fornecimento e instalação</t>
  </si>
  <si>
    <t>13.2.7</t>
  </si>
  <si>
    <t>74198/2</t>
  </si>
  <si>
    <t>Sumidouro em alvenaria Ø 1,50x3,00m</t>
  </si>
  <si>
    <t>13.2.8</t>
  </si>
  <si>
    <t>74197/1</t>
  </si>
  <si>
    <t>Fossa séptica Ø 1,00x1,15m</t>
  </si>
  <si>
    <t>Canaleta de alvenaria com tijolo em ½ vez, com impermeabilizante na argamassa</t>
  </si>
  <si>
    <t>14.2</t>
  </si>
  <si>
    <t>Grelha de concreto 40x500x1000mm, fornecimento e instalação</t>
  </si>
  <si>
    <t>14.3</t>
  </si>
  <si>
    <t>Brita nº 2 para caminho d'água, fornecimento e assentamento</t>
  </si>
  <si>
    <t>LOUÇAS, ACESSÓRIOS E METAIS</t>
  </si>
  <si>
    <t>Bacia Sanitária Convencional em louça branca, fornecimento e instalação</t>
  </si>
  <si>
    <t>Válvula de descarga 1½" com registro e acabamento cromado, fornecimento e instalação</t>
  </si>
  <si>
    <t>Cuba de embutir oval em louça branca, fornecimento e instalação</t>
  </si>
  <si>
    <t>Lavatório Pequeno Ravena/Izy cor Branco Gelo, código L.915; DECA ou equivalente</t>
  </si>
  <si>
    <t>Ducha Higiênica com registro e derivação Linha Izy, código 1984.C37; DECA ou equivalente</t>
  </si>
  <si>
    <t>Torneira para lavatório de mesa bica baixa Izy, código 1193.C37; DECA ou equivalente</t>
  </si>
  <si>
    <t>Torneira de parede de uso geral para jardim ou tanque, fornecimento e instalação</t>
  </si>
  <si>
    <t>Chuveiro Maxi Ducha com desviador para duchas elétricas, LORENZETTI ou equivalente</t>
  </si>
  <si>
    <t>Papeleira metálica Linha Izy, código 2020.C37, DECA ou equivalente; fornecimento e instalação</t>
  </si>
  <si>
    <t>Dispenser Toalha Linha Excellence, código 7007; Melhoramentos ou equivalente</t>
  </si>
  <si>
    <t>Saboneteira Linha Excellence, código 7009; Melhoramentos ou equivalente</t>
  </si>
  <si>
    <t>Assento plástico Izy, código AP.01, DECA ou equivalente; fornecimento e instalação</t>
  </si>
  <si>
    <t>Banco articulado metálico para banho PNE, fornecimento e instalação</t>
  </si>
  <si>
    <t>SISTEMA DE PROTEÇÃO CONTRA INCÊNCIO</t>
  </si>
  <si>
    <t>Extintor PQS (ABC) 6kg, fornecimento e instalação</t>
  </si>
  <si>
    <t>Luminária de emergência 30 LED, fornecimento e instalação</t>
  </si>
  <si>
    <t>Marcação de piso para localização de extintor, dimensões 100x100cm</t>
  </si>
  <si>
    <t>16.4</t>
  </si>
  <si>
    <t>Placa de sinalização em PVC fotoluminescente, "Saída de emergência"</t>
  </si>
  <si>
    <t>16.5</t>
  </si>
  <si>
    <t>Placa de sinalização em PVC fotoluminescente, "Extintor de incêndio"</t>
  </si>
  <si>
    <t>INSTALAÇÃO ELÉTRICA - 220V</t>
  </si>
  <si>
    <t>CENTRO DE DISTRIBUIÇÃO</t>
  </si>
  <si>
    <t>17.1.1</t>
  </si>
  <si>
    <t>Quadro de distribuição de energia para 12 disjuntores, fornecimento e instalação</t>
  </si>
  <si>
    <t>17.1.2</t>
  </si>
  <si>
    <t>74131/5</t>
  </si>
  <si>
    <t>Quadro de distribuição de energia para 24 disjuntores, fornecimento e instalação</t>
  </si>
  <si>
    <t>17.1.3</t>
  </si>
  <si>
    <t>C3579</t>
  </si>
  <si>
    <t>Quadro de medição padrão popular, fornecimento e instalação</t>
  </si>
  <si>
    <t>17.1.4</t>
  </si>
  <si>
    <t>74130/1</t>
  </si>
  <si>
    <t>Disjuntor termomagnético monopolar 10A, fornecimento e instalação</t>
  </si>
  <si>
    <t>17.1.5</t>
  </si>
  <si>
    <t>Disjuntor termomagnético monopolar 20A, fornecimento e instalação</t>
  </si>
  <si>
    <t>17.1.6</t>
  </si>
  <si>
    <t>Disjuntor termomagnético monopolar 25A, fornecimento e instalação</t>
  </si>
  <si>
    <t>17.1.7</t>
  </si>
  <si>
    <t>74130/5</t>
  </si>
  <si>
    <t>Disjuntor termomagnético tripolar 100A, fornecimento e instalação</t>
  </si>
  <si>
    <t>17.1.8</t>
  </si>
  <si>
    <t>74130/6</t>
  </si>
  <si>
    <t>Disjuntor termomagnético tripolar 150A, fornecimento e instalação</t>
  </si>
  <si>
    <t>17.1.9</t>
  </si>
  <si>
    <t>Dispositivo de proteção contra surtos de tensão 40kA/350V, fornecimento e instalação</t>
  </si>
  <si>
    <t>ELETRODUTOS E ACESSÓRIOS</t>
  </si>
  <si>
    <t>17.2.1</t>
  </si>
  <si>
    <t>Eletroduto PVC flexível corrugado reforçado Ø 25mm, fornecimento e instalação</t>
  </si>
  <si>
    <t>17.2.2</t>
  </si>
  <si>
    <t>Eletroduto PVC flexível corrugado reforçado Ø 32mm, fornecimento e instalação</t>
  </si>
  <si>
    <t>17.2.3</t>
  </si>
  <si>
    <t>Eletroduto PVC rígido roscável  Ø 40mm, fornecimento e instalação</t>
  </si>
  <si>
    <t>17.2.4</t>
  </si>
  <si>
    <t>Eletroduto de aço galvanizado Ø 25mm, fornecimento e instalação</t>
  </si>
  <si>
    <t>17.2.5</t>
  </si>
  <si>
    <t>Eletroduto de aço galvanizado Ø 32mm, fornecimento e instalação</t>
  </si>
  <si>
    <t>17.2.6</t>
  </si>
  <si>
    <t>Eletroduto de aço galvanizado Ø40mm, fornecimento e instalação</t>
  </si>
  <si>
    <t>17.2.7</t>
  </si>
  <si>
    <t>73861/20</t>
  </si>
  <si>
    <t>Condulete ¾” em liga de alumínio fundido tipo T, fornecimento e instalação</t>
  </si>
  <si>
    <t>17.2.8</t>
  </si>
  <si>
    <t>73861/14</t>
  </si>
  <si>
    <t>Condulete ¾” em liga de alumínio fundido tipo LL, fornecimento e instalação</t>
  </si>
  <si>
    <t>17.2.9</t>
  </si>
  <si>
    <t>Condulete ¾” em liga de alumínio fundido tipo TA, fornecimento e instalação</t>
  </si>
  <si>
    <t>17.2.10</t>
  </si>
  <si>
    <t>73861/17</t>
  </si>
  <si>
    <t>Condulete ¾” em liga de alumínio fundido tipo XA, fornecimento e instalação</t>
  </si>
  <si>
    <t>17.2.11</t>
  </si>
  <si>
    <t>C3424</t>
  </si>
  <si>
    <t>Abraçadeira metálica tipo D de ¾", fornecimento e instalação</t>
  </si>
  <si>
    <t>17.2.12</t>
  </si>
  <si>
    <t>Abraçadeira metálica tipo D de 1", fornecimento e instalação</t>
  </si>
  <si>
    <t>17.2.13</t>
  </si>
  <si>
    <t>Abraçadeira metálica tipo D de 1½", fornecimento e instalação</t>
  </si>
  <si>
    <t>17.2.14</t>
  </si>
  <si>
    <t>Bucha e arruela de aço galvanizado ¾", fornecimento e instalação</t>
  </si>
  <si>
    <t>cj</t>
  </si>
  <si>
    <t>17.2.15</t>
  </si>
  <si>
    <t>Bucha e arruela de aço galvanizado 1", fornecimento e instalação</t>
  </si>
  <si>
    <t>17.2.16</t>
  </si>
  <si>
    <t>Bucha e arruelade aço galvanizado 1½", fornecimento e instalação</t>
  </si>
  <si>
    <t>17.2.17</t>
  </si>
  <si>
    <t>Luva de ferro galvanizado ¾", fornecimento e instalação</t>
  </si>
  <si>
    <t>17.2.18</t>
  </si>
  <si>
    <t>Luva de ferro galvanizado 1", fornecimento e instalação</t>
  </si>
  <si>
    <t>17.2.19</t>
  </si>
  <si>
    <t>Luva de ferro galvanizado 1½", fornecimento e instalação</t>
  </si>
  <si>
    <t>17.2.20</t>
  </si>
  <si>
    <t>Caixa de passagem  de ferro esmaltada 4x2", fornecimento e instalação</t>
  </si>
  <si>
    <t>17.2.21</t>
  </si>
  <si>
    <t>Caixa de passagem octogonal 4x4" em chapa galvanizada, fornecimento e instalação</t>
  </si>
  <si>
    <t>CABOS E FIOS CONDUTORES</t>
  </si>
  <si>
    <t>17.3.1</t>
  </si>
  <si>
    <t>Cabo de cobre flexível, isolado, seção de 2,5mm²; anti-chama 450/750V</t>
  </si>
  <si>
    <t>17.3.2</t>
  </si>
  <si>
    <t>Cabo de cobre flexível, isolado, seção de 4mm²; anti-chama 450/750V</t>
  </si>
  <si>
    <t>17.3.3</t>
  </si>
  <si>
    <t>Cabo de cobre flexível, isolado, seção de 16mm²; anti-chama 450/750V</t>
  </si>
  <si>
    <t>17.3.4</t>
  </si>
  <si>
    <t>Cabo de cobre flexível, isolado, seção de 35mm²; anti-chama 450/750V</t>
  </si>
  <si>
    <t>ILUMINAÇÃO, TOMADAS E INTERRUPTORES</t>
  </si>
  <si>
    <t>17.4.1</t>
  </si>
  <si>
    <t>Tomada universal 2P+T 10A/250V com suporte e placa, fornecimento e instalação</t>
  </si>
  <si>
    <t>17.4.2</t>
  </si>
  <si>
    <t>Tomada universal 2P+T 20A/250V com suporte e placa, fornecimento e instalação</t>
  </si>
  <si>
    <t>17.4.3</t>
  </si>
  <si>
    <t>Interruptor simples 1 tecla 10A/250V com suporte e placa, fornecimento e instalação</t>
  </si>
  <si>
    <t>17.4.4</t>
  </si>
  <si>
    <t>73953/5</t>
  </si>
  <si>
    <t>Luminárias 1x40W de sobrepor completa, fornecimento e instalação</t>
  </si>
  <si>
    <t>17.4.5</t>
  </si>
  <si>
    <t>73953/6</t>
  </si>
  <si>
    <t>Luminárias 2x40W de sobrepor completa, fornecimento e instalação</t>
  </si>
  <si>
    <t>17.4.6</t>
  </si>
  <si>
    <t>Luminária de alumínio para quadra poliesportiva, refletor 17" com gradil aramado e base E40 para lâmpada de luz mista 500W; fornecimento e instalação</t>
  </si>
  <si>
    <t>SISTEMA DE PROTEÇÃO CONTRA DESCARGAS ATMOSFÉRICAS (SPDA)</t>
  </si>
  <si>
    <t>Aterramento completo com haste tipo Copperweld ¾"x2,40m; incluso caixa, conector e cabo de cobre nu 25mm²; fornecimento e instalação</t>
  </si>
  <si>
    <t>Caixa de equalização de potências de embutir, fornecimento e instalação</t>
  </si>
  <si>
    <t>Cordoalha de cobre nu 35mm², fornecimento e instalação</t>
  </si>
  <si>
    <t>Cordoalha de cobre nu 50mm², fornecimento e instalação</t>
  </si>
  <si>
    <t>Eletroduto de PVC rígido Ø 50mm, fornecimento e instalação</t>
  </si>
  <si>
    <t>18.6</t>
  </si>
  <si>
    <t>MERCADO</t>
  </si>
  <si>
    <t>Conector de bronze para 2 cabos 5/8" TEL-580, fornecimento e instalação</t>
  </si>
  <si>
    <t>18.7</t>
  </si>
  <si>
    <t>Conector de medição, bronze TEL-560, fornecimento e instalação</t>
  </si>
  <si>
    <t>18.8</t>
  </si>
  <si>
    <t>Terminal de pressão tipo prensa com 4 parafusos, fornecimento e instalação</t>
  </si>
  <si>
    <t>GERAL</t>
  </si>
  <si>
    <t>19.1.1</t>
  </si>
  <si>
    <t>Bancada em granito cinza andorinha, espessura 2cm</t>
  </si>
  <si>
    <t>19.1.2</t>
  </si>
  <si>
    <t>Conjunto estrutural metálico para tabelas de basquete, inclusive tabelas</t>
  </si>
  <si>
    <t>19.1.3</t>
  </si>
  <si>
    <t>Conjunto metálico de traves para futsal, inclusive redes</t>
  </si>
  <si>
    <t>19.1.4</t>
  </si>
  <si>
    <t>Conjunto metálico para rede de voleibol, inclusive redes e antenas</t>
  </si>
  <si>
    <t>19.1.5</t>
  </si>
  <si>
    <t>Corrimãos em perfis metálicos para rampas de acesso, fornecimento e instalação</t>
  </si>
  <si>
    <t>PORTÃO E GRADIL METÁLICO</t>
  </si>
  <si>
    <t>19.2.1</t>
  </si>
  <si>
    <t>74244/1</t>
  </si>
  <si>
    <t>Alambrado para quadra poliesportiva, estruturado por tubos de aço galvanizado 2", com tela de arame galvanizado malha quadrada 5x5cm</t>
  </si>
  <si>
    <t>19.2.2</t>
  </si>
  <si>
    <t>Portão metálico 1 folhas de abrir com estrutura em tubos de aço e tela galvanizada</t>
  </si>
  <si>
    <t>73948/3</t>
  </si>
  <si>
    <t>Limpeza de azulejo</t>
  </si>
  <si>
    <t>73948/8</t>
  </si>
  <si>
    <t>Limpeza de vidro comum</t>
  </si>
  <si>
    <t>73948/11</t>
  </si>
  <si>
    <t>Limpeza de piso cerâmico</t>
  </si>
  <si>
    <t>74243/1</t>
  </si>
  <si>
    <t>Limpeza geral de quadra poliesportiva</t>
  </si>
  <si>
    <t>Placa de inauguração em alumínio, dimensões 45x57cm</t>
  </si>
  <si>
    <t>BOLETIM DE MEDIÇÃO N° 05</t>
  </si>
  <si>
    <t>_______________________________________</t>
  </si>
  <si>
    <t xml:space="preserve">Resp.  </t>
  </si>
  <si>
    <t xml:space="preserve">CREA:  </t>
  </si>
  <si>
    <t>ART:</t>
  </si>
  <si>
    <t>BOLETIM DE MEDIÇÃO N° 04</t>
  </si>
  <si>
    <t>Fev-Mar</t>
  </si>
  <si>
    <t>BMF ENGENHARIA LTDA</t>
  </si>
  <si>
    <t>MEDIÇÃO 01- 15 de agosto a 15 de setembro</t>
  </si>
  <si>
    <t>LEIS SOCIAIS:</t>
  </si>
  <si>
    <t>HORISTA</t>
  </si>
  <si>
    <t>MENSALISTA</t>
  </si>
  <si>
    <t>BDI</t>
  </si>
  <si>
    <t xml:space="preserve">ÓRGÃO : </t>
  </si>
  <si>
    <t>OBJETO:</t>
  </si>
  <si>
    <t>TOMADA DE PREÇOS - 005-2019</t>
  </si>
  <si>
    <t>UN.</t>
  </si>
  <si>
    <t>PERÍODO</t>
  </si>
  <si>
    <t>ACUMULADO</t>
  </si>
  <si>
    <t>VALOR UNITÁRIO COM BDI</t>
  </si>
  <si>
    <t>VALOR PARCIAL COM BDI</t>
  </si>
  <si>
    <t>001</t>
  </si>
  <si>
    <t>001.001</t>
  </si>
  <si>
    <t>001.001.001</t>
  </si>
  <si>
    <t>001.001.001.001</t>
  </si>
  <si>
    <t>001.001.001.001.001</t>
  </si>
  <si>
    <t>001.001.001.001.002</t>
  </si>
  <si>
    <t>001.001.001.001.003</t>
  </si>
  <si>
    <t>001.001.001.002</t>
  </si>
  <si>
    <t>001.001.001.002.001</t>
  </si>
  <si>
    <t>001.001.001.002.002</t>
  </si>
  <si>
    <t>001.001.001.002.003</t>
  </si>
  <si>
    <t>001.001.001.002.004</t>
  </si>
  <si>
    <t>001.001.001.002.005</t>
  </si>
  <si>
    <t>001.001.001.002.006</t>
  </si>
  <si>
    <t>001.001.002</t>
  </si>
  <si>
    <t>001.001.002.001</t>
  </si>
  <si>
    <t>001.001.002.001.001</t>
  </si>
  <si>
    <t>001.001.002.001.002</t>
  </si>
  <si>
    <t>001.001.002.001.003</t>
  </si>
  <si>
    <t>001.001.002.001.004</t>
  </si>
  <si>
    <t>001.001.002.001.005</t>
  </si>
  <si>
    <t>001.001.002.001.006</t>
  </si>
  <si>
    <t>001.001.002.002</t>
  </si>
  <si>
    <t>001.001.002.002.001</t>
  </si>
  <si>
    <t>001.001.002.002.002</t>
  </si>
  <si>
    <t>001.001.002.002.003</t>
  </si>
  <si>
    <t>001.001.002.002.004</t>
  </si>
  <si>
    <t>001.001.002.002.005</t>
  </si>
  <si>
    <t>001.001.002.002.006</t>
  </si>
  <si>
    <t>001.001.002.003</t>
  </si>
  <si>
    <t>001.001.002.003.001</t>
  </si>
  <si>
    <t>001.001.002.003.002</t>
  </si>
  <si>
    <t>001.001.002.004</t>
  </si>
  <si>
    <t>001.001.002.004.001</t>
  </si>
  <si>
    <t>001.001.003</t>
  </si>
  <si>
    <t>001.001.003.001</t>
  </si>
  <si>
    <t>001.001.003.001.001</t>
  </si>
  <si>
    <t>001.001.003.001.002</t>
  </si>
  <si>
    <t>001.001.003.001.003</t>
  </si>
  <si>
    <t>001.001.003.001.004</t>
  </si>
  <si>
    <t>001.001.003.001.005</t>
  </si>
  <si>
    <t>001.001.003.001.006</t>
  </si>
  <si>
    <t>001.001.003.002</t>
  </si>
  <si>
    <t>001.001.003.002.001</t>
  </si>
  <si>
    <t>001.001.003.002.002</t>
  </si>
  <si>
    <t>001.001.003.002.003</t>
  </si>
  <si>
    <t>001.001.003.002.004</t>
  </si>
  <si>
    <t>001.001.003.002.005</t>
  </si>
  <si>
    <t>001.001.003.002.006</t>
  </si>
  <si>
    <t>001.001.003.003</t>
  </si>
  <si>
    <t>001.001.003.003.001</t>
  </si>
  <si>
    <t>001.001.003.003.002</t>
  </si>
  <si>
    <t>001.001.003.004</t>
  </si>
  <si>
    <t>001.001.003.004.001</t>
  </si>
  <si>
    <t>001.001.004</t>
  </si>
  <si>
    <t>001.001.004.001</t>
  </si>
  <si>
    <t>001.001.004.001.001</t>
  </si>
  <si>
    <t>001.001.004.001.002</t>
  </si>
  <si>
    <t>001.001.004.001.003</t>
  </si>
  <si>
    <t>001.001.004.001.004</t>
  </si>
  <si>
    <t>001.001.004.001.005</t>
  </si>
  <si>
    <t>001.001.004.001.006</t>
  </si>
  <si>
    <t>001.001.004.002</t>
  </si>
  <si>
    <t>001.001.004.002.001</t>
  </si>
  <si>
    <t>001.001.004.002.002</t>
  </si>
  <si>
    <t>001.001.004.002.003</t>
  </si>
  <si>
    <t>001.001.004.002.004</t>
  </si>
  <si>
    <t>001.001.004.002.005</t>
  </si>
  <si>
    <t>001.001.004.002.006</t>
  </si>
  <si>
    <t>001.001.004.003</t>
  </si>
  <si>
    <t>001.001.004.003.001</t>
  </si>
  <si>
    <t>001.001.004.003.002</t>
  </si>
  <si>
    <t>001.001.004.004</t>
  </si>
  <si>
    <t>001.001.004.004.001</t>
  </si>
  <si>
    <t>001.002</t>
  </si>
  <si>
    <t>001.002.001</t>
  </si>
  <si>
    <t>001.002.001.001</t>
  </si>
  <si>
    <t>001.002.001.001.001</t>
  </si>
  <si>
    <t>001.002.001.001.002</t>
  </si>
  <si>
    <t>001.002.001.001.003</t>
  </si>
  <si>
    <t>001.002.001.002</t>
  </si>
  <si>
    <t>001.002.001.002.001</t>
  </si>
  <si>
    <t>001.002.001.002.002</t>
  </si>
  <si>
    <t>001.002.001.002.003</t>
  </si>
  <si>
    <t>001.002.001.002.004</t>
  </si>
  <si>
    <t>001.002.001.002.005</t>
  </si>
  <si>
    <t>001.002.002</t>
  </si>
  <si>
    <t>001.002.002.001</t>
  </si>
  <si>
    <t>001.002.002.001.001</t>
  </si>
  <si>
    <t>001.002.002.001.002</t>
  </si>
  <si>
    <t>001.002.002.001.003</t>
  </si>
  <si>
    <t>001.002.002.001.004</t>
  </si>
  <si>
    <t>001.002.002.001.005</t>
  </si>
  <si>
    <t>001.002.002.001.006</t>
  </si>
  <si>
    <t>001.002.002.002</t>
  </si>
  <si>
    <t>001.002.002.002.001</t>
  </si>
  <si>
    <t>001.002.002.002.002</t>
  </si>
  <si>
    <t>001.002.002.002.003</t>
  </si>
  <si>
    <t>001.002.002.002.004</t>
  </si>
  <si>
    <t>001.002.002.002.005</t>
  </si>
  <si>
    <t>001.002.002.002.006</t>
  </si>
  <si>
    <t>001.002.002.002.007</t>
  </si>
  <si>
    <t>001.002.002.003</t>
  </si>
  <si>
    <t>001.002.002.003.001</t>
  </si>
  <si>
    <t>001.002.002.003.002</t>
  </si>
  <si>
    <t>001.002.002.004</t>
  </si>
  <si>
    <t>001.002.002.004.001</t>
  </si>
  <si>
    <t>001.002.003</t>
  </si>
  <si>
    <t>001.002.003.001</t>
  </si>
  <si>
    <t>001.002.003.001.001</t>
  </si>
  <si>
    <t>001.002.003.001.002</t>
  </si>
  <si>
    <t>001.002.003.001.003</t>
  </si>
  <si>
    <t>001.002.003.001.004</t>
  </si>
  <si>
    <t>001.002.003.001.005</t>
  </si>
  <si>
    <t>001.002.003.001.006</t>
  </si>
  <si>
    <t>001.002.003.001.007</t>
  </si>
  <si>
    <t>001.002.003.002</t>
  </si>
  <si>
    <t>001.002.003.002.001</t>
  </si>
  <si>
    <t>001.002.003.002.002</t>
  </si>
  <si>
    <t>001.002.003.002.003</t>
  </si>
  <si>
    <t>001.002.003.002.004</t>
  </si>
  <si>
    <t>001.002.003.002.005</t>
  </si>
  <si>
    <t>001.002.003.002.006</t>
  </si>
  <si>
    <t>001.002.003.003</t>
  </si>
  <si>
    <t>001.002.003.003.001</t>
  </si>
  <si>
    <t>001.002.004</t>
  </si>
  <si>
    <t>001.002.004.001</t>
  </si>
  <si>
    <t>001.002.004.001.001</t>
  </si>
  <si>
    <t>001.002.004.001.002</t>
  </si>
  <si>
    <t>001.002.004.001.003</t>
  </si>
  <si>
    <t>001.002.004.001.004</t>
  </si>
  <si>
    <t>001.002.004.001.005</t>
  </si>
  <si>
    <t>001.002.004.001.006</t>
  </si>
  <si>
    <t>001.002.004.001.007</t>
  </si>
  <si>
    <t>001.002.004.002</t>
  </si>
  <si>
    <t>001.002.004.002.001</t>
  </si>
  <si>
    <t>001.002.004.002.002</t>
  </si>
  <si>
    <t>001.002.004.002.003</t>
  </si>
  <si>
    <t>001.002.004.002.004</t>
  </si>
  <si>
    <t>001.002.004.002.005</t>
  </si>
  <si>
    <t>001.002.004.002.006</t>
  </si>
  <si>
    <t>001.002.004.002.007</t>
  </si>
  <si>
    <t>001.002.004.003</t>
  </si>
  <si>
    <t>001.002.004.003.001</t>
  </si>
  <si>
    <t>001.002.004.003.002</t>
  </si>
  <si>
    <t>001.002.004.004</t>
  </si>
  <si>
    <t>001.002.004.004.001</t>
  </si>
  <si>
    <t>001.002.005</t>
  </si>
  <si>
    <t>001.002.005.001</t>
  </si>
  <si>
    <t>001.002.005.001.001</t>
  </si>
  <si>
    <t>001.002.005.001.002</t>
  </si>
  <si>
    <t>001.002.005.001.003</t>
  </si>
  <si>
    <t>001.002.005.001.004</t>
  </si>
  <si>
    <t>001.002.005.001.005</t>
  </si>
  <si>
    <t>001.002.005.001.006</t>
  </si>
  <si>
    <t>001.002.005.001.007</t>
  </si>
  <si>
    <t>001.002.005.002</t>
  </si>
  <si>
    <t>001.002.005.002.001</t>
  </si>
  <si>
    <t>001.002.005.002.002</t>
  </si>
  <si>
    <t>001.002.005.002.003</t>
  </si>
  <si>
    <t>001.002.005.002.004</t>
  </si>
  <si>
    <t>001.002.005.002.005</t>
  </si>
  <si>
    <t>001.002.005.002.006</t>
  </si>
  <si>
    <t>001.002.005.002.007</t>
  </si>
  <si>
    <t>001.002.005.003</t>
  </si>
  <si>
    <t>001.002.005.003.001</t>
  </si>
  <si>
    <t>001.002.005.003.002</t>
  </si>
  <si>
    <t>001.002.005.003.003</t>
  </si>
  <si>
    <t>001.002.005.004</t>
  </si>
  <si>
    <t>001.002.005.004.001</t>
  </si>
  <si>
    <t>001.002.006</t>
  </si>
  <si>
    <t>001.002.006.001</t>
  </si>
  <si>
    <t>001.002.006.001.001</t>
  </si>
  <si>
    <t>001.002.006.001.002</t>
  </si>
  <si>
    <t>MEDIÇÃO 02</t>
  </si>
  <si>
    <t>DATA:</t>
  </si>
  <si>
    <t>MEDIÇÃO 01</t>
  </si>
  <si>
    <t>QUANTITATIVO CONTRATO</t>
  </si>
  <si>
    <t>VALOR CONTRATUAL</t>
  </si>
  <si>
    <t>MEDIÇÃO 03</t>
  </si>
  <si>
    <t>PERÍODO DA MEDIÇÃO: 01/01/2020 A 31/01/2020</t>
  </si>
  <si>
    <t>MEDIÇÃO ADITIVO</t>
  </si>
  <si>
    <t>PERÍODO DA MEDIÇÃO: 06/01/2020 a 04/02/2020</t>
  </si>
  <si>
    <t>Projeto atualizado de fundação</t>
  </si>
  <si>
    <t>Vb</t>
  </si>
  <si>
    <t>-</t>
  </si>
  <si>
    <t>QUANTIDADE</t>
  </si>
  <si>
    <t>VALOR</t>
  </si>
  <si>
    <t>QUADRA POLIESPORTIVA TIPO 1</t>
  </si>
  <si>
    <t>W</t>
  </si>
  <si>
    <t>D</t>
  </si>
  <si>
    <t>PERIODO</t>
  </si>
  <si>
    <t>OBJETO: QUADRA POLIESPORTIVA TIPO 1</t>
  </si>
  <si>
    <t>16/03/2020 A 15/04/2020</t>
  </si>
  <si>
    <t>PERIODO:</t>
  </si>
  <si>
    <t>LOCAL: ESCOLA CLEONICE LOPES</t>
  </si>
  <si>
    <t>PREVISTO</t>
  </si>
  <si>
    <t>CONTRATO Nº:</t>
  </si>
  <si>
    <t>VALOR DE CONTRATO:</t>
  </si>
  <si>
    <t>DATA O.S</t>
  </si>
  <si>
    <t>Representante do Tomador /Ag. Promotor ou tomador</t>
  </si>
  <si>
    <t>SOMA</t>
  </si>
  <si>
    <t>BOLETIM DE MEDIÇÃO N° 01</t>
  </si>
  <si>
    <t>BOLETIM DE MEDIÇÃO N° 02</t>
  </si>
  <si>
    <t>BOLETIM DE MEDIÇÃO N° 03</t>
  </si>
  <si>
    <t>DATA DA MEDIÇÃO:</t>
  </si>
  <si>
    <t>PERCENTUAL ACUMULADO:</t>
  </si>
  <si>
    <t>PERCENTUAL MEDIÇÃO:</t>
  </si>
  <si>
    <t>DATA CONCLUSÃO:</t>
  </si>
  <si>
    <t>Mar-Abr</t>
  </si>
  <si>
    <t xml:space="preserve"> </t>
  </si>
  <si>
    <t>AO REALIZAR NOVA MEDIÇÃO COPIAR E COLAR CELULAS PARA A ESQUERDA</t>
  </si>
  <si>
    <t>REALIZAR MEDIÇÃO NOVA MEDIÇÃO NA COLUNA "BU"</t>
  </si>
  <si>
    <t>Cátia Pereira</t>
  </si>
  <si>
    <t>Portaria n° 301.2017 de 16/03/2017</t>
  </si>
  <si>
    <t>Secretária  Municipal de Educação, Cultura, Espote e Lazer</t>
  </si>
  <si>
    <t>_______________________________________________</t>
  </si>
  <si>
    <t>João Barbosa de Souza Sobrinho</t>
  </si>
  <si>
    <t xml:space="preserve">Prefeito Municipal </t>
  </si>
  <si>
    <r>
      <rPr>
        <b/>
        <sz val="12"/>
        <rFont val="Arial"/>
        <family val="2"/>
      </rPr>
      <t>PR. UNIT. S/ BDI
(R$)</t>
    </r>
  </si>
  <si>
    <r>
      <rPr>
        <b/>
        <sz val="12"/>
        <rFont val="Arial"/>
        <family val="2"/>
      </rPr>
      <t>PR. UNIT. C/
BDI (R$)</t>
    </r>
  </si>
  <si>
    <t>Abr-Mai</t>
  </si>
  <si>
    <t>BOLETIM DE MEDIÇÃO N° 06</t>
  </si>
  <si>
    <t>BOLETIM DE MEDIÇÃO N° 07</t>
  </si>
  <si>
    <t>Maio-Junho</t>
  </si>
  <si>
    <t>BOLETIM DE MEDIÇÃO N° 08</t>
  </si>
  <si>
    <t>Junho-Julho</t>
  </si>
  <si>
    <t>PR. UNIT. C/
BDI (R$)</t>
  </si>
  <si>
    <r>
      <rPr>
        <b/>
        <sz val="12"/>
        <color theme="0"/>
        <rFont val="Arial"/>
        <family val="2"/>
      </rPr>
      <t>PR. UNIT. S/ BDI
(R$)</t>
    </r>
  </si>
  <si>
    <t>DATA O.S:</t>
  </si>
  <si>
    <t>BOLETIM DE MEDIÇÃO N° 09</t>
  </si>
  <si>
    <t>Julho-Agosto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</si>
</sst>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0.0"/>
    <numFmt numFmtId="166" formatCode="yy\.m\.d;@"/>
    <numFmt numFmtId="167" formatCode="00000000"/>
    <numFmt numFmtId="168" formatCode="yy\.mm\.d;@"/>
    <numFmt numFmtId="169" formatCode="dd\.m\.yy;@"/>
    <numFmt numFmtId="170" formatCode="dd\.mm\.yy;@"/>
    <numFmt numFmtId="171" formatCode="0.0000"/>
    <numFmt numFmtId="172" formatCode="0.000"/>
    <numFmt numFmtId="173" formatCode="&quot;KAPA=&quot;0.00"/>
    <numFmt numFmtId="174" formatCode="_-&quot;R$&quot;* #,##0.0_-;\-&quot;R$&quot;* #,##0.0_-;_-&quot;R$&quot;* &quot;-&quot;??_-;_-@_-"/>
    <numFmt numFmtId="175" formatCode="_-* #,##0.0000_-;\-* #,##0.0000_-;_-* &quot;-&quot;??_-;_-@_-"/>
    <numFmt numFmtId="176" formatCode="_-* #,##0.00000_-;\-* #,##0.00000_-;_-* &quot;-&quot;??_-;_-@_-"/>
    <numFmt numFmtId="177" formatCode="_-&quot;R$&quot;* #,##0_-;\-&quot;R$&quot;* #,##0_-;_-&quot;R$&quot;* &quot;-&quot;??_-;_-@_-"/>
  </numFmts>
  <fonts count="46" x14ac:knownFonts="1">
    <font>
      <sz val="10"/>
      <color rgb="FF000000"/>
      <name val="Times New Roman"/>
      <family val="1"/>
    </font>
    <font>
      <sz val="9"/>
      <name val="Arial"/>
      <family val="2"/>
    </font>
    <font>
      <b/>
      <sz val="9"/>
      <name val="Arial"/>
      <family val="2"/>
    </font>
    <font>
      <vertAlign val="subscript"/>
      <sz val="9"/>
      <name val="Arial"/>
      <family val="2"/>
    </font>
    <font>
      <vertAlign val="superscript"/>
      <sz val="9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name val="Times New Roman"/>
      <family val="1"/>
    </font>
    <font>
      <sz val="11"/>
      <name val="Times New Roman"/>
      <family val="1"/>
    </font>
    <font>
      <b/>
      <sz val="12"/>
      <name val="Arial"/>
      <family val="2"/>
    </font>
    <font>
      <b/>
      <sz val="10"/>
      <name val="Times New Roman"/>
      <family val="1"/>
    </font>
    <font>
      <sz val="10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9"/>
      <color rgb="FF000000"/>
      <name val="Times New Roman"/>
      <family val="1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10"/>
      <color rgb="FF000000"/>
      <name val="Times New Roman"/>
      <family val="1"/>
    </font>
    <font>
      <b/>
      <sz val="10"/>
      <color rgb="FF000000"/>
      <name val="Arial"/>
      <family val="2"/>
    </font>
    <font>
      <sz val="18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6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Calibri"/>
      <family val="2"/>
      <scheme val="minor"/>
    </font>
    <font>
      <b/>
      <sz val="18"/>
      <color rgb="FF000000"/>
      <name val="Arial"/>
      <family val="2"/>
    </font>
    <font>
      <sz val="16"/>
      <color theme="1"/>
      <name val="Times New Roman"/>
      <family val="1"/>
    </font>
    <font>
      <b/>
      <sz val="14"/>
      <color rgb="FF000000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Times New Roman"/>
      <family val="1"/>
    </font>
    <font>
      <sz val="12"/>
      <name val="Arial"/>
      <family val="2"/>
    </font>
    <font>
      <sz val="11"/>
      <color rgb="FF000000"/>
      <name val="Calibri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4D79B"/>
      </patternFill>
    </fill>
    <fill>
      <patternFill patternType="solid">
        <fgColor rgb="FFFFFF00"/>
      </patternFill>
    </fill>
    <fill>
      <patternFill patternType="solid">
        <fgColor rgb="FF8DB4E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164" fontId="13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956">
    <xf numFmtId="0" fontId="0" fillId="0" borderId="0" xfId="0" applyFill="1" applyBorder="1" applyAlignment="1">
      <alignment horizontal="left" vertical="top"/>
    </xf>
    <xf numFmtId="0" fontId="15" fillId="0" borderId="0" xfId="0" applyFont="1" applyFill="1" applyBorder="1" applyAlignment="1">
      <alignment horizontal="left" vertical="top"/>
    </xf>
    <xf numFmtId="0" fontId="1" fillId="0" borderId="34" xfId="0" applyFont="1" applyFill="1" applyBorder="1" applyAlignment="1">
      <alignment horizontal="left" vertical="top" wrapText="1"/>
    </xf>
    <xf numFmtId="0" fontId="15" fillId="3" borderId="34" xfId="0" applyFont="1" applyFill="1" applyBorder="1" applyAlignment="1">
      <alignment horizontal="left" vertical="top" wrapText="1" indent="1"/>
    </xf>
    <xf numFmtId="0" fontId="2" fillId="3" borderId="34" xfId="0" applyFont="1" applyFill="1" applyBorder="1" applyAlignment="1">
      <alignment horizontal="center" vertical="top" wrapText="1"/>
    </xf>
    <xf numFmtId="0" fontId="2" fillId="3" borderId="34" xfId="0" applyFont="1" applyFill="1" applyBorder="1" applyAlignment="1">
      <alignment horizontal="left" vertical="top" wrapText="1"/>
    </xf>
    <xf numFmtId="0" fontId="15" fillId="3" borderId="34" xfId="0" applyFont="1" applyFill="1" applyBorder="1" applyAlignment="1">
      <alignment horizontal="center" vertical="top" wrapText="1"/>
    </xf>
    <xf numFmtId="0" fontId="15" fillId="3" borderId="34" xfId="0" applyFont="1" applyFill="1" applyBorder="1" applyAlignment="1">
      <alignment horizontal="left" vertical="top" wrapText="1"/>
    </xf>
    <xf numFmtId="0" fontId="15" fillId="0" borderId="34" xfId="0" applyFont="1" applyFill="1" applyBorder="1" applyAlignment="1">
      <alignment horizontal="left" wrapText="1"/>
    </xf>
    <xf numFmtId="0" fontId="2" fillId="0" borderId="34" xfId="0" applyFont="1" applyFill="1" applyBorder="1" applyAlignment="1">
      <alignment horizontal="center" vertical="top" wrapText="1"/>
    </xf>
    <xf numFmtId="1" fontId="16" fillId="0" borderId="34" xfId="0" applyNumberFormat="1" applyFont="1" applyFill="1" applyBorder="1" applyAlignment="1">
      <alignment horizontal="center" vertical="top" shrinkToFit="1"/>
    </xf>
    <xf numFmtId="0" fontId="1" fillId="0" borderId="34" xfId="0" applyFont="1" applyFill="1" applyBorder="1" applyAlignment="1">
      <alignment horizontal="center" vertical="top" wrapText="1"/>
    </xf>
    <xf numFmtId="2" fontId="16" fillId="0" borderId="34" xfId="0" applyNumberFormat="1" applyFont="1" applyFill="1" applyBorder="1" applyAlignment="1">
      <alignment horizontal="right" vertical="top" shrinkToFit="1"/>
    </xf>
    <xf numFmtId="4" fontId="16" fillId="0" borderId="34" xfId="0" applyNumberFormat="1" applyFont="1" applyFill="1" applyBorder="1" applyAlignment="1">
      <alignment horizontal="right" vertical="top" shrinkToFit="1"/>
    </xf>
    <xf numFmtId="4" fontId="17" fillId="4" borderId="34" xfId="0" applyNumberFormat="1" applyFont="1" applyFill="1" applyBorder="1" applyAlignment="1">
      <alignment horizontal="right" vertical="top" shrinkToFit="1"/>
    </xf>
    <xf numFmtId="4" fontId="17" fillId="5" borderId="34" xfId="0" applyNumberFormat="1" applyFont="1" applyFill="1" applyBorder="1" applyAlignment="1">
      <alignment horizontal="right" vertical="top" shrinkToFit="1"/>
    </xf>
    <xf numFmtId="0" fontId="15" fillId="0" borderId="34" xfId="0" applyFont="1" applyFill="1" applyBorder="1" applyAlignment="1">
      <alignment horizontal="center" vertical="top" wrapText="1"/>
    </xf>
    <xf numFmtId="4" fontId="17" fillId="5" borderId="35" xfId="0" applyNumberFormat="1" applyFont="1" applyFill="1" applyBorder="1" applyAlignment="1">
      <alignment horizontal="right" vertical="top" shrinkToFit="1"/>
    </xf>
    <xf numFmtId="4" fontId="17" fillId="0" borderId="34" xfId="0" applyNumberFormat="1" applyFont="1" applyFill="1" applyBorder="1" applyAlignment="1">
      <alignment horizontal="right" vertical="top" shrinkToFit="1"/>
    </xf>
    <xf numFmtId="1" fontId="16" fillId="0" borderId="34" xfId="0" applyNumberFormat="1" applyFont="1" applyFill="1" applyBorder="1" applyAlignment="1">
      <alignment horizontal="left" vertical="top" indent="1" shrinkToFit="1"/>
    </xf>
    <xf numFmtId="165" fontId="17" fillId="0" borderId="34" xfId="0" applyNumberFormat="1" applyFont="1" applyFill="1" applyBorder="1" applyAlignment="1">
      <alignment horizontal="center" vertical="top" shrinkToFit="1"/>
    </xf>
    <xf numFmtId="166" fontId="16" fillId="0" borderId="34" xfId="0" applyNumberFormat="1" applyFont="1" applyFill="1" applyBorder="1" applyAlignment="1">
      <alignment horizontal="center" vertical="top" shrinkToFit="1"/>
    </xf>
    <xf numFmtId="0" fontId="1" fillId="0" borderId="34" xfId="0" applyFont="1" applyFill="1" applyBorder="1" applyAlignment="1">
      <alignment horizontal="left" vertical="top" wrapText="1" indent="1"/>
    </xf>
    <xf numFmtId="166" fontId="17" fillId="0" borderId="34" xfId="0" applyNumberFormat="1" applyFont="1" applyFill="1" applyBorder="1" applyAlignment="1">
      <alignment horizontal="center" vertical="top" shrinkToFit="1"/>
    </xf>
    <xf numFmtId="167" fontId="16" fillId="0" borderId="34" xfId="0" applyNumberFormat="1" applyFont="1" applyFill="1" applyBorder="1" applyAlignment="1">
      <alignment horizontal="right" vertical="top" shrinkToFit="1"/>
    </xf>
    <xf numFmtId="168" fontId="16" fillId="0" borderId="34" xfId="0" applyNumberFormat="1" applyFont="1" applyFill="1" applyBorder="1" applyAlignment="1">
      <alignment horizontal="center" vertical="top" shrinkToFit="1"/>
    </xf>
    <xf numFmtId="168" fontId="17" fillId="0" borderId="34" xfId="0" applyNumberFormat="1" applyFont="1" applyFill="1" applyBorder="1" applyAlignment="1">
      <alignment horizontal="center" vertical="top" shrinkToFit="1"/>
    </xf>
    <xf numFmtId="0" fontId="1" fillId="0" borderId="34" xfId="0" applyFont="1" applyFill="1" applyBorder="1" applyAlignment="1">
      <alignment horizontal="right" vertical="top" wrapText="1"/>
    </xf>
    <xf numFmtId="2" fontId="17" fillId="0" borderId="34" xfId="0" applyNumberFormat="1" applyFont="1" applyFill="1" applyBorder="1" applyAlignment="1">
      <alignment horizontal="right" vertical="top" shrinkToFit="1"/>
    </xf>
    <xf numFmtId="0" fontId="1" fillId="0" borderId="34" xfId="0" applyFont="1" applyFill="1" applyBorder="1" applyAlignment="1">
      <alignment horizontal="right" vertical="center" wrapText="1"/>
    </xf>
    <xf numFmtId="166" fontId="16" fillId="0" borderId="34" xfId="0" applyNumberFormat="1" applyFont="1" applyFill="1" applyBorder="1" applyAlignment="1">
      <alignment horizontal="center" vertical="center" shrinkToFit="1"/>
    </xf>
    <xf numFmtId="0" fontId="1" fillId="0" borderId="34" xfId="0" applyFont="1" applyFill="1" applyBorder="1" applyAlignment="1">
      <alignment horizontal="center" vertical="center" wrapText="1"/>
    </xf>
    <xf numFmtId="2" fontId="16" fillId="0" borderId="34" xfId="0" applyNumberFormat="1" applyFont="1" applyFill="1" applyBorder="1" applyAlignment="1">
      <alignment horizontal="right" vertical="center" shrinkToFit="1"/>
    </xf>
    <xf numFmtId="4" fontId="16" fillId="0" borderId="34" xfId="0" applyNumberFormat="1" applyFont="1" applyFill="1" applyBorder="1" applyAlignment="1">
      <alignment horizontal="right" vertical="center" shrinkToFit="1"/>
    </xf>
    <xf numFmtId="169" fontId="16" fillId="0" borderId="34" xfId="0" applyNumberFormat="1" applyFont="1" applyFill="1" applyBorder="1" applyAlignment="1">
      <alignment horizontal="center" vertical="top" shrinkToFit="1"/>
    </xf>
    <xf numFmtId="0" fontId="15" fillId="0" borderId="34" xfId="0" applyFont="1" applyFill="1" applyBorder="1" applyAlignment="1">
      <alignment horizontal="left" vertical="center" wrapText="1"/>
    </xf>
    <xf numFmtId="167" fontId="16" fillId="0" borderId="34" xfId="0" applyNumberFormat="1" applyFont="1" applyFill="1" applyBorder="1" applyAlignment="1">
      <alignment horizontal="center" vertical="top" shrinkToFit="1"/>
    </xf>
    <xf numFmtId="168" fontId="16" fillId="0" borderId="34" xfId="0" applyNumberFormat="1" applyFont="1" applyFill="1" applyBorder="1" applyAlignment="1">
      <alignment horizontal="center" vertical="center" shrinkToFit="1"/>
    </xf>
    <xf numFmtId="170" fontId="16" fillId="0" borderId="34" xfId="0" applyNumberFormat="1" applyFont="1" applyFill="1" applyBorder="1" applyAlignment="1">
      <alignment horizontal="center" vertical="top" shrinkToFit="1"/>
    </xf>
    <xf numFmtId="171" fontId="16" fillId="0" borderId="34" xfId="0" applyNumberFormat="1" applyFont="1" applyFill="1" applyBorder="1" applyAlignment="1">
      <alignment horizontal="right" vertical="top" shrinkToFit="1"/>
    </xf>
    <xf numFmtId="165" fontId="16" fillId="0" borderId="34" xfId="0" applyNumberFormat="1" applyFont="1" applyFill="1" applyBorder="1" applyAlignment="1">
      <alignment horizontal="right" vertical="top" shrinkToFit="1"/>
    </xf>
    <xf numFmtId="1" fontId="16" fillId="0" borderId="34" xfId="0" applyNumberFormat="1" applyFont="1" applyFill="1" applyBorder="1" applyAlignment="1">
      <alignment horizontal="left" vertical="center" indent="1" shrinkToFit="1"/>
    </xf>
    <xf numFmtId="1" fontId="16" fillId="0" borderId="34" xfId="0" applyNumberFormat="1" applyFont="1" applyFill="1" applyBorder="1" applyAlignment="1">
      <alignment horizontal="right" vertical="top" shrinkToFit="1"/>
    </xf>
    <xf numFmtId="1" fontId="17" fillId="0" borderId="34" xfId="0" applyNumberFormat="1" applyFont="1" applyFill="1" applyBorder="1" applyAlignment="1">
      <alignment horizontal="center" vertical="top" shrinkToFit="1"/>
    </xf>
    <xf numFmtId="1" fontId="16" fillId="0" borderId="34" xfId="0" applyNumberFormat="1" applyFont="1" applyFill="1" applyBorder="1" applyAlignment="1">
      <alignment horizontal="center" vertical="center" shrinkToFit="1"/>
    </xf>
    <xf numFmtId="0" fontId="1" fillId="0" borderId="34" xfId="0" applyFont="1" applyFill="1" applyBorder="1" applyAlignment="1">
      <alignment horizontal="left" vertical="center" wrapText="1" indent="1"/>
    </xf>
    <xf numFmtId="0" fontId="15" fillId="0" borderId="34" xfId="0" applyFont="1" applyFill="1" applyBorder="1" applyAlignment="1">
      <alignment horizontal="center" wrapText="1"/>
    </xf>
    <xf numFmtId="0" fontId="15" fillId="0" borderId="34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top"/>
    </xf>
    <xf numFmtId="4" fontId="15" fillId="0" borderId="0" xfId="0" applyNumberFormat="1" applyFont="1" applyFill="1" applyBorder="1" applyAlignment="1">
      <alignment horizontal="left" vertical="top"/>
    </xf>
    <xf numFmtId="4" fontId="0" fillId="0" borderId="0" xfId="0" applyNumberFormat="1" applyFill="1" applyBorder="1" applyAlignment="1">
      <alignment horizontal="left" vertical="top"/>
    </xf>
    <xf numFmtId="0" fontId="16" fillId="0" borderId="0" xfId="0" applyFont="1" applyFill="1" applyBorder="1" applyAlignment="1">
      <alignment horizontal="left" vertical="center"/>
    </xf>
    <xf numFmtId="43" fontId="13" fillId="0" borderId="0" xfId="6" applyFont="1" applyFill="1" applyBorder="1" applyAlignment="1">
      <alignment horizontal="left" vertical="top"/>
    </xf>
    <xf numFmtId="43" fontId="18" fillId="0" borderId="0" xfId="6" applyFont="1" applyFill="1" applyBorder="1" applyAlignment="1">
      <alignment horizontal="left" vertical="top"/>
    </xf>
    <xf numFmtId="10" fontId="19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vertical="center" wrapText="1"/>
    </xf>
    <xf numFmtId="4" fontId="19" fillId="8" borderId="0" xfId="0" applyNumberFormat="1" applyFont="1" applyFill="1" applyBorder="1" applyAlignment="1">
      <alignment horizontal="right" vertical="center" shrinkToFit="1"/>
    </xf>
    <xf numFmtId="10" fontId="19" fillId="8" borderId="0" xfId="4" applyNumberFormat="1" applyFont="1" applyFill="1" applyBorder="1" applyAlignment="1">
      <alignment horizontal="right" vertical="center" shrinkToFit="1"/>
    </xf>
    <xf numFmtId="0" fontId="20" fillId="0" borderId="0" xfId="0" applyFont="1" applyFill="1" applyBorder="1" applyAlignment="1">
      <alignment vertical="center"/>
    </xf>
    <xf numFmtId="0" fontId="19" fillId="0" borderId="1" xfId="0" applyFont="1" applyFill="1" applyBorder="1" applyAlignment="1">
      <alignment vertical="center" wrapText="1"/>
    </xf>
    <xf numFmtId="43" fontId="6" fillId="0" borderId="1" xfId="6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/>
    </xf>
    <xf numFmtId="0" fontId="21" fillId="8" borderId="0" xfId="0" applyFont="1" applyFill="1" applyBorder="1" applyAlignment="1">
      <alignment horizontal="left" vertical="center"/>
    </xf>
    <xf numFmtId="43" fontId="22" fillId="8" borderId="0" xfId="6" applyFont="1" applyFill="1" applyBorder="1" applyAlignment="1">
      <alignment vertical="center"/>
    </xf>
    <xf numFmtId="0" fontId="21" fillId="8" borderId="0" xfId="0" applyFont="1" applyFill="1" applyBorder="1" applyAlignment="1">
      <alignment horizontal="left" vertical="center" wrapText="1"/>
    </xf>
    <xf numFmtId="43" fontId="21" fillId="8" borderId="0" xfId="6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/>
    </xf>
    <xf numFmtId="10" fontId="21" fillId="0" borderId="0" xfId="4" applyNumberFormat="1" applyFont="1" applyFill="1" applyBorder="1" applyAlignment="1">
      <alignment horizontal="left" vertical="center"/>
    </xf>
    <xf numFmtId="4" fontId="21" fillId="0" borderId="0" xfId="0" applyNumberFormat="1" applyFont="1" applyFill="1" applyBorder="1" applyAlignment="1">
      <alignment horizontal="left" vertical="center"/>
    </xf>
    <xf numFmtId="164" fontId="19" fillId="0" borderId="1" xfId="1" applyFont="1" applyFill="1" applyBorder="1" applyAlignment="1">
      <alignment vertical="center" wrapText="1"/>
    </xf>
    <xf numFmtId="164" fontId="21" fillId="0" borderId="0" xfId="1" applyFont="1" applyFill="1" applyBorder="1" applyAlignment="1">
      <alignment horizontal="left" vertical="center"/>
    </xf>
    <xf numFmtId="164" fontId="6" fillId="0" borderId="1" xfId="1" applyFont="1" applyFill="1" applyBorder="1" applyAlignment="1">
      <alignment horizontal="center" vertical="center" wrapText="1"/>
    </xf>
    <xf numFmtId="164" fontId="19" fillId="8" borderId="0" xfId="1" applyFont="1" applyFill="1" applyBorder="1" applyAlignment="1">
      <alignment vertical="center" shrinkToFit="1"/>
    </xf>
    <xf numFmtId="164" fontId="21" fillId="0" borderId="0" xfId="1" applyFont="1" applyFill="1" applyBorder="1" applyAlignment="1">
      <alignment vertical="center"/>
    </xf>
    <xf numFmtId="164" fontId="19" fillId="0" borderId="1" xfId="1" applyFont="1" applyFill="1" applyBorder="1" applyAlignment="1">
      <alignment horizontal="right" vertical="center"/>
    </xf>
    <xf numFmtId="164" fontId="19" fillId="0" borderId="1" xfId="1" applyFont="1" applyFill="1" applyBorder="1" applyAlignment="1">
      <alignment vertical="center"/>
    </xf>
    <xf numFmtId="164" fontId="19" fillId="0" borderId="1" xfId="1" applyFont="1" applyFill="1" applyBorder="1" applyAlignment="1">
      <alignment horizontal="center" vertical="center" wrapText="1"/>
    </xf>
    <xf numFmtId="164" fontId="19" fillId="8" borderId="0" xfId="1" applyFont="1" applyFill="1" applyBorder="1" applyAlignment="1">
      <alignment horizontal="right" vertical="center" wrapText="1"/>
    </xf>
    <xf numFmtId="14" fontId="19" fillId="0" borderId="1" xfId="1" applyNumberFormat="1" applyFont="1" applyFill="1" applyBorder="1" applyAlignment="1">
      <alignment horizontal="right" vertical="center"/>
    </xf>
    <xf numFmtId="44" fontId="6" fillId="0" borderId="1" xfId="0" applyNumberFormat="1" applyFont="1" applyFill="1" applyBorder="1" applyAlignment="1">
      <alignment horizontal="center" vertical="center" wrapText="1"/>
    </xf>
    <xf numFmtId="44" fontId="19" fillId="8" borderId="0" xfId="0" applyNumberFormat="1" applyFont="1" applyFill="1" applyBorder="1" applyAlignment="1">
      <alignment vertical="center" shrinkToFit="1"/>
    </xf>
    <xf numFmtId="44" fontId="21" fillId="0" borderId="0" xfId="0" applyNumberFormat="1" applyFont="1" applyFill="1" applyBorder="1" applyAlignment="1">
      <alignment vertical="center"/>
    </xf>
    <xf numFmtId="44" fontId="19" fillId="0" borderId="1" xfId="0" applyNumberFormat="1" applyFont="1" applyFill="1" applyBorder="1" applyAlignment="1">
      <alignment horizontal="center" vertical="center"/>
    </xf>
    <xf numFmtId="43" fontId="21" fillId="0" borderId="1" xfId="6" applyFont="1" applyFill="1" applyBorder="1" applyAlignment="1">
      <alignment vertical="center"/>
    </xf>
    <xf numFmtId="10" fontId="16" fillId="0" borderId="1" xfId="0" applyNumberFormat="1" applyFont="1" applyFill="1" applyBorder="1" applyAlignment="1">
      <alignment vertical="center" shrinkToFit="1"/>
    </xf>
    <xf numFmtId="164" fontId="6" fillId="0" borderId="1" xfId="1" applyFont="1" applyFill="1" applyBorder="1" applyAlignment="1">
      <alignment horizontal="right" vertical="center" wrapText="1"/>
    </xf>
    <xf numFmtId="44" fontId="19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164" fontId="16" fillId="0" borderId="1" xfId="1" applyFont="1" applyFill="1" applyBorder="1" applyAlignment="1">
      <alignment vertical="center" shrinkToFit="1"/>
    </xf>
    <xf numFmtId="10" fontId="16" fillId="0" borderId="1" xfId="0" applyNumberFormat="1" applyFont="1" applyFill="1" applyBorder="1" applyAlignment="1">
      <alignment horizontal="center" vertical="center" shrinkToFit="1"/>
    </xf>
    <xf numFmtId="44" fontId="16" fillId="0" borderId="1" xfId="0" applyNumberFormat="1" applyFont="1" applyFill="1" applyBorder="1" applyAlignment="1">
      <alignment horizontal="center" vertical="center" shrinkToFit="1"/>
    </xf>
    <xf numFmtId="44" fontId="16" fillId="0" borderId="1" xfId="1" applyNumberFormat="1" applyFont="1" applyFill="1" applyBorder="1" applyAlignment="1">
      <alignment vertical="center" shrinkToFit="1"/>
    </xf>
    <xf numFmtId="0" fontId="19" fillId="0" borderId="1" xfId="0" applyFont="1" applyFill="1" applyBorder="1" applyAlignment="1">
      <alignment horizontal="right" vertical="top"/>
    </xf>
    <xf numFmtId="0" fontId="19" fillId="0" borderId="2" xfId="0" applyFont="1" applyFill="1" applyBorder="1" applyAlignment="1">
      <alignment vertical="center"/>
    </xf>
    <xf numFmtId="10" fontId="16" fillId="0" borderId="3" xfId="0" applyNumberFormat="1" applyFont="1" applyFill="1" applyBorder="1" applyAlignment="1">
      <alignment vertical="center" shrinkToFi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left" vertical="center"/>
    </xf>
    <xf numFmtId="0" fontId="16" fillId="0" borderId="5" xfId="0" applyFont="1" applyFill="1" applyBorder="1" applyAlignment="1">
      <alignment horizontal="left" vertical="center"/>
    </xf>
    <xf numFmtId="0" fontId="20" fillId="0" borderId="5" xfId="0" applyFont="1" applyFill="1" applyBorder="1" applyAlignment="1">
      <alignment vertical="center"/>
    </xf>
    <xf numFmtId="0" fontId="20" fillId="0" borderId="6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left" vertical="center"/>
    </xf>
    <xf numFmtId="4" fontId="21" fillId="0" borderId="1" xfId="0" applyNumberFormat="1" applyFont="1" applyFill="1" applyBorder="1" applyAlignment="1">
      <alignment horizontal="right" vertical="center" shrinkToFit="1"/>
    </xf>
    <xf numFmtId="49" fontId="23" fillId="0" borderId="2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6" fillId="8" borderId="0" xfId="0" applyFont="1" applyFill="1" applyBorder="1" applyAlignment="1">
      <alignment horizontal="left" vertical="center" wrapText="1"/>
    </xf>
    <xf numFmtId="43" fontId="24" fillId="8" borderId="1" xfId="6" applyFont="1" applyFill="1" applyBorder="1" applyAlignment="1">
      <alignment horizontal="center" vertical="center"/>
    </xf>
    <xf numFmtId="49" fontId="24" fillId="8" borderId="2" xfId="0" applyNumberFormat="1" applyFont="1" applyFill="1" applyBorder="1" applyAlignment="1">
      <alignment vertical="center"/>
    </xf>
    <xf numFmtId="49" fontId="24" fillId="8" borderId="1" xfId="0" applyNumberFormat="1" applyFont="1" applyFill="1" applyBorder="1" applyAlignment="1">
      <alignment vertical="center"/>
    </xf>
    <xf numFmtId="49" fontId="24" fillId="8" borderId="1" xfId="0" applyNumberFormat="1" applyFont="1" applyFill="1" applyBorder="1" applyAlignment="1">
      <alignment vertical="center" wrapText="1"/>
    </xf>
    <xf numFmtId="43" fontId="24" fillId="8" borderId="1" xfId="6" applyFont="1" applyFill="1" applyBorder="1" applyAlignment="1">
      <alignment vertical="center"/>
    </xf>
    <xf numFmtId="0" fontId="19" fillId="8" borderId="1" xfId="0" applyFont="1" applyFill="1" applyBorder="1" applyAlignment="1">
      <alignment horizontal="left" vertical="center" wrapText="1"/>
    </xf>
    <xf numFmtId="164" fontId="19" fillId="9" borderId="1" xfId="1" applyFont="1" applyFill="1" applyBorder="1" applyAlignment="1">
      <alignment vertical="center"/>
    </xf>
    <xf numFmtId="164" fontId="19" fillId="8" borderId="1" xfId="1" applyFont="1" applyFill="1" applyBorder="1" applyAlignment="1">
      <alignment vertical="center" wrapText="1"/>
    </xf>
    <xf numFmtId="43" fontId="19" fillId="8" borderId="1" xfId="6" applyFont="1" applyFill="1" applyBorder="1" applyAlignment="1">
      <alignment horizontal="right" vertical="center" wrapText="1"/>
    </xf>
    <xf numFmtId="43" fontId="19" fillId="8" borderId="1" xfId="6" applyFont="1" applyFill="1" applyBorder="1" applyAlignment="1">
      <alignment horizontal="left" vertical="center" wrapText="1"/>
    </xf>
    <xf numFmtId="44" fontId="19" fillId="8" borderId="1" xfId="6" applyNumberFormat="1" applyFont="1" applyFill="1" applyBorder="1" applyAlignment="1">
      <alignment vertical="center" wrapText="1"/>
    </xf>
    <xf numFmtId="10" fontId="19" fillId="8" borderId="3" xfId="4" applyNumberFormat="1" applyFont="1" applyFill="1" applyBorder="1" applyAlignment="1">
      <alignment horizontal="right" vertical="center" shrinkToFit="1"/>
    </xf>
    <xf numFmtId="0" fontId="19" fillId="8" borderId="0" xfId="0" applyFont="1" applyFill="1" applyBorder="1" applyAlignment="1">
      <alignment horizontal="left" vertical="center"/>
    </xf>
    <xf numFmtId="49" fontId="22" fillId="8" borderId="2" xfId="0" applyNumberFormat="1" applyFont="1" applyFill="1" applyBorder="1" applyAlignment="1">
      <alignment vertical="center"/>
    </xf>
    <xf numFmtId="49" fontId="22" fillId="8" borderId="1" xfId="0" applyNumberFormat="1" applyFont="1" applyFill="1" applyBorder="1" applyAlignment="1">
      <alignment vertical="center"/>
    </xf>
    <xf numFmtId="49" fontId="22" fillId="8" borderId="1" xfId="0" applyNumberFormat="1" applyFont="1" applyFill="1" applyBorder="1" applyAlignment="1">
      <alignment vertical="center" wrapText="1"/>
    </xf>
    <xf numFmtId="43" fontId="22" fillId="8" borderId="1" xfId="6" applyFont="1" applyFill="1" applyBorder="1" applyAlignment="1">
      <alignment vertical="center"/>
    </xf>
    <xf numFmtId="0" fontId="21" fillId="8" borderId="1" xfId="0" applyFont="1" applyFill="1" applyBorder="1" applyAlignment="1">
      <alignment horizontal="left" vertical="center" wrapText="1"/>
    </xf>
    <xf numFmtId="164" fontId="21" fillId="8" borderId="1" xfId="1" applyFont="1" applyFill="1" applyBorder="1" applyAlignment="1">
      <alignment vertical="center"/>
    </xf>
    <xf numFmtId="164" fontId="21" fillId="8" borderId="1" xfId="1" applyFont="1" applyFill="1" applyBorder="1" applyAlignment="1">
      <alignment vertical="center" shrinkToFit="1"/>
    </xf>
    <xf numFmtId="43" fontId="21" fillId="8" borderId="1" xfId="6" applyFont="1" applyFill="1" applyBorder="1" applyAlignment="1">
      <alignment horizontal="right" vertical="center" wrapText="1"/>
    </xf>
    <xf numFmtId="43" fontId="21" fillId="8" borderId="1" xfId="6" applyFont="1" applyFill="1" applyBorder="1" applyAlignment="1">
      <alignment horizontal="left" vertical="center" wrapText="1"/>
    </xf>
    <xf numFmtId="44" fontId="21" fillId="8" borderId="1" xfId="6" applyNumberFormat="1" applyFont="1" applyFill="1" applyBorder="1" applyAlignment="1">
      <alignment vertical="center" wrapText="1"/>
    </xf>
    <xf numFmtId="164" fontId="21" fillId="8" borderId="1" xfId="1" applyFont="1" applyFill="1" applyBorder="1" applyAlignment="1">
      <alignment vertical="center" wrapText="1"/>
    </xf>
    <xf numFmtId="10" fontId="21" fillId="8" borderId="3" xfId="4" applyNumberFormat="1" applyFont="1" applyFill="1" applyBorder="1" applyAlignment="1">
      <alignment horizontal="right" vertical="center" shrinkToFit="1"/>
    </xf>
    <xf numFmtId="2" fontId="21" fillId="8" borderId="1" xfId="0" applyNumberFormat="1" applyFont="1" applyFill="1" applyBorder="1" applyAlignment="1">
      <alignment horizontal="right" vertical="center" shrinkToFit="1"/>
    </xf>
    <xf numFmtId="0" fontId="6" fillId="8" borderId="1" xfId="0" applyFont="1" applyFill="1" applyBorder="1" applyAlignment="1">
      <alignment vertical="center" wrapText="1"/>
    </xf>
    <xf numFmtId="2" fontId="19" fillId="8" borderId="1" xfId="0" applyNumberFormat="1" applyFont="1" applyFill="1" applyBorder="1" applyAlignment="1">
      <alignment horizontal="right" vertical="center" shrinkToFit="1"/>
    </xf>
    <xf numFmtId="164" fontId="19" fillId="8" borderId="1" xfId="1" applyFont="1" applyFill="1" applyBorder="1" applyAlignment="1">
      <alignment vertical="center" shrinkToFit="1"/>
    </xf>
    <xf numFmtId="44" fontId="19" fillId="8" borderId="1" xfId="0" applyNumberFormat="1" applyFont="1" applyFill="1" applyBorder="1" applyAlignment="1">
      <alignment vertical="center" shrinkToFit="1"/>
    </xf>
    <xf numFmtId="4" fontId="19" fillId="8" borderId="1" xfId="0" applyNumberFormat="1" applyFont="1" applyFill="1" applyBorder="1" applyAlignment="1">
      <alignment horizontal="right" vertical="center" shrinkToFit="1"/>
    </xf>
    <xf numFmtId="44" fontId="21" fillId="8" borderId="1" xfId="0" applyNumberFormat="1" applyFont="1" applyFill="1" applyBorder="1" applyAlignment="1">
      <alignment vertical="center" shrinkToFit="1"/>
    </xf>
    <xf numFmtId="4" fontId="21" fillId="8" borderId="1" xfId="0" applyNumberFormat="1" applyFont="1" applyFill="1" applyBorder="1" applyAlignment="1">
      <alignment horizontal="right" vertical="center" shrinkToFit="1"/>
    </xf>
    <xf numFmtId="43" fontId="24" fillId="8" borderId="1" xfId="6" applyFont="1" applyFill="1" applyBorder="1" applyAlignment="1">
      <alignment horizontal="right" vertical="center"/>
    </xf>
    <xf numFmtId="49" fontId="23" fillId="8" borderId="2" xfId="0" applyNumberFormat="1" applyFont="1" applyFill="1" applyBorder="1" applyAlignment="1">
      <alignment vertical="center"/>
    </xf>
    <xf numFmtId="43" fontId="22" fillId="8" borderId="1" xfId="6" applyFont="1" applyFill="1" applyBorder="1" applyAlignment="1">
      <alignment horizontal="right" vertical="center"/>
    </xf>
    <xf numFmtId="2" fontId="21" fillId="8" borderId="1" xfId="6" applyNumberFormat="1" applyFont="1" applyFill="1" applyBorder="1" applyAlignment="1">
      <alignment horizontal="right" vertical="center" wrapText="1"/>
    </xf>
    <xf numFmtId="164" fontId="24" fillId="8" borderId="1" xfId="1" applyFont="1" applyFill="1" applyBorder="1" applyAlignment="1">
      <alignment vertical="center"/>
    </xf>
    <xf numFmtId="43" fontId="24" fillId="10" borderId="1" xfId="6" applyFont="1" applyFill="1" applyBorder="1" applyAlignment="1">
      <alignment vertical="center"/>
    </xf>
    <xf numFmtId="43" fontId="19" fillId="10" borderId="1" xfId="6" applyFont="1" applyFill="1" applyBorder="1" applyAlignment="1">
      <alignment horizontal="right" vertical="center" wrapText="1"/>
    </xf>
    <xf numFmtId="164" fontId="19" fillId="8" borderId="1" xfId="1" applyFont="1" applyFill="1" applyBorder="1" applyAlignment="1">
      <alignment horizontal="left" vertical="center" wrapText="1"/>
    </xf>
    <xf numFmtId="43" fontId="21" fillId="10" borderId="1" xfId="6" applyFont="1" applyFill="1" applyBorder="1" applyAlignment="1">
      <alignment horizontal="right" vertical="center" wrapText="1"/>
    </xf>
    <xf numFmtId="2" fontId="21" fillId="10" borderId="1" xfId="0" applyNumberFormat="1" applyFont="1" applyFill="1" applyBorder="1" applyAlignment="1">
      <alignment horizontal="right" vertical="center" shrinkToFit="1"/>
    </xf>
    <xf numFmtId="49" fontId="22" fillId="11" borderId="2" xfId="0" applyNumberFormat="1" applyFont="1" applyFill="1" applyBorder="1" applyAlignment="1">
      <alignment vertical="center"/>
    </xf>
    <xf numFmtId="49" fontId="22" fillId="11" borderId="1" xfId="0" applyNumberFormat="1" applyFont="1" applyFill="1" applyBorder="1" applyAlignment="1">
      <alignment vertical="center"/>
    </xf>
    <xf numFmtId="49" fontId="22" fillId="11" borderId="1" xfId="0" applyNumberFormat="1" applyFont="1" applyFill="1" applyBorder="1" applyAlignment="1">
      <alignment vertical="center" wrapText="1"/>
    </xf>
    <xf numFmtId="43" fontId="22" fillId="11" borderId="1" xfId="6" applyFont="1" applyFill="1" applyBorder="1" applyAlignment="1">
      <alignment vertical="center"/>
    </xf>
    <xf numFmtId="164" fontId="21" fillId="11" borderId="1" xfId="1" applyFont="1" applyFill="1" applyBorder="1" applyAlignment="1">
      <alignment vertical="center"/>
    </xf>
    <xf numFmtId="164" fontId="21" fillId="11" borderId="1" xfId="1" applyFont="1" applyFill="1" applyBorder="1" applyAlignment="1">
      <alignment vertical="center" shrinkToFit="1"/>
    </xf>
    <xf numFmtId="43" fontId="21" fillId="11" borderId="1" xfId="6" applyFont="1" applyFill="1" applyBorder="1" applyAlignment="1">
      <alignment horizontal="left" vertical="center" wrapText="1"/>
    </xf>
    <xf numFmtId="2" fontId="21" fillId="11" borderId="1" xfId="0" applyNumberFormat="1" applyFont="1" applyFill="1" applyBorder="1" applyAlignment="1">
      <alignment horizontal="right" vertical="center" shrinkToFit="1"/>
    </xf>
    <xf numFmtId="43" fontId="21" fillId="11" borderId="1" xfId="6" applyFont="1" applyFill="1" applyBorder="1" applyAlignment="1">
      <alignment horizontal="right" vertical="center" wrapText="1"/>
    </xf>
    <xf numFmtId="44" fontId="21" fillId="11" borderId="1" xfId="0" applyNumberFormat="1" applyFont="1" applyFill="1" applyBorder="1" applyAlignment="1">
      <alignment vertical="center" shrinkToFit="1"/>
    </xf>
    <xf numFmtId="10" fontId="21" fillId="11" borderId="3" xfId="4" applyNumberFormat="1" applyFont="1" applyFill="1" applyBorder="1" applyAlignment="1">
      <alignment horizontal="right" vertical="center" shrinkToFit="1"/>
    </xf>
    <xf numFmtId="43" fontId="21" fillId="10" borderId="1" xfId="6" applyFont="1" applyFill="1" applyBorder="1" applyAlignment="1">
      <alignment horizontal="left" vertical="center" wrapText="1"/>
    </xf>
    <xf numFmtId="2" fontId="19" fillId="8" borderId="1" xfId="0" applyNumberFormat="1" applyFont="1" applyFill="1" applyBorder="1" applyAlignment="1">
      <alignment vertical="center" shrinkToFit="1"/>
    </xf>
    <xf numFmtId="2" fontId="21" fillId="8" borderId="1" xfId="0" applyNumberFormat="1" applyFont="1" applyFill="1" applyBorder="1" applyAlignment="1">
      <alignment vertical="center" shrinkToFit="1"/>
    </xf>
    <xf numFmtId="164" fontId="21" fillId="8" borderId="1" xfId="0" applyNumberFormat="1" applyFont="1" applyFill="1" applyBorder="1" applyAlignment="1">
      <alignment horizontal="left" vertical="center" wrapText="1"/>
    </xf>
    <xf numFmtId="49" fontId="25" fillId="8" borderId="1" xfId="0" applyNumberFormat="1" applyFont="1" applyFill="1" applyBorder="1" applyAlignment="1">
      <alignment vertical="center" wrapText="1"/>
    </xf>
    <xf numFmtId="164" fontId="21" fillId="8" borderId="1" xfId="1" applyFont="1" applyFill="1" applyBorder="1" applyAlignment="1">
      <alignment horizontal="right" vertical="center" shrinkToFit="1"/>
    </xf>
    <xf numFmtId="0" fontId="7" fillId="8" borderId="1" xfId="0" applyFont="1" applyFill="1" applyBorder="1" applyAlignment="1">
      <alignment vertical="center" wrapText="1"/>
    </xf>
    <xf numFmtId="43" fontId="24" fillId="11" borderId="1" xfId="6" applyFont="1" applyFill="1" applyBorder="1" applyAlignment="1">
      <alignment vertical="center"/>
    </xf>
    <xf numFmtId="4" fontId="21" fillId="11" borderId="1" xfId="0" applyNumberFormat="1" applyFont="1" applyFill="1" applyBorder="1" applyAlignment="1">
      <alignment horizontal="right" vertical="center" shrinkToFit="1"/>
    </xf>
    <xf numFmtId="0" fontId="6" fillId="11" borderId="1" xfId="0" applyFont="1" applyFill="1" applyBorder="1" applyAlignment="1">
      <alignment vertical="center" wrapText="1"/>
    </xf>
    <xf numFmtId="0" fontId="21" fillId="11" borderId="1" xfId="0" applyFont="1" applyFill="1" applyBorder="1" applyAlignment="1">
      <alignment horizontal="left" vertical="center" wrapText="1"/>
    </xf>
    <xf numFmtId="43" fontId="26" fillId="8" borderId="1" xfId="6" applyFont="1" applyFill="1" applyBorder="1" applyAlignment="1">
      <alignment vertical="center"/>
    </xf>
    <xf numFmtId="164" fontId="22" fillId="8" borderId="1" xfId="1" applyFont="1" applyFill="1" applyBorder="1" applyAlignment="1">
      <alignment vertical="center"/>
    </xf>
    <xf numFmtId="44" fontId="21" fillId="8" borderId="1" xfId="0" applyNumberFormat="1" applyFont="1" applyFill="1" applyBorder="1" applyAlignment="1">
      <alignment vertical="center" wrapText="1"/>
    </xf>
    <xf numFmtId="0" fontId="21" fillId="8" borderId="7" xfId="0" applyFont="1" applyFill="1" applyBorder="1" applyAlignment="1">
      <alignment horizontal="left" vertical="center" wrapText="1"/>
    </xf>
    <xf numFmtId="0" fontId="21" fillId="8" borderId="8" xfId="0" applyFont="1" applyFill="1" applyBorder="1" applyAlignment="1">
      <alignment horizontal="left" vertical="center" wrapText="1"/>
    </xf>
    <xf numFmtId="0" fontId="6" fillId="8" borderId="8" xfId="0" applyFont="1" applyFill="1" applyBorder="1" applyAlignment="1">
      <alignment vertical="center" wrapText="1"/>
    </xf>
    <xf numFmtId="43" fontId="22" fillId="8" borderId="8" xfId="6" applyFont="1" applyFill="1" applyBorder="1" applyAlignment="1">
      <alignment vertical="center"/>
    </xf>
    <xf numFmtId="164" fontId="19" fillId="8" borderId="8" xfId="1" applyFont="1" applyFill="1" applyBorder="1" applyAlignment="1">
      <alignment horizontal="right" vertical="center" wrapText="1"/>
    </xf>
    <xf numFmtId="44" fontId="19" fillId="8" borderId="8" xfId="0" applyNumberFormat="1" applyFont="1" applyFill="1" applyBorder="1" applyAlignment="1">
      <alignment vertical="center" shrinkToFit="1"/>
    </xf>
    <xf numFmtId="43" fontId="21" fillId="8" borderId="8" xfId="6" applyFont="1" applyFill="1" applyBorder="1" applyAlignment="1">
      <alignment horizontal="left" vertical="center" wrapText="1"/>
    </xf>
    <xf numFmtId="10" fontId="19" fillId="8" borderId="9" xfId="4" applyNumberFormat="1" applyFont="1" applyFill="1" applyBorder="1" applyAlignment="1">
      <alignment horizontal="right" vertical="center" shrinkToFit="1"/>
    </xf>
    <xf numFmtId="43" fontId="16" fillId="0" borderId="0" xfId="6" applyFont="1" applyFill="1" applyBorder="1" applyAlignment="1">
      <alignment horizontal="left" vertical="center"/>
    </xf>
    <xf numFmtId="43" fontId="21" fillId="0" borderId="0" xfId="6" applyFont="1" applyFill="1" applyBorder="1" applyAlignment="1">
      <alignment horizontal="left" vertical="center"/>
    </xf>
    <xf numFmtId="43" fontId="19" fillId="0" borderId="0" xfId="6" applyFont="1" applyFill="1" applyBorder="1" applyAlignment="1">
      <alignment horizontal="left" vertical="center"/>
    </xf>
    <xf numFmtId="43" fontId="19" fillId="0" borderId="0" xfId="6" applyFont="1" applyFill="1" applyBorder="1" applyAlignment="1">
      <alignment horizontal="left" vertical="center" wrapText="1"/>
    </xf>
    <xf numFmtId="43" fontId="21" fillId="0" borderId="0" xfId="6" applyFont="1" applyFill="1" applyBorder="1" applyAlignment="1">
      <alignment horizontal="left" vertical="center" wrapText="1"/>
    </xf>
    <xf numFmtId="43" fontId="21" fillId="8" borderId="0" xfId="6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43" fontId="19" fillId="0" borderId="0" xfId="6" applyFont="1" applyFill="1" applyBorder="1" applyAlignment="1">
      <alignment vertical="center" wrapText="1"/>
    </xf>
    <xf numFmtId="49" fontId="23" fillId="7" borderId="2" xfId="0" applyNumberFormat="1" applyFont="1" applyFill="1" applyBorder="1" applyAlignment="1">
      <alignment vertical="center"/>
    </xf>
    <xf numFmtId="49" fontId="22" fillId="7" borderId="1" xfId="0" applyNumberFormat="1" applyFont="1" applyFill="1" applyBorder="1" applyAlignment="1">
      <alignment vertical="center"/>
    </xf>
    <xf numFmtId="49" fontId="22" fillId="7" borderId="1" xfId="0" applyNumberFormat="1" applyFont="1" applyFill="1" applyBorder="1" applyAlignment="1">
      <alignment vertical="center" wrapText="1"/>
    </xf>
    <xf numFmtId="43" fontId="22" fillId="7" borderId="1" xfId="6" applyFont="1" applyFill="1" applyBorder="1" applyAlignment="1">
      <alignment vertical="center"/>
    </xf>
    <xf numFmtId="43" fontId="22" fillId="7" borderId="1" xfId="6" applyFont="1" applyFill="1" applyBorder="1" applyAlignment="1">
      <alignment horizontal="right" vertical="center"/>
    </xf>
    <xf numFmtId="2" fontId="21" fillId="7" borderId="1" xfId="0" applyNumberFormat="1" applyFont="1" applyFill="1" applyBorder="1" applyAlignment="1">
      <alignment horizontal="right" vertical="center" shrinkToFit="1"/>
    </xf>
    <xf numFmtId="164" fontId="21" fillId="7" borderId="1" xfId="1" applyFont="1" applyFill="1" applyBorder="1" applyAlignment="1">
      <alignment vertical="center"/>
    </xf>
    <xf numFmtId="164" fontId="21" fillId="7" borderId="1" xfId="1" applyFont="1" applyFill="1" applyBorder="1" applyAlignment="1">
      <alignment vertical="center" shrinkToFit="1"/>
    </xf>
    <xf numFmtId="43" fontId="21" fillId="7" borderId="1" xfId="6" applyFont="1" applyFill="1" applyBorder="1" applyAlignment="1">
      <alignment horizontal="right" vertical="center" wrapText="1"/>
    </xf>
    <xf numFmtId="44" fontId="21" fillId="7" borderId="1" xfId="0" applyNumberFormat="1" applyFont="1" applyFill="1" applyBorder="1" applyAlignment="1">
      <alignment vertical="center" shrinkToFit="1"/>
    </xf>
    <xf numFmtId="164" fontId="21" fillId="7" borderId="1" xfId="1" applyFont="1" applyFill="1" applyBorder="1" applyAlignment="1">
      <alignment vertical="center" wrapText="1"/>
    </xf>
    <xf numFmtId="10" fontId="21" fillId="7" borderId="3" xfId="4" applyNumberFormat="1" applyFont="1" applyFill="1" applyBorder="1" applyAlignment="1">
      <alignment horizontal="right" vertical="center" shrinkToFit="1"/>
    </xf>
    <xf numFmtId="0" fontId="21" fillId="7" borderId="0" xfId="0" applyFont="1" applyFill="1" applyBorder="1" applyAlignment="1">
      <alignment horizontal="left" vertical="center"/>
    </xf>
    <xf numFmtId="0" fontId="23" fillId="0" borderId="4" xfId="0" applyFont="1" applyBorder="1" applyAlignment="1">
      <alignment vertical="center"/>
    </xf>
    <xf numFmtId="0" fontId="23" fillId="0" borderId="5" xfId="0" applyFont="1" applyBorder="1" applyAlignment="1">
      <alignment vertical="center"/>
    </xf>
    <xf numFmtId="0" fontId="23" fillId="0" borderId="5" xfId="0" applyFont="1" applyBorder="1" applyAlignment="1">
      <alignment horizontal="center" vertical="center"/>
    </xf>
    <xf numFmtId="0" fontId="23" fillId="0" borderId="5" xfId="0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/>
    </xf>
    <xf numFmtId="0" fontId="27" fillId="12" borderId="0" xfId="0" applyFont="1" applyFill="1" applyBorder="1" applyAlignment="1">
      <alignment horizontal="center" vertical="center"/>
    </xf>
    <xf numFmtId="0" fontId="28" fillId="8" borderId="0" xfId="0" applyFont="1" applyFill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29" fillId="0" borderId="4" xfId="0" applyFont="1" applyBorder="1" applyAlignment="1">
      <alignment vertical="center"/>
    </xf>
    <xf numFmtId="0" fontId="29" fillId="0" borderId="5" xfId="0" applyFont="1" applyBorder="1" applyAlignment="1">
      <alignment vertical="center"/>
    </xf>
    <xf numFmtId="0" fontId="23" fillId="0" borderId="6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23" fillId="12" borderId="0" xfId="0" applyFont="1" applyFill="1" applyBorder="1" applyAlignment="1">
      <alignment vertical="center"/>
    </xf>
    <xf numFmtId="0" fontId="23" fillId="12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right" vertical="center"/>
    </xf>
    <xf numFmtId="10" fontId="23" fillId="0" borderId="0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3" fillId="0" borderId="11" xfId="0" applyFont="1" applyBorder="1" applyAlignment="1">
      <alignment horizontal="left" vertical="center"/>
    </xf>
    <xf numFmtId="0" fontId="27" fillId="12" borderId="0" xfId="0" applyFont="1" applyFill="1" applyBorder="1" applyAlignment="1">
      <alignment vertical="center"/>
    </xf>
    <xf numFmtId="0" fontId="23" fillId="12" borderId="0" xfId="0" applyFont="1" applyFill="1" applyBorder="1" applyAlignment="1">
      <alignment horizontal="right" vertical="center"/>
    </xf>
    <xf numFmtId="10" fontId="27" fillId="12" borderId="0" xfId="0" applyNumberFormat="1" applyFont="1" applyFill="1" applyBorder="1" applyAlignment="1">
      <alignment vertical="center"/>
    </xf>
    <xf numFmtId="0" fontId="23" fillId="12" borderId="12" xfId="0" applyFont="1" applyFill="1" applyBorder="1" applyAlignment="1">
      <alignment vertical="center"/>
    </xf>
    <xf numFmtId="0" fontId="23" fillId="12" borderId="12" xfId="0" applyFont="1" applyFill="1" applyBorder="1" applyAlignment="1">
      <alignment horizontal="center" vertical="center"/>
    </xf>
    <xf numFmtId="0" fontId="23" fillId="12" borderId="12" xfId="0" applyFont="1" applyFill="1" applyBorder="1" applyAlignment="1">
      <alignment horizontal="right" vertical="center"/>
    </xf>
    <xf numFmtId="14" fontId="23" fillId="0" borderId="12" xfId="0" applyNumberFormat="1" applyFont="1" applyBorder="1" applyAlignment="1">
      <alignment horizontal="left" vertical="center"/>
    </xf>
    <xf numFmtId="0" fontId="23" fillId="0" borderId="12" xfId="0" applyFont="1" applyBorder="1" applyAlignment="1">
      <alignment horizontal="left" vertical="center"/>
    </xf>
    <xf numFmtId="0" fontId="23" fillId="0" borderId="13" xfId="0" applyFont="1" applyBorder="1" applyAlignment="1">
      <alignment horizontal="left" vertical="center"/>
    </xf>
    <xf numFmtId="0" fontId="23" fillId="12" borderId="0" xfId="0" applyFont="1" applyFill="1" applyAlignment="1">
      <alignment vertical="center"/>
    </xf>
    <xf numFmtId="0" fontId="23" fillId="12" borderId="0" xfId="0" applyFont="1" applyFill="1" applyAlignment="1">
      <alignment horizontal="center" vertical="center"/>
    </xf>
    <xf numFmtId="0" fontId="23" fillId="12" borderId="0" xfId="0" applyFont="1" applyFill="1" applyAlignment="1">
      <alignment horizontal="left" vertical="center"/>
    </xf>
    <xf numFmtId="0" fontId="28" fillId="12" borderId="0" xfId="0" applyFont="1" applyFill="1" applyAlignment="1">
      <alignment horizontal="left" vertical="center"/>
    </xf>
    <xf numFmtId="0" fontId="23" fillId="12" borderId="1" xfId="0" applyFont="1" applyFill="1" applyBorder="1" applyAlignment="1">
      <alignment vertical="center"/>
    </xf>
    <xf numFmtId="0" fontId="23" fillId="8" borderId="14" xfId="0" applyFont="1" applyFill="1" applyBorder="1" applyAlignment="1">
      <alignment horizontal="left" vertical="center" wrapText="1"/>
    </xf>
    <xf numFmtId="0" fontId="23" fillId="8" borderId="15" xfId="0" applyFont="1" applyFill="1" applyBorder="1" applyAlignment="1">
      <alignment vertical="center" wrapText="1"/>
    </xf>
    <xf numFmtId="0" fontId="23" fillId="12" borderId="1" xfId="0" applyFont="1" applyFill="1" applyBorder="1" applyAlignment="1">
      <alignment vertical="center" wrapText="1"/>
    </xf>
    <xf numFmtId="0" fontId="28" fillId="12" borderId="0" xfId="0" applyFont="1" applyFill="1" applyAlignment="1">
      <alignment horizontal="left" vertical="center" wrapText="1"/>
    </xf>
    <xf numFmtId="0" fontId="28" fillId="8" borderId="0" xfId="0" applyFont="1" applyFill="1" applyAlignment="1">
      <alignment horizontal="left" vertical="center" wrapText="1"/>
    </xf>
    <xf numFmtId="0" fontId="30" fillId="13" borderId="1" xfId="0" applyFont="1" applyFill="1" applyBorder="1" applyAlignment="1">
      <alignment horizontal="center" vertical="center"/>
    </xf>
    <xf numFmtId="0" fontId="30" fillId="13" borderId="1" xfId="0" applyFont="1" applyFill="1" applyBorder="1" applyAlignment="1">
      <alignment horizontal="center" vertical="center" wrapText="1"/>
    </xf>
    <xf numFmtId="0" fontId="27" fillId="14" borderId="16" xfId="0" applyFont="1" applyFill="1" applyBorder="1" applyAlignment="1">
      <alignment horizontal="center" vertical="center" wrapText="1"/>
    </xf>
    <xf numFmtId="0" fontId="27" fillId="14" borderId="0" xfId="0" applyFont="1" applyFill="1" applyBorder="1" applyAlignment="1">
      <alignment horizontal="center" vertical="center" wrapText="1"/>
    </xf>
    <xf numFmtId="173" fontId="22" fillId="0" borderId="0" xfId="0" applyNumberFormat="1" applyFont="1" applyAlignment="1">
      <alignment horizontal="center" vertical="center"/>
    </xf>
    <xf numFmtId="0" fontId="30" fillId="15" borderId="1" xfId="0" applyFont="1" applyFill="1" applyBorder="1" applyAlignment="1">
      <alignment horizontal="center" vertical="center"/>
    </xf>
    <xf numFmtId="0" fontId="30" fillId="15" borderId="1" xfId="0" applyFont="1" applyFill="1" applyBorder="1" applyAlignment="1">
      <alignment horizontal="center" vertical="center" wrapText="1"/>
    </xf>
    <xf numFmtId="2" fontId="30" fillId="15" borderId="1" xfId="0" applyNumberFormat="1" applyFont="1" applyFill="1" applyBorder="1" applyAlignment="1">
      <alignment horizontal="left" vertical="center" wrapText="1"/>
    </xf>
    <xf numFmtId="0" fontId="31" fillId="15" borderId="1" xfId="0" applyFont="1" applyFill="1" applyBorder="1" applyAlignment="1">
      <alignment horizontal="center" vertical="center"/>
    </xf>
    <xf numFmtId="43" fontId="31" fillId="15" borderId="1" xfId="0" applyNumberFormat="1" applyFont="1" applyFill="1" applyBorder="1" applyAlignment="1">
      <alignment horizontal="center" vertical="center" wrapText="1"/>
    </xf>
    <xf numFmtId="43" fontId="9" fillId="15" borderId="1" xfId="0" applyNumberFormat="1" applyFont="1" applyFill="1" applyBorder="1" applyAlignment="1">
      <alignment horizontal="center" vertical="center" wrapText="1"/>
    </xf>
    <xf numFmtId="49" fontId="30" fillId="15" borderId="0" xfId="0" applyNumberFormat="1" applyFont="1" applyFill="1" applyBorder="1" applyAlignment="1">
      <alignment vertical="center"/>
    </xf>
    <xf numFmtId="49" fontId="30" fillId="15" borderId="0" xfId="0" applyNumberFormat="1" applyFont="1" applyFill="1" applyBorder="1" applyAlignment="1">
      <alignment vertical="center" wrapText="1"/>
    </xf>
    <xf numFmtId="43" fontId="30" fillId="15" borderId="0" xfId="7" applyFont="1" applyFill="1" applyBorder="1" applyAlignment="1">
      <alignment horizontal="center" vertical="center"/>
    </xf>
    <xf numFmtId="43" fontId="31" fillId="15" borderId="0" xfId="7" applyFont="1" applyFill="1" applyBorder="1" applyAlignment="1">
      <alignment vertical="center"/>
    </xf>
    <xf numFmtId="43" fontId="9" fillId="15" borderId="0" xfId="7" applyFont="1" applyFill="1" applyBorder="1" applyAlignment="1">
      <alignment vertical="center"/>
    </xf>
    <xf numFmtId="49" fontId="28" fillId="8" borderId="0" xfId="0" applyNumberFormat="1" applyFont="1" applyFill="1" applyBorder="1" applyAlignment="1">
      <alignment vertical="center"/>
    </xf>
    <xf numFmtId="43" fontId="6" fillId="2" borderId="1" xfId="7" applyFont="1" applyFill="1" applyBorder="1" applyAlignment="1">
      <alignment horizontal="right" vertical="center"/>
    </xf>
    <xf numFmtId="49" fontId="23" fillId="0" borderId="1" xfId="0" applyNumberFormat="1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vertical="center" wrapText="1"/>
    </xf>
    <xf numFmtId="43" fontId="23" fillId="0" borderId="1" xfId="7" applyFont="1" applyFill="1" applyBorder="1" applyAlignment="1">
      <alignment horizontal="center" vertical="center"/>
    </xf>
    <xf numFmtId="43" fontId="32" fillId="0" borderId="1" xfId="7" applyFont="1" applyFill="1" applyBorder="1" applyAlignment="1">
      <alignment vertical="center"/>
    </xf>
    <xf numFmtId="43" fontId="10" fillId="0" borderId="1" xfId="7" applyFont="1" applyFill="1" applyBorder="1" applyAlignment="1">
      <alignment vertical="center"/>
    </xf>
    <xf numFmtId="9" fontId="26" fillId="8" borderId="0" xfId="5" applyFont="1" applyFill="1" applyAlignment="1">
      <alignment horizontal="center" vertical="center"/>
    </xf>
    <xf numFmtId="43" fontId="7" fillId="0" borderId="1" xfId="7" applyNumberFormat="1" applyFont="1" applyBorder="1" applyAlignment="1">
      <alignment horizontal="right" vertical="center"/>
    </xf>
    <xf numFmtId="49" fontId="23" fillId="8" borderId="0" xfId="0" applyNumberFormat="1" applyFont="1" applyFill="1" applyBorder="1" applyAlignment="1">
      <alignment vertical="center"/>
    </xf>
    <xf numFmtId="49" fontId="23" fillId="8" borderId="0" xfId="0" applyNumberFormat="1" applyFont="1" applyFill="1" applyBorder="1" applyAlignment="1">
      <alignment vertical="center" wrapText="1"/>
    </xf>
    <xf numFmtId="43" fontId="23" fillId="8" borderId="0" xfId="7" applyFont="1" applyFill="1" applyBorder="1" applyAlignment="1">
      <alignment horizontal="center" vertical="center"/>
    </xf>
    <xf numFmtId="43" fontId="32" fillId="8" borderId="0" xfId="7" applyFont="1" applyFill="1" applyBorder="1" applyAlignment="1">
      <alignment vertical="center"/>
    </xf>
    <xf numFmtId="49" fontId="23" fillId="16" borderId="0" xfId="0" applyNumberFormat="1" applyFont="1" applyFill="1" applyBorder="1" applyAlignment="1">
      <alignment vertical="center"/>
    </xf>
    <xf numFmtId="49" fontId="23" fillId="16" borderId="0" xfId="0" applyNumberFormat="1" applyFont="1" applyFill="1" applyBorder="1" applyAlignment="1">
      <alignment vertical="center" wrapText="1"/>
    </xf>
    <xf numFmtId="43" fontId="23" fillId="16" borderId="0" xfId="7" applyFont="1" applyFill="1" applyBorder="1" applyAlignment="1">
      <alignment horizontal="center" vertical="center"/>
    </xf>
    <xf numFmtId="43" fontId="32" fillId="16" borderId="0" xfId="7" applyFont="1" applyFill="1" applyBorder="1" applyAlignment="1">
      <alignment vertical="center"/>
    </xf>
    <xf numFmtId="43" fontId="10" fillId="16" borderId="0" xfId="7" applyFont="1" applyFill="1" applyBorder="1" applyAlignment="1">
      <alignment vertical="center"/>
    </xf>
    <xf numFmtId="43" fontId="7" fillId="0" borderId="1" xfId="7" applyFont="1" applyBorder="1" applyAlignment="1">
      <alignment horizontal="right" vertical="center"/>
    </xf>
    <xf numFmtId="49" fontId="23" fillId="8" borderId="1" xfId="0" applyNumberFormat="1" applyFont="1" applyFill="1" applyBorder="1" applyAlignment="1">
      <alignment vertical="center"/>
    </xf>
    <xf numFmtId="49" fontId="23" fillId="8" borderId="1" xfId="0" applyNumberFormat="1" applyFont="1" applyFill="1" applyBorder="1" applyAlignment="1">
      <alignment vertical="center" wrapText="1"/>
    </xf>
    <xf numFmtId="43" fontId="23" fillId="8" borderId="1" xfId="7" applyFont="1" applyFill="1" applyBorder="1" applyAlignment="1">
      <alignment horizontal="center" vertical="center"/>
    </xf>
    <xf numFmtId="43" fontId="32" fillId="8" borderId="1" xfId="7" applyFont="1" applyFill="1" applyBorder="1" applyAlignment="1">
      <alignment vertical="center"/>
    </xf>
    <xf numFmtId="49" fontId="30" fillId="15" borderId="1" xfId="0" applyNumberFormat="1" applyFont="1" applyFill="1" applyBorder="1" applyAlignment="1">
      <alignment vertical="center"/>
    </xf>
    <xf numFmtId="49" fontId="30" fillId="15" borderId="1" xfId="0" applyNumberFormat="1" applyFont="1" applyFill="1" applyBorder="1" applyAlignment="1">
      <alignment vertical="center" wrapText="1"/>
    </xf>
    <xf numFmtId="43" fontId="30" fillId="15" borderId="1" xfId="7" applyFont="1" applyFill="1" applyBorder="1" applyAlignment="1">
      <alignment horizontal="center" vertical="center"/>
    </xf>
    <xf numFmtId="43" fontId="31" fillId="15" borderId="1" xfId="7" applyFont="1" applyFill="1" applyBorder="1" applyAlignment="1">
      <alignment vertical="center"/>
    </xf>
    <xf numFmtId="49" fontId="23" fillId="16" borderId="1" xfId="0" applyNumberFormat="1" applyFont="1" applyFill="1" applyBorder="1" applyAlignment="1">
      <alignment vertical="center"/>
    </xf>
    <xf numFmtId="49" fontId="23" fillId="16" borderId="1" xfId="0" applyNumberFormat="1" applyFont="1" applyFill="1" applyBorder="1" applyAlignment="1">
      <alignment vertical="center" wrapText="1"/>
    </xf>
    <xf numFmtId="43" fontId="23" fillId="16" borderId="1" xfId="7" applyFont="1" applyFill="1" applyBorder="1" applyAlignment="1">
      <alignment horizontal="center" vertical="center"/>
    </xf>
    <xf numFmtId="43" fontId="32" fillId="16" borderId="1" xfId="7" applyFont="1" applyFill="1" applyBorder="1" applyAlignment="1">
      <alignment vertical="center"/>
    </xf>
    <xf numFmtId="43" fontId="9" fillId="15" borderId="1" xfId="7" applyFont="1" applyFill="1" applyBorder="1" applyAlignment="1">
      <alignment vertical="center"/>
    </xf>
    <xf numFmtId="0" fontId="23" fillId="12" borderId="6" xfId="0" applyFont="1" applyFill="1" applyBorder="1" applyAlignment="1">
      <alignment vertical="center"/>
    </xf>
    <xf numFmtId="0" fontId="23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9" fontId="11" fillId="12" borderId="0" xfId="5" applyFont="1" applyFill="1" applyBorder="1" applyAlignment="1">
      <alignment vertical="center"/>
    </xf>
    <xf numFmtId="0" fontId="26" fillId="12" borderId="0" xfId="0" applyFont="1" applyFill="1" applyBorder="1" applyAlignment="1">
      <alignment horizontal="center" vertical="center"/>
    </xf>
    <xf numFmtId="9" fontId="26" fillId="12" borderId="0" xfId="5" applyFont="1" applyFill="1" applyBorder="1" applyAlignment="1">
      <alignment horizontal="center" vertical="center"/>
    </xf>
    <xf numFmtId="0" fontId="23" fillId="12" borderId="6" xfId="0" applyFont="1" applyFill="1" applyBorder="1" applyAlignment="1">
      <alignment horizontal="center" vertical="center"/>
    </xf>
    <xf numFmtId="0" fontId="26" fillId="12" borderId="0" xfId="0" applyFont="1" applyFill="1" applyBorder="1" applyAlignment="1">
      <alignment vertical="center"/>
    </xf>
    <xf numFmtId="9" fontId="26" fillId="12" borderId="0" xfId="5" applyFont="1" applyFill="1" applyBorder="1" applyAlignment="1">
      <alignment vertical="center"/>
    </xf>
    <xf numFmtId="10" fontId="26" fillId="12" borderId="0" xfId="0" applyNumberFormat="1" applyFont="1" applyFill="1" applyBorder="1" applyAlignment="1">
      <alignment vertical="center"/>
    </xf>
    <xf numFmtId="0" fontId="23" fillId="12" borderId="17" xfId="0" applyFont="1" applyFill="1" applyBorder="1" applyAlignment="1">
      <alignment horizontal="center" vertical="center"/>
    </xf>
    <xf numFmtId="9" fontId="11" fillId="12" borderId="0" xfId="5" applyFont="1" applyFill="1" applyAlignment="1">
      <alignment vertical="center"/>
    </xf>
    <xf numFmtId="0" fontId="25" fillId="12" borderId="0" xfId="0" applyFont="1" applyFill="1" applyAlignment="1">
      <alignment horizontal="left" vertical="center"/>
    </xf>
    <xf numFmtId="9" fontId="25" fillId="12" borderId="0" xfId="5" applyFont="1" applyFill="1" applyAlignment="1">
      <alignment horizontal="left" vertical="center"/>
    </xf>
    <xf numFmtId="0" fontId="23" fillId="12" borderId="4" xfId="0" applyFont="1" applyFill="1" applyBorder="1" applyAlignment="1">
      <alignment vertical="center"/>
    </xf>
    <xf numFmtId="0" fontId="23" fillId="8" borderId="5" xfId="0" applyFont="1" applyFill="1" applyBorder="1" applyAlignment="1">
      <alignment horizontal="left" vertical="center" wrapText="1"/>
    </xf>
    <xf numFmtId="0" fontId="23" fillId="8" borderId="10" xfId="0" applyFont="1" applyFill="1" applyBorder="1" applyAlignment="1">
      <alignment vertical="center" wrapText="1"/>
    </xf>
    <xf numFmtId="0" fontId="23" fillId="12" borderId="6" xfId="0" applyFont="1" applyFill="1" applyBorder="1" applyAlignment="1">
      <alignment vertical="center" wrapText="1"/>
    </xf>
    <xf numFmtId="9" fontId="11" fillId="12" borderId="0" xfId="5" applyFont="1" applyFill="1" applyAlignment="1">
      <alignment vertical="center" wrapText="1"/>
    </xf>
    <xf numFmtId="0" fontId="25" fillId="12" borderId="0" xfId="0" applyFont="1" applyFill="1" applyAlignment="1">
      <alignment horizontal="left" vertical="center" wrapText="1"/>
    </xf>
    <xf numFmtId="9" fontId="25" fillId="12" borderId="0" xfId="5" applyFont="1" applyFill="1" applyAlignment="1">
      <alignment horizontal="left" vertical="center" wrapText="1"/>
    </xf>
    <xf numFmtId="9" fontId="11" fillId="14" borderId="0" xfId="5" applyFont="1" applyFill="1" applyBorder="1" applyAlignment="1">
      <alignment vertical="center" wrapText="1"/>
    </xf>
    <xf numFmtId="0" fontId="26" fillId="14" borderId="0" xfId="0" applyFont="1" applyFill="1" applyBorder="1" applyAlignment="1">
      <alignment horizontal="center" vertical="center" wrapText="1"/>
    </xf>
    <xf numFmtId="9" fontId="26" fillId="14" borderId="0" xfId="5" applyFont="1" applyFill="1" applyBorder="1" applyAlignment="1">
      <alignment horizontal="center" vertical="center" wrapText="1"/>
    </xf>
    <xf numFmtId="44" fontId="11" fillId="8" borderId="0" xfId="2" applyFont="1" applyFill="1" applyBorder="1" applyAlignment="1">
      <alignment vertical="center"/>
    </xf>
    <xf numFmtId="0" fontId="22" fillId="0" borderId="0" xfId="0" applyFont="1" applyAlignment="1">
      <alignment horizontal="center" vertical="center"/>
    </xf>
    <xf numFmtId="9" fontId="33" fillId="0" borderId="0" xfId="5" applyNumberFormat="1" applyFont="1" applyAlignment="1">
      <alignment horizontal="center" vertical="center"/>
    </xf>
    <xf numFmtId="49" fontId="25" fillId="8" borderId="0" xfId="0" applyNumberFormat="1" applyFont="1" applyFill="1" applyBorder="1" applyAlignment="1">
      <alignment vertical="center"/>
    </xf>
    <xf numFmtId="9" fontId="25" fillId="8" borderId="0" xfId="5" applyFont="1" applyFill="1" applyBorder="1" applyAlignment="1">
      <alignment vertical="center"/>
    </xf>
    <xf numFmtId="43" fontId="22" fillId="0" borderId="0" xfId="7" applyFont="1" applyAlignment="1">
      <alignment vertical="center"/>
    </xf>
    <xf numFmtId="9" fontId="33" fillId="0" borderId="0" xfId="5" applyFont="1" applyAlignment="1">
      <alignment horizontal="center" vertical="center"/>
    </xf>
    <xf numFmtId="44" fontId="23" fillId="0" borderId="0" xfId="2" applyFont="1" applyBorder="1" applyAlignment="1">
      <alignment horizontal="left" vertical="center"/>
    </xf>
    <xf numFmtId="44" fontId="23" fillId="0" borderId="11" xfId="2" applyFont="1" applyBorder="1" applyAlignment="1">
      <alignment horizontal="left" vertical="center"/>
    </xf>
    <xf numFmtId="44" fontId="23" fillId="0" borderId="12" xfId="2" applyFont="1" applyBorder="1" applyAlignment="1">
      <alignment horizontal="left" vertical="center"/>
    </xf>
    <xf numFmtId="44" fontId="23" fillId="0" borderId="13" xfId="2" applyFont="1" applyBorder="1" applyAlignment="1">
      <alignment horizontal="left" vertical="center"/>
    </xf>
    <xf numFmtId="0" fontId="23" fillId="12" borderId="0" xfId="0" applyFont="1" applyFill="1" applyBorder="1" applyAlignment="1">
      <alignment horizontal="left" vertical="center"/>
    </xf>
    <xf numFmtId="44" fontId="23" fillId="12" borderId="0" xfId="2" applyFont="1" applyFill="1" applyBorder="1" applyAlignment="1">
      <alignment horizontal="left" vertical="center"/>
    </xf>
    <xf numFmtId="44" fontId="23" fillId="12" borderId="11" xfId="2" applyFont="1" applyFill="1" applyBorder="1" applyAlignment="1">
      <alignment horizontal="left" vertical="center"/>
    </xf>
    <xf numFmtId="44" fontId="23" fillId="8" borderId="5" xfId="2" applyFont="1" applyFill="1" applyBorder="1" applyAlignment="1">
      <alignment horizontal="left" vertical="center" wrapText="1"/>
    </xf>
    <xf numFmtId="44" fontId="23" fillId="8" borderId="10" xfId="2" applyFont="1" applyFill="1" applyBorder="1" applyAlignment="1">
      <alignment horizontal="left" vertical="center" wrapText="1"/>
    </xf>
    <xf numFmtId="0" fontId="30" fillId="13" borderId="2" xfId="0" applyFont="1" applyFill="1" applyBorder="1" applyAlignment="1">
      <alignment horizontal="center" vertical="center"/>
    </xf>
    <xf numFmtId="44" fontId="30" fillId="13" borderId="1" xfId="2" applyFont="1" applyFill="1" applyBorder="1" applyAlignment="1">
      <alignment horizontal="center" vertical="center"/>
    </xf>
    <xf numFmtId="44" fontId="30" fillId="13" borderId="3" xfId="2" applyFont="1" applyFill="1" applyBorder="1" applyAlignment="1">
      <alignment horizontal="center" vertical="center"/>
    </xf>
    <xf numFmtId="0" fontId="30" fillId="15" borderId="2" xfId="0" applyFont="1" applyFill="1" applyBorder="1" applyAlignment="1">
      <alignment horizontal="center" vertical="center"/>
    </xf>
    <xf numFmtId="44" fontId="31" fillId="15" borderId="1" xfId="2" applyFont="1" applyFill="1" applyBorder="1" applyAlignment="1">
      <alignment horizontal="center" vertical="center" wrapText="1"/>
    </xf>
    <xf numFmtId="44" fontId="31" fillId="15" borderId="3" xfId="2" applyFont="1" applyFill="1" applyBorder="1" applyAlignment="1">
      <alignment horizontal="center" vertical="center" wrapText="1"/>
    </xf>
    <xf numFmtId="49" fontId="30" fillId="15" borderId="6" xfId="0" applyNumberFormat="1" applyFont="1" applyFill="1" applyBorder="1" applyAlignment="1">
      <alignment vertical="center"/>
    </xf>
    <xf numFmtId="44" fontId="31" fillId="15" borderId="0" xfId="2" applyFont="1" applyFill="1" applyBorder="1" applyAlignment="1">
      <alignment vertical="center"/>
    </xf>
    <xf numFmtId="44" fontId="31" fillId="15" borderId="11" xfId="2" applyFont="1" applyFill="1" applyBorder="1" applyAlignment="1">
      <alignment vertical="center"/>
    </xf>
    <xf numFmtId="44" fontId="32" fillId="0" borderId="1" xfId="2" applyFont="1" applyFill="1" applyBorder="1" applyAlignment="1">
      <alignment vertical="center"/>
    </xf>
    <xf numFmtId="44" fontId="32" fillId="0" borderId="3" xfId="2" applyFont="1" applyFill="1" applyBorder="1" applyAlignment="1">
      <alignment vertical="center"/>
    </xf>
    <xf numFmtId="49" fontId="23" fillId="8" borderId="6" xfId="0" applyNumberFormat="1" applyFont="1" applyFill="1" applyBorder="1" applyAlignment="1">
      <alignment vertical="center"/>
    </xf>
    <xf numFmtId="44" fontId="32" fillId="17" borderId="1" xfId="2" applyFont="1" applyFill="1" applyBorder="1" applyAlignment="1">
      <alignment vertical="center"/>
    </xf>
    <xf numFmtId="49" fontId="23" fillId="16" borderId="6" xfId="0" applyNumberFormat="1" applyFont="1" applyFill="1" applyBorder="1" applyAlignment="1">
      <alignment vertical="center"/>
    </xf>
    <xf numFmtId="44" fontId="32" fillId="16" borderId="0" xfId="2" applyFont="1" applyFill="1" applyBorder="1" applyAlignment="1">
      <alignment vertical="center"/>
    </xf>
    <xf numFmtId="44" fontId="32" fillId="16" borderId="11" xfId="2" applyFont="1" applyFill="1" applyBorder="1" applyAlignment="1">
      <alignment vertical="center"/>
    </xf>
    <xf numFmtId="49" fontId="30" fillId="15" borderId="2" xfId="0" applyNumberFormat="1" applyFont="1" applyFill="1" applyBorder="1" applyAlignment="1">
      <alignment vertical="center"/>
    </xf>
    <xf numFmtId="49" fontId="23" fillId="16" borderId="2" xfId="0" applyNumberFormat="1" applyFont="1" applyFill="1" applyBorder="1" applyAlignment="1">
      <alignment vertical="center"/>
    </xf>
    <xf numFmtId="49" fontId="23" fillId="8" borderId="7" xfId="0" applyNumberFormat="1" applyFont="1" applyFill="1" applyBorder="1" applyAlignment="1">
      <alignment vertical="center"/>
    </xf>
    <xf numFmtId="49" fontId="23" fillId="8" borderId="8" xfId="0" applyNumberFormat="1" applyFont="1" applyFill="1" applyBorder="1" applyAlignment="1">
      <alignment vertical="center"/>
    </xf>
    <xf numFmtId="49" fontId="23" fillId="8" borderId="8" xfId="0" applyNumberFormat="1" applyFont="1" applyFill="1" applyBorder="1" applyAlignment="1">
      <alignment vertical="center" wrapText="1"/>
    </xf>
    <xf numFmtId="43" fontId="23" fillId="8" borderId="8" xfId="7" applyFont="1" applyFill="1" applyBorder="1" applyAlignment="1">
      <alignment horizontal="center" vertical="center"/>
    </xf>
    <xf numFmtId="43" fontId="32" fillId="0" borderId="8" xfId="7" applyFont="1" applyFill="1" applyBorder="1" applyAlignment="1">
      <alignment vertical="center"/>
    </xf>
    <xf numFmtId="43" fontId="32" fillId="8" borderId="8" xfId="7" applyFont="1" applyFill="1" applyBorder="1" applyAlignment="1">
      <alignment vertical="center"/>
    </xf>
    <xf numFmtId="43" fontId="10" fillId="0" borderId="8" xfId="7" applyFont="1" applyFill="1" applyBorder="1" applyAlignment="1">
      <alignment vertical="center"/>
    </xf>
    <xf numFmtId="44" fontId="32" fillId="0" borderId="8" xfId="2" applyFont="1" applyFill="1" applyBorder="1" applyAlignment="1">
      <alignment vertical="center"/>
    </xf>
    <xf numFmtId="44" fontId="32" fillId="0" borderId="9" xfId="2" applyFont="1" applyFill="1" applyBorder="1" applyAlignment="1">
      <alignment vertical="center"/>
    </xf>
    <xf numFmtId="43" fontId="33" fillId="0" borderId="0" xfId="0" applyNumberFormat="1" applyFont="1" applyAlignment="1">
      <alignment horizontal="center" vertical="center"/>
    </xf>
    <xf numFmtId="49" fontId="30" fillId="8" borderId="0" xfId="0" applyNumberFormat="1" applyFont="1" applyFill="1" applyBorder="1" applyAlignment="1">
      <alignment vertical="center" wrapText="1"/>
    </xf>
    <xf numFmtId="44" fontId="32" fillId="8" borderId="1" xfId="2" applyFont="1" applyFill="1" applyBorder="1" applyAlignment="1">
      <alignment vertical="center"/>
    </xf>
    <xf numFmtId="49" fontId="23" fillId="8" borderId="6" xfId="0" applyNumberFormat="1" applyFont="1" applyFill="1" applyBorder="1" applyAlignment="1">
      <alignment vertical="top"/>
    </xf>
    <xf numFmtId="49" fontId="12" fillId="8" borderId="0" xfId="0" applyNumberFormat="1" applyFont="1" applyFill="1" applyBorder="1" applyAlignment="1">
      <alignment vertical="top" wrapText="1"/>
    </xf>
    <xf numFmtId="43" fontId="23" fillId="8" borderId="0" xfId="7" applyFont="1" applyFill="1" applyBorder="1" applyAlignment="1">
      <alignment horizontal="center" vertical="top"/>
    </xf>
    <xf numFmtId="43" fontId="10" fillId="8" borderId="0" xfId="7" applyFont="1" applyFill="1" applyBorder="1" applyAlignment="1">
      <alignment vertical="center"/>
    </xf>
    <xf numFmtId="44" fontId="32" fillId="8" borderId="0" xfId="2" applyFont="1" applyFill="1" applyBorder="1" applyAlignment="1">
      <alignment vertical="center"/>
    </xf>
    <xf numFmtId="44" fontId="32" fillId="8" borderId="11" xfId="2" applyFont="1" applyFill="1" applyBorder="1" applyAlignment="1">
      <alignment vertical="center"/>
    </xf>
    <xf numFmtId="164" fontId="16" fillId="0" borderId="0" xfId="1" applyFont="1" applyFill="1" applyBorder="1" applyAlignment="1">
      <alignment horizontal="left" vertical="center"/>
    </xf>
    <xf numFmtId="44" fontId="16" fillId="0" borderId="0" xfId="0" applyNumberFormat="1" applyFont="1" applyFill="1" applyBorder="1" applyAlignment="1">
      <alignment horizontal="left" vertical="center"/>
    </xf>
    <xf numFmtId="164" fontId="19" fillId="8" borderId="0" xfId="1" applyFont="1" applyFill="1" applyBorder="1" applyAlignment="1">
      <alignment horizontal="left" vertical="center" shrinkToFit="1"/>
    </xf>
    <xf numFmtId="43" fontId="21" fillId="8" borderId="1" xfId="6" applyFont="1" applyFill="1" applyBorder="1" applyAlignment="1">
      <alignment horizontal="center" vertical="center" wrapText="1"/>
    </xf>
    <xf numFmtId="164" fontId="21" fillId="8" borderId="1" xfId="1" applyFont="1" applyFill="1" applyBorder="1" applyAlignment="1">
      <alignment horizontal="left" vertical="center" shrinkToFit="1"/>
    </xf>
    <xf numFmtId="43" fontId="19" fillId="8" borderId="1" xfId="6" applyFont="1" applyFill="1" applyBorder="1" applyAlignment="1">
      <alignment horizontal="center" vertical="center" wrapText="1"/>
    </xf>
    <xf numFmtId="164" fontId="21" fillId="8" borderId="1" xfId="1" applyFont="1" applyFill="1" applyBorder="1" applyAlignment="1">
      <alignment horizontal="left" vertical="center" wrapText="1"/>
    </xf>
    <xf numFmtId="43" fontId="24" fillId="8" borderId="1" xfId="6" applyFont="1" applyFill="1" applyBorder="1" applyAlignment="1">
      <alignment horizontal="center" vertical="center" wrapText="1"/>
    </xf>
    <xf numFmtId="49" fontId="22" fillId="8" borderId="2" xfId="0" applyNumberFormat="1" applyFont="1" applyFill="1" applyBorder="1" applyAlignment="1">
      <alignment horizontal="center" vertical="center" wrapText="1"/>
    </xf>
    <xf numFmtId="49" fontId="22" fillId="8" borderId="1" xfId="0" applyNumberFormat="1" applyFont="1" applyFill="1" applyBorder="1" applyAlignment="1">
      <alignment horizontal="center" vertical="center" wrapText="1"/>
    </xf>
    <xf numFmtId="49" fontId="22" fillId="8" borderId="1" xfId="0" applyNumberFormat="1" applyFont="1" applyFill="1" applyBorder="1" applyAlignment="1">
      <alignment horizontal="left" vertical="center" wrapText="1"/>
    </xf>
    <xf numFmtId="43" fontId="22" fillId="8" borderId="1" xfId="6" applyFont="1" applyFill="1" applyBorder="1" applyAlignment="1">
      <alignment horizontal="center" vertical="center" wrapText="1"/>
    </xf>
    <xf numFmtId="164" fontId="21" fillId="8" borderId="1" xfId="1" applyFont="1" applyFill="1" applyBorder="1" applyAlignment="1">
      <alignment horizontal="center" vertical="center" wrapText="1"/>
    </xf>
    <xf numFmtId="164" fontId="21" fillId="8" borderId="1" xfId="1" applyFont="1" applyFill="1" applyBorder="1" applyAlignment="1">
      <alignment horizontal="center" vertical="center" wrapText="1" shrinkToFit="1"/>
    </xf>
    <xf numFmtId="43" fontId="21" fillId="8" borderId="1" xfId="6" applyFont="1" applyFill="1" applyBorder="1" applyAlignment="1">
      <alignment horizontal="center" vertical="center"/>
    </xf>
    <xf numFmtId="164" fontId="21" fillId="8" borderId="1" xfId="1" applyFont="1" applyFill="1" applyBorder="1" applyAlignment="1">
      <alignment horizontal="center" vertical="center"/>
    </xf>
    <xf numFmtId="164" fontId="21" fillId="8" borderId="1" xfId="1" applyFont="1" applyFill="1" applyBorder="1" applyAlignment="1">
      <alignment horizontal="left" vertical="center" wrapText="1" shrinkToFit="1"/>
    </xf>
    <xf numFmtId="10" fontId="21" fillId="8" borderId="3" xfId="4" applyNumberFormat="1" applyFont="1" applyFill="1" applyBorder="1" applyAlignment="1">
      <alignment horizontal="center" vertical="center" wrapText="1" shrinkToFit="1"/>
    </xf>
    <xf numFmtId="164" fontId="24" fillId="8" borderId="1" xfId="1" applyFont="1" applyFill="1" applyBorder="1" applyAlignment="1">
      <alignment horizontal="left" vertical="center"/>
    </xf>
    <xf numFmtId="2" fontId="21" fillId="8" borderId="1" xfId="0" applyNumberFormat="1" applyFont="1" applyFill="1" applyBorder="1" applyAlignment="1">
      <alignment horizontal="center" vertical="center" wrapText="1" shrinkToFit="1"/>
    </xf>
    <xf numFmtId="43" fontId="21" fillId="8" borderId="1" xfId="6" applyFont="1" applyFill="1" applyBorder="1" applyAlignment="1">
      <alignment vertical="center"/>
    </xf>
    <xf numFmtId="43" fontId="22" fillId="8" borderId="1" xfId="6" applyFont="1" applyFill="1" applyBorder="1" applyAlignment="1">
      <alignment horizontal="center" vertical="center"/>
    </xf>
    <xf numFmtId="44" fontId="21" fillId="0" borderId="0" xfId="0" applyNumberFormat="1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49" fontId="7" fillId="8" borderId="2" xfId="0" applyNumberFormat="1" applyFont="1" applyFill="1" applyBorder="1" applyAlignment="1">
      <alignment vertical="center"/>
    </xf>
    <xf numFmtId="49" fontId="7" fillId="8" borderId="1" xfId="0" applyNumberFormat="1" applyFont="1" applyFill="1" applyBorder="1" applyAlignment="1">
      <alignment vertical="center"/>
    </xf>
    <xf numFmtId="49" fontId="7" fillId="8" borderId="1" xfId="0" applyNumberFormat="1" applyFont="1" applyFill="1" applyBorder="1" applyAlignment="1">
      <alignment vertical="center" wrapText="1"/>
    </xf>
    <xf numFmtId="43" fontId="7" fillId="8" borderId="1" xfId="6" applyFont="1" applyFill="1" applyBorder="1" applyAlignment="1">
      <alignment vertical="center"/>
    </xf>
    <xf numFmtId="2" fontId="7" fillId="8" borderId="1" xfId="0" applyNumberFormat="1" applyFont="1" applyFill="1" applyBorder="1" applyAlignment="1">
      <alignment horizontal="right" vertical="center" shrinkToFit="1"/>
    </xf>
    <xf numFmtId="164" fontId="7" fillId="8" borderId="1" xfId="1" applyFont="1" applyFill="1" applyBorder="1" applyAlignment="1">
      <alignment vertical="center"/>
    </xf>
    <xf numFmtId="164" fontId="7" fillId="8" borderId="1" xfId="1" applyFont="1" applyFill="1" applyBorder="1" applyAlignment="1">
      <alignment vertical="center" shrinkToFit="1"/>
    </xf>
    <xf numFmtId="43" fontId="7" fillId="8" borderId="1" xfId="6" applyFont="1" applyFill="1" applyBorder="1" applyAlignment="1">
      <alignment horizontal="left" vertical="center" wrapText="1"/>
    </xf>
    <xf numFmtId="43" fontId="7" fillId="8" borderId="1" xfId="6" applyFont="1" applyFill="1" applyBorder="1" applyAlignment="1">
      <alignment horizontal="center" vertical="center" wrapText="1"/>
    </xf>
    <xf numFmtId="43" fontId="6" fillId="8" borderId="1" xfId="6" applyFont="1" applyFill="1" applyBorder="1" applyAlignment="1">
      <alignment vertical="center"/>
    </xf>
    <xf numFmtId="164" fontId="7" fillId="8" borderId="1" xfId="1" applyFont="1" applyFill="1" applyBorder="1" applyAlignment="1">
      <alignment horizontal="center" vertical="center"/>
    </xf>
    <xf numFmtId="164" fontId="7" fillId="8" borderId="1" xfId="1" applyFont="1" applyFill="1" applyBorder="1" applyAlignment="1">
      <alignment horizontal="left" vertical="center" shrinkToFit="1"/>
    </xf>
    <xf numFmtId="10" fontId="7" fillId="8" borderId="3" xfId="4" applyNumberFormat="1" applyFont="1" applyFill="1" applyBorder="1" applyAlignment="1">
      <alignment horizontal="right" vertical="center" shrinkToFit="1"/>
    </xf>
    <xf numFmtId="164" fontId="6" fillId="8" borderId="1" xfId="1" applyFont="1" applyFill="1" applyBorder="1" applyAlignment="1">
      <alignment horizontal="left" vertical="center"/>
    </xf>
    <xf numFmtId="0" fontId="6" fillId="18" borderId="18" xfId="0" applyFont="1" applyFill="1" applyBorder="1" applyAlignment="1">
      <alignment horizontal="center" vertical="center" wrapText="1"/>
    </xf>
    <xf numFmtId="0" fontId="6" fillId="18" borderId="19" xfId="0" applyFont="1" applyFill="1" applyBorder="1" applyAlignment="1">
      <alignment horizontal="center" vertical="center" wrapText="1"/>
    </xf>
    <xf numFmtId="164" fontId="19" fillId="18" borderId="20" xfId="1" applyFont="1" applyFill="1" applyBorder="1" applyAlignment="1">
      <alignment horizontal="center" vertical="center" wrapText="1"/>
    </xf>
    <xf numFmtId="49" fontId="24" fillId="13" borderId="2" xfId="0" applyNumberFormat="1" applyFont="1" applyFill="1" applyBorder="1" applyAlignment="1">
      <alignment horizontal="left" vertical="center"/>
    </xf>
    <xf numFmtId="49" fontId="24" fillId="13" borderId="1" xfId="0" applyNumberFormat="1" applyFont="1" applyFill="1" applyBorder="1" applyAlignment="1">
      <alignment vertical="center"/>
    </xf>
    <xf numFmtId="49" fontId="24" fillId="13" borderId="1" xfId="0" applyNumberFormat="1" applyFont="1" applyFill="1" applyBorder="1" applyAlignment="1">
      <alignment vertical="center" wrapText="1"/>
    </xf>
    <xf numFmtId="43" fontId="24" fillId="13" borderId="1" xfId="6" applyFont="1" applyFill="1" applyBorder="1" applyAlignment="1">
      <alignment horizontal="center" vertical="center"/>
    </xf>
    <xf numFmtId="43" fontId="24" fillId="13" borderId="1" xfId="6" applyFont="1" applyFill="1" applyBorder="1" applyAlignment="1">
      <alignment vertical="center"/>
    </xf>
    <xf numFmtId="0" fontId="19" fillId="13" borderId="1" xfId="0" applyFont="1" applyFill="1" applyBorder="1" applyAlignment="1">
      <alignment horizontal="left" vertical="center" wrapText="1"/>
    </xf>
    <xf numFmtId="164" fontId="19" fillId="13" borderId="1" xfId="1" applyFont="1" applyFill="1" applyBorder="1" applyAlignment="1">
      <alignment vertical="center"/>
    </xf>
    <xf numFmtId="164" fontId="19" fillId="13" borderId="1" xfId="1" applyFont="1" applyFill="1" applyBorder="1" applyAlignment="1">
      <alignment vertical="center" wrapText="1"/>
    </xf>
    <xf numFmtId="43" fontId="19" fillId="13" borderId="1" xfId="6" applyFont="1" applyFill="1" applyBorder="1" applyAlignment="1">
      <alignment horizontal="right" vertical="center" wrapText="1"/>
    </xf>
    <xf numFmtId="43" fontId="19" fillId="13" borderId="1" xfId="6" applyFont="1" applyFill="1" applyBorder="1" applyAlignment="1">
      <alignment horizontal="center" vertical="center" wrapText="1"/>
    </xf>
    <xf numFmtId="164" fontId="19" fillId="13" borderId="1" xfId="1" applyFont="1" applyFill="1" applyBorder="1" applyAlignment="1">
      <alignment horizontal="left" vertical="center" shrinkToFit="1"/>
    </xf>
    <xf numFmtId="10" fontId="19" fillId="13" borderId="3" xfId="4" applyNumberFormat="1" applyFont="1" applyFill="1" applyBorder="1" applyAlignment="1">
      <alignment horizontal="right" vertical="center" shrinkToFit="1"/>
    </xf>
    <xf numFmtId="164" fontId="19" fillId="13" borderId="1" xfId="1" applyFont="1" applyFill="1" applyBorder="1" applyAlignment="1">
      <alignment vertical="center" shrinkToFit="1"/>
    </xf>
    <xf numFmtId="49" fontId="24" fillId="13" borderId="2" xfId="0" applyNumberFormat="1" applyFont="1" applyFill="1" applyBorder="1" applyAlignment="1">
      <alignment horizontal="left" vertical="center" wrapText="1"/>
    </xf>
    <xf numFmtId="49" fontId="24" fillId="13" borderId="1" xfId="0" applyNumberFormat="1" applyFont="1" applyFill="1" applyBorder="1" applyAlignment="1">
      <alignment horizontal="center" vertical="center" wrapText="1"/>
    </xf>
    <xf numFmtId="49" fontId="24" fillId="13" borderId="1" xfId="0" applyNumberFormat="1" applyFont="1" applyFill="1" applyBorder="1" applyAlignment="1">
      <alignment horizontal="left" vertical="center" wrapText="1"/>
    </xf>
    <xf numFmtId="43" fontId="24" fillId="13" borderId="1" xfId="6" applyFont="1" applyFill="1" applyBorder="1" applyAlignment="1">
      <alignment horizontal="center" vertical="center" wrapText="1"/>
    </xf>
    <xf numFmtId="164" fontId="24" fillId="13" borderId="1" xfId="1" applyFont="1" applyFill="1" applyBorder="1" applyAlignment="1">
      <alignment horizontal="center" vertical="center" wrapText="1"/>
    </xf>
    <xf numFmtId="164" fontId="24" fillId="13" borderId="1" xfId="1" applyFont="1" applyFill="1" applyBorder="1" applyAlignment="1">
      <alignment horizontal="left" vertical="center" wrapText="1"/>
    </xf>
    <xf numFmtId="10" fontId="19" fillId="13" borderId="3" xfId="4" applyNumberFormat="1" applyFont="1" applyFill="1" applyBorder="1" applyAlignment="1">
      <alignment horizontal="center" vertical="center" wrapText="1" shrinkToFit="1"/>
    </xf>
    <xf numFmtId="164" fontId="19" fillId="13" borderId="1" xfId="1" applyFont="1" applyFill="1" applyBorder="1" applyAlignment="1">
      <alignment horizontal="center" vertical="center"/>
    </xf>
    <xf numFmtId="164" fontId="24" fillId="13" borderId="1" xfId="1" applyFont="1" applyFill="1" applyBorder="1" applyAlignment="1">
      <alignment vertical="center"/>
    </xf>
    <xf numFmtId="164" fontId="24" fillId="13" borderId="1" xfId="1" applyFont="1" applyFill="1" applyBorder="1" applyAlignment="1">
      <alignment horizontal="left" vertical="center"/>
    </xf>
    <xf numFmtId="43" fontId="24" fillId="13" borderId="1" xfId="6" applyFont="1" applyFill="1" applyBorder="1" applyAlignment="1">
      <alignment vertical="center" wrapText="1"/>
    </xf>
    <xf numFmtId="164" fontId="24" fillId="13" borderId="1" xfId="1" applyFont="1" applyFill="1" applyBorder="1" applyAlignment="1">
      <alignment vertical="center" wrapText="1"/>
    </xf>
    <xf numFmtId="10" fontId="19" fillId="13" borderId="3" xfId="4" applyNumberFormat="1" applyFont="1" applyFill="1" applyBorder="1" applyAlignment="1">
      <alignment vertical="center" wrapText="1" shrinkToFit="1"/>
    </xf>
    <xf numFmtId="0" fontId="19" fillId="13" borderId="7" xfId="0" applyFont="1" applyFill="1" applyBorder="1" applyAlignment="1">
      <alignment horizontal="left" vertical="center" wrapText="1"/>
    </xf>
    <xf numFmtId="0" fontId="19" fillId="13" borderId="8" xfId="0" applyFont="1" applyFill="1" applyBorder="1" applyAlignment="1">
      <alignment horizontal="left" vertical="center" wrapText="1"/>
    </xf>
    <xf numFmtId="0" fontId="6" fillId="13" borderId="8" xfId="0" applyFont="1" applyFill="1" applyBorder="1" applyAlignment="1">
      <alignment vertical="center" wrapText="1"/>
    </xf>
    <xf numFmtId="43" fontId="24" fillId="13" borderId="8" xfId="6" applyFont="1" applyFill="1" applyBorder="1" applyAlignment="1">
      <alignment vertical="center"/>
    </xf>
    <xf numFmtId="164" fontId="19" fillId="13" borderId="8" xfId="1" applyFont="1" applyFill="1" applyBorder="1" applyAlignment="1">
      <alignment horizontal="right" vertical="center" wrapText="1"/>
    </xf>
    <xf numFmtId="44" fontId="19" fillId="13" borderId="8" xfId="0" applyNumberFormat="1" applyFont="1" applyFill="1" applyBorder="1" applyAlignment="1">
      <alignment vertical="center" shrinkToFit="1"/>
    </xf>
    <xf numFmtId="43" fontId="19" fillId="13" borderId="8" xfId="6" applyFont="1" applyFill="1" applyBorder="1" applyAlignment="1">
      <alignment horizontal="left" vertical="center" wrapText="1"/>
    </xf>
    <xf numFmtId="43" fontId="19" fillId="13" borderId="8" xfId="6" applyFont="1" applyFill="1" applyBorder="1" applyAlignment="1">
      <alignment horizontal="center" vertical="center" wrapText="1"/>
    </xf>
    <xf numFmtId="164" fontId="19" fillId="13" borderId="8" xfId="1" applyFont="1" applyFill="1" applyBorder="1" applyAlignment="1">
      <alignment vertical="center" shrinkToFit="1"/>
    </xf>
    <xf numFmtId="164" fontId="19" fillId="13" borderId="8" xfId="1" applyFont="1" applyFill="1" applyBorder="1" applyAlignment="1">
      <alignment horizontal="left" vertical="center" shrinkToFit="1"/>
    </xf>
    <xf numFmtId="10" fontId="19" fillId="13" borderId="9" xfId="4" applyNumberFormat="1" applyFont="1" applyFill="1" applyBorder="1" applyAlignment="1">
      <alignment horizontal="right" vertical="center" shrinkToFit="1"/>
    </xf>
    <xf numFmtId="49" fontId="24" fillId="6" borderId="2" xfId="0" applyNumberFormat="1" applyFont="1" applyFill="1" applyBorder="1" applyAlignment="1">
      <alignment horizontal="left" vertical="center"/>
    </xf>
    <xf numFmtId="49" fontId="24" fillId="6" borderId="1" xfId="0" applyNumberFormat="1" applyFont="1" applyFill="1" applyBorder="1" applyAlignment="1">
      <alignment vertical="center"/>
    </xf>
    <xf numFmtId="49" fontId="24" fillId="6" borderId="1" xfId="0" applyNumberFormat="1" applyFont="1" applyFill="1" applyBorder="1" applyAlignment="1">
      <alignment vertical="center" wrapText="1"/>
    </xf>
    <xf numFmtId="43" fontId="24" fillId="6" borderId="1" xfId="6" applyFont="1" applyFill="1" applyBorder="1" applyAlignment="1">
      <alignment vertical="center"/>
    </xf>
    <xf numFmtId="0" fontId="19" fillId="6" borderId="1" xfId="0" applyFont="1" applyFill="1" applyBorder="1" applyAlignment="1">
      <alignment horizontal="left" vertical="center" wrapText="1"/>
    </xf>
    <xf numFmtId="164" fontId="19" fillId="6" borderId="1" xfId="1" applyFont="1" applyFill="1" applyBorder="1" applyAlignment="1">
      <alignment vertical="center"/>
    </xf>
    <xf numFmtId="164" fontId="19" fillId="6" borderId="1" xfId="1" applyFont="1" applyFill="1" applyBorder="1" applyAlignment="1">
      <alignment vertical="center" wrapText="1"/>
    </xf>
    <xf numFmtId="43" fontId="19" fillId="6" borderId="1" xfId="6" applyFont="1" applyFill="1" applyBorder="1" applyAlignment="1">
      <alignment horizontal="right" vertical="center" wrapText="1"/>
    </xf>
    <xf numFmtId="43" fontId="19" fillId="6" borderId="1" xfId="6" applyFont="1" applyFill="1" applyBorder="1" applyAlignment="1">
      <alignment horizontal="center" vertical="center" wrapText="1"/>
    </xf>
    <xf numFmtId="164" fontId="19" fillId="6" borderId="1" xfId="1" applyFont="1" applyFill="1" applyBorder="1" applyAlignment="1">
      <alignment horizontal="left" vertical="center" shrinkToFit="1"/>
    </xf>
    <xf numFmtId="10" fontId="19" fillId="6" borderId="3" xfId="4" applyNumberFormat="1" applyFont="1" applyFill="1" applyBorder="1" applyAlignment="1">
      <alignment horizontal="right" vertical="center" shrinkToFit="1"/>
    </xf>
    <xf numFmtId="164" fontId="19" fillId="6" borderId="1" xfId="1" applyFont="1" applyFill="1" applyBorder="1" applyAlignment="1">
      <alignment vertical="center" shrinkToFit="1"/>
    </xf>
    <xf numFmtId="49" fontId="24" fillId="6" borderId="2" xfId="0" applyNumberFormat="1" applyFont="1" applyFill="1" applyBorder="1" applyAlignment="1">
      <alignment horizontal="left" vertical="center" wrapText="1"/>
    </xf>
    <xf numFmtId="49" fontId="24" fillId="6" borderId="1" xfId="0" applyNumberFormat="1" applyFont="1" applyFill="1" applyBorder="1" applyAlignment="1">
      <alignment horizontal="center" vertical="center" wrapText="1"/>
    </xf>
    <xf numFmtId="49" fontId="24" fillId="6" borderId="1" xfId="0" applyNumberFormat="1" applyFont="1" applyFill="1" applyBorder="1" applyAlignment="1">
      <alignment horizontal="left" vertical="center" wrapText="1"/>
    </xf>
    <xf numFmtId="43" fontId="24" fillId="6" borderId="1" xfId="6" applyFont="1" applyFill="1" applyBorder="1" applyAlignment="1">
      <alignment horizontal="center" vertical="center" wrapText="1"/>
    </xf>
    <xf numFmtId="164" fontId="24" fillId="6" borderId="1" xfId="1" applyFont="1" applyFill="1" applyBorder="1" applyAlignment="1">
      <alignment horizontal="center" vertical="center" wrapText="1"/>
    </xf>
    <xf numFmtId="10" fontId="19" fillId="6" borderId="3" xfId="4" applyNumberFormat="1" applyFont="1" applyFill="1" applyBorder="1" applyAlignment="1">
      <alignment horizontal="center" vertical="center" wrapText="1" shrinkToFit="1"/>
    </xf>
    <xf numFmtId="164" fontId="19" fillId="6" borderId="1" xfId="1" applyFont="1" applyFill="1" applyBorder="1" applyAlignment="1">
      <alignment horizontal="center" vertical="center"/>
    </xf>
    <xf numFmtId="164" fontId="24" fillId="6" borderId="1" xfId="1" applyFont="1" applyFill="1" applyBorder="1" applyAlignment="1">
      <alignment vertical="center"/>
    </xf>
    <xf numFmtId="164" fontId="24" fillId="6" borderId="1" xfId="1" applyFont="1" applyFill="1" applyBorder="1" applyAlignment="1">
      <alignment horizontal="left" vertical="center"/>
    </xf>
    <xf numFmtId="43" fontId="6" fillId="6" borderId="1" xfId="6" applyFont="1" applyFill="1" applyBorder="1" applyAlignment="1">
      <alignment vertical="center"/>
    </xf>
    <xf numFmtId="164" fontId="19" fillId="6" borderId="1" xfId="1" applyFont="1" applyFill="1" applyBorder="1" applyAlignment="1">
      <alignment horizontal="left" vertical="center" wrapText="1"/>
    </xf>
    <xf numFmtId="43" fontId="24" fillId="6" borderId="1" xfId="6" applyFont="1" applyFill="1" applyBorder="1" applyAlignment="1">
      <alignment horizontal="right" vertical="center"/>
    </xf>
    <xf numFmtId="164" fontId="19" fillId="6" borderId="1" xfId="1" applyFont="1" applyFill="1" applyBorder="1" applyAlignment="1">
      <alignment horizontal="left" vertical="center"/>
    </xf>
    <xf numFmtId="164" fontId="19" fillId="6" borderId="1" xfId="1" applyFont="1" applyFill="1" applyBorder="1" applyAlignment="1">
      <alignment horizontal="center" vertical="center" wrapText="1"/>
    </xf>
    <xf numFmtId="0" fontId="6" fillId="18" borderId="21" xfId="0" applyFont="1" applyFill="1" applyBorder="1" applyAlignment="1">
      <alignment horizontal="left" vertical="center" wrapText="1"/>
    </xf>
    <xf numFmtId="0" fontId="6" fillId="18" borderId="22" xfId="0" applyFont="1" applyFill="1" applyBorder="1" applyAlignment="1">
      <alignment horizontal="center" vertical="center"/>
    </xf>
    <xf numFmtId="0" fontId="6" fillId="18" borderId="22" xfId="0" applyFont="1" applyFill="1" applyBorder="1" applyAlignment="1">
      <alignment horizontal="center" vertical="center" wrapText="1"/>
    </xf>
    <xf numFmtId="0" fontId="6" fillId="18" borderId="22" xfId="0" applyFont="1" applyFill="1" applyBorder="1" applyAlignment="1">
      <alignment horizontal="left" vertical="center" wrapText="1"/>
    </xf>
    <xf numFmtId="0" fontId="21" fillId="18" borderId="22" xfId="0" applyFont="1" applyFill="1" applyBorder="1" applyAlignment="1">
      <alignment horizontal="center" vertical="center" wrapText="1"/>
    </xf>
    <xf numFmtId="43" fontId="6" fillId="18" borderId="22" xfId="6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/>
    </xf>
    <xf numFmtId="10" fontId="16" fillId="0" borderId="0" xfId="0" applyNumberFormat="1" applyFont="1" applyFill="1" applyBorder="1" applyAlignment="1">
      <alignment vertical="center" shrinkToFit="1"/>
    </xf>
    <xf numFmtId="164" fontId="19" fillId="0" borderId="0" xfId="1" applyFont="1" applyFill="1" applyBorder="1" applyAlignment="1">
      <alignment horizontal="right" vertical="center"/>
    </xf>
    <xf numFmtId="164" fontId="19" fillId="0" borderId="0" xfId="1" applyFont="1" applyFill="1" applyBorder="1" applyAlignment="1">
      <alignment vertical="center" wrapText="1"/>
    </xf>
    <xf numFmtId="43" fontId="6" fillId="0" borderId="0" xfId="6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 wrapText="1"/>
    </xf>
    <xf numFmtId="164" fontId="6" fillId="0" borderId="0" xfId="1" applyFont="1" applyFill="1" applyBorder="1" applyAlignment="1">
      <alignment horizontal="right" vertical="center" wrapText="1"/>
    </xf>
    <xf numFmtId="14" fontId="19" fillId="0" borderId="0" xfId="6" applyNumberFormat="1" applyFont="1" applyFill="1" applyBorder="1" applyAlignment="1">
      <alignment horizontal="right" vertical="center"/>
    </xf>
    <xf numFmtId="164" fontId="19" fillId="0" borderId="0" xfId="1" applyFont="1" applyFill="1" applyBorder="1" applyAlignment="1">
      <alignment vertical="center"/>
    </xf>
    <xf numFmtId="14" fontId="19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4" fontId="21" fillId="0" borderId="0" xfId="0" applyNumberFormat="1" applyFont="1" applyFill="1" applyBorder="1" applyAlignment="1">
      <alignment horizontal="right" vertical="center" shrinkToFit="1"/>
    </xf>
    <xf numFmtId="43" fontId="6" fillId="8" borderId="23" xfId="6" applyFont="1" applyFill="1" applyBorder="1" applyAlignment="1">
      <alignment horizontal="center" vertical="center" wrapText="1"/>
    </xf>
    <xf numFmtId="0" fontId="6" fillId="8" borderId="23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right" vertical="center" wrapText="1"/>
    </xf>
    <xf numFmtId="164" fontId="17" fillId="0" borderId="24" xfId="1" applyFont="1" applyFill="1" applyBorder="1" applyAlignment="1">
      <alignment horizontal="center" vertical="center" shrinkToFit="1"/>
    </xf>
    <xf numFmtId="0" fontId="6" fillId="8" borderId="23" xfId="0" applyFont="1" applyFill="1" applyBorder="1" applyAlignment="1">
      <alignment horizontal="center" wrapText="1"/>
    </xf>
    <xf numFmtId="43" fontId="6" fillId="8" borderId="25" xfId="6" applyFont="1" applyFill="1" applyBorder="1" applyAlignment="1">
      <alignment horizontal="center" vertical="center" wrapText="1"/>
    </xf>
    <xf numFmtId="0" fontId="6" fillId="8" borderId="25" xfId="0" applyFont="1" applyFill="1" applyBorder="1" applyAlignment="1">
      <alignment horizontal="center" vertical="center" wrapText="1"/>
    </xf>
    <xf numFmtId="164" fontId="6" fillId="8" borderId="23" xfId="1" applyFont="1" applyFill="1" applyBorder="1" applyAlignment="1">
      <alignment horizontal="center" vertical="center" wrapText="1"/>
    </xf>
    <xf numFmtId="43" fontId="19" fillId="0" borderId="0" xfId="6" applyFont="1" applyFill="1" applyBorder="1" applyAlignment="1">
      <alignment horizontal="right" vertical="center" wrapText="1"/>
    </xf>
    <xf numFmtId="14" fontId="19" fillId="0" borderId="0" xfId="0" applyNumberFormat="1" applyFont="1" applyFill="1" applyBorder="1" applyAlignment="1">
      <alignment horizontal="left" vertical="center"/>
    </xf>
    <xf numFmtId="10" fontId="19" fillId="0" borderId="0" xfId="0" applyNumberFormat="1" applyFont="1" applyFill="1" applyBorder="1" applyAlignment="1">
      <alignment horizontal="left" vertical="center"/>
    </xf>
    <xf numFmtId="164" fontId="19" fillId="0" borderId="0" xfId="1" quotePrefix="1" applyFont="1" applyFill="1" applyBorder="1" applyAlignment="1">
      <alignment horizontal="center"/>
    </xf>
    <xf numFmtId="9" fontId="21" fillId="8" borderId="1" xfId="4" applyFont="1" applyFill="1" applyBorder="1" applyAlignment="1">
      <alignment horizontal="right" vertical="center" wrapText="1"/>
    </xf>
    <xf numFmtId="2" fontId="21" fillId="8" borderId="1" xfId="0" applyNumberFormat="1" applyFont="1" applyFill="1" applyBorder="1" applyAlignment="1">
      <alignment horizontal="right" vertical="center" wrapText="1" shrinkToFit="1"/>
    </xf>
    <xf numFmtId="164" fontId="21" fillId="8" borderId="1" xfId="1" applyFont="1" applyFill="1" applyBorder="1" applyAlignment="1">
      <alignment horizontal="right" vertical="center" wrapText="1" shrinkToFit="1"/>
    </xf>
    <xf numFmtId="9" fontId="6" fillId="18" borderId="22" xfId="4" applyFont="1" applyFill="1" applyBorder="1" applyAlignment="1">
      <alignment horizontal="center" vertical="center" wrapText="1"/>
    </xf>
    <xf numFmtId="164" fontId="19" fillId="0" borderId="0" xfId="1" applyFont="1" applyFill="1" applyBorder="1" applyAlignment="1">
      <alignment horizontal="left" vertical="center" wrapText="1"/>
    </xf>
    <xf numFmtId="43" fontId="31" fillId="15" borderId="1" xfId="0" applyNumberFormat="1" applyFont="1" applyFill="1" applyBorder="1" applyAlignment="1">
      <alignment horizontal="center" vertical="center"/>
    </xf>
    <xf numFmtId="0" fontId="6" fillId="8" borderId="25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/>
    </xf>
    <xf numFmtId="164" fontId="17" fillId="0" borderId="24" xfId="1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/>
    </xf>
    <xf numFmtId="164" fontId="19" fillId="6" borderId="3" xfId="1" applyFont="1" applyFill="1" applyBorder="1" applyAlignment="1">
      <alignment horizontal="center" vertical="center" wrapText="1" shrinkToFit="1"/>
    </xf>
    <xf numFmtId="0" fontId="19" fillId="0" borderId="0" xfId="0" applyFont="1" applyFill="1" applyBorder="1" applyAlignment="1">
      <alignment horizontal="left" vertical="center"/>
    </xf>
    <xf numFmtId="0" fontId="6" fillId="7" borderId="33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9" fontId="19" fillId="6" borderId="3" xfId="4" applyFont="1" applyFill="1" applyBorder="1" applyAlignment="1">
      <alignment horizontal="center" vertical="center" wrapText="1" shrinkToFit="1"/>
    </xf>
    <xf numFmtId="43" fontId="19" fillId="0" borderId="0" xfId="0" applyNumberFormat="1" applyFont="1" applyFill="1" applyBorder="1" applyAlignment="1">
      <alignment horizontal="left" vertical="center"/>
    </xf>
    <xf numFmtId="164" fontId="21" fillId="6" borderId="1" xfId="1" applyFont="1" applyFill="1" applyBorder="1" applyAlignment="1">
      <alignment horizontal="center" vertical="center" wrapText="1"/>
    </xf>
    <xf numFmtId="43" fontId="22" fillId="6" borderId="1" xfId="6" applyFont="1" applyFill="1" applyBorder="1" applyAlignment="1">
      <alignment vertical="center"/>
    </xf>
    <xf numFmtId="14" fontId="19" fillId="0" borderId="0" xfId="6" applyNumberFormat="1" applyFont="1" applyFill="1" applyBorder="1" applyAlignment="1">
      <alignment horizontal="left" vertical="center"/>
    </xf>
    <xf numFmtId="164" fontId="19" fillId="0" borderId="0" xfId="1" quotePrefix="1" applyFont="1" applyFill="1" applyBorder="1" applyAlignment="1">
      <alignment horizontal="left"/>
    </xf>
    <xf numFmtId="10" fontId="19" fillId="0" borderId="0" xfId="4" applyNumberFormat="1" applyFont="1" applyFill="1" applyBorder="1" applyAlignment="1">
      <alignment horizontal="left" vertical="center" wrapText="1"/>
    </xf>
    <xf numFmtId="14" fontId="19" fillId="0" borderId="0" xfId="1" applyNumberFormat="1" applyFont="1" applyFill="1" applyBorder="1" applyAlignment="1">
      <alignment horizontal="left" vertical="center"/>
    </xf>
    <xf numFmtId="172" fontId="0" fillId="0" borderId="1" xfId="0" applyNumberFormat="1" applyFill="1" applyBorder="1" applyAlignment="1">
      <alignment horizontal="center" vertical="center"/>
    </xf>
    <xf numFmtId="43" fontId="21" fillId="0" borderId="0" xfId="6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43" fontId="17" fillId="0" borderId="0" xfId="6" applyFont="1" applyFill="1" applyBorder="1" applyAlignment="1">
      <alignment horizontal="left" vertical="center"/>
    </xf>
    <xf numFmtId="4" fontId="19" fillId="0" borderId="1" xfId="0" applyNumberFormat="1" applyFont="1" applyFill="1" applyBorder="1" applyAlignment="1">
      <alignment horizontal="right" vertical="center" shrinkToFit="1"/>
    </xf>
    <xf numFmtId="4" fontId="19" fillId="0" borderId="0" xfId="0" applyNumberFormat="1" applyFont="1" applyFill="1" applyBorder="1" applyAlignment="1">
      <alignment horizontal="right" vertical="center" shrinkToFit="1"/>
    </xf>
    <xf numFmtId="164" fontId="17" fillId="0" borderId="0" xfId="1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/>
    </xf>
    <xf numFmtId="164" fontId="38" fillId="0" borderId="24" xfId="1" applyFont="1" applyFill="1" applyBorder="1" applyAlignment="1">
      <alignment horizontal="center" vertical="center" shrinkToFit="1"/>
    </xf>
    <xf numFmtId="0" fontId="11" fillId="8" borderId="23" xfId="0" applyFont="1" applyFill="1" applyBorder="1" applyAlignment="1">
      <alignment horizontal="center" vertical="center" wrapText="1"/>
    </xf>
    <xf numFmtId="43" fontId="11" fillId="8" borderId="23" xfId="6" applyFont="1" applyFill="1" applyBorder="1" applyAlignment="1">
      <alignment horizontal="center" vertical="center" wrapText="1"/>
    </xf>
    <xf numFmtId="164" fontId="11" fillId="8" borderId="23" xfId="1" applyFont="1" applyFill="1" applyBorder="1" applyAlignment="1">
      <alignment horizontal="center" vertical="center" wrapText="1"/>
    </xf>
    <xf numFmtId="43" fontId="11" fillId="8" borderId="25" xfId="6" applyFont="1" applyFill="1" applyBorder="1" applyAlignment="1">
      <alignment horizontal="center" vertical="center" wrapText="1"/>
    </xf>
    <xf numFmtId="0" fontId="11" fillId="8" borderId="25" xfId="0" applyFont="1" applyFill="1" applyBorder="1" applyAlignment="1">
      <alignment horizontal="center" vertical="center" wrapText="1"/>
    </xf>
    <xf numFmtId="0" fontId="11" fillId="18" borderId="21" xfId="0" applyFont="1" applyFill="1" applyBorder="1" applyAlignment="1">
      <alignment vertical="center" wrapText="1"/>
    </xf>
    <xf numFmtId="0" fontId="11" fillId="18" borderId="22" xfId="0" applyFont="1" applyFill="1" applyBorder="1" applyAlignment="1">
      <alignment vertical="center"/>
    </xf>
    <xf numFmtId="0" fontId="11" fillId="18" borderId="22" xfId="0" applyFont="1" applyFill="1" applyBorder="1" applyAlignment="1">
      <alignment vertical="center" wrapText="1"/>
    </xf>
    <xf numFmtId="0" fontId="11" fillId="18" borderId="18" xfId="0" applyFont="1" applyFill="1" applyBorder="1" applyAlignment="1">
      <alignment vertical="center" wrapText="1"/>
    </xf>
    <xf numFmtId="0" fontId="37" fillId="18" borderId="22" xfId="0" applyFont="1" applyFill="1" applyBorder="1" applyAlignment="1">
      <alignment vertical="center" wrapText="1"/>
    </xf>
    <xf numFmtId="164" fontId="38" fillId="18" borderId="20" xfId="1" applyFont="1" applyFill="1" applyBorder="1" applyAlignment="1">
      <alignment vertical="center" wrapText="1"/>
    </xf>
    <xf numFmtId="0" fontId="11" fillId="18" borderId="19" xfId="0" applyFont="1" applyFill="1" applyBorder="1" applyAlignment="1">
      <alignment vertical="center" wrapText="1"/>
    </xf>
    <xf numFmtId="43" fontId="11" fillId="18" borderId="22" xfId="6" applyFont="1" applyFill="1" applyBorder="1" applyAlignment="1">
      <alignment vertical="center" wrapText="1"/>
    </xf>
    <xf numFmtId="164" fontId="11" fillId="18" borderId="22" xfId="1" applyFont="1" applyFill="1" applyBorder="1" applyAlignment="1">
      <alignment vertical="center" wrapText="1"/>
    </xf>
    <xf numFmtId="9" fontId="11" fillId="18" borderId="22" xfId="4" applyFont="1" applyFill="1" applyBorder="1" applyAlignment="1">
      <alignment vertical="center" wrapText="1"/>
    </xf>
    <xf numFmtId="49" fontId="39" fillId="13" borderId="2" xfId="0" applyNumberFormat="1" applyFont="1" applyFill="1" applyBorder="1" applyAlignment="1">
      <alignment horizontal="left" vertical="center"/>
    </xf>
    <xf numFmtId="49" fontId="39" fillId="13" borderId="1" xfId="0" applyNumberFormat="1" applyFont="1" applyFill="1" applyBorder="1" applyAlignment="1">
      <alignment vertical="center"/>
    </xf>
    <xf numFmtId="49" fontId="39" fillId="13" borderId="1" xfId="0" applyNumberFormat="1" applyFont="1" applyFill="1" applyBorder="1" applyAlignment="1">
      <alignment vertical="center" wrapText="1"/>
    </xf>
    <xf numFmtId="43" fontId="39" fillId="13" borderId="1" xfId="6" applyFont="1" applyFill="1" applyBorder="1" applyAlignment="1">
      <alignment horizontal="center" vertical="center"/>
    </xf>
    <xf numFmtId="0" fontId="38" fillId="13" borderId="1" xfId="0" applyFont="1" applyFill="1" applyBorder="1" applyAlignment="1">
      <alignment horizontal="left" vertical="center" wrapText="1"/>
    </xf>
    <xf numFmtId="164" fontId="38" fillId="13" borderId="1" xfId="1" applyFont="1" applyFill="1" applyBorder="1" applyAlignment="1">
      <alignment vertical="center"/>
    </xf>
    <xf numFmtId="43" fontId="39" fillId="13" borderId="1" xfId="6" applyFont="1" applyFill="1" applyBorder="1" applyAlignment="1">
      <alignment vertical="center"/>
    </xf>
    <xf numFmtId="43" fontId="38" fillId="13" borderId="1" xfId="6" applyFont="1" applyFill="1" applyBorder="1" applyAlignment="1">
      <alignment horizontal="right" vertical="center" wrapText="1"/>
    </xf>
    <xf numFmtId="43" fontId="38" fillId="13" borderId="1" xfId="6" applyFont="1" applyFill="1" applyBorder="1" applyAlignment="1">
      <alignment horizontal="center" vertical="center" wrapText="1"/>
    </xf>
    <xf numFmtId="164" fontId="38" fillId="13" borderId="1" xfId="1" applyFont="1" applyFill="1" applyBorder="1" applyAlignment="1">
      <alignment vertical="center" wrapText="1"/>
    </xf>
    <xf numFmtId="10" fontId="38" fillId="13" borderId="3" xfId="4" applyNumberFormat="1" applyFont="1" applyFill="1" applyBorder="1" applyAlignment="1">
      <alignment vertical="center" shrinkToFit="1"/>
    </xf>
    <xf numFmtId="49" fontId="40" fillId="8" borderId="2" xfId="0" applyNumberFormat="1" applyFont="1" applyFill="1" applyBorder="1" applyAlignment="1">
      <alignment vertical="center"/>
    </xf>
    <xf numFmtId="49" fontId="40" fillId="8" borderId="1" xfId="0" applyNumberFormat="1" applyFont="1" applyFill="1" applyBorder="1" applyAlignment="1">
      <alignment vertical="center"/>
    </xf>
    <xf numFmtId="49" fontId="40" fillId="8" borderId="1" xfId="0" applyNumberFormat="1" applyFont="1" applyFill="1" applyBorder="1" applyAlignment="1">
      <alignment vertical="center" wrapText="1"/>
    </xf>
    <xf numFmtId="43" fontId="40" fillId="8" borderId="1" xfId="6" applyFont="1" applyFill="1" applyBorder="1" applyAlignment="1">
      <alignment vertical="center"/>
    </xf>
    <xf numFmtId="0" fontId="37" fillId="8" borderId="1" xfId="0" applyFont="1" applyFill="1" applyBorder="1" applyAlignment="1">
      <alignment horizontal="left" vertical="center" wrapText="1"/>
    </xf>
    <xf numFmtId="164" fontId="37" fillId="8" borderId="1" xfId="1" applyFont="1" applyFill="1" applyBorder="1" applyAlignment="1">
      <alignment vertical="center"/>
    </xf>
    <xf numFmtId="43" fontId="37" fillId="8" borderId="1" xfId="6" applyFont="1" applyFill="1" applyBorder="1" applyAlignment="1">
      <alignment horizontal="right" vertical="center" wrapText="1"/>
    </xf>
    <xf numFmtId="43" fontId="37" fillId="8" borderId="1" xfId="6" applyFont="1" applyFill="1" applyBorder="1" applyAlignment="1">
      <alignment horizontal="center" vertical="center" wrapText="1"/>
    </xf>
    <xf numFmtId="164" fontId="37" fillId="8" borderId="1" xfId="1" applyFont="1" applyFill="1" applyBorder="1" applyAlignment="1">
      <alignment vertical="center" shrinkToFit="1"/>
    </xf>
    <xf numFmtId="10" fontId="37" fillId="8" borderId="3" xfId="4" applyNumberFormat="1" applyFont="1" applyFill="1" applyBorder="1" applyAlignment="1">
      <alignment vertical="center" shrinkToFit="1"/>
    </xf>
    <xf numFmtId="2" fontId="37" fillId="8" borderId="1" xfId="0" applyNumberFormat="1" applyFont="1" applyFill="1" applyBorder="1" applyAlignment="1">
      <alignment horizontal="right" vertical="center" shrinkToFit="1"/>
    </xf>
    <xf numFmtId="0" fontId="11" fillId="8" borderId="1" xfId="0" applyFont="1" applyFill="1" applyBorder="1" applyAlignment="1">
      <alignment vertical="center" wrapText="1"/>
    </xf>
    <xf numFmtId="164" fontId="38" fillId="13" borderId="1" xfId="1" applyFont="1" applyFill="1" applyBorder="1" applyAlignment="1">
      <alignment vertical="center" shrinkToFit="1"/>
    </xf>
    <xf numFmtId="174" fontId="38" fillId="13" borderId="1" xfId="1" applyNumberFormat="1" applyFont="1" applyFill="1" applyBorder="1" applyAlignment="1">
      <alignment vertical="center" shrinkToFit="1"/>
    </xf>
    <xf numFmtId="175" fontId="37" fillId="8" borderId="1" xfId="6" applyNumberFormat="1" applyFont="1" applyFill="1" applyBorder="1" applyAlignment="1">
      <alignment horizontal="right" vertical="center" wrapText="1"/>
    </xf>
    <xf numFmtId="174" fontId="37" fillId="8" borderId="1" xfId="1" applyNumberFormat="1" applyFont="1" applyFill="1" applyBorder="1" applyAlignment="1">
      <alignment vertical="center" shrinkToFit="1"/>
    </xf>
    <xf numFmtId="177" fontId="38" fillId="13" borderId="1" xfId="1" applyNumberFormat="1" applyFont="1" applyFill="1" applyBorder="1" applyAlignment="1">
      <alignment vertical="center" shrinkToFit="1"/>
    </xf>
    <xf numFmtId="49" fontId="39" fillId="6" borderId="2" xfId="0" applyNumberFormat="1" applyFont="1" applyFill="1" applyBorder="1" applyAlignment="1">
      <alignment horizontal="left" vertical="center"/>
    </xf>
    <xf numFmtId="49" fontId="39" fillId="6" borderId="1" xfId="0" applyNumberFormat="1" applyFont="1" applyFill="1" applyBorder="1" applyAlignment="1">
      <alignment vertical="center"/>
    </xf>
    <xf numFmtId="49" fontId="39" fillId="6" borderId="1" xfId="0" applyNumberFormat="1" applyFont="1" applyFill="1" applyBorder="1" applyAlignment="1">
      <alignment vertical="center" wrapText="1"/>
    </xf>
    <xf numFmtId="43" fontId="39" fillId="6" borderId="1" xfId="6" applyFont="1" applyFill="1" applyBorder="1" applyAlignment="1">
      <alignment vertical="center"/>
    </xf>
    <xf numFmtId="0" fontId="38" fillId="6" borderId="1" xfId="0" applyFont="1" applyFill="1" applyBorder="1" applyAlignment="1">
      <alignment horizontal="left" vertical="center" wrapText="1"/>
    </xf>
    <xf numFmtId="164" fontId="38" fillId="6" borderId="1" xfId="1" applyFont="1" applyFill="1" applyBorder="1" applyAlignment="1">
      <alignment vertical="center"/>
    </xf>
    <xf numFmtId="164" fontId="38" fillId="6" borderId="1" xfId="1" applyFont="1" applyFill="1" applyBorder="1" applyAlignment="1">
      <alignment vertical="center" wrapText="1"/>
    </xf>
    <xf numFmtId="177" fontId="38" fillId="6" borderId="1" xfId="1" applyNumberFormat="1" applyFont="1" applyFill="1" applyBorder="1" applyAlignment="1">
      <alignment vertical="center" wrapText="1"/>
    </xf>
    <xf numFmtId="10" fontId="38" fillId="6" borderId="3" xfId="4" applyNumberFormat="1" applyFont="1" applyFill="1" applyBorder="1" applyAlignment="1">
      <alignment vertical="center" shrinkToFit="1"/>
    </xf>
    <xf numFmtId="49" fontId="41" fillId="8" borderId="2" xfId="0" applyNumberFormat="1" applyFont="1" applyFill="1" applyBorder="1" applyAlignment="1">
      <alignment vertical="center"/>
    </xf>
    <xf numFmtId="43" fontId="40" fillId="8" borderId="1" xfId="6" applyFont="1" applyFill="1" applyBorder="1" applyAlignment="1">
      <alignment horizontal="right" vertical="center"/>
    </xf>
    <xf numFmtId="177" fontId="37" fillId="8" borderId="1" xfId="1" applyNumberFormat="1" applyFont="1" applyFill="1" applyBorder="1" applyAlignment="1">
      <alignment vertical="center" shrinkToFit="1"/>
    </xf>
    <xf numFmtId="176" fontId="37" fillId="8" borderId="1" xfId="6" applyNumberFormat="1" applyFont="1" applyFill="1" applyBorder="1" applyAlignment="1">
      <alignment horizontal="right" vertical="center" wrapText="1"/>
    </xf>
    <xf numFmtId="43" fontId="39" fillId="6" borderId="1" xfId="6" applyFont="1" applyFill="1" applyBorder="1" applyAlignment="1">
      <alignment horizontal="right" vertical="center"/>
    </xf>
    <xf numFmtId="43" fontId="38" fillId="6" borderId="1" xfId="6" applyFont="1" applyFill="1" applyBorder="1" applyAlignment="1">
      <alignment horizontal="right" vertical="center" wrapText="1"/>
    </xf>
    <xf numFmtId="43" fontId="38" fillId="6" borderId="1" xfId="6" applyFont="1" applyFill="1" applyBorder="1" applyAlignment="1">
      <alignment horizontal="center" vertical="center" wrapText="1"/>
    </xf>
    <xf numFmtId="49" fontId="39" fillId="13" borderId="2" xfId="0" applyNumberFormat="1" applyFont="1" applyFill="1" applyBorder="1" applyAlignment="1">
      <alignment horizontal="left" vertical="center" wrapText="1"/>
    </xf>
    <xf numFmtId="49" fontId="39" fillId="13" borderId="1" xfId="0" applyNumberFormat="1" applyFont="1" applyFill="1" applyBorder="1" applyAlignment="1">
      <alignment horizontal="center" vertical="center" wrapText="1"/>
    </xf>
    <xf numFmtId="49" fontId="39" fillId="13" borderId="1" xfId="0" applyNumberFormat="1" applyFont="1" applyFill="1" applyBorder="1" applyAlignment="1">
      <alignment horizontal="left" vertical="center" wrapText="1"/>
    </xf>
    <xf numFmtId="164" fontId="39" fillId="13" borderId="1" xfId="1" applyFont="1" applyFill="1" applyBorder="1" applyAlignment="1">
      <alignment horizontal="center" vertical="center" wrapText="1"/>
    </xf>
    <xf numFmtId="10" fontId="38" fillId="13" borderId="3" xfId="4" applyNumberFormat="1" applyFont="1" applyFill="1" applyBorder="1" applyAlignment="1">
      <alignment vertical="center" wrapText="1" shrinkToFit="1"/>
    </xf>
    <xf numFmtId="49" fontId="39" fillId="6" borderId="2" xfId="0" applyNumberFormat="1" applyFont="1" applyFill="1" applyBorder="1" applyAlignment="1">
      <alignment horizontal="left" vertical="center" wrapText="1"/>
    </xf>
    <xf numFmtId="49" fontId="39" fillId="6" borderId="1" xfId="0" applyNumberFormat="1" applyFont="1" applyFill="1" applyBorder="1" applyAlignment="1">
      <alignment horizontal="center" vertical="center" wrapText="1"/>
    </xf>
    <xf numFmtId="49" fontId="39" fillId="6" borderId="1" xfId="0" applyNumberFormat="1" applyFont="1" applyFill="1" applyBorder="1" applyAlignment="1">
      <alignment horizontal="left" vertical="center" wrapText="1"/>
    </xf>
    <xf numFmtId="43" fontId="39" fillId="6" borderId="1" xfId="6" applyFont="1" applyFill="1" applyBorder="1" applyAlignment="1">
      <alignment horizontal="center" vertical="center" wrapText="1"/>
    </xf>
    <xf numFmtId="164" fontId="39" fillId="6" borderId="1" xfId="1" applyFont="1" applyFill="1" applyBorder="1" applyAlignment="1">
      <alignment horizontal="center" vertical="center" wrapText="1"/>
    </xf>
    <xf numFmtId="164" fontId="38" fillId="6" borderId="1" xfId="1" applyFont="1" applyFill="1" applyBorder="1" applyAlignment="1">
      <alignment horizontal="center" vertical="center" wrapText="1"/>
    </xf>
    <xf numFmtId="10" fontId="38" fillId="6" borderId="3" xfId="4" applyNumberFormat="1" applyFont="1" applyFill="1" applyBorder="1" applyAlignment="1">
      <alignment vertical="center" wrapText="1" shrinkToFit="1"/>
    </xf>
    <xf numFmtId="49" fontId="40" fillId="8" borderId="2" xfId="0" applyNumberFormat="1" applyFont="1" applyFill="1" applyBorder="1" applyAlignment="1">
      <alignment horizontal="center" vertical="center" wrapText="1"/>
    </xf>
    <xf numFmtId="49" fontId="40" fillId="8" borderId="1" xfId="0" applyNumberFormat="1" applyFont="1" applyFill="1" applyBorder="1" applyAlignment="1">
      <alignment horizontal="center" vertical="center" wrapText="1"/>
    </xf>
    <xf numFmtId="49" fontId="40" fillId="8" borderId="1" xfId="0" applyNumberFormat="1" applyFont="1" applyFill="1" applyBorder="1" applyAlignment="1">
      <alignment horizontal="left" vertical="center" wrapText="1"/>
    </xf>
    <xf numFmtId="43" fontId="40" fillId="8" borderId="1" xfId="6" applyFont="1" applyFill="1" applyBorder="1" applyAlignment="1">
      <alignment horizontal="center" vertical="center" wrapText="1"/>
    </xf>
    <xf numFmtId="164" fontId="37" fillId="8" borderId="1" xfId="1" applyFont="1" applyFill="1" applyBorder="1" applyAlignment="1">
      <alignment horizontal="center" vertical="center" wrapText="1"/>
    </xf>
    <xf numFmtId="10" fontId="37" fillId="8" borderId="3" xfId="4" applyNumberFormat="1" applyFont="1" applyFill="1" applyBorder="1" applyAlignment="1">
      <alignment vertical="center" wrapText="1" shrinkToFit="1"/>
    </xf>
    <xf numFmtId="164" fontId="39" fillId="6" borderId="1" xfId="1" applyFont="1" applyFill="1" applyBorder="1" applyAlignment="1">
      <alignment vertical="center"/>
    </xf>
    <xf numFmtId="9" fontId="38" fillId="6" borderId="3" xfId="4" applyFont="1" applyFill="1" applyBorder="1" applyAlignment="1">
      <alignment vertical="center" wrapText="1" shrinkToFit="1"/>
    </xf>
    <xf numFmtId="164" fontId="37" fillId="6" borderId="1" xfId="1" applyFont="1" applyFill="1" applyBorder="1" applyAlignment="1">
      <alignment horizontal="center" vertical="center" wrapText="1"/>
    </xf>
    <xf numFmtId="164" fontId="39" fillId="13" borderId="1" xfId="1" applyFont="1" applyFill="1" applyBorder="1" applyAlignment="1">
      <alignment vertical="center"/>
    </xf>
    <xf numFmtId="43" fontId="37" fillId="8" borderId="1" xfId="6" applyFont="1" applyFill="1" applyBorder="1" applyAlignment="1">
      <alignment horizontal="left" vertical="center" wrapText="1"/>
    </xf>
    <xf numFmtId="164" fontId="38" fillId="6" borderId="1" xfId="1" applyFont="1" applyFill="1" applyBorder="1" applyAlignment="1">
      <alignment vertical="center" shrinkToFit="1"/>
    </xf>
    <xf numFmtId="49" fontId="42" fillId="8" borderId="1" xfId="0" applyNumberFormat="1" applyFont="1" applyFill="1" applyBorder="1" applyAlignment="1">
      <alignment vertical="center" wrapText="1"/>
    </xf>
    <xf numFmtId="4" fontId="37" fillId="8" borderId="1" xfId="0" applyNumberFormat="1" applyFont="1" applyFill="1" applyBorder="1" applyAlignment="1">
      <alignment horizontal="right" vertical="center" shrinkToFit="1"/>
    </xf>
    <xf numFmtId="43" fontId="39" fillId="13" borderId="1" xfId="6" applyFont="1" applyFill="1" applyBorder="1" applyAlignment="1">
      <alignment horizontal="center" vertical="center" wrapText="1"/>
    </xf>
    <xf numFmtId="164" fontId="38" fillId="13" borderId="1" xfId="1" applyFont="1" applyFill="1" applyBorder="1" applyAlignment="1">
      <alignment horizontal="center" vertical="center"/>
    </xf>
    <xf numFmtId="164" fontId="39" fillId="13" borderId="1" xfId="1" applyFont="1" applyFill="1" applyBorder="1" applyAlignment="1">
      <alignment horizontal="left" vertical="center" wrapText="1"/>
    </xf>
    <xf numFmtId="43" fontId="37" fillId="8" borderId="1" xfId="6" applyFont="1" applyFill="1" applyBorder="1" applyAlignment="1">
      <alignment horizontal="center" vertical="center"/>
    </xf>
    <xf numFmtId="0" fontId="42" fillId="8" borderId="1" xfId="0" applyFont="1" applyFill="1" applyBorder="1" applyAlignment="1">
      <alignment vertical="center" wrapText="1"/>
    </xf>
    <xf numFmtId="49" fontId="42" fillId="8" borderId="2" xfId="0" applyNumberFormat="1" applyFont="1" applyFill="1" applyBorder="1" applyAlignment="1">
      <alignment vertical="center"/>
    </xf>
    <xf numFmtId="49" fontId="42" fillId="8" borderId="1" xfId="0" applyNumberFormat="1" applyFont="1" applyFill="1" applyBorder="1" applyAlignment="1">
      <alignment vertical="center"/>
    </xf>
    <xf numFmtId="43" fontId="42" fillId="8" borderId="1" xfId="6" applyFont="1" applyFill="1" applyBorder="1" applyAlignment="1">
      <alignment vertical="center"/>
    </xf>
    <xf numFmtId="2" fontId="42" fillId="8" borderId="1" xfId="0" applyNumberFormat="1" applyFont="1" applyFill="1" applyBorder="1" applyAlignment="1">
      <alignment horizontal="right" vertical="center" shrinkToFit="1"/>
    </xf>
    <xf numFmtId="164" fontId="42" fillId="8" borderId="1" xfId="1" applyFont="1" applyFill="1" applyBorder="1" applyAlignment="1">
      <alignment vertical="center"/>
    </xf>
    <xf numFmtId="43" fontId="42" fillId="8" borderId="1" xfId="6" applyFont="1" applyFill="1" applyBorder="1" applyAlignment="1">
      <alignment horizontal="left" vertical="center" wrapText="1"/>
    </xf>
    <xf numFmtId="43" fontId="42" fillId="8" borderId="1" xfId="6" applyFont="1" applyFill="1" applyBorder="1" applyAlignment="1">
      <alignment horizontal="center" vertical="center" wrapText="1"/>
    </xf>
    <xf numFmtId="10" fontId="42" fillId="8" borderId="3" xfId="4" applyNumberFormat="1" applyFont="1" applyFill="1" applyBorder="1" applyAlignment="1">
      <alignment vertical="center" shrinkToFit="1"/>
    </xf>
    <xf numFmtId="43" fontId="11" fillId="6" borderId="1" xfId="6" applyFont="1" applyFill="1" applyBorder="1" applyAlignment="1">
      <alignment vertical="center"/>
    </xf>
    <xf numFmtId="43" fontId="39" fillId="8" borderId="1" xfId="6" applyFont="1" applyFill="1" applyBorder="1" applyAlignment="1">
      <alignment vertical="center"/>
    </xf>
    <xf numFmtId="43" fontId="39" fillId="13" borderId="1" xfId="6" applyFont="1" applyFill="1" applyBorder="1" applyAlignment="1">
      <alignment vertical="center" wrapText="1"/>
    </xf>
    <xf numFmtId="43" fontId="40" fillId="6" borderId="1" xfId="6" applyFont="1" applyFill="1" applyBorder="1" applyAlignment="1">
      <alignment vertical="center"/>
    </xf>
    <xf numFmtId="43" fontId="40" fillId="8" borderId="1" xfId="6" applyFont="1" applyFill="1" applyBorder="1" applyAlignment="1">
      <alignment horizontal="center" vertical="center"/>
    </xf>
    <xf numFmtId="2" fontId="37" fillId="8" borderId="1" xfId="0" applyNumberFormat="1" applyFont="1" applyFill="1" applyBorder="1" applyAlignment="1">
      <alignment horizontal="right" vertical="center" wrapText="1" shrinkToFit="1"/>
    </xf>
    <xf numFmtId="0" fontId="38" fillId="13" borderId="7" xfId="0" applyFont="1" applyFill="1" applyBorder="1" applyAlignment="1">
      <alignment horizontal="left" vertical="center" wrapText="1"/>
    </xf>
    <xf numFmtId="0" fontId="38" fillId="13" borderId="8" xfId="0" applyFont="1" applyFill="1" applyBorder="1" applyAlignment="1">
      <alignment horizontal="left" vertical="center" wrapText="1"/>
    </xf>
    <xf numFmtId="0" fontId="11" fillId="13" borderId="8" xfId="0" applyFont="1" applyFill="1" applyBorder="1" applyAlignment="1">
      <alignment vertical="center" wrapText="1"/>
    </xf>
    <xf numFmtId="164" fontId="38" fillId="13" borderId="8" xfId="1" applyFont="1" applyFill="1" applyBorder="1" applyAlignment="1">
      <alignment horizontal="right" vertical="center" wrapText="1"/>
    </xf>
    <xf numFmtId="43" fontId="39" fillId="13" borderId="8" xfId="6" applyFont="1" applyFill="1" applyBorder="1" applyAlignment="1">
      <alignment vertical="center"/>
    </xf>
    <xf numFmtId="43" fontId="38" fillId="13" borderId="8" xfId="6" applyFont="1" applyFill="1" applyBorder="1" applyAlignment="1">
      <alignment horizontal="left" vertical="center" wrapText="1"/>
    </xf>
    <xf numFmtId="43" fontId="38" fillId="13" borderId="8" xfId="6" applyFont="1" applyFill="1" applyBorder="1" applyAlignment="1">
      <alignment horizontal="center" vertical="center" wrapText="1"/>
    </xf>
    <xf numFmtId="44" fontId="38" fillId="13" borderId="8" xfId="0" applyNumberFormat="1" applyFont="1" applyFill="1" applyBorder="1" applyAlignment="1">
      <alignment vertical="center" shrinkToFit="1"/>
    </xf>
    <xf numFmtId="164" fontId="38" fillId="13" borderId="8" xfId="1" applyFont="1" applyFill="1" applyBorder="1" applyAlignment="1">
      <alignment vertical="center" shrinkToFit="1"/>
    </xf>
    <xf numFmtId="10" fontId="38" fillId="13" borderId="9" xfId="4" applyNumberFormat="1" applyFont="1" applyFill="1" applyBorder="1" applyAlignment="1">
      <alignment vertical="center" shrinkToFit="1"/>
    </xf>
    <xf numFmtId="165" fontId="37" fillId="8" borderId="1" xfId="0" applyNumberFormat="1" applyFont="1" applyFill="1" applyBorder="1" applyAlignment="1">
      <alignment horizontal="right" vertical="center" shrinkToFi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164" fontId="16" fillId="0" borderId="0" xfId="1" applyFont="1" applyFill="1" applyBorder="1" applyAlignment="1">
      <alignment horizontal="left" vertical="center"/>
    </xf>
    <xf numFmtId="43" fontId="0" fillId="0" borderId="1" xfId="0" applyNumberFormat="1" applyFill="1" applyBorder="1" applyAlignment="1">
      <alignment horizontal="center" vertical="center"/>
    </xf>
    <xf numFmtId="164" fontId="19" fillId="0" borderId="0" xfId="1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left" vertical="center" wrapText="1"/>
    </xf>
    <xf numFmtId="164" fontId="19" fillId="0" borderId="0" xfId="1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164" fontId="19" fillId="0" borderId="0" xfId="1" applyFont="1" applyFill="1" applyBorder="1" applyAlignment="1">
      <alignment horizontal="right" vertical="center" wrapText="1"/>
    </xf>
    <xf numFmtId="164" fontId="16" fillId="0" borderId="0" xfId="1" applyFont="1" applyFill="1" applyBorder="1" applyAlignment="1">
      <alignment horizontal="left" vertical="center"/>
    </xf>
    <xf numFmtId="0" fontId="11" fillId="8" borderId="0" xfId="0" applyFont="1" applyFill="1" applyBorder="1" applyAlignment="1">
      <alignment vertical="center" wrapText="1"/>
    </xf>
    <xf numFmtId="164" fontId="38" fillId="8" borderId="0" xfId="1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left" vertical="center" wrapText="1"/>
    </xf>
    <xf numFmtId="164" fontId="19" fillId="0" borderId="0" xfId="1" quotePrefix="1" applyFont="1" applyFill="1" applyBorder="1" applyAlignment="1">
      <alignment horizontal="left" wrapText="1"/>
    </xf>
    <xf numFmtId="43" fontId="6" fillId="0" borderId="0" xfId="6" applyFont="1" applyFill="1" applyBorder="1" applyAlignment="1">
      <alignment horizontal="center" vertical="center" wrapText="1"/>
    </xf>
    <xf numFmtId="14" fontId="19" fillId="0" borderId="0" xfId="0" applyNumberFormat="1" applyFont="1" applyFill="1" applyBorder="1" applyAlignment="1">
      <alignment horizontal="left" vertical="center" wrapText="1"/>
    </xf>
    <xf numFmtId="14" fontId="19" fillId="0" borderId="0" xfId="0" applyNumberFormat="1" applyFont="1" applyFill="1" applyBorder="1" applyAlignment="1">
      <alignment horizontal="center" vertical="center" wrapText="1"/>
    </xf>
    <xf numFmtId="10" fontId="19" fillId="0" borderId="0" xfId="0" applyNumberFormat="1" applyFont="1" applyFill="1" applyBorder="1" applyAlignment="1">
      <alignment horizontal="left" vertical="center" wrapText="1"/>
    </xf>
    <xf numFmtId="14" fontId="19" fillId="0" borderId="0" xfId="6" applyNumberFormat="1" applyFont="1" applyFill="1" applyBorder="1" applyAlignment="1">
      <alignment horizontal="left" vertical="center" wrapText="1"/>
    </xf>
    <xf numFmtId="14" fontId="19" fillId="0" borderId="0" xfId="6" applyNumberFormat="1" applyFont="1" applyFill="1" applyBorder="1" applyAlignment="1">
      <alignment horizontal="right" vertical="center" wrapText="1"/>
    </xf>
    <xf numFmtId="14" fontId="19" fillId="0" borderId="0" xfId="1" applyNumberFormat="1" applyFont="1" applyFill="1" applyBorder="1" applyAlignment="1">
      <alignment horizontal="left" vertical="center" wrapText="1"/>
    </xf>
    <xf numFmtId="10" fontId="16" fillId="0" borderId="0" xfId="0" applyNumberFormat="1" applyFont="1" applyFill="1" applyBorder="1" applyAlignment="1">
      <alignment vertical="center" wrapText="1" shrinkToFit="1"/>
    </xf>
    <xf numFmtId="49" fontId="40" fillId="8" borderId="2" xfId="0" applyNumberFormat="1" applyFont="1" applyFill="1" applyBorder="1" applyAlignment="1">
      <alignment vertical="center" wrapText="1"/>
    </xf>
    <xf numFmtId="43" fontId="40" fillId="8" borderId="1" xfId="6" applyFont="1" applyFill="1" applyBorder="1" applyAlignment="1">
      <alignment vertical="center" wrapText="1"/>
    </xf>
    <xf numFmtId="164" fontId="37" fillId="8" borderId="1" xfId="1" applyFont="1" applyFill="1" applyBorder="1" applyAlignment="1">
      <alignment vertical="center" wrapText="1"/>
    </xf>
    <xf numFmtId="43" fontId="39" fillId="6" borderId="1" xfId="6" applyFont="1" applyFill="1" applyBorder="1" applyAlignment="1">
      <alignment vertical="center" wrapText="1"/>
    </xf>
    <xf numFmtId="49" fontId="41" fillId="8" borderId="2" xfId="0" applyNumberFormat="1" applyFont="1" applyFill="1" applyBorder="1" applyAlignment="1">
      <alignment vertical="center" wrapText="1"/>
    </xf>
    <xf numFmtId="43" fontId="40" fillId="8" borderId="1" xfId="6" applyFont="1" applyFill="1" applyBorder="1" applyAlignment="1">
      <alignment horizontal="right" vertical="center" wrapText="1"/>
    </xf>
    <xf numFmtId="43" fontId="39" fillId="6" borderId="1" xfId="6" applyFont="1" applyFill="1" applyBorder="1" applyAlignment="1">
      <alignment horizontal="right" vertical="center" wrapText="1"/>
    </xf>
    <xf numFmtId="164" fontId="39" fillId="6" borderId="1" xfId="1" applyFont="1" applyFill="1" applyBorder="1" applyAlignment="1">
      <alignment vertical="center" wrapText="1"/>
    </xf>
    <xf numFmtId="4" fontId="37" fillId="8" borderId="1" xfId="0" applyNumberFormat="1" applyFont="1" applyFill="1" applyBorder="1" applyAlignment="1">
      <alignment horizontal="right" vertical="center" wrapText="1" shrinkToFit="1"/>
    </xf>
    <xf numFmtId="165" fontId="37" fillId="8" borderId="1" xfId="0" applyNumberFormat="1" applyFont="1" applyFill="1" applyBorder="1" applyAlignment="1">
      <alignment horizontal="right" vertical="center" wrapText="1" shrinkToFit="1"/>
    </xf>
    <xf numFmtId="49" fontId="42" fillId="8" borderId="2" xfId="0" applyNumberFormat="1" applyFont="1" applyFill="1" applyBorder="1" applyAlignment="1">
      <alignment vertical="center" wrapText="1"/>
    </xf>
    <xf numFmtId="43" fontId="42" fillId="8" borderId="1" xfId="6" applyFont="1" applyFill="1" applyBorder="1" applyAlignment="1">
      <alignment vertical="center" wrapText="1"/>
    </xf>
    <xf numFmtId="2" fontId="42" fillId="8" borderId="1" xfId="0" applyNumberFormat="1" applyFont="1" applyFill="1" applyBorder="1" applyAlignment="1">
      <alignment horizontal="right" vertical="center" wrapText="1" shrinkToFit="1"/>
    </xf>
    <xf numFmtId="164" fontId="42" fillId="8" borderId="1" xfId="1" applyFont="1" applyFill="1" applyBorder="1" applyAlignment="1">
      <alignment vertical="center" wrapText="1"/>
    </xf>
    <xf numFmtId="10" fontId="42" fillId="8" borderId="3" xfId="4" applyNumberFormat="1" applyFont="1" applyFill="1" applyBorder="1" applyAlignment="1">
      <alignment vertical="center" wrapText="1" shrinkToFit="1"/>
    </xf>
    <xf numFmtId="43" fontId="39" fillId="8" borderId="1" xfId="6" applyFont="1" applyFill="1" applyBorder="1" applyAlignment="1">
      <alignment vertical="center" wrapText="1"/>
    </xf>
    <xf numFmtId="43" fontId="40" fillId="6" borderId="1" xfId="6" applyFont="1" applyFill="1" applyBorder="1" applyAlignment="1">
      <alignment vertical="center" wrapText="1"/>
    </xf>
    <xf numFmtId="43" fontId="39" fillId="13" borderId="8" xfId="6" applyFont="1" applyFill="1" applyBorder="1" applyAlignment="1">
      <alignment vertical="center" wrapText="1"/>
    </xf>
    <xf numFmtId="10" fontId="38" fillId="13" borderId="9" xfId="4" applyNumberFormat="1" applyFont="1" applyFill="1" applyBorder="1" applyAlignment="1">
      <alignment vertical="center" wrapText="1" shrinkToFit="1"/>
    </xf>
    <xf numFmtId="43" fontId="22" fillId="8" borderId="0" xfId="6" applyFont="1" applyFill="1" applyBorder="1" applyAlignment="1">
      <alignment vertical="center" wrapText="1"/>
    </xf>
    <xf numFmtId="164" fontId="19" fillId="8" borderId="0" xfId="1" applyFont="1" applyFill="1" applyBorder="1" applyAlignment="1">
      <alignment horizontal="left" vertical="center" wrapText="1" shrinkToFit="1"/>
    </xf>
    <xf numFmtId="10" fontId="19" fillId="8" borderId="0" xfId="4" applyNumberFormat="1" applyFont="1" applyFill="1" applyBorder="1" applyAlignment="1">
      <alignment horizontal="right" vertical="center" wrapText="1" shrinkToFit="1"/>
    </xf>
    <xf numFmtId="0" fontId="21" fillId="0" borderId="0" xfId="0" applyFont="1" applyFill="1" applyBorder="1" applyAlignment="1">
      <alignment horizontal="center" vertical="center" wrapText="1"/>
    </xf>
    <xf numFmtId="164" fontId="21" fillId="0" borderId="0" xfId="1" applyFont="1" applyFill="1" applyBorder="1" applyAlignment="1">
      <alignment horizontal="left" vertical="center" wrapText="1"/>
    </xf>
    <xf numFmtId="10" fontId="21" fillId="0" borderId="0" xfId="4" applyNumberFormat="1" applyFont="1" applyFill="1" applyBorder="1" applyAlignment="1">
      <alignment horizontal="left" vertical="center" wrapText="1"/>
    </xf>
    <xf numFmtId="164" fontId="21" fillId="0" borderId="0" xfId="1" applyFont="1" applyFill="1" applyBorder="1" applyAlignment="1">
      <alignment horizontal="left" vertical="center" wrapText="1"/>
    </xf>
    <xf numFmtId="164" fontId="11" fillId="18" borderId="22" xfId="1" applyFont="1" applyFill="1" applyBorder="1" applyAlignment="1">
      <alignment horizontal="left" vertical="center" wrapText="1"/>
    </xf>
    <xf numFmtId="164" fontId="38" fillId="13" borderId="1" xfId="1" applyFont="1" applyFill="1" applyBorder="1" applyAlignment="1">
      <alignment horizontal="left" vertical="center" wrapText="1"/>
    </xf>
    <xf numFmtId="164" fontId="37" fillId="8" borderId="1" xfId="1" applyFont="1" applyFill="1" applyBorder="1" applyAlignment="1">
      <alignment horizontal="left" vertical="center" wrapText="1" shrinkToFit="1"/>
    </xf>
    <xf numFmtId="164" fontId="38" fillId="13" borderId="1" xfId="1" applyFont="1" applyFill="1" applyBorder="1" applyAlignment="1">
      <alignment horizontal="left" vertical="center" wrapText="1" shrinkToFit="1"/>
    </xf>
    <xf numFmtId="164" fontId="38" fillId="6" borderId="1" xfId="1" applyFont="1" applyFill="1" applyBorder="1" applyAlignment="1">
      <alignment horizontal="left" vertical="center" wrapText="1"/>
    </xf>
    <xf numFmtId="164" fontId="39" fillId="6" borderId="1" xfId="1" applyFont="1" applyFill="1" applyBorder="1" applyAlignment="1">
      <alignment horizontal="left" vertical="center" wrapText="1"/>
    </xf>
    <xf numFmtId="164" fontId="38" fillId="6" borderId="1" xfId="1" applyFont="1" applyFill="1" applyBorder="1" applyAlignment="1">
      <alignment horizontal="left" vertical="center" wrapText="1" shrinkToFit="1"/>
    </xf>
    <xf numFmtId="164" fontId="38" fillId="13" borderId="8" xfId="1" applyFont="1" applyFill="1" applyBorder="1" applyAlignment="1">
      <alignment horizontal="left" vertical="center" wrapText="1" shrinkToFit="1"/>
    </xf>
    <xf numFmtId="44" fontId="34" fillId="0" borderId="0" xfId="1" applyNumberFormat="1" applyFont="1" applyFill="1" applyBorder="1" applyAlignment="1">
      <alignment horizontal="left" vertical="center" wrapText="1"/>
    </xf>
    <xf numFmtId="44" fontId="19" fillId="0" borderId="0" xfId="1" applyNumberFormat="1" applyFont="1" applyFill="1" applyBorder="1" applyAlignment="1">
      <alignment horizontal="left" vertical="center" wrapText="1"/>
    </xf>
    <xf numFmtId="44" fontId="11" fillId="18" borderId="22" xfId="1" applyNumberFormat="1" applyFont="1" applyFill="1" applyBorder="1" applyAlignment="1">
      <alignment horizontal="left" vertical="center" wrapText="1"/>
    </xf>
    <xf numFmtId="44" fontId="38" fillId="13" borderId="1" xfId="1" applyNumberFormat="1" applyFont="1" applyFill="1" applyBorder="1" applyAlignment="1">
      <alignment horizontal="left" vertical="center" wrapText="1"/>
    </xf>
    <xf numFmtId="44" fontId="37" fillId="8" borderId="1" xfId="1" applyNumberFormat="1" applyFont="1" applyFill="1" applyBorder="1" applyAlignment="1">
      <alignment horizontal="left" vertical="center" wrapText="1" shrinkToFit="1"/>
    </xf>
    <xf numFmtId="44" fontId="38" fillId="13" borderId="1" xfId="1" applyNumberFormat="1" applyFont="1" applyFill="1" applyBorder="1" applyAlignment="1">
      <alignment horizontal="left" vertical="center" wrapText="1" shrinkToFit="1"/>
    </xf>
    <xf numFmtId="44" fontId="38" fillId="6" borderId="1" xfId="1" applyNumberFormat="1" applyFont="1" applyFill="1" applyBorder="1" applyAlignment="1">
      <alignment horizontal="left" vertical="center" wrapText="1"/>
    </xf>
    <xf numFmtId="44" fontId="39" fillId="13" borderId="1" xfId="1" applyNumberFormat="1" applyFont="1" applyFill="1" applyBorder="1" applyAlignment="1">
      <alignment horizontal="left" vertical="center" wrapText="1"/>
    </xf>
    <xf numFmtId="44" fontId="39" fillId="6" borderId="1" xfId="1" applyNumberFormat="1" applyFont="1" applyFill="1" applyBorder="1" applyAlignment="1">
      <alignment horizontal="left" vertical="center" wrapText="1"/>
    </xf>
    <xf numFmtId="44" fontId="38" fillId="6" borderId="1" xfId="1" applyNumberFormat="1" applyFont="1" applyFill="1" applyBorder="1" applyAlignment="1">
      <alignment horizontal="left" vertical="center" wrapText="1" shrinkToFit="1"/>
    </xf>
    <xf numFmtId="44" fontId="11" fillId="6" borderId="1" xfId="1" applyNumberFormat="1" applyFont="1" applyFill="1" applyBorder="1" applyAlignment="1">
      <alignment horizontal="left" vertical="center" wrapText="1"/>
    </xf>
    <xf numFmtId="44" fontId="38" fillId="13" borderId="8" xfId="1" applyNumberFormat="1" applyFont="1" applyFill="1" applyBorder="1" applyAlignment="1">
      <alignment horizontal="left" vertical="center" wrapText="1" shrinkToFit="1"/>
    </xf>
    <xf numFmtId="44" fontId="19" fillId="8" borderId="0" xfId="1" applyNumberFormat="1" applyFont="1" applyFill="1" applyBorder="1" applyAlignment="1">
      <alignment horizontal="left" vertical="center" wrapText="1" shrinkToFit="1"/>
    </xf>
    <xf numFmtId="44" fontId="21" fillId="0" borderId="0" xfId="1" applyNumberFormat="1" applyFont="1" applyFill="1" applyBorder="1" applyAlignment="1">
      <alignment horizontal="left" vertical="center" wrapText="1"/>
    </xf>
    <xf numFmtId="174" fontId="38" fillId="13" borderId="1" xfId="1" applyNumberFormat="1" applyFont="1" applyFill="1" applyBorder="1" applyAlignment="1">
      <alignment horizontal="left" vertical="center" wrapText="1" shrinkToFit="1"/>
    </xf>
    <xf numFmtId="174" fontId="37" fillId="8" borderId="1" xfId="1" applyNumberFormat="1" applyFont="1" applyFill="1" applyBorder="1" applyAlignment="1">
      <alignment horizontal="left" vertical="center" wrapText="1" shrinkToFit="1"/>
    </xf>
    <xf numFmtId="177" fontId="38" fillId="13" borderId="1" xfId="1" applyNumberFormat="1" applyFont="1" applyFill="1" applyBorder="1" applyAlignment="1">
      <alignment horizontal="left" vertical="center" wrapText="1" shrinkToFit="1"/>
    </xf>
    <xf numFmtId="177" fontId="38" fillId="6" borderId="1" xfId="1" applyNumberFormat="1" applyFont="1" applyFill="1" applyBorder="1" applyAlignment="1">
      <alignment horizontal="left" vertical="center" wrapText="1"/>
    </xf>
    <xf numFmtId="177" fontId="37" fillId="8" borderId="1" xfId="1" applyNumberFormat="1" applyFont="1" applyFill="1" applyBorder="1" applyAlignment="1">
      <alignment horizontal="left" vertical="center" wrapText="1" shrinkToFit="1"/>
    </xf>
    <xf numFmtId="43" fontId="39" fillId="6" borderId="1" xfId="6" applyFont="1" applyFill="1" applyBorder="1" applyAlignment="1">
      <alignment horizontal="left" vertical="center" wrapText="1"/>
    </xf>
    <xf numFmtId="43" fontId="39" fillId="13" borderId="1" xfId="6" applyFont="1" applyFill="1" applyBorder="1" applyAlignment="1">
      <alignment horizontal="left" vertical="center" wrapText="1"/>
    </xf>
    <xf numFmtId="43" fontId="11" fillId="6" borderId="1" xfId="6" applyFont="1" applyFill="1" applyBorder="1" applyAlignment="1">
      <alignment horizontal="left" vertical="center" wrapText="1"/>
    </xf>
    <xf numFmtId="44" fontId="38" fillId="13" borderId="8" xfId="0" applyNumberFormat="1" applyFont="1" applyFill="1" applyBorder="1" applyAlignment="1">
      <alignment horizontal="left" vertical="center" wrapText="1" shrinkToFit="1"/>
    </xf>
    <xf numFmtId="0" fontId="11" fillId="6" borderId="23" xfId="0" applyFont="1" applyFill="1" applyBorder="1" applyAlignment="1">
      <alignment horizontal="center" vertical="center" wrapText="1"/>
    </xf>
    <xf numFmtId="0" fontId="37" fillId="6" borderId="23" xfId="0" applyFont="1" applyFill="1" applyBorder="1" applyAlignment="1">
      <alignment horizontal="center" vertical="center" wrapText="1"/>
    </xf>
    <xf numFmtId="164" fontId="38" fillId="6" borderId="23" xfId="1" applyFont="1" applyFill="1" applyBorder="1" applyAlignment="1">
      <alignment horizontal="center" vertical="center" wrapText="1"/>
    </xf>
    <xf numFmtId="43" fontId="11" fillId="6" borderId="23" xfId="6" applyFont="1" applyFill="1" applyBorder="1" applyAlignment="1">
      <alignment horizontal="center" vertical="center" wrapText="1"/>
    </xf>
    <xf numFmtId="164" fontId="38" fillId="6" borderId="24" xfId="1" applyFont="1" applyFill="1" applyBorder="1" applyAlignment="1">
      <alignment horizontal="center" vertical="center" wrapText="1" shrinkToFit="1"/>
    </xf>
    <xf numFmtId="164" fontId="11" fillId="6" borderId="23" xfId="1" applyFont="1" applyFill="1" applyBorder="1" applyAlignment="1">
      <alignment horizontal="center" vertical="center" wrapText="1"/>
    </xf>
    <xf numFmtId="43" fontId="11" fillId="6" borderId="25" xfId="6" applyFont="1" applyFill="1" applyBorder="1" applyAlignment="1">
      <alignment horizontal="center" vertical="center" wrapText="1"/>
    </xf>
    <xf numFmtId="44" fontId="11" fillId="6" borderId="25" xfId="1" applyNumberFormat="1" applyFont="1" applyFill="1" applyBorder="1" applyAlignment="1">
      <alignment horizontal="center" vertical="center" wrapText="1"/>
    </xf>
    <xf numFmtId="49" fontId="40" fillId="8" borderId="2" xfId="0" applyNumberFormat="1" applyFont="1" applyFill="1" applyBorder="1" applyAlignment="1">
      <alignment horizontal="left" vertical="center" wrapText="1"/>
    </xf>
    <xf numFmtId="2" fontId="0" fillId="0" borderId="1" xfId="0" applyNumberFormat="1" applyFill="1" applyBorder="1" applyAlignment="1">
      <alignment horizontal="center" vertical="center"/>
    </xf>
    <xf numFmtId="43" fontId="40" fillId="13" borderId="1" xfId="6" applyFont="1" applyFill="1" applyBorder="1" applyAlignment="1">
      <alignment horizontal="right" vertical="center" wrapText="1"/>
    </xf>
    <xf numFmtId="43" fontId="40" fillId="6" borderId="1" xfId="6" applyFont="1" applyFill="1" applyBorder="1" applyAlignment="1">
      <alignment horizontal="right" vertical="center" wrapText="1"/>
    </xf>
    <xf numFmtId="164" fontId="40" fillId="6" borderId="1" xfId="1" applyFont="1" applyFill="1" applyBorder="1" applyAlignment="1">
      <alignment horizontal="right" vertical="center" wrapText="1"/>
    </xf>
    <xf numFmtId="43" fontId="37" fillId="6" borderId="1" xfId="6" applyFont="1" applyFill="1" applyBorder="1" applyAlignment="1">
      <alignment horizontal="right" vertical="center" wrapText="1"/>
    </xf>
    <xf numFmtId="0" fontId="37" fillId="8" borderId="1" xfId="0" applyFont="1" applyFill="1" applyBorder="1" applyAlignment="1">
      <alignment horizontal="right" vertical="center" wrapText="1"/>
    </xf>
    <xf numFmtId="9" fontId="11" fillId="18" borderId="18" xfId="4" applyFont="1" applyFill="1" applyBorder="1" applyAlignment="1">
      <alignment vertical="center" wrapText="1"/>
    </xf>
    <xf numFmtId="44" fontId="19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164" fontId="16" fillId="0" borderId="0" xfId="1" applyFont="1" applyFill="1" applyBorder="1" applyAlignment="1">
      <alignment horizontal="left" vertical="center"/>
    </xf>
    <xf numFmtId="164" fontId="21" fillId="0" borderId="0" xfId="1" applyFont="1" applyFill="1" applyBorder="1" applyAlignment="1">
      <alignment horizontal="left" vertical="center" wrapText="1"/>
    </xf>
    <xf numFmtId="0" fontId="44" fillId="19" borderId="23" xfId="0" applyFont="1" applyFill="1" applyBorder="1" applyAlignment="1">
      <alignment horizontal="center" vertical="center" wrapText="1"/>
    </xf>
    <xf numFmtId="43" fontId="44" fillId="19" borderId="23" xfId="6" applyFont="1" applyFill="1" applyBorder="1" applyAlignment="1">
      <alignment horizontal="center" vertical="center" wrapText="1"/>
    </xf>
    <xf numFmtId="164" fontId="44" fillId="19" borderId="23" xfId="1" applyFont="1" applyFill="1" applyBorder="1" applyAlignment="1">
      <alignment horizontal="center" vertical="center" wrapText="1"/>
    </xf>
    <xf numFmtId="43" fontId="44" fillId="19" borderId="25" xfId="6" applyFont="1" applyFill="1" applyBorder="1" applyAlignment="1">
      <alignment horizontal="center" vertical="center" wrapText="1"/>
    </xf>
    <xf numFmtId="44" fontId="44" fillId="19" borderId="25" xfId="1" applyNumberFormat="1" applyFont="1" applyFill="1" applyBorder="1" applyAlignment="1">
      <alignment horizontal="center" vertical="center" wrapText="1"/>
    </xf>
    <xf numFmtId="0" fontId="45" fillId="19" borderId="23" xfId="0" applyFont="1" applyFill="1" applyBorder="1" applyAlignment="1">
      <alignment horizontal="center" vertical="center" wrapText="1"/>
    </xf>
    <xf numFmtId="0" fontId="16" fillId="14" borderId="0" xfId="0" applyFont="1" applyFill="1" applyBorder="1" applyAlignment="1">
      <alignment horizontal="center" vertical="center" wrapText="1"/>
    </xf>
    <xf numFmtId="0" fontId="34" fillId="14" borderId="0" xfId="0" applyFont="1" applyFill="1" applyBorder="1" applyAlignment="1">
      <alignment horizontal="left" vertical="center" wrapText="1"/>
    </xf>
    <xf numFmtId="0" fontId="19" fillId="14" borderId="0" xfId="0" applyFont="1" applyFill="1" applyBorder="1" applyAlignment="1">
      <alignment horizontal="right" vertical="center" wrapText="1"/>
    </xf>
    <xf numFmtId="0" fontId="19" fillId="14" borderId="0" xfId="0" applyFont="1" applyFill="1" applyBorder="1" applyAlignment="1">
      <alignment horizontal="left" vertical="center" wrapText="1"/>
    </xf>
    <xf numFmtId="10" fontId="16" fillId="14" borderId="0" xfId="0" applyNumberFormat="1" applyFont="1" applyFill="1" applyBorder="1" applyAlignment="1">
      <alignment vertical="center" wrapText="1" shrinkToFit="1"/>
    </xf>
    <xf numFmtId="164" fontId="19" fillId="14" borderId="0" xfId="1" applyFont="1" applyFill="1" applyBorder="1" applyAlignment="1">
      <alignment horizontal="right" vertical="center" wrapText="1"/>
    </xf>
    <xf numFmtId="0" fontId="21" fillId="14" borderId="0" xfId="0" applyFont="1" applyFill="1" applyBorder="1" applyAlignment="1">
      <alignment horizontal="left" vertical="center" wrapText="1"/>
    </xf>
    <xf numFmtId="0" fontId="11" fillId="14" borderId="0" xfId="0" applyFont="1" applyFill="1" applyBorder="1" applyAlignment="1">
      <alignment vertical="center" wrapText="1"/>
    </xf>
    <xf numFmtId="164" fontId="38" fillId="14" borderId="0" xfId="1" applyFont="1" applyFill="1" applyBorder="1" applyAlignment="1">
      <alignment vertical="center" wrapText="1"/>
    </xf>
    <xf numFmtId="44" fontId="34" fillId="14" borderId="0" xfId="1" applyNumberFormat="1" applyFont="1" applyFill="1" applyBorder="1" applyAlignment="1">
      <alignment horizontal="left" vertical="center" wrapText="1"/>
    </xf>
    <xf numFmtId="43" fontId="6" fillId="14" borderId="0" xfId="6" applyFont="1" applyFill="1" applyBorder="1" applyAlignment="1">
      <alignment horizontal="center" vertical="center" wrapText="1"/>
    </xf>
    <xf numFmtId="10" fontId="19" fillId="14" borderId="0" xfId="0" applyNumberFormat="1" applyFont="1" applyFill="1" applyBorder="1" applyAlignment="1">
      <alignment horizontal="right" vertical="center" wrapText="1"/>
    </xf>
    <xf numFmtId="10" fontId="19" fillId="14" borderId="0" xfId="4" applyNumberFormat="1" applyFont="1" applyFill="1" applyBorder="1" applyAlignment="1">
      <alignment horizontal="left" vertical="center" wrapText="1"/>
    </xf>
    <xf numFmtId="164" fontId="19" fillId="14" borderId="0" xfId="1" applyFont="1" applyFill="1" applyBorder="1" applyAlignment="1">
      <alignment horizontal="left" vertical="center" wrapText="1"/>
    </xf>
    <xf numFmtId="44" fontId="19" fillId="14" borderId="0" xfId="1" applyNumberFormat="1" applyFont="1" applyFill="1" applyBorder="1" applyAlignment="1">
      <alignment horizontal="left" vertical="center" wrapText="1"/>
    </xf>
    <xf numFmtId="164" fontId="6" fillId="14" borderId="0" xfId="1" applyFont="1" applyFill="1" applyBorder="1" applyAlignment="1">
      <alignment horizontal="right" vertical="center" wrapText="1"/>
    </xf>
    <xf numFmtId="14" fontId="19" fillId="14" borderId="0" xfId="6" applyNumberFormat="1" applyFont="1" applyFill="1" applyBorder="1" applyAlignment="1">
      <alignment horizontal="right" vertical="center" wrapText="1"/>
    </xf>
    <xf numFmtId="164" fontId="19" fillId="14" borderId="0" xfId="1" applyFont="1" applyFill="1" applyBorder="1" applyAlignment="1">
      <alignment horizontal="right" vertical="center" wrapText="1"/>
    </xf>
    <xf numFmtId="14" fontId="19" fillId="14" borderId="0" xfId="1" applyNumberFormat="1" applyFont="1" applyFill="1" applyBorder="1" applyAlignment="1">
      <alignment horizontal="left" vertical="center" wrapText="1"/>
    </xf>
    <xf numFmtId="43" fontId="19" fillId="14" borderId="0" xfId="6" applyFont="1" applyFill="1" applyBorder="1" applyAlignment="1">
      <alignment vertical="center" wrapText="1"/>
    </xf>
    <xf numFmtId="0" fontId="19" fillId="14" borderId="0" xfId="0" applyFont="1" applyFill="1" applyBorder="1" applyAlignment="1">
      <alignment horizontal="center" vertical="center" wrapText="1"/>
    </xf>
    <xf numFmtId="10" fontId="11" fillId="18" borderId="22" xfId="4" applyNumberFormat="1" applyFont="1" applyFill="1" applyBorder="1" applyAlignment="1">
      <alignment vertical="center" wrapText="1"/>
    </xf>
    <xf numFmtId="164" fontId="19" fillId="14" borderId="0" xfId="1" quotePrefix="1" applyFont="1" applyFill="1" applyBorder="1" applyAlignment="1">
      <alignment horizontal="right" wrapText="1"/>
    </xf>
    <xf numFmtId="14" fontId="19" fillId="14" borderId="0" xfId="0" applyNumberFormat="1" applyFont="1" applyFill="1" applyBorder="1" applyAlignment="1">
      <alignment horizontal="right" vertical="center" wrapText="1"/>
    </xf>
    <xf numFmtId="43" fontId="19" fillId="14" borderId="0" xfId="6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164" fontId="16" fillId="0" borderId="0" xfId="1" applyFont="1" applyFill="1" applyBorder="1" applyAlignment="1">
      <alignment horizontal="left" vertical="center"/>
    </xf>
    <xf numFmtId="164" fontId="21" fillId="0" borderId="0" xfId="1" applyFont="1" applyFill="1" applyBorder="1" applyAlignment="1">
      <alignment horizontal="left" vertical="center" wrapText="1"/>
    </xf>
    <xf numFmtId="0" fontId="19" fillId="14" borderId="0" xfId="0" applyFont="1" applyFill="1" applyBorder="1" applyAlignment="1">
      <alignment horizontal="left" vertical="center" wrapText="1"/>
    </xf>
    <xf numFmtId="10" fontId="19" fillId="14" borderId="0" xfId="0" applyNumberFormat="1" applyFont="1" applyFill="1" applyBorder="1" applyAlignment="1">
      <alignment horizontal="right" vertical="center" wrapText="1"/>
    </xf>
    <xf numFmtId="0" fontId="19" fillId="14" borderId="0" xfId="0" applyFont="1" applyFill="1" applyBorder="1" applyAlignment="1">
      <alignment horizontal="right" vertical="center" wrapText="1"/>
    </xf>
    <xf numFmtId="164" fontId="19" fillId="14" borderId="0" xfId="1" applyFont="1" applyFill="1" applyBorder="1" applyAlignment="1">
      <alignment horizontal="right" vertical="center" wrapText="1"/>
    </xf>
    <xf numFmtId="0" fontId="44" fillId="19" borderId="6" xfId="0" applyFont="1" applyFill="1" applyBorder="1" applyAlignment="1">
      <alignment horizontal="center" vertical="center" wrapText="1"/>
    </xf>
    <xf numFmtId="0" fontId="44" fillId="19" borderId="0" xfId="0" applyFont="1" applyFill="1" applyBorder="1" applyAlignment="1">
      <alignment horizontal="center" vertical="center" wrapText="1"/>
    </xf>
    <xf numFmtId="0" fontId="45" fillId="19" borderId="0" xfId="0" applyFont="1" applyFill="1" applyBorder="1" applyAlignment="1">
      <alignment horizontal="center" vertical="center" wrapText="1"/>
    </xf>
    <xf numFmtId="164" fontId="44" fillId="19" borderId="0" xfId="1" applyFont="1" applyFill="1" applyBorder="1" applyAlignment="1">
      <alignment horizontal="center" vertical="center" wrapText="1"/>
    </xf>
    <xf numFmtId="43" fontId="44" fillId="19" borderId="0" xfId="6" applyFont="1" applyFill="1" applyBorder="1" applyAlignment="1">
      <alignment horizontal="center" vertical="center" wrapText="1"/>
    </xf>
    <xf numFmtId="44" fontId="44" fillId="19" borderId="0" xfId="1" applyNumberFormat="1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right" vertical="top" wrapText="1"/>
    </xf>
    <xf numFmtId="0" fontId="2" fillId="0" borderId="37" xfId="0" applyFont="1" applyFill="1" applyBorder="1" applyAlignment="1">
      <alignment horizontal="right" vertical="top" wrapText="1"/>
    </xf>
    <xf numFmtId="0" fontId="2" fillId="0" borderId="36" xfId="0" applyFont="1" applyFill="1" applyBorder="1" applyAlignment="1">
      <alignment horizontal="right" vertical="top" wrapText="1"/>
    </xf>
    <xf numFmtId="0" fontId="1" fillId="0" borderId="35" xfId="0" applyFont="1" applyFill="1" applyBorder="1" applyAlignment="1">
      <alignment horizontal="left" vertical="top" wrapText="1"/>
    </xf>
    <xf numFmtId="0" fontId="1" fillId="0" borderId="36" xfId="0" applyFont="1" applyFill="1" applyBorder="1" applyAlignment="1">
      <alignment horizontal="left" vertical="top" wrapText="1"/>
    </xf>
    <xf numFmtId="0" fontId="2" fillId="0" borderId="35" xfId="0" applyFont="1" applyFill="1" applyBorder="1" applyAlignment="1">
      <alignment horizontal="left" vertical="top" wrapText="1"/>
    </xf>
    <xf numFmtId="0" fontId="2" fillId="0" borderId="36" xfId="0" applyFont="1" applyFill="1" applyBorder="1" applyAlignment="1">
      <alignment horizontal="left" vertical="top" wrapText="1"/>
    </xf>
    <xf numFmtId="0" fontId="1" fillId="0" borderId="37" xfId="0" applyFont="1" applyFill="1" applyBorder="1" applyAlignment="1">
      <alignment horizontal="left" vertical="top" wrapText="1"/>
    </xf>
    <xf numFmtId="0" fontId="1" fillId="0" borderId="35" xfId="0" applyFont="1" applyFill="1" applyBorder="1" applyAlignment="1">
      <alignment horizontal="left" vertical="top" wrapText="1" indent="1"/>
    </xf>
    <xf numFmtId="0" fontId="1" fillId="0" borderId="36" xfId="0" applyFont="1" applyFill="1" applyBorder="1" applyAlignment="1">
      <alignment horizontal="left" vertical="top" wrapText="1" indent="1"/>
    </xf>
    <xf numFmtId="1" fontId="16" fillId="0" borderId="35" xfId="0" applyNumberFormat="1" applyFont="1" applyFill="1" applyBorder="1" applyAlignment="1">
      <alignment horizontal="left" vertical="top" shrinkToFit="1"/>
    </xf>
    <xf numFmtId="1" fontId="16" fillId="0" borderId="36" xfId="0" applyNumberFormat="1" applyFont="1" applyFill="1" applyBorder="1" applyAlignment="1">
      <alignment horizontal="left" vertical="top" shrinkToFit="1"/>
    </xf>
    <xf numFmtId="10" fontId="16" fillId="0" borderId="35" xfId="0" applyNumberFormat="1" applyFont="1" applyFill="1" applyBorder="1" applyAlignment="1">
      <alignment horizontal="left" vertical="top" shrinkToFit="1"/>
    </xf>
    <xf numFmtId="10" fontId="16" fillId="0" borderId="37" xfId="0" applyNumberFormat="1" applyFont="1" applyFill="1" applyBorder="1" applyAlignment="1">
      <alignment horizontal="left" vertical="top" shrinkToFit="1"/>
    </xf>
    <xf numFmtId="10" fontId="16" fillId="0" borderId="36" xfId="0" applyNumberFormat="1" applyFont="1" applyFill="1" applyBorder="1" applyAlignment="1">
      <alignment horizontal="left" vertical="top" shrinkToFit="1"/>
    </xf>
    <xf numFmtId="0" fontId="2" fillId="3" borderId="35" xfId="0" applyFont="1" applyFill="1" applyBorder="1" applyAlignment="1">
      <alignment horizontal="center" vertical="top" wrapText="1"/>
    </xf>
    <xf numFmtId="0" fontId="2" fillId="3" borderId="36" xfId="0" applyFont="1" applyFill="1" applyBorder="1" applyAlignment="1">
      <alignment horizontal="center" vertical="top" wrapText="1"/>
    </xf>
    <xf numFmtId="0" fontId="2" fillId="0" borderId="37" xfId="0" applyFont="1" applyFill="1" applyBorder="1" applyAlignment="1">
      <alignment horizontal="left" vertical="top" wrapText="1"/>
    </xf>
    <xf numFmtId="0" fontId="15" fillId="0" borderId="35" xfId="0" applyFont="1" applyFill="1" applyBorder="1" applyAlignment="1">
      <alignment horizontal="left" wrapText="1"/>
    </xf>
    <xf numFmtId="0" fontId="15" fillId="0" borderId="36" xfId="0" applyFont="1" applyFill="1" applyBorder="1" applyAlignment="1">
      <alignment horizontal="left" wrapText="1"/>
    </xf>
    <xf numFmtId="0" fontId="15" fillId="0" borderId="35" xfId="0" applyFont="1" applyFill="1" applyBorder="1" applyAlignment="1">
      <alignment horizontal="left" vertical="top" wrapText="1"/>
    </xf>
    <xf numFmtId="0" fontId="15" fillId="0" borderId="36" xfId="0" applyFont="1" applyFill="1" applyBorder="1" applyAlignment="1">
      <alignment horizontal="left" vertical="top" wrapText="1"/>
    </xf>
    <xf numFmtId="0" fontId="15" fillId="0" borderId="37" xfId="0" applyFont="1" applyFill="1" applyBorder="1" applyAlignment="1">
      <alignment horizontal="left" wrapText="1"/>
    </xf>
    <xf numFmtId="0" fontId="2" fillId="0" borderId="35" xfId="0" applyFont="1" applyFill="1" applyBorder="1" applyAlignment="1">
      <alignment horizontal="right" vertical="top" wrapText="1" indent="5"/>
    </xf>
    <xf numFmtId="0" fontId="2" fillId="0" borderId="37" xfId="0" applyFont="1" applyFill="1" applyBorder="1" applyAlignment="1">
      <alignment horizontal="right" vertical="top" wrapText="1" indent="5"/>
    </xf>
    <xf numFmtId="0" fontId="2" fillId="0" borderId="36" xfId="0" applyFont="1" applyFill="1" applyBorder="1" applyAlignment="1">
      <alignment horizontal="right" vertical="top" wrapText="1" indent="5"/>
    </xf>
    <xf numFmtId="2" fontId="23" fillId="12" borderId="26" xfId="0" applyNumberFormat="1" applyFont="1" applyFill="1" applyBorder="1" applyAlignment="1">
      <alignment horizontal="left" vertical="center"/>
    </xf>
    <xf numFmtId="2" fontId="23" fillId="12" borderId="14" xfId="0" applyNumberFormat="1" applyFont="1" applyFill="1" applyBorder="1" applyAlignment="1">
      <alignment horizontal="left" vertical="center"/>
    </xf>
    <xf numFmtId="2" fontId="23" fillId="12" borderId="15" xfId="0" applyNumberFormat="1" applyFont="1" applyFill="1" applyBorder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23" fillId="12" borderId="6" xfId="0" applyFont="1" applyFill="1" applyBorder="1" applyAlignment="1">
      <alignment vertical="center"/>
    </xf>
    <xf numFmtId="0" fontId="23" fillId="12" borderId="17" xfId="0" applyFont="1" applyFill="1" applyBorder="1" applyAlignment="1">
      <alignment vertical="center"/>
    </xf>
    <xf numFmtId="14" fontId="23" fillId="0" borderId="12" xfId="0" applyNumberFormat="1" applyFont="1" applyBorder="1" applyAlignment="1">
      <alignment horizontal="left" vertical="center"/>
    </xf>
    <xf numFmtId="0" fontId="23" fillId="8" borderId="26" xfId="0" applyFont="1" applyFill="1" applyBorder="1" applyAlignment="1">
      <alignment horizontal="left" vertical="center" wrapText="1"/>
    </xf>
    <xf numFmtId="0" fontId="23" fillId="8" borderId="14" xfId="0" applyFont="1" applyFill="1" applyBorder="1" applyAlignment="1">
      <alignment horizontal="left" vertical="center" wrapText="1"/>
    </xf>
    <xf numFmtId="2" fontId="23" fillId="8" borderId="26" xfId="0" applyNumberFormat="1" applyFont="1" applyFill="1" applyBorder="1" applyAlignment="1">
      <alignment horizontal="left" vertical="center" wrapText="1"/>
    </xf>
    <xf numFmtId="2" fontId="23" fillId="8" borderId="14" xfId="0" applyNumberFormat="1" applyFont="1" applyFill="1" applyBorder="1" applyAlignment="1">
      <alignment horizontal="left" vertical="center" wrapText="1"/>
    </xf>
    <xf numFmtId="2" fontId="23" fillId="8" borderId="15" xfId="0" applyNumberFormat="1" applyFont="1" applyFill="1" applyBorder="1" applyAlignment="1">
      <alignment horizontal="left" vertical="center" wrapText="1"/>
    </xf>
    <xf numFmtId="2" fontId="23" fillId="12" borderId="17" xfId="0" applyNumberFormat="1" applyFont="1" applyFill="1" applyBorder="1" applyAlignment="1">
      <alignment horizontal="left" vertical="center"/>
    </xf>
    <xf numFmtId="2" fontId="23" fillId="12" borderId="12" xfId="0" applyNumberFormat="1" applyFont="1" applyFill="1" applyBorder="1" applyAlignment="1">
      <alignment horizontal="left" vertical="center"/>
    </xf>
    <xf numFmtId="2" fontId="23" fillId="12" borderId="13" xfId="0" applyNumberFormat="1" applyFont="1" applyFill="1" applyBorder="1" applyAlignment="1">
      <alignment horizontal="left" vertical="center"/>
    </xf>
    <xf numFmtId="0" fontId="29" fillId="0" borderId="4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23" fillId="8" borderId="5" xfId="0" applyFont="1" applyFill="1" applyBorder="1" applyAlignment="1">
      <alignment horizontal="left" vertical="center" wrapText="1"/>
    </xf>
    <xf numFmtId="2" fontId="23" fillId="8" borderId="0" xfId="0" applyNumberFormat="1" applyFont="1" applyFill="1" applyBorder="1" applyAlignment="1">
      <alignment horizontal="left" vertical="center" wrapText="1"/>
    </xf>
    <xf numFmtId="2" fontId="23" fillId="8" borderId="11" xfId="0" applyNumberFormat="1" applyFont="1" applyFill="1" applyBorder="1" applyAlignment="1">
      <alignment horizontal="left" vertical="center" wrapText="1"/>
    </xf>
    <xf numFmtId="0" fontId="23" fillId="12" borderId="6" xfId="0" applyFont="1" applyFill="1" applyBorder="1" applyAlignment="1">
      <alignment horizontal="center" vertical="center"/>
    </xf>
    <xf numFmtId="0" fontId="23" fillId="12" borderId="0" xfId="0" applyFont="1" applyFill="1" applyBorder="1" applyAlignment="1">
      <alignment horizontal="center" vertical="center"/>
    </xf>
    <xf numFmtId="0" fontId="23" fillId="12" borderId="11" xfId="0" applyFont="1" applyFill="1" applyBorder="1" applyAlignment="1">
      <alignment horizontal="center" vertical="center"/>
    </xf>
    <xf numFmtId="49" fontId="23" fillId="8" borderId="0" xfId="0" applyNumberFormat="1" applyFont="1" applyFill="1" applyBorder="1" applyAlignment="1">
      <alignment horizontal="center" vertical="top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64" fontId="36" fillId="0" borderId="1" xfId="1" applyFont="1" applyFill="1" applyBorder="1" applyAlignment="1">
      <alignment horizontal="right" vertical="center" shrinkToFit="1"/>
    </xf>
    <xf numFmtId="0" fontId="20" fillId="0" borderId="27" xfId="0" applyFont="1" applyFill="1" applyBorder="1" applyAlignment="1">
      <alignment horizontal="center" vertical="center"/>
    </xf>
    <xf numFmtId="0" fontId="20" fillId="0" borderId="28" xfId="0" applyFont="1" applyFill="1" applyBorder="1" applyAlignment="1">
      <alignment horizontal="center" vertical="center"/>
    </xf>
    <xf numFmtId="0" fontId="20" fillId="0" borderId="29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left" vertical="center"/>
    </xf>
    <xf numFmtId="14" fontId="19" fillId="0" borderId="1" xfId="0" applyNumberFormat="1" applyFont="1" applyFill="1" applyBorder="1" applyAlignment="1">
      <alignment horizontal="center" vertical="center"/>
    </xf>
    <xf numFmtId="14" fontId="19" fillId="0" borderId="3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6" fillId="0" borderId="4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6" fillId="8" borderId="30" xfId="0" applyFont="1" applyFill="1" applyBorder="1" applyAlignment="1">
      <alignment horizontal="center" vertical="center" wrapText="1"/>
    </xf>
    <xf numFmtId="0" fontId="6" fillId="8" borderId="25" xfId="0" applyFont="1" applyFill="1" applyBorder="1" applyAlignment="1">
      <alignment horizontal="center" vertical="center" wrapText="1"/>
    </xf>
    <xf numFmtId="0" fontId="6" fillId="8" borderId="30" xfId="0" applyFont="1" applyFill="1" applyBorder="1" applyAlignment="1">
      <alignment horizontal="center" vertical="center"/>
    </xf>
    <xf numFmtId="0" fontId="6" fillId="8" borderId="25" xfId="0" applyFont="1" applyFill="1" applyBorder="1" applyAlignment="1">
      <alignment horizontal="center" vertical="center"/>
    </xf>
    <xf numFmtId="0" fontId="34" fillId="0" borderId="5" xfId="0" applyFont="1" applyFill="1" applyBorder="1" applyAlignment="1">
      <alignment horizontal="left" vertical="center"/>
    </xf>
    <xf numFmtId="0" fontId="34" fillId="0" borderId="10" xfId="0" applyFont="1" applyFill="1" applyBorder="1" applyAlignment="1">
      <alignment horizontal="left" vertical="center"/>
    </xf>
    <xf numFmtId="0" fontId="34" fillId="0" borderId="0" xfId="0" applyFont="1" applyFill="1" applyBorder="1" applyAlignment="1">
      <alignment horizontal="left" vertical="center"/>
    </xf>
    <xf numFmtId="0" fontId="34" fillId="0" borderId="11" xfId="0" applyFont="1" applyFill="1" applyBorder="1" applyAlignment="1">
      <alignment horizontal="left" vertical="center"/>
    </xf>
    <xf numFmtId="0" fontId="34" fillId="0" borderId="12" xfId="0" applyFont="1" applyFill="1" applyBorder="1" applyAlignment="1">
      <alignment horizontal="left" vertical="center"/>
    </xf>
    <xf numFmtId="0" fontId="34" fillId="0" borderId="13" xfId="0" applyFont="1" applyFill="1" applyBorder="1" applyAlignment="1">
      <alignment horizontal="left" vertical="center"/>
    </xf>
    <xf numFmtId="164" fontId="21" fillId="0" borderId="0" xfId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horizontal="right"/>
    </xf>
    <xf numFmtId="164" fontId="19" fillId="8" borderId="30" xfId="1" applyFont="1" applyFill="1" applyBorder="1" applyAlignment="1">
      <alignment horizontal="center" vertical="center" wrapText="1"/>
    </xf>
    <xf numFmtId="164" fontId="19" fillId="8" borderId="25" xfId="1" applyFont="1" applyFill="1" applyBorder="1" applyAlignment="1">
      <alignment horizontal="center" vertical="center" wrapText="1"/>
    </xf>
    <xf numFmtId="43" fontId="17" fillId="0" borderId="31" xfId="6" applyFont="1" applyFill="1" applyBorder="1" applyAlignment="1">
      <alignment horizontal="center" vertical="center" shrinkToFit="1"/>
    </xf>
    <xf numFmtId="43" fontId="17" fillId="0" borderId="32" xfId="6" applyFont="1" applyFill="1" applyBorder="1" applyAlignment="1">
      <alignment horizontal="center" vertical="center" shrinkToFit="1"/>
    </xf>
    <xf numFmtId="43" fontId="17" fillId="0" borderId="24" xfId="6" applyFont="1" applyFill="1" applyBorder="1" applyAlignment="1">
      <alignment horizontal="center" vertical="center" shrinkToFit="1"/>
    </xf>
    <xf numFmtId="164" fontId="17" fillId="0" borderId="31" xfId="1" applyFont="1" applyFill="1" applyBorder="1" applyAlignment="1">
      <alignment horizontal="center" vertical="center" shrinkToFit="1"/>
    </xf>
    <xf numFmtId="164" fontId="17" fillId="0" borderId="32" xfId="1" applyFont="1" applyFill="1" applyBorder="1" applyAlignment="1">
      <alignment horizontal="center" vertical="center" shrinkToFit="1"/>
    </xf>
    <xf numFmtId="164" fontId="17" fillId="0" borderId="24" xfId="1" applyFont="1" applyFill="1" applyBorder="1" applyAlignment="1">
      <alignment horizontal="center" vertical="center" shrinkToFit="1"/>
    </xf>
    <xf numFmtId="0" fontId="21" fillId="8" borderId="30" xfId="0" applyFont="1" applyFill="1" applyBorder="1" applyAlignment="1">
      <alignment horizontal="center" vertical="center" wrapText="1"/>
    </xf>
    <xf numFmtId="0" fontId="21" fillId="8" borderId="25" xfId="0" applyFont="1" applyFill="1" applyBorder="1" applyAlignment="1">
      <alignment horizontal="center" vertical="center" wrapText="1"/>
    </xf>
    <xf numFmtId="164" fontId="19" fillId="0" borderId="0" xfId="1" applyFont="1" applyFill="1" applyBorder="1" applyAlignment="1">
      <alignment horizontal="right" vertical="center" wrapText="1"/>
    </xf>
    <xf numFmtId="164" fontId="38" fillId="0" borderId="31" xfId="1" applyFont="1" applyFill="1" applyBorder="1" applyAlignment="1">
      <alignment horizontal="center" vertical="center" shrinkToFit="1"/>
    </xf>
    <xf numFmtId="164" fontId="38" fillId="0" borderId="32" xfId="1" applyFont="1" applyFill="1" applyBorder="1" applyAlignment="1">
      <alignment horizontal="center" vertical="center" shrinkToFit="1"/>
    </xf>
    <xf numFmtId="164" fontId="38" fillId="0" borderId="24" xfId="1" applyFont="1" applyFill="1" applyBorder="1" applyAlignment="1">
      <alignment horizontal="center" vertical="center" shrinkToFit="1"/>
    </xf>
    <xf numFmtId="164" fontId="21" fillId="0" borderId="0" xfId="1" applyFont="1" applyFill="1" applyBorder="1" applyAlignment="1">
      <alignment horizontal="left" vertical="center"/>
    </xf>
    <xf numFmtId="164" fontId="16" fillId="0" borderId="0" xfId="1" applyFont="1" applyFill="1" applyBorder="1" applyAlignment="1">
      <alignment horizontal="left" vertical="center"/>
    </xf>
    <xf numFmtId="0" fontId="11" fillId="8" borderId="30" xfId="0" applyFont="1" applyFill="1" applyBorder="1" applyAlignment="1">
      <alignment horizontal="center" vertical="center" wrapText="1"/>
    </xf>
    <xf numFmtId="0" fontId="11" fillId="8" borderId="25" xfId="0" applyFont="1" applyFill="1" applyBorder="1" applyAlignment="1">
      <alignment horizontal="center" vertical="center" wrapText="1"/>
    </xf>
    <xf numFmtId="0" fontId="37" fillId="8" borderId="30" xfId="0" applyFont="1" applyFill="1" applyBorder="1" applyAlignment="1">
      <alignment horizontal="center" vertical="center" wrapText="1"/>
    </xf>
    <xf numFmtId="0" fontId="37" fillId="8" borderId="25" xfId="0" applyFont="1" applyFill="1" applyBorder="1" applyAlignment="1">
      <alignment horizontal="center" vertical="center" wrapText="1"/>
    </xf>
    <xf numFmtId="164" fontId="38" fillId="8" borderId="30" xfId="1" applyFont="1" applyFill="1" applyBorder="1" applyAlignment="1">
      <alignment horizontal="center" vertical="center" wrapText="1"/>
    </xf>
    <xf numFmtId="164" fontId="38" fillId="8" borderId="25" xfId="1" applyFont="1" applyFill="1" applyBorder="1" applyAlignment="1">
      <alignment horizontal="center" vertical="center" wrapText="1"/>
    </xf>
    <xf numFmtId="43" fontId="38" fillId="0" borderId="31" xfId="6" applyFont="1" applyFill="1" applyBorder="1" applyAlignment="1">
      <alignment horizontal="center" vertical="center" shrinkToFit="1"/>
    </xf>
    <xf numFmtId="43" fontId="38" fillId="0" borderId="32" xfId="6" applyFont="1" applyFill="1" applyBorder="1" applyAlignment="1">
      <alignment horizontal="center" vertical="center" shrinkToFit="1"/>
    </xf>
    <xf numFmtId="43" fontId="38" fillId="0" borderId="24" xfId="6" applyFont="1" applyFill="1" applyBorder="1" applyAlignment="1">
      <alignment horizontal="center" vertical="center" shrinkToFit="1"/>
    </xf>
    <xf numFmtId="10" fontId="19" fillId="0" borderId="0" xfId="0" applyNumberFormat="1" applyFont="1" applyFill="1" applyBorder="1" applyAlignment="1">
      <alignment horizontal="right" vertical="center"/>
    </xf>
    <xf numFmtId="0" fontId="11" fillId="8" borderId="30" xfId="0" applyFont="1" applyFill="1" applyBorder="1" applyAlignment="1">
      <alignment horizontal="center" vertical="center"/>
    </xf>
    <xf numFmtId="0" fontId="11" fillId="8" borderId="25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34" fillId="0" borderId="5" xfId="0" applyFont="1" applyFill="1" applyBorder="1" applyAlignment="1">
      <alignment horizontal="left" vertical="center" wrapText="1"/>
    </xf>
    <xf numFmtId="0" fontId="34" fillId="0" borderId="1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12" xfId="0" applyFont="1" applyFill="1" applyBorder="1" applyAlignment="1">
      <alignment horizontal="left" vertical="center" wrapText="1"/>
    </xf>
    <xf numFmtId="0" fontId="34" fillId="0" borderId="13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right" wrapText="1"/>
    </xf>
    <xf numFmtId="10" fontId="19" fillId="0" borderId="0" xfId="0" applyNumberFormat="1" applyFont="1" applyFill="1" applyBorder="1" applyAlignment="1">
      <alignment horizontal="right" vertical="center" wrapText="1"/>
    </xf>
    <xf numFmtId="164" fontId="21" fillId="0" borderId="0" xfId="1" applyFont="1" applyFill="1" applyBorder="1" applyAlignment="1">
      <alignment horizontal="left" vertical="center" wrapText="1"/>
    </xf>
    <xf numFmtId="43" fontId="38" fillId="6" borderId="31" xfId="6" applyFont="1" applyFill="1" applyBorder="1" applyAlignment="1">
      <alignment horizontal="center" vertical="center" wrapText="1" shrinkToFit="1"/>
    </xf>
    <xf numFmtId="43" fontId="38" fillId="6" borderId="32" xfId="6" applyFont="1" applyFill="1" applyBorder="1" applyAlignment="1">
      <alignment horizontal="center" vertical="center" wrapText="1" shrinkToFit="1"/>
    </xf>
    <xf numFmtId="43" fontId="38" fillId="6" borderId="24" xfId="6" applyFont="1" applyFill="1" applyBorder="1" applyAlignment="1">
      <alignment horizontal="center" vertical="center" wrapText="1" shrinkToFit="1"/>
    </xf>
    <xf numFmtId="164" fontId="38" fillId="6" borderId="31" xfId="1" applyFont="1" applyFill="1" applyBorder="1" applyAlignment="1">
      <alignment horizontal="left" vertical="center" wrapText="1" shrinkToFit="1"/>
    </xf>
    <xf numFmtId="164" fontId="38" fillId="6" borderId="32" xfId="1" applyFont="1" applyFill="1" applyBorder="1" applyAlignment="1">
      <alignment horizontal="left" vertical="center" wrapText="1" shrinkToFit="1"/>
    </xf>
    <xf numFmtId="164" fontId="38" fillId="6" borderId="24" xfId="1" applyFont="1" applyFill="1" applyBorder="1" applyAlignment="1">
      <alignment horizontal="left" vertical="center" wrapText="1" shrinkToFit="1"/>
    </xf>
    <xf numFmtId="164" fontId="16" fillId="0" borderId="0" xfId="1" applyFont="1" applyFill="1" applyBorder="1" applyAlignment="1">
      <alignment horizontal="left" vertical="center" wrapText="1"/>
    </xf>
    <xf numFmtId="0" fontId="19" fillId="14" borderId="0" xfId="0" applyFont="1" applyFill="1" applyBorder="1" applyAlignment="1">
      <alignment horizontal="left" vertical="center" wrapText="1"/>
    </xf>
    <xf numFmtId="0" fontId="19" fillId="14" borderId="0" xfId="0" applyFont="1" applyFill="1" applyBorder="1" applyAlignment="1">
      <alignment horizontal="right" vertical="center" wrapText="1"/>
    </xf>
    <xf numFmtId="164" fontId="19" fillId="14" borderId="0" xfId="1" applyFont="1" applyFill="1" applyBorder="1" applyAlignment="1">
      <alignment horizontal="right" vertical="center" wrapText="1"/>
    </xf>
    <xf numFmtId="43" fontId="44" fillId="19" borderId="31" xfId="6" applyFont="1" applyFill="1" applyBorder="1" applyAlignment="1">
      <alignment horizontal="center" vertical="center" wrapText="1" shrinkToFit="1"/>
    </xf>
    <xf numFmtId="43" fontId="44" fillId="19" borderId="32" xfId="6" applyFont="1" applyFill="1" applyBorder="1" applyAlignment="1">
      <alignment horizontal="center" vertical="center" wrapText="1" shrinkToFit="1"/>
    </xf>
    <xf numFmtId="43" fontId="44" fillId="19" borderId="24" xfId="6" applyFont="1" applyFill="1" applyBorder="1" applyAlignment="1">
      <alignment horizontal="center" vertical="center" wrapText="1" shrinkToFit="1"/>
    </xf>
    <xf numFmtId="164" fontId="44" fillId="19" borderId="31" xfId="1" applyFont="1" applyFill="1" applyBorder="1" applyAlignment="1">
      <alignment horizontal="center" vertical="center" wrapText="1" shrinkToFit="1"/>
    </xf>
    <xf numFmtId="164" fontId="44" fillId="19" borderId="32" xfId="1" applyFont="1" applyFill="1" applyBorder="1" applyAlignment="1">
      <alignment horizontal="center" vertical="center" wrapText="1" shrinkToFit="1"/>
    </xf>
    <xf numFmtId="164" fontId="44" fillId="19" borderId="24" xfId="1" applyFont="1" applyFill="1" applyBorder="1" applyAlignment="1">
      <alignment horizontal="center" vertical="center" wrapText="1" shrinkToFit="1"/>
    </xf>
    <xf numFmtId="10" fontId="19" fillId="14" borderId="0" xfId="0" applyNumberFormat="1" applyFont="1" applyFill="1" applyBorder="1" applyAlignment="1">
      <alignment horizontal="right" vertical="center" wrapText="1"/>
    </xf>
    <xf numFmtId="0" fontId="19" fillId="14" borderId="0" xfId="0" applyFont="1" applyFill="1" applyBorder="1" applyAlignment="1">
      <alignment horizontal="right" wrapText="1"/>
    </xf>
  </cellXfs>
  <cellStyles count="8">
    <cellStyle name="Moeda" xfId="1" builtinId="4"/>
    <cellStyle name="Moeda 2" xfId="2" xr:uid="{00000000-0005-0000-0000-000001000000}"/>
    <cellStyle name="Normal" xfId="0" builtinId="0"/>
    <cellStyle name="Normal 2" xfId="3" xr:uid="{00000000-0005-0000-0000-000003000000}"/>
    <cellStyle name="Porcentagem" xfId="4" builtinId="5"/>
    <cellStyle name="Porcentagem 2" xfId="5" xr:uid="{00000000-0005-0000-0000-000005000000}"/>
    <cellStyle name="Vírgula" xfId="6" builtinId="3"/>
    <cellStyle name="Vírgula 2" xfId="7" xr:uid="{00000000-0005-0000-0000-000007000000}"/>
  </cellStyles>
  <dxfs count="958"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rgb="FFA6A6A6"/>
        </patternFill>
      </fill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  <fill>
        <patternFill>
          <bgColor theme="0" tint="-0.34998626667073579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38100</xdr:rowOff>
    </xdr:from>
    <xdr:to>
      <xdr:col>2</xdr:col>
      <xdr:colOff>190500</xdr:colOff>
      <xdr:row>5</xdr:row>
      <xdr:rowOff>142875</xdr:rowOff>
    </xdr:to>
    <xdr:pic>
      <xdr:nvPicPr>
        <xdr:cNvPr id="10299" name="Imagem 3">
          <a:extLst>
            <a:ext uri="{FF2B5EF4-FFF2-40B4-BE49-F238E27FC236}">
              <a16:creationId xmlns:a16="http://schemas.microsoft.com/office/drawing/2014/main" id="{00000000-0008-0000-0100-00003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9550"/>
          <a:ext cx="1428750" cy="9429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1</xdr:row>
          <xdr:rowOff>161925</xdr:rowOff>
        </xdr:from>
        <xdr:to>
          <xdr:col>14</xdr:col>
          <xdr:colOff>0</xdr:colOff>
          <xdr:row>4</xdr:row>
          <xdr:rowOff>57150</xdr:rowOff>
        </xdr:to>
        <xdr:sp macro="" textlink="">
          <xdr:nvSpPr>
            <xdr:cNvPr id="10251" name="Button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1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VOLTAR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0</xdr:colOff>
          <xdr:row>1</xdr:row>
          <xdr:rowOff>161925</xdr:rowOff>
        </xdr:from>
        <xdr:to>
          <xdr:col>14</xdr:col>
          <xdr:colOff>0</xdr:colOff>
          <xdr:row>4</xdr:row>
          <xdr:rowOff>57150</xdr:rowOff>
        </xdr:to>
        <xdr:sp macro="" textlink="">
          <xdr:nvSpPr>
            <xdr:cNvPr id="10252" name="Button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1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VOLTAR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76200</xdr:rowOff>
    </xdr:from>
    <xdr:to>
      <xdr:col>1</xdr:col>
      <xdr:colOff>504825</xdr:colOff>
      <xdr:row>4</xdr:row>
      <xdr:rowOff>371475</xdr:rowOff>
    </xdr:to>
    <xdr:pic>
      <xdr:nvPicPr>
        <xdr:cNvPr id="19463" name="Imagem 3">
          <a:extLst>
            <a:ext uri="{FF2B5EF4-FFF2-40B4-BE49-F238E27FC236}">
              <a16:creationId xmlns:a16="http://schemas.microsoft.com/office/drawing/2014/main" id="{00000000-0008-0000-0A00-000007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1133475" cy="904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85725</xdr:rowOff>
    </xdr:from>
    <xdr:to>
      <xdr:col>1</xdr:col>
      <xdr:colOff>485775</xdr:colOff>
      <xdr:row>4</xdr:row>
      <xdr:rowOff>304800</xdr:rowOff>
    </xdr:to>
    <xdr:pic>
      <xdr:nvPicPr>
        <xdr:cNvPr id="20492" name="Imagem 3">
          <a:extLst>
            <a:ext uri="{FF2B5EF4-FFF2-40B4-BE49-F238E27FC236}">
              <a16:creationId xmlns:a16="http://schemas.microsoft.com/office/drawing/2014/main" id="{00000000-0008-0000-0B00-00000C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5725"/>
          <a:ext cx="1028700" cy="8286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85725</xdr:rowOff>
    </xdr:from>
    <xdr:to>
      <xdr:col>1</xdr:col>
      <xdr:colOff>485775</xdr:colOff>
      <xdr:row>4</xdr:row>
      <xdr:rowOff>304800</xdr:rowOff>
    </xdr:to>
    <xdr:pic>
      <xdr:nvPicPr>
        <xdr:cNvPr id="2" name="Imagem 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5725"/>
          <a:ext cx="1028700" cy="8286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85725</xdr:rowOff>
    </xdr:from>
    <xdr:to>
      <xdr:col>1</xdr:col>
      <xdr:colOff>485775</xdr:colOff>
      <xdr:row>4</xdr:row>
      <xdr:rowOff>304800</xdr:rowOff>
    </xdr:to>
    <xdr:pic>
      <xdr:nvPicPr>
        <xdr:cNvPr id="2" name="Imagem 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5725"/>
          <a:ext cx="1028700" cy="8286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85725</xdr:rowOff>
    </xdr:from>
    <xdr:to>
      <xdr:col>1</xdr:col>
      <xdr:colOff>485775</xdr:colOff>
      <xdr:row>4</xdr:row>
      <xdr:rowOff>304800</xdr:rowOff>
    </xdr:to>
    <xdr:pic>
      <xdr:nvPicPr>
        <xdr:cNvPr id="2" name="Imagem 3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5725"/>
          <a:ext cx="1028700" cy="8286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85725</xdr:rowOff>
    </xdr:from>
    <xdr:to>
      <xdr:col>1</xdr:col>
      <xdr:colOff>485775</xdr:colOff>
      <xdr:row>4</xdr:row>
      <xdr:rowOff>304800</xdr:rowOff>
    </xdr:to>
    <xdr:pic>
      <xdr:nvPicPr>
        <xdr:cNvPr id="2" name="Imagem 3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83820"/>
          <a:ext cx="1028700" cy="83058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76200</xdr:rowOff>
    </xdr:from>
    <xdr:to>
      <xdr:col>1</xdr:col>
      <xdr:colOff>504825</xdr:colOff>
      <xdr:row>4</xdr:row>
      <xdr:rowOff>371475</xdr:rowOff>
    </xdr:to>
    <xdr:pic>
      <xdr:nvPicPr>
        <xdr:cNvPr id="16394" name="Imagem 3">
          <a:extLst>
            <a:ext uri="{FF2B5EF4-FFF2-40B4-BE49-F238E27FC236}">
              <a16:creationId xmlns:a16="http://schemas.microsoft.com/office/drawing/2014/main" id="{00000000-0008-0000-1000-00000A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1133475" cy="904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38100</xdr:rowOff>
    </xdr:from>
    <xdr:to>
      <xdr:col>2</xdr:col>
      <xdr:colOff>133350</xdr:colOff>
      <xdr:row>5</xdr:row>
      <xdr:rowOff>142875</xdr:rowOff>
    </xdr:to>
    <xdr:pic>
      <xdr:nvPicPr>
        <xdr:cNvPr id="11312" name="Imagem 3">
          <a:extLst>
            <a:ext uri="{FF2B5EF4-FFF2-40B4-BE49-F238E27FC236}">
              <a16:creationId xmlns:a16="http://schemas.microsoft.com/office/drawing/2014/main" id="{00000000-0008-0000-0200-00003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7650"/>
          <a:ext cx="1428750" cy="10191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38100</xdr:rowOff>
    </xdr:from>
    <xdr:to>
      <xdr:col>2</xdr:col>
      <xdr:colOff>133350</xdr:colOff>
      <xdr:row>5</xdr:row>
      <xdr:rowOff>142875</xdr:rowOff>
    </xdr:to>
    <xdr:pic>
      <xdr:nvPicPr>
        <xdr:cNvPr id="13360" name="Imagem 3">
          <a:extLst>
            <a:ext uri="{FF2B5EF4-FFF2-40B4-BE49-F238E27FC236}">
              <a16:creationId xmlns:a16="http://schemas.microsoft.com/office/drawing/2014/main" id="{00000000-0008-0000-0300-000030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7650"/>
          <a:ext cx="1428750" cy="10191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38100</xdr:rowOff>
    </xdr:from>
    <xdr:to>
      <xdr:col>2</xdr:col>
      <xdr:colOff>133350</xdr:colOff>
      <xdr:row>5</xdr:row>
      <xdr:rowOff>142875</xdr:rowOff>
    </xdr:to>
    <xdr:pic>
      <xdr:nvPicPr>
        <xdr:cNvPr id="14382" name="Imagem 3">
          <a:extLst>
            <a:ext uri="{FF2B5EF4-FFF2-40B4-BE49-F238E27FC236}">
              <a16:creationId xmlns:a16="http://schemas.microsoft.com/office/drawing/2014/main" id="{00000000-0008-0000-0400-00002E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7650"/>
          <a:ext cx="1428750" cy="10191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0</xdr:row>
      <xdr:rowOff>9525</xdr:rowOff>
    </xdr:from>
    <xdr:to>
      <xdr:col>3</xdr:col>
      <xdr:colOff>1428750</xdr:colOff>
      <xdr:row>4</xdr:row>
      <xdr:rowOff>209550</xdr:rowOff>
    </xdr:to>
    <xdr:pic>
      <xdr:nvPicPr>
        <xdr:cNvPr id="9266" name="Imagem 3">
          <a:extLst>
            <a:ext uri="{FF2B5EF4-FFF2-40B4-BE49-F238E27FC236}">
              <a16:creationId xmlns:a16="http://schemas.microsoft.com/office/drawing/2014/main" id="{00000000-0008-0000-0500-00003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9525"/>
          <a:ext cx="1543050" cy="13811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76200</xdr:rowOff>
    </xdr:from>
    <xdr:to>
      <xdr:col>1</xdr:col>
      <xdr:colOff>504825</xdr:colOff>
      <xdr:row>4</xdr:row>
      <xdr:rowOff>371475</xdr:rowOff>
    </xdr:to>
    <xdr:pic>
      <xdr:nvPicPr>
        <xdr:cNvPr id="2042" name="Imagem 3">
          <a:extLst>
            <a:ext uri="{FF2B5EF4-FFF2-40B4-BE49-F238E27FC236}">
              <a16:creationId xmlns:a16="http://schemas.microsoft.com/office/drawing/2014/main" id="{00000000-0008-0000-0600-0000F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1133475" cy="904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76200</xdr:rowOff>
    </xdr:from>
    <xdr:to>
      <xdr:col>1</xdr:col>
      <xdr:colOff>504825</xdr:colOff>
      <xdr:row>4</xdr:row>
      <xdr:rowOff>371475</xdr:rowOff>
    </xdr:to>
    <xdr:pic>
      <xdr:nvPicPr>
        <xdr:cNvPr id="15372" name="Imagem 3">
          <a:extLst>
            <a:ext uri="{FF2B5EF4-FFF2-40B4-BE49-F238E27FC236}">
              <a16:creationId xmlns:a16="http://schemas.microsoft.com/office/drawing/2014/main" id="{00000000-0008-0000-0700-00000C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1133475" cy="904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76200</xdr:rowOff>
    </xdr:from>
    <xdr:to>
      <xdr:col>1</xdr:col>
      <xdr:colOff>504825</xdr:colOff>
      <xdr:row>4</xdr:row>
      <xdr:rowOff>371475</xdr:rowOff>
    </xdr:to>
    <xdr:pic>
      <xdr:nvPicPr>
        <xdr:cNvPr id="17416" name="Imagem 3">
          <a:extLst>
            <a:ext uri="{FF2B5EF4-FFF2-40B4-BE49-F238E27FC236}">
              <a16:creationId xmlns:a16="http://schemas.microsoft.com/office/drawing/2014/main" id="{00000000-0008-0000-0800-000008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1133475" cy="904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76200</xdr:rowOff>
    </xdr:from>
    <xdr:to>
      <xdr:col>1</xdr:col>
      <xdr:colOff>504825</xdr:colOff>
      <xdr:row>4</xdr:row>
      <xdr:rowOff>371475</xdr:rowOff>
    </xdr:to>
    <xdr:pic>
      <xdr:nvPicPr>
        <xdr:cNvPr id="18439" name="Imagem 3">
          <a:extLst>
            <a:ext uri="{FF2B5EF4-FFF2-40B4-BE49-F238E27FC236}">
              <a16:creationId xmlns:a16="http://schemas.microsoft.com/office/drawing/2014/main" id="{00000000-0008-0000-0900-000007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1133475" cy="9048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ECEL/Documents/Downloads/Planilhas_de_medi&#231;&#227;o/04/QUADRA%20CLEONICE%20LOPES%20-%20FNDE/BMs/bm%20-%2003/MED%2003%20CL_PREFEITURA%20-%20August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ECEL/Documents/Downloads/Planilhas_de_medi&#231;&#227;o/QUADRA%20CLEONICE%20LOPES%20-%20FNDE/BMs/bm%20-%2003/MED%2003%20CL_PREFEITURA%20-%20August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ECEL/Documents/Downloads/Planilhas_de_medi&#231;&#227;o/04/MED%204-%20PREVIS+&#226;O%20quadra%20-%20fi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QUADRA-BMF\MEDI&#199;OES\MED1-AGO-SET\MEDI&#199;&#195;O%201-%20FINAL-Fisc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MECEL\Downloads\PLANILHA%20E%20CRONOGRAMA%20F&#205;SICO%20FINANCEIRO%20TP2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QUADRA-BMF\MEDI&#199;OES\MED2-SET-OUT\MED%2002%20CL_PREFEITURA-FISC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ECEL/Documents/Downloads/MED3-PREVIS&#195;O-rev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QUADRA-BMF\MEDI&#199;OES\MED-ADITIV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n&#237;cius/Downloads/3.%20Planilha%20de%20Medi&#231;&#227;o%20Quadra%20MED08-PM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LANILHA APRESENTAÇÃO"/>
      <sheetName val="RESUMO"/>
      <sheetName val="CRONOGRAMA FÍSICO-FINANCEIRO"/>
      <sheetName val="CRONOGRAMA FÍSICO"/>
      <sheetName val="Plan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LANILHA APRESENTAÇÃO"/>
      <sheetName val="RESUMO"/>
      <sheetName val="CRONOGRAMA FÍSICO-FINANCEIRO"/>
      <sheetName val="CRONOGRAMA FÍSICO"/>
      <sheetName val="Plan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"/>
      <sheetName val="03"/>
      <sheetName val="04"/>
      <sheetName val="Memoria de calculo"/>
    </sheetNames>
    <sheetDataSet>
      <sheetData sheetId="0" refreshError="1"/>
      <sheetData sheetId="1">
        <row r="52">
          <cell r="H52">
            <v>100</v>
          </cell>
        </row>
        <row r="53">
          <cell r="H53">
            <v>1800</v>
          </cell>
        </row>
        <row r="54">
          <cell r="H54">
            <v>200</v>
          </cell>
        </row>
        <row r="55">
          <cell r="H55">
            <v>8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LANILHA APRESENTAÇÃO"/>
      <sheetName val="RESUMO"/>
      <sheetName val="CRONOGRAMA FÍSICO-FINANCEIRO"/>
      <sheetName val="CRONOGRAMA FÍSICO"/>
      <sheetName val="Plan1"/>
      <sheetName val="MEDIÇÃO 1- FINAL-Fiscal"/>
    </sheetNames>
    <definedNames>
      <definedName name="VOLTARPREÇOS"/>
    </definedNames>
    <sheetDataSet>
      <sheetData sheetId="0">
        <row r="10">
          <cell r="C10">
            <v>0.27139999999999997</v>
          </cell>
        </row>
        <row r="11">
          <cell r="C11">
            <v>0.87519999999999998</v>
          </cell>
          <cell r="D11">
            <v>0.49359999999999998</v>
          </cell>
        </row>
        <row r="16">
          <cell r="C16" t="str">
            <v>PREFEITURA MUNICIPAL DE BARREIRAS</v>
          </cell>
        </row>
        <row r="17">
          <cell r="C17" t="str">
            <v>CONTRATAÇÃO DE EMPRESA PRESTADORA DE SERVIÇOS NO RAMO DA CONSTRUÇÃO CIVIL NA EXECUÇÃO DA OBRA DE CONSTRUÇÃO DE UMA QUADRA COBERTA POLIESPORTIVA , TIPO 1 PADRÃO FNDE NA ESCOLA MUNICIPAL PROFESSORA CLEONICE LOPES NA SEDE DESTE MUNICÍPIO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ÇÕES"/>
      <sheetName val="PLANILHA APRESENTAÇÃO"/>
      <sheetName val="RESUMO"/>
      <sheetName val="CRONOGRAMA FÍSICO-FINANCEIRO"/>
      <sheetName val="CRONOGRAMA FÍSICO"/>
      <sheetName val="PLANILHA E CRONOGRAMA FÍSICO FI"/>
    </sheetNames>
    <definedNames>
      <definedName name="VOLTARPREÇOS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LANILHA APRESENTAÇÃO"/>
      <sheetName val="RESUMO"/>
      <sheetName val="CRONOGRAMA FÍSICO-FINANCEIRO"/>
      <sheetName val="CRONOGRAMA FÍSICO"/>
      <sheetName val="Plan1"/>
    </sheetNames>
    <sheetDataSet>
      <sheetData sheetId="0">
        <row r="4">
          <cell r="C4">
            <v>43629</v>
          </cell>
        </row>
        <row r="10">
          <cell r="C10">
            <v>0.27139999999999997</v>
          </cell>
        </row>
        <row r="11">
          <cell r="C11">
            <v>0.87519999999999998</v>
          </cell>
          <cell r="D11">
            <v>0.49359999999999998</v>
          </cell>
        </row>
        <row r="16">
          <cell r="C16" t="str">
            <v>PREFEITURA MUNICIPAL DE BARREIRAS</v>
          </cell>
        </row>
        <row r="17">
          <cell r="C17" t="str">
            <v>CONTRATAÇÃO DE EMPRESA PRESTADORA DE SERVIÇOS NO RAMO DA CONSTRUÇÃO CIVIL NA EXECUÇÃO DA OBRA DE CONSTRUÇÃO DE UMA QUADRA COBERTA POLIESPORTIVA , TIPO 1 PADRÃO FNDE NA ESCOLA MUNICIPAL PROFESSORA CLEONICE LOPES NA SEDE DESTE MUNICÍPIO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LANILHA APRESENTAÇÃO"/>
      <sheetName val="RESUMO"/>
      <sheetName val="CRONOGRAMA FÍSICO-FINANCEIRO"/>
      <sheetName val="CRONOGRAMA FÍSICO"/>
      <sheetName val="Plan1"/>
    </sheetNames>
    <sheetDataSet>
      <sheetData sheetId="0">
        <row r="16">
          <cell r="C16" t="str">
            <v>PREFEITURA MUNICIPAL DE BARREIRAS</v>
          </cell>
        </row>
        <row r="17">
          <cell r="C17" t="str">
            <v>CONTRATAÇÃO DE EMPRESA PRESTADORA DE SERVIÇOS NO RAMO DA CONSTRUÇÃO CIVIL NA EXECUÇÃO DA OBRA DE CONSTRUÇÃO DE UMA QUADRA COBERTA POLIESPORTIVA , TIPO 1 PADRÃO FNDE NA ESCOLA MUNICIPAL PROFESSORA CLEONICE LOPES NA SEDE DESTE MUNICÍPIO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LANILHA APRESENTAÇÃO"/>
      <sheetName val="RESUMO"/>
      <sheetName val="CRONOGRAMA FÍSICO-FINANCEIRO"/>
      <sheetName val="CRONOGRAMA FÍSICO"/>
      <sheetName val="Plan1"/>
    </sheetNames>
    <sheetDataSet>
      <sheetData sheetId="0">
        <row r="16">
          <cell r="C16" t="str">
            <v>PREFEITURA MUNICIPAL DE BARREIRAS</v>
          </cell>
        </row>
        <row r="17">
          <cell r="C17" t="str">
            <v>CONTRATAÇÃO DE EMPRESA PRESTADORA DE SERVIÇOS NO RAMO DA CONSTRUÇÃO CIVIL NA EXECUÇÃO DA OBRA DE CONSTRUÇÃO DE UMA QUADRA COBERTA POLIESPORTIVA , TIPO 1 PADRÃO FNDE NA ESCOLA MUNICIPAL PROFESSORA CLEONICE LOPES NA SEDE DESTE MUNICÍPIO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"/>
      <sheetName val="01"/>
      <sheetName val="02"/>
      <sheetName val="03"/>
      <sheetName val="AD"/>
      <sheetName val="04 CORRIGIDA"/>
      <sheetName val="05"/>
      <sheetName val="1"/>
      <sheetName val="2"/>
      <sheetName val="3"/>
      <sheetName val="4"/>
      <sheetName val="5"/>
      <sheetName val="6"/>
      <sheetName val="7"/>
      <sheetName val="8"/>
      <sheetName val="05 NOVA"/>
      <sheetName val="Memoria de calcu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4">
          <cell r="I14"/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/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5.625</v>
          </cell>
        </row>
        <row r="32">
          <cell r="I32"/>
        </row>
        <row r="33">
          <cell r="I33"/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/>
        </row>
        <row r="40">
          <cell r="I40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/>
        </row>
        <row r="46">
          <cell r="I46"/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/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/>
        </row>
        <row r="58">
          <cell r="I58">
            <v>27.950000000000003</v>
          </cell>
        </row>
        <row r="59">
          <cell r="I59">
            <v>33.847499999999997</v>
          </cell>
        </row>
        <row r="60">
          <cell r="I60">
            <v>23.982500000000002</v>
          </cell>
        </row>
        <row r="61">
          <cell r="I61">
            <v>1.6475</v>
          </cell>
        </row>
        <row r="62">
          <cell r="I62"/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/>
        </row>
        <row r="68">
          <cell r="I68">
            <v>0</v>
          </cell>
        </row>
        <row r="69">
          <cell r="I69"/>
        </row>
        <row r="70">
          <cell r="I70"/>
        </row>
        <row r="71">
          <cell r="I71">
            <v>40.416000000000011</v>
          </cell>
        </row>
        <row r="72">
          <cell r="I72"/>
        </row>
        <row r="73">
          <cell r="I73">
            <v>0</v>
          </cell>
        </row>
        <row r="74">
          <cell r="I74">
            <v>0</v>
          </cell>
        </row>
        <row r="75">
          <cell r="I75"/>
        </row>
        <row r="76">
          <cell r="I76">
            <v>37.019999999999996</v>
          </cell>
        </row>
        <row r="77">
          <cell r="I77"/>
        </row>
        <row r="78">
          <cell r="I78"/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/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/>
        </row>
        <row r="88">
          <cell r="I88">
            <v>0</v>
          </cell>
        </row>
        <row r="89">
          <cell r="I89">
            <v>0</v>
          </cell>
        </row>
        <row r="90">
          <cell r="I90"/>
        </row>
        <row r="91">
          <cell r="I91">
            <v>0</v>
          </cell>
        </row>
        <row r="92">
          <cell r="I92"/>
        </row>
        <row r="93">
          <cell r="I93">
            <v>729.2</v>
          </cell>
        </row>
        <row r="94">
          <cell r="I94">
            <v>146.96163999999999</v>
          </cell>
        </row>
        <row r="95">
          <cell r="I95"/>
        </row>
        <row r="96">
          <cell r="I96">
            <v>0</v>
          </cell>
        </row>
        <row r="97">
          <cell r="I97">
            <v>0</v>
          </cell>
        </row>
        <row r="98">
          <cell r="I98"/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34.979999999999997</v>
          </cell>
        </row>
        <row r="105">
          <cell r="I105">
            <v>34.97</v>
          </cell>
        </row>
        <row r="106">
          <cell r="I106">
            <v>34.97</v>
          </cell>
        </row>
        <row r="107">
          <cell r="I107">
            <v>105.38</v>
          </cell>
        </row>
        <row r="108">
          <cell r="I108">
            <v>21.35</v>
          </cell>
        </row>
        <row r="109">
          <cell r="I109"/>
        </row>
        <row r="110">
          <cell r="I110"/>
        </row>
        <row r="111">
          <cell r="I111">
            <v>5.19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/>
        </row>
        <row r="117">
          <cell r="I117">
            <v>4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/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/>
        </row>
        <row r="130">
          <cell r="I130"/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/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1</v>
          </cell>
        </row>
        <row r="156">
          <cell r="I156">
            <v>2</v>
          </cell>
        </row>
        <row r="157">
          <cell r="I157">
            <v>1</v>
          </cell>
        </row>
        <row r="158">
          <cell r="I158">
            <v>1</v>
          </cell>
        </row>
        <row r="159">
          <cell r="I159">
            <v>5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3</v>
          </cell>
        </row>
        <row r="166">
          <cell r="I166">
            <v>2</v>
          </cell>
        </row>
        <row r="167">
          <cell r="I167">
            <v>0</v>
          </cell>
        </row>
        <row r="168">
          <cell r="I168"/>
        </row>
        <row r="169">
          <cell r="I169"/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/>
        </row>
        <row r="182">
          <cell r="I182">
            <v>3</v>
          </cell>
        </row>
        <row r="183">
          <cell r="I183">
            <v>1</v>
          </cell>
        </row>
        <row r="184">
          <cell r="I184">
            <v>3</v>
          </cell>
        </row>
        <row r="185">
          <cell r="I185">
            <v>6</v>
          </cell>
        </row>
        <row r="186">
          <cell r="I186">
            <v>4</v>
          </cell>
        </row>
        <row r="187">
          <cell r="I187">
            <v>7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/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/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/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/>
        </row>
        <row r="215">
          <cell r="I215"/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/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/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/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/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/>
        </row>
        <row r="269">
          <cell r="I269"/>
        </row>
        <row r="270">
          <cell r="I270">
            <v>2.5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/>
        </row>
        <row r="276">
          <cell r="I276">
            <v>0</v>
          </cell>
        </row>
        <row r="277">
          <cell r="I277">
            <v>0</v>
          </cell>
        </row>
        <row r="278">
          <cell r="I278"/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Q284"/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379"/>
  <sheetViews>
    <sheetView workbookViewId="0">
      <selection activeCell="C7" sqref="C7:D7"/>
    </sheetView>
  </sheetViews>
  <sheetFormatPr defaultRowHeight="12.75" x14ac:dyDescent="0.2"/>
  <cols>
    <col min="1" max="1" width="15.83203125" customWidth="1"/>
    <col min="2" max="2" width="15.83203125" style="48" customWidth="1"/>
    <col min="3" max="3" width="36.1640625" customWidth="1"/>
    <col min="4" max="4" width="19.5" customWidth="1"/>
    <col min="5" max="5" width="8.83203125" customWidth="1"/>
    <col min="6" max="10" width="15.83203125" customWidth="1"/>
  </cols>
  <sheetData>
    <row r="1" spans="1:12" s="1" customFormat="1" ht="25.5" customHeight="1" x14ac:dyDescent="0.2">
      <c r="A1" s="806" t="s">
        <v>0</v>
      </c>
      <c r="B1" s="810"/>
      <c r="C1" s="810"/>
      <c r="D1" s="807"/>
      <c r="E1" s="806" t="s">
        <v>1</v>
      </c>
      <c r="F1" s="810"/>
      <c r="G1" s="810"/>
      <c r="H1" s="810"/>
      <c r="I1" s="810"/>
      <c r="J1" s="807"/>
    </row>
    <row r="2" spans="1:12" s="1" customFormat="1" ht="25.5" customHeight="1" x14ac:dyDescent="0.2">
      <c r="A2" s="811" t="s">
        <v>2</v>
      </c>
      <c r="B2" s="812"/>
      <c r="C2" s="813">
        <v>25073</v>
      </c>
      <c r="D2" s="814"/>
      <c r="E2" s="2" t="s">
        <v>3</v>
      </c>
      <c r="F2" s="815">
        <v>0.27589999999999998</v>
      </c>
      <c r="G2" s="816"/>
      <c r="H2" s="816"/>
      <c r="I2" s="816"/>
      <c r="J2" s="817"/>
    </row>
    <row r="3" spans="1:12" s="1" customFormat="1" ht="25.5" customHeight="1" x14ac:dyDescent="0.2">
      <c r="A3" s="3" t="s">
        <v>166</v>
      </c>
      <c r="B3" s="4" t="s">
        <v>4</v>
      </c>
      <c r="C3" s="818" t="s">
        <v>5</v>
      </c>
      <c r="D3" s="819"/>
      <c r="E3" s="5" t="s">
        <v>6</v>
      </c>
      <c r="F3" s="5" t="s">
        <v>7</v>
      </c>
      <c r="G3" s="6" t="s">
        <v>167</v>
      </c>
      <c r="H3" s="4" t="s">
        <v>1280</v>
      </c>
      <c r="I3" s="6" t="s">
        <v>169</v>
      </c>
      <c r="J3" s="6" t="s">
        <v>170</v>
      </c>
    </row>
    <row r="4" spans="1:12" s="1" customFormat="1" ht="25.5" customHeight="1" x14ac:dyDescent="0.2">
      <c r="A4" s="8"/>
      <c r="B4" s="9" t="s">
        <v>8</v>
      </c>
      <c r="C4" s="808" t="s">
        <v>9</v>
      </c>
      <c r="D4" s="809"/>
      <c r="E4" s="8"/>
      <c r="F4" s="8"/>
      <c r="G4" s="8"/>
      <c r="H4" s="8"/>
      <c r="I4" s="8"/>
      <c r="J4" s="8"/>
    </row>
    <row r="5" spans="1:12" s="1" customFormat="1" ht="25.5" customHeight="1" x14ac:dyDescent="0.2">
      <c r="A5" s="8"/>
      <c r="B5" s="9" t="s">
        <v>10</v>
      </c>
      <c r="C5" s="808" t="s">
        <v>11</v>
      </c>
      <c r="D5" s="809"/>
      <c r="E5" s="8"/>
      <c r="F5" s="8"/>
      <c r="G5" s="8"/>
      <c r="H5" s="8"/>
      <c r="I5" s="8"/>
      <c r="J5" s="8"/>
    </row>
    <row r="6" spans="1:12" s="1" customFormat="1" ht="25.5" customHeight="1" x14ac:dyDescent="0.2">
      <c r="A6" s="10">
        <v>93207</v>
      </c>
      <c r="B6" s="11" t="s">
        <v>12</v>
      </c>
      <c r="C6" s="806" t="s">
        <v>13</v>
      </c>
      <c r="D6" s="807"/>
      <c r="E6" s="11" t="s">
        <v>14</v>
      </c>
      <c r="F6" s="12">
        <v>25.41</v>
      </c>
      <c r="G6" s="12">
        <v>597.70000000000005</v>
      </c>
      <c r="H6" s="12">
        <v>762.6</v>
      </c>
      <c r="I6" s="13">
        <f>F6*G6</f>
        <v>15187.557000000001</v>
      </c>
      <c r="J6" s="13">
        <f>F6*H6</f>
        <v>19377.666000000001</v>
      </c>
    </row>
    <row r="7" spans="1:12" s="1" customFormat="1" ht="25.5" customHeight="1" x14ac:dyDescent="0.2">
      <c r="A7" s="11" t="s">
        <v>15</v>
      </c>
      <c r="B7" s="11" t="s">
        <v>16</v>
      </c>
      <c r="C7" s="806" t="s">
        <v>17</v>
      </c>
      <c r="D7" s="807"/>
      <c r="E7" s="11" t="s">
        <v>14</v>
      </c>
      <c r="F7" s="12">
        <v>3</v>
      </c>
      <c r="G7" s="12">
        <v>256.73</v>
      </c>
      <c r="H7" s="12">
        <v>327.57</v>
      </c>
      <c r="I7" s="13">
        <f>F7*G7</f>
        <v>770.19</v>
      </c>
      <c r="J7" s="13">
        <f>F7*H7</f>
        <v>982.71</v>
      </c>
    </row>
    <row r="8" spans="1:12" s="1" customFormat="1" ht="25.5" customHeight="1" x14ac:dyDescent="0.2">
      <c r="A8" s="10">
        <v>92235</v>
      </c>
      <c r="B8" s="11" t="s">
        <v>18</v>
      </c>
      <c r="C8" s="806" t="s">
        <v>19</v>
      </c>
      <c r="D8" s="807"/>
      <c r="E8" s="11" t="s">
        <v>14</v>
      </c>
      <c r="F8" s="12">
        <v>650</v>
      </c>
      <c r="G8" s="12">
        <v>49.62</v>
      </c>
      <c r="H8" s="12">
        <v>63.31</v>
      </c>
      <c r="I8" s="13">
        <f>F8*G8</f>
        <v>32253</v>
      </c>
      <c r="J8" s="13">
        <f>F8*H8</f>
        <v>41151.5</v>
      </c>
    </row>
    <row r="9" spans="1:12" s="1" customFormat="1" ht="25.5" customHeight="1" x14ac:dyDescent="0.2">
      <c r="A9" s="11" t="s">
        <v>20</v>
      </c>
      <c r="B9" s="11" t="s">
        <v>21</v>
      </c>
      <c r="C9" s="806" t="s">
        <v>22</v>
      </c>
      <c r="D9" s="807"/>
      <c r="E9" s="11" t="s">
        <v>23</v>
      </c>
      <c r="F9" s="13">
        <v>1118.48</v>
      </c>
      <c r="G9" s="12">
        <v>5.2</v>
      </c>
      <c r="H9" s="12">
        <v>6.64</v>
      </c>
      <c r="I9" s="13">
        <f>F9*G9</f>
        <v>5816.0960000000005</v>
      </c>
      <c r="J9" s="13">
        <f>F9*H9</f>
        <v>7426.7071999999998</v>
      </c>
      <c r="K9" s="49"/>
      <c r="L9" s="49"/>
    </row>
    <row r="10" spans="1:12" s="1" customFormat="1" ht="25.5" customHeight="1" x14ac:dyDescent="0.2">
      <c r="A10" s="8"/>
      <c r="B10" s="803" t="s">
        <v>24</v>
      </c>
      <c r="C10" s="804"/>
      <c r="D10" s="804"/>
      <c r="E10" s="804"/>
      <c r="F10" s="804"/>
      <c r="G10" s="805"/>
      <c r="H10" s="8"/>
      <c r="I10" s="14">
        <f>SUM(I6:I9)+0.28</f>
        <v>54027.123</v>
      </c>
      <c r="J10" s="15">
        <f>SUM(J6:J9)-5.38</f>
        <v>68933.203200000004</v>
      </c>
    </row>
    <row r="11" spans="1:12" s="1" customFormat="1" ht="25.5" customHeight="1" x14ac:dyDescent="0.2">
      <c r="A11" s="8"/>
      <c r="B11" s="9" t="s">
        <v>25</v>
      </c>
      <c r="C11" s="808" t="s">
        <v>26</v>
      </c>
      <c r="D11" s="809"/>
      <c r="E11" s="8"/>
      <c r="F11" s="8"/>
      <c r="G11" s="8"/>
      <c r="H11" s="8"/>
      <c r="I11" s="8"/>
      <c r="J11" s="8"/>
    </row>
    <row r="12" spans="1:12" s="1" customFormat="1" ht="25.5" customHeight="1" x14ac:dyDescent="0.2">
      <c r="A12" s="8"/>
      <c r="B12" s="9" t="s">
        <v>27</v>
      </c>
      <c r="C12" s="808" t="s">
        <v>28</v>
      </c>
      <c r="D12" s="809"/>
      <c r="E12" s="8"/>
      <c r="F12" s="8"/>
      <c r="G12" s="8"/>
      <c r="H12" s="8"/>
      <c r="I12" s="8"/>
      <c r="J12" s="8"/>
    </row>
    <row r="13" spans="1:12" s="1" customFormat="1" ht="25.5" customHeight="1" x14ac:dyDescent="0.2">
      <c r="A13" s="10">
        <v>94965</v>
      </c>
      <c r="B13" s="11" t="s">
        <v>29</v>
      </c>
      <c r="C13" s="806" t="s">
        <v>30</v>
      </c>
      <c r="D13" s="807"/>
      <c r="E13" s="16" t="s">
        <v>171</v>
      </c>
      <c r="F13" s="12">
        <v>6.16</v>
      </c>
      <c r="G13" s="12">
        <v>302.64</v>
      </c>
      <c r="H13" s="12">
        <v>386.14</v>
      </c>
      <c r="I13" s="13">
        <f>F13*G13</f>
        <v>1864.2624000000001</v>
      </c>
      <c r="J13" s="13">
        <f>F13*H13</f>
        <v>2378.6224000000002</v>
      </c>
    </row>
    <row r="14" spans="1:12" s="1" customFormat="1" ht="25.5" customHeight="1" x14ac:dyDescent="0.2">
      <c r="A14" s="10">
        <v>92873</v>
      </c>
      <c r="B14" s="11" t="s">
        <v>31</v>
      </c>
      <c r="C14" s="806" t="s">
        <v>32</v>
      </c>
      <c r="D14" s="807"/>
      <c r="E14" s="16" t="s">
        <v>171</v>
      </c>
      <c r="F14" s="12">
        <v>6.16</v>
      </c>
      <c r="G14" s="12">
        <v>135.94</v>
      </c>
      <c r="H14" s="12">
        <v>173.44</v>
      </c>
      <c r="I14" s="13">
        <f>F14*G14</f>
        <v>837.3904</v>
      </c>
      <c r="J14" s="13">
        <f>F14*H14</f>
        <v>1068.3904</v>
      </c>
    </row>
    <row r="15" spans="1:12" s="1" customFormat="1" ht="25.5" customHeight="1" x14ac:dyDescent="0.2">
      <c r="A15" s="10">
        <v>92762</v>
      </c>
      <c r="B15" s="11" t="s">
        <v>33</v>
      </c>
      <c r="C15" s="806" t="s">
        <v>34</v>
      </c>
      <c r="D15" s="807"/>
      <c r="E15" s="11" t="s">
        <v>35</v>
      </c>
      <c r="F15" s="12">
        <v>296</v>
      </c>
      <c r="G15" s="12">
        <v>5.86</v>
      </c>
      <c r="H15" s="12">
        <v>7.48</v>
      </c>
      <c r="I15" s="13">
        <f>F15*G15</f>
        <v>1734.5600000000002</v>
      </c>
      <c r="J15" s="13">
        <f>F15*H15</f>
        <v>2214.08</v>
      </c>
    </row>
    <row r="16" spans="1:12" s="1" customFormat="1" ht="25.5" customHeight="1" x14ac:dyDescent="0.2">
      <c r="A16" s="10">
        <v>96523</v>
      </c>
      <c r="B16" s="11" t="s">
        <v>36</v>
      </c>
      <c r="C16" s="806" t="s">
        <v>37</v>
      </c>
      <c r="D16" s="807"/>
      <c r="E16" s="16" t="s">
        <v>171</v>
      </c>
      <c r="F16" s="12">
        <v>88</v>
      </c>
      <c r="G16" s="12">
        <v>59.37</v>
      </c>
      <c r="H16" s="12">
        <v>75.75</v>
      </c>
      <c r="I16" s="13">
        <f>F16*G16</f>
        <v>5224.5599999999995</v>
      </c>
      <c r="J16" s="13">
        <f>F16*H16</f>
        <v>6666</v>
      </c>
    </row>
    <row r="17" spans="1:11" s="1" customFormat="1" ht="25.5" customHeight="1" x14ac:dyDescent="0.2">
      <c r="A17" s="8"/>
      <c r="B17" s="803" t="s">
        <v>38</v>
      </c>
      <c r="C17" s="804"/>
      <c r="D17" s="804"/>
      <c r="E17" s="804"/>
      <c r="F17" s="804"/>
      <c r="G17" s="805"/>
      <c r="H17" s="8"/>
      <c r="I17" s="14">
        <f>SUM(I13:I16)-0.04</f>
        <v>9660.732799999998</v>
      </c>
      <c r="J17" s="15">
        <f>SUM(J13:J16)-0.96</f>
        <v>12326.132800000001</v>
      </c>
      <c r="K17" s="49"/>
    </row>
    <row r="18" spans="1:11" s="1" customFormat="1" ht="25.5" customHeight="1" x14ac:dyDescent="0.2">
      <c r="A18" s="8"/>
      <c r="B18" s="9" t="s">
        <v>39</v>
      </c>
      <c r="C18" s="808" t="s">
        <v>40</v>
      </c>
      <c r="D18" s="809"/>
      <c r="E18" s="8"/>
      <c r="F18" s="8"/>
      <c r="G18" s="8"/>
      <c r="H18" s="8"/>
      <c r="I18" s="8"/>
      <c r="J18" s="8"/>
    </row>
    <row r="19" spans="1:11" s="1" customFormat="1" ht="25.5" customHeight="1" x14ac:dyDescent="0.2">
      <c r="A19" s="8"/>
      <c r="B19" s="9" t="s">
        <v>41</v>
      </c>
      <c r="C19" s="808" t="s">
        <v>42</v>
      </c>
      <c r="D19" s="809"/>
      <c r="E19" s="8"/>
      <c r="F19" s="8"/>
      <c r="G19" s="8"/>
      <c r="H19" s="8"/>
      <c r="I19" s="8"/>
      <c r="J19" s="8"/>
    </row>
    <row r="20" spans="1:11" s="1" customFormat="1" ht="25.5" customHeight="1" x14ac:dyDescent="0.2">
      <c r="A20" s="10">
        <v>92265</v>
      </c>
      <c r="B20" s="11" t="s">
        <v>43</v>
      </c>
      <c r="C20" s="806" t="s">
        <v>44</v>
      </c>
      <c r="D20" s="807"/>
      <c r="E20" s="11" t="s">
        <v>14</v>
      </c>
      <c r="F20" s="12">
        <v>142.72</v>
      </c>
      <c r="G20" s="12">
        <v>60.66</v>
      </c>
      <c r="H20" s="12">
        <v>77.400000000000006</v>
      </c>
      <c r="I20" s="13">
        <f>F20*G20</f>
        <v>8657.395199999999</v>
      </c>
      <c r="J20" s="13">
        <f>F20*H20</f>
        <v>11046.528</v>
      </c>
    </row>
    <row r="21" spans="1:11" s="1" customFormat="1" ht="25.5" customHeight="1" x14ac:dyDescent="0.2">
      <c r="A21" s="10">
        <v>92762</v>
      </c>
      <c r="B21" s="11" t="s">
        <v>45</v>
      </c>
      <c r="C21" s="806" t="s">
        <v>46</v>
      </c>
      <c r="D21" s="807"/>
      <c r="E21" s="11" t="s">
        <v>35</v>
      </c>
      <c r="F21" s="12">
        <v>884.82</v>
      </c>
      <c r="G21" s="12">
        <v>5.86</v>
      </c>
      <c r="H21" s="12">
        <v>7.48</v>
      </c>
      <c r="I21" s="13">
        <f>F21*G21</f>
        <v>5185.0452000000005</v>
      </c>
      <c r="J21" s="13">
        <f>F21*H21</f>
        <v>6618.4536000000007</v>
      </c>
    </row>
    <row r="22" spans="1:11" s="1" customFormat="1" ht="25.5" customHeight="1" x14ac:dyDescent="0.2">
      <c r="A22" s="10">
        <v>94965</v>
      </c>
      <c r="B22" s="11" t="s">
        <v>47</v>
      </c>
      <c r="C22" s="806" t="s">
        <v>30</v>
      </c>
      <c r="D22" s="807"/>
      <c r="E22" s="11" t="s">
        <v>48</v>
      </c>
      <c r="F22" s="12">
        <v>10.88</v>
      </c>
      <c r="G22" s="12">
        <v>302.64</v>
      </c>
      <c r="H22" s="12">
        <v>386.14</v>
      </c>
      <c r="I22" s="13">
        <f>F22*G22</f>
        <v>3292.7231999999999</v>
      </c>
      <c r="J22" s="13">
        <f>F22*H22</f>
        <v>4201.2031999999999</v>
      </c>
    </row>
    <row r="23" spans="1:11" s="1" customFormat="1" ht="25.5" customHeight="1" x14ac:dyDescent="0.2">
      <c r="A23" s="10">
        <v>92873</v>
      </c>
      <c r="B23" s="11" t="s">
        <v>49</v>
      </c>
      <c r="C23" s="806" t="s">
        <v>32</v>
      </c>
      <c r="D23" s="807"/>
      <c r="E23" s="11" t="s">
        <v>48</v>
      </c>
      <c r="F23" s="12">
        <v>10.88</v>
      </c>
      <c r="G23" s="12">
        <v>135.94</v>
      </c>
      <c r="H23" s="12">
        <v>173.44</v>
      </c>
      <c r="I23" s="13">
        <f>F23*G23</f>
        <v>1479.0272</v>
      </c>
      <c r="J23" s="13">
        <f>F23*H23</f>
        <v>1887.0272000000002</v>
      </c>
    </row>
    <row r="24" spans="1:11" s="1" customFormat="1" ht="25.5" customHeight="1" x14ac:dyDescent="0.2">
      <c r="A24" s="8"/>
      <c r="B24" s="9" t="s">
        <v>50</v>
      </c>
      <c r="C24" s="808" t="s">
        <v>51</v>
      </c>
      <c r="D24" s="809"/>
      <c r="E24" s="8"/>
      <c r="F24" s="8"/>
      <c r="G24" s="8"/>
      <c r="H24" s="8"/>
      <c r="I24" s="8"/>
      <c r="J24" s="8"/>
    </row>
    <row r="25" spans="1:11" s="1" customFormat="1" ht="25.5" customHeight="1" x14ac:dyDescent="0.2">
      <c r="A25" s="10">
        <v>92265</v>
      </c>
      <c r="B25" s="11" t="s">
        <v>52</v>
      </c>
      <c r="C25" s="806" t="s">
        <v>44</v>
      </c>
      <c r="D25" s="807"/>
      <c r="E25" s="11" t="s">
        <v>14</v>
      </c>
      <c r="F25" s="12">
        <v>108.19</v>
      </c>
      <c r="G25" s="12">
        <v>60.66</v>
      </c>
      <c r="H25" s="12">
        <v>77.400000000000006</v>
      </c>
      <c r="I25" s="13">
        <f>F25*G25</f>
        <v>6562.8053999999993</v>
      </c>
      <c r="J25" s="13">
        <f>F25*H25</f>
        <v>8373.9060000000009</v>
      </c>
    </row>
    <row r="26" spans="1:11" s="1" customFormat="1" ht="25.5" customHeight="1" x14ac:dyDescent="0.2">
      <c r="A26" s="10">
        <v>92762</v>
      </c>
      <c r="B26" s="11" t="s">
        <v>53</v>
      </c>
      <c r="C26" s="806" t="s">
        <v>46</v>
      </c>
      <c r="D26" s="807"/>
      <c r="E26" s="11" t="s">
        <v>35</v>
      </c>
      <c r="F26" s="12">
        <v>365.92</v>
      </c>
      <c r="G26" s="12">
        <v>5.86</v>
      </c>
      <c r="H26" s="12">
        <v>7.48</v>
      </c>
      <c r="I26" s="13">
        <f>F26*G26</f>
        <v>2144.2912000000001</v>
      </c>
      <c r="J26" s="13">
        <f>F26*H26</f>
        <v>2737.0816000000004</v>
      </c>
    </row>
    <row r="27" spans="1:11" s="1" customFormat="1" ht="25.5" customHeight="1" x14ac:dyDescent="0.2">
      <c r="A27" s="10">
        <v>94965</v>
      </c>
      <c r="B27" s="11" t="s">
        <v>54</v>
      </c>
      <c r="C27" s="806" t="s">
        <v>30</v>
      </c>
      <c r="D27" s="807"/>
      <c r="E27" s="11" t="s">
        <v>48</v>
      </c>
      <c r="F27" s="12">
        <v>6.76</v>
      </c>
      <c r="G27" s="12">
        <v>302.64</v>
      </c>
      <c r="H27" s="12">
        <v>386.14</v>
      </c>
      <c r="I27" s="13">
        <f>F27*G27</f>
        <v>2045.8463999999999</v>
      </c>
      <c r="J27" s="13">
        <f>F27*H27</f>
        <v>2610.3063999999999</v>
      </c>
    </row>
    <row r="28" spans="1:11" s="1" customFormat="1" ht="25.5" customHeight="1" x14ac:dyDescent="0.2">
      <c r="A28" s="10">
        <v>92873</v>
      </c>
      <c r="B28" s="11" t="s">
        <v>55</v>
      </c>
      <c r="C28" s="806" t="s">
        <v>32</v>
      </c>
      <c r="D28" s="807"/>
      <c r="E28" s="11" t="s">
        <v>48</v>
      </c>
      <c r="F28" s="12">
        <v>6.76</v>
      </c>
      <c r="G28" s="12">
        <v>135.94</v>
      </c>
      <c r="H28" s="12">
        <v>173.44</v>
      </c>
      <c r="I28" s="13">
        <f>F28*G28</f>
        <v>918.95439999999996</v>
      </c>
      <c r="J28" s="13">
        <f>F28*H28</f>
        <v>1172.4543999999999</v>
      </c>
    </row>
    <row r="29" spans="1:11" s="1" customFormat="1" ht="25.5" customHeight="1" x14ac:dyDescent="0.2">
      <c r="A29" s="8"/>
      <c r="B29" s="9" t="s">
        <v>56</v>
      </c>
      <c r="C29" s="808" t="s">
        <v>57</v>
      </c>
      <c r="D29" s="809"/>
      <c r="E29" s="8"/>
      <c r="F29" s="8"/>
      <c r="G29" s="8"/>
      <c r="H29" s="8"/>
      <c r="I29" s="8"/>
      <c r="J29" s="8"/>
    </row>
    <row r="30" spans="1:11" s="1" customFormat="1" ht="25.5" customHeight="1" x14ac:dyDescent="0.2">
      <c r="A30" s="11" t="s">
        <v>58</v>
      </c>
      <c r="B30" s="11" t="s">
        <v>59</v>
      </c>
      <c r="C30" s="806" t="s">
        <v>60</v>
      </c>
      <c r="D30" s="807"/>
      <c r="E30" s="11" t="s">
        <v>14</v>
      </c>
      <c r="F30" s="13">
        <v>1036</v>
      </c>
      <c r="G30" s="12">
        <v>62.75</v>
      </c>
      <c r="H30" s="12">
        <v>80.06</v>
      </c>
      <c r="I30" s="13">
        <f>F30*G30</f>
        <v>65009</v>
      </c>
      <c r="J30" s="13">
        <f>F30*H30</f>
        <v>82942.16</v>
      </c>
    </row>
    <row r="31" spans="1:11" s="1" customFormat="1" ht="25.5" customHeight="1" x14ac:dyDescent="0.2">
      <c r="A31" s="10">
        <v>92763</v>
      </c>
      <c r="B31" s="11" t="s">
        <v>61</v>
      </c>
      <c r="C31" s="806" t="s">
        <v>62</v>
      </c>
      <c r="D31" s="807"/>
      <c r="E31" s="11" t="s">
        <v>35</v>
      </c>
      <c r="F31" s="13">
        <v>3423</v>
      </c>
      <c r="G31" s="12">
        <v>5.22</v>
      </c>
      <c r="H31" s="12">
        <v>6.66</v>
      </c>
      <c r="I31" s="13">
        <f>F31*G31</f>
        <v>17868.059999999998</v>
      </c>
      <c r="J31" s="13">
        <f>F31*H31</f>
        <v>22797.18</v>
      </c>
    </row>
    <row r="32" spans="1:11" s="1" customFormat="1" ht="25.5" customHeight="1" x14ac:dyDescent="0.2">
      <c r="A32" s="10">
        <v>94965</v>
      </c>
      <c r="B32" s="11" t="s">
        <v>63</v>
      </c>
      <c r="C32" s="806" t="s">
        <v>30</v>
      </c>
      <c r="D32" s="807"/>
      <c r="E32" s="11" t="s">
        <v>48</v>
      </c>
      <c r="F32" s="12">
        <v>47.9</v>
      </c>
      <c r="G32" s="12">
        <v>302.64</v>
      </c>
      <c r="H32" s="12">
        <v>386.14</v>
      </c>
      <c r="I32" s="13">
        <f>F32*G32</f>
        <v>14496.455999999998</v>
      </c>
      <c r="J32" s="13">
        <f>F32*H32</f>
        <v>18496.106</v>
      </c>
    </row>
    <row r="33" spans="1:11" s="1" customFormat="1" ht="25.5" customHeight="1" x14ac:dyDescent="0.2">
      <c r="A33" s="10">
        <v>92873</v>
      </c>
      <c r="B33" s="11" t="s">
        <v>64</v>
      </c>
      <c r="C33" s="806" t="s">
        <v>32</v>
      </c>
      <c r="D33" s="807"/>
      <c r="E33" s="11" t="s">
        <v>48</v>
      </c>
      <c r="F33" s="12">
        <v>47.9</v>
      </c>
      <c r="G33" s="12">
        <v>135.94</v>
      </c>
      <c r="H33" s="12">
        <v>173.44</v>
      </c>
      <c r="I33" s="13">
        <f>F33*G33</f>
        <v>6511.5259999999998</v>
      </c>
      <c r="J33" s="13">
        <f>F33*H33</f>
        <v>8307.7759999999998</v>
      </c>
    </row>
    <row r="34" spans="1:11" s="1" customFormat="1" ht="25.5" customHeight="1" x14ac:dyDescent="0.2">
      <c r="A34" s="8"/>
      <c r="B34" s="9" t="s">
        <v>65</v>
      </c>
      <c r="C34" s="808" t="s">
        <v>66</v>
      </c>
      <c r="D34" s="809"/>
      <c r="E34" s="8"/>
      <c r="F34" s="8"/>
      <c r="G34" s="8"/>
      <c r="H34" s="8"/>
      <c r="I34" s="8"/>
      <c r="J34" s="8"/>
    </row>
    <row r="35" spans="1:11" s="1" customFormat="1" ht="25.5" customHeight="1" x14ac:dyDescent="0.2">
      <c r="A35" s="10">
        <v>92265</v>
      </c>
      <c r="B35" s="11" t="s">
        <v>67</v>
      </c>
      <c r="C35" s="806" t="s">
        <v>44</v>
      </c>
      <c r="D35" s="807"/>
      <c r="E35" s="11" t="s">
        <v>14</v>
      </c>
      <c r="F35" s="12">
        <v>370.9</v>
      </c>
      <c r="G35" s="12">
        <v>60.66</v>
      </c>
      <c r="H35" s="12">
        <v>77.400000000000006</v>
      </c>
      <c r="I35" s="13">
        <f>F35*G35</f>
        <v>22498.793999999998</v>
      </c>
      <c r="J35" s="13">
        <f>F35*H35</f>
        <v>28707.66</v>
      </c>
    </row>
    <row r="36" spans="1:11" s="1" customFormat="1" ht="25.5" customHeight="1" x14ac:dyDescent="0.2">
      <c r="A36" s="10">
        <v>92762</v>
      </c>
      <c r="B36" s="11" t="s">
        <v>68</v>
      </c>
      <c r="C36" s="806" t="s">
        <v>46</v>
      </c>
      <c r="D36" s="807"/>
      <c r="E36" s="11" t="s">
        <v>35</v>
      </c>
      <c r="F36" s="13">
        <v>6724.2</v>
      </c>
      <c r="G36" s="12">
        <v>5.86</v>
      </c>
      <c r="H36" s="12">
        <v>7.48</v>
      </c>
      <c r="I36" s="13">
        <f>F36*G36</f>
        <v>39403.811999999998</v>
      </c>
      <c r="J36" s="13">
        <f>F36*H36</f>
        <v>50297.016000000003</v>
      </c>
    </row>
    <row r="37" spans="1:11" s="1" customFormat="1" ht="25.5" customHeight="1" x14ac:dyDescent="0.2">
      <c r="A37" s="10">
        <v>94965</v>
      </c>
      <c r="B37" s="11" t="s">
        <v>69</v>
      </c>
      <c r="C37" s="806" t="s">
        <v>30</v>
      </c>
      <c r="D37" s="807"/>
      <c r="E37" s="11" t="s">
        <v>48</v>
      </c>
      <c r="F37" s="12">
        <v>35.9</v>
      </c>
      <c r="G37" s="12">
        <v>302.64</v>
      </c>
      <c r="H37" s="12">
        <v>386.14</v>
      </c>
      <c r="I37" s="13">
        <f>F37*G37</f>
        <v>10864.776</v>
      </c>
      <c r="J37" s="13">
        <f>F37*H37</f>
        <v>13862.425999999999</v>
      </c>
    </row>
    <row r="38" spans="1:11" s="1" customFormat="1" ht="25.5" customHeight="1" x14ac:dyDescent="0.2">
      <c r="A38" s="10">
        <v>92873</v>
      </c>
      <c r="B38" s="11" t="s">
        <v>70</v>
      </c>
      <c r="C38" s="806" t="s">
        <v>32</v>
      </c>
      <c r="D38" s="807"/>
      <c r="E38" s="11" t="s">
        <v>48</v>
      </c>
      <c r="F38" s="12">
        <v>35.9</v>
      </c>
      <c r="G38" s="12">
        <v>135.94</v>
      </c>
      <c r="H38" s="12">
        <v>173.44</v>
      </c>
      <c r="I38" s="13">
        <f>F38*G38</f>
        <v>4880.2460000000001</v>
      </c>
      <c r="J38" s="13">
        <f>F38*H38</f>
        <v>6226.4960000000001</v>
      </c>
    </row>
    <row r="39" spans="1:11" s="1" customFormat="1" ht="25.5" customHeight="1" x14ac:dyDescent="0.2">
      <c r="A39" s="8"/>
      <c r="B39" s="803" t="s">
        <v>71</v>
      </c>
      <c r="C39" s="804"/>
      <c r="D39" s="804"/>
      <c r="E39" s="804"/>
      <c r="F39" s="804"/>
      <c r="G39" s="805"/>
      <c r="H39" s="8"/>
      <c r="I39" s="14">
        <f>SUM(I20:I38)+0.05</f>
        <v>211818.80820000003</v>
      </c>
      <c r="J39" s="15">
        <f>SUM(J20:J38)-36.92</f>
        <v>270246.86040000001</v>
      </c>
      <c r="K39" s="49"/>
    </row>
    <row r="40" spans="1:11" s="1" customFormat="1" ht="25.5" customHeight="1" x14ac:dyDescent="0.2">
      <c r="A40" s="8"/>
      <c r="B40" s="9" t="s">
        <v>72</v>
      </c>
      <c r="C40" s="808" t="s">
        <v>73</v>
      </c>
      <c r="D40" s="809"/>
      <c r="E40" s="8"/>
      <c r="F40" s="8"/>
      <c r="G40" s="8"/>
      <c r="H40" s="8"/>
      <c r="I40" s="8"/>
      <c r="J40" s="8"/>
    </row>
    <row r="41" spans="1:11" s="1" customFormat="1" ht="25.5" customHeight="1" x14ac:dyDescent="0.2">
      <c r="A41" s="8"/>
      <c r="B41" s="11" t="s">
        <v>74</v>
      </c>
      <c r="C41" s="808" t="s">
        <v>75</v>
      </c>
      <c r="D41" s="809"/>
      <c r="E41" s="8"/>
      <c r="F41" s="8"/>
      <c r="G41" s="8"/>
      <c r="H41" s="8"/>
      <c r="I41" s="8"/>
      <c r="J41" s="8"/>
    </row>
    <row r="42" spans="1:11" s="1" customFormat="1" ht="25.5" customHeight="1" x14ac:dyDescent="0.2">
      <c r="A42" s="10">
        <v>87479</v>
      </c>
      <c r="B42" s="11" t="s">
        <v>76</v>
      </c>
      <c r="C42" s="806" t="s">
        <v>77</v>
      </c>
      <c r="D42" s="807"/>
      <c r="E42" s="11" t="s">
        <v>14</v>
      </c>
      <c r="F42" s="12">
        <v>107.43</v>
      </c>
      <c r="G42" s="12">
        <v>41.64</v>
      </c>
      <c r="H42" s="12">
        <v>53.13</v>
      </c>
      <c r="I42" s="13">
        <f t="shared" ref="I42:I48" si="0">F42*G42</f>
        <v>4473.3852000000006</v>
      </c>
      <c r="J42" s="13">
        <f t="shared" ref="J42:J48" si="1">F42*H42</f>
        <v>5707.755900000001</v>
      </c>
    </row>
    <row r="43" spans="1:11" s="1" customFormat="1" ht="25.5" customHeight="1" x14ac:dyDescent="0.2">
      <c r="A43" s="11" t="s">
        <v>78</v>
      </c>
      <c r="B43" s="11" t="s">
        <v>79</v>
      </c>
      <c r="C43" s="806" t="s">
        <v>80</v>
      </c>
      <c r="D43" s="807"/>
      <c r="E43" s="11" t="s">
        <v>81</v>
      </c>
      <c r="F43" s="12">
        <v>65</v>
      </c>
      <c r="G43" s="12">
        <v>7.91</v>
      </c>
      <c r="H43" s="12">
        <v>10.09</v>
      </c>
      <c r="I43" s="13">
        <f t="shared" si="0"/>
        <v>514.15</v>
      </c>
      <c r="J43" s="13">
        <f t="shared" si="1"/>
        <v>655.85</v>
      </c>
    </row>
    <row r="44" spans="1:11" s="1" customFormat="1" ht="25.5" customHeight="1" x14ac:dyDescent="0.2">
      <c r="A44" s="11" t="s">
        <v>82</v>
      </c>
      <c r="B44" s="11" t="s">
        <v>83</v>
      </c>
      <c r="C44" s="806" t="s">
        <v>84</v>
      </c>
      <c r="D44" s="807"/>
      <c r="E44" s="11" t="s">
        <v>14</v>
      </c>
      <c r="F44" s="12">
        <v>27.15</v>
      </c>
      <c r="G44" s="12">
        <v>53.52</v>
      </c>
      <c r="H44" s="12">
        <v>68.290000000000006</v>
      </c>
      <c r="I44" s="13">
        <f t="shared" si="0"/>
        <v>1453.068</v>
      </c>
      <c r="J44" s="13">
        <f t="shared" si="1"/>
        <v>1854.0735</v>
      </c>
    </row>
    <row r="45" spans="1:11" s="1" customFormat="1" ht="25.5" customHeight="1" x14ac:dyDescent="0.2">
      <c r="A45" s="11" t="s">
        <v>85</v>
      </c>
      <c r="B45" s="11" t="s">
        <v>86</v>
      </c>
      <c r="C45" s="806" t="s">
        <v>87</v>
      </c>
      <c r="D45" s="807"/>
      <c r="E45" s="11" t="s">
        <v>14</v>
      </c>
      <c r="F45" s="12">
        <v>45.99</v>
      </c>
      <c r="G45" s="12">
        <v>203.72</v>
      </c>
      <c r="H45" s="12">
        <v>259.93</v>
      </c>
      <c r="I45" s="13">
        <f t="shared" si="0"/>
        <v>9369.0828000000001</v>
      </c>
      <c r="J45" s="13">
        <f t="shared" si="1"/>
        <v>11954.180700000001</v>
      </c>
    </row>
    <row r="46" spans="1:11" s="1" customFormat="1" ht="25.5" customHeight="1" x14ac:dyDescent="0.2">
      <c r="A46" s="11" t="s">
        <v>88</v>
      </c>
      <c r="B46" s="11" t="s">
        <v>89</v>
      </c>
      <c r="C46" s="806" t="s">
        <v>90</v>
      </c>
      <c r="D46" s="807"/>
      <c r="E46" s="11" t="s">
        <v>14</v>
      </c>
      <c r="F46" s="12">
        <v>52.74</v>
      </c>
      <c r="G46" s="12">
        <v>310.44</v>
      </c>
      <c r="H46" s="12">
        <v>396.09</v>
      </c>
      <c r="I46" s="13">
        <f t="shared" si="0"/>
        <v>16372.605600000001</v>
      </c>
      <c r="J46" s="13">
        <f t="shared" si="1"/>
        <v>20889.786599999999</v>
      </c>
    </row>
    <row r="47" spans="1:11" s="1" customFormat="1" ht="25.5" customHeight="1" x14ac:dyDescent="0.2">
      <c r="A47" s="10">
        <v>93187</v>
      </c>
      <c r="B47" s="11" t="s">
        <v>91</v>
      </c>
      <c r="C47" s="806" t="s">
        <v>92</v>
      </c>
      <c r="D47" s="807"/>
      <c r="E47" s="11" t="s">
        <v>81</v>
      </c>
      <c r="F47" s="12">
        <v>22.8</v>
      </c>
      <c r="G47" s="12">
        <v>52.6</v>
      </c>
      <c r="H47" s="12">
        <v>67.11</v>
      </c>
      <c r="I47" s="13">
        <f t="shared" si="0"/>
        <v>1199.28</v>
      </c>
      <c r="J47" s="13">
        <f t="shared" si="1"/>
        <v>1530.1079999999999</v>
      </c>
    </row>
    <row r="48" spans="1:11" s="1" customFormat="1" ht="25.5" customHeight="1" x14ac:dyDescent="0.2">
      <c r="A48" s="10">
        <v>93197</v>
      </c>
      <c r="B48" s="11" t="s">
        <v>93</v>
      </c>
      <c r="C48" s="806" t="s">
        <v>94</v>
      </c>
      <c r="D48" s="807"/>
      <c r="E48" s="11" t="s">
        <v>81</v>
      </c>
      <c r="F48" s="12">
        <v>50.68</v>
      </c>
      <c r="G48" s="12">
        <v>49.48</v>
      </c>
      <c r="H48" s="12">
        <v>63.13</v>
      </c>
      <c r="I48" s="13">
        <f t="shared" si="0"/>
        <v>2507.6463999999996</v>
      </c>
      <c r="J48" s="13">
        <f t="shared" si="1"/>
        <v>3199.4284000000002</v>
      </c>
    </row>
    <row r="49" spans="1:10" s="1" customFormat="1" ht="25.5" customHeight="1" x14ac:dyDescent="0.2">
      <c r="A49" s="8"/>
      <c r="B49" s="803" t="s">
        <v>95</v>
      </c>
      <c r="C49" s="804"/>
      <c r="D49" s="804"/>
      <c r="E49" s="804"/>
      <c r="F49" s="804"/>
      <c r="G49" s="805"/>
      <c r="H49" s="8"/>
      <c r="I49" s="14">
        <f>SUM(I42:I48)+0.34</f>
        <v>35889.557999999997</v>
      </c>
      <c r="J49" s="15">
        <f>SUM(J42:J48)+0.32</f>
        <v>45791.503099999994</v>
      </c>
    </row>
    <row r="50" spans="1:10" s="1" customFormat="1" ht="25.5" customHeight="1" x14ac:dyDescent="0.2">
      <c r="A50" s="8"/>
      <c r="B50" s="9" t="s">
        <v>96</v>
      </c>
      <c r="C50" s="808" t="s">
        <v>97</v>
      </c>
      <c r="D50" s="809"/>
      <c r="E50" s="8"/>
      <c r="F50" s="8"/>
      <c r="G50" s="8"/>
      <c r="H50" s="8"/>
      <c r="I50" s="8"/>
      <c r="J50" s="8"/>
    </row>
    <row r="51" spans="1:10" s="1" customFormat="1" ht="25.5" customHeight="1" x14ac:dyDescent="0.2">
      <c r="A51" s="8"/>
      <c r="B51" s="11" t="s">
        <v>98</v>
      </c>
      <c r="C51" s="808" t="s">
        <v>99</v>
      </c>
      <c r="D51" s="809"/>
      <c r="E51" s="8"/>
      <c r="F51" s="8"/>
      <c r="G51" s="8"/>
      <c r="H51" s="8"/>
      <c r="I51" s="8"/>
      <c r="J51" s="8"/>
    </row>
    <row r="52" spans="1:10" s="1" customFormat="1" ht="25.5" customHeight="1" x14ac:dyDescent="0.2">
      <c r="A52" s="10">
        <v>90822</v>
      </c>
      <c r="B52" s="11" t="s">
        <v>100</v>
      </c>
      <c r="C52" s="806" t="s">
        <v>101</v>
      </c>
      <c r="D52" s="807"/>
      <c r="E52" s="11" t="s">
        <v>102</v>
      </c>
      <c r="F52" s="12">
        <v>14</v>
      </c>
      <c r="G52" s="12">
        <v>329.55</v>
      </c>
      <c r="H52" s="12">
        <v>420.47</v>
      </c>
      <c r="I52" s="13">
        <f t="shared" ref="I52:I58" si="2">F52*G52</f>
        <v>4613.7</v>
      </c>
      <c r="J52" s="13">
        <f t="shared" ref="J52:J58" si="3">F52*H52</f>
        <v>5886.58</v>
      </c>
    </row>
    <row r="53" spans="1:10" s="1" customFormat="1" ht="25.5" customHeight="1" x14ac:dyDescent="0.2">
      <c r="A53" s="11" t="s">
        <v>78</v>
      </c>
      <c r="B53" s="11" t="s">
        <v>103</v>
      </c>
      <c r="C53" s="806" t="s">
        <v>104</v>
      </c>
      <c r="D53" s="807"/>
      <c r="E53" s="11" t="s">
        <v>102</v>
      </c>
      <c r="F53" s="12">
        <v>4</v>
      </c>
      <c r="G53" s="12">
        <v>395.46</v>
      </c>
      <c r="H53" s="12">
        <v>504.57</v>
      </c>
      <c r="I53" s="13">
        <f t="shared" si="2"/>
        <v>1581.84</v>
      </c>
      <c r="J53" s="13">
        <f t="shared" si="3"/>
        <v>2018.28</v>
      </c>
    </row>
    <row r="54" spans="1:10" s="1" customFormat="1" ht="25.5" customHeight="1" x14ac:dyDescent="0.2">
      <c r="A54" s="11" t="s">
        <v>78</v>
      </c>
      <c r="B54" s="11" t="s">
        <v>105</v>
      </c>
      <c r="C54" s="806" t="s">
        <v>106</v>
      </c>
      <c r="D54" s="807"/>
      <c r="E54" s="11" t="s">
        <v>102</v>
      </c>
      <c r="F54" s="12">
        <v>14</v>
      </c>
      <c r="G54" s="12">
        <v>222.6</v>
      </c>
      <c r="H54" s="12">
        <v>284.02</v>
      </c>
      <c r="I54" s="13">
        <f t="shared" si="2"/>
        <v>3116.4</v>
      </c>
      <c r="J54" s="13">
        <f t="shared" si="3"/>
        <v>3976.2799999999997</v>
      </c>
    </row>
    <row r="55" spans="1:10" s="1" customFormat="1" ht="25.5" customHeight="1" x14ac:dyDescent="0.2">
      <c r="A55" s="11" t="s">
        <v>78</v>
      </c>
      <c r="B55" s="11" t="s">
        <v>107</v>
      </c>
      <c r="C55" s="806" t="s">
        <v>108</v>
      </c>
      <c r="D55" s="807"/>
      <c r="E55" s="11" t="s">
        <v>102</v>
      </c>
      <c r="F55" s="12">
        <v>6</v>
      </c>
      <c r="G55" s="12">
        <v>222.6</v>
      </c>
      <c r="H55" s="12">
        <v>284.02</v>
      </c>
      <c r="I55" s="13">
        <f t="shared" si="2"/>
        <v>1335.6</v>
      </c>
      <c r="J55" s="13">
        <f t="shared" si="3"/>
        <v>1704.12</v>
      </c>
    </row>
    <row r="56" spans="1:10" s="1" customFormat="1" ht="25.5" customHeight="1" x14ac:dyDescent="0.2">
      <c r="A56" s="10">
        <v>90820</v>
      </c>
      <c r="B56" s="11" t="s">
        <v>109</v>
      </c>
      <c r="C56" s="806" t="s">
        <v>110</v>
      </c>
      <c r="D56" s="807"/>
      <c r="E56" s="11" t="s">
        <v>102</v>
      </c>
      <c r="F56" s="12">
        <v>4</v>
      </c>
      <c r="G56" s="12">
        <v>308.93</v>
      </c>
      <c r="H56" s="12">
        <v>394.16</v>
      </c>
      <c r="I56" s="13">
        <f t="shared" si="2"/>
        <v>1235.72</v>
      </c>
      <c r="J56" s="13">
        <f t="shared" si="3"/>
        <v>1576.64</v>
      </c>
    </row>
    <row r="57" spans="1:10" s="1" customFormat="1" ht="25.5" customHeight="1" x14ac:dyDescent="0.2">
      <c r="A57" s="11" t="s">
        <v>78</v>
      </c>
      <c r="B57" s="11" t="s">
        <v>111</v>
      </c>
      <c r="C57" s="806" t="s">
        <v>112</v>
      </c>
      <c r="D57" s="807"/>
      <c r="E57" s="11" t="s">
        <v>102</v>
      </c>
      <c r="F57" s="12">
        <v>18</v>
      </c>
      <c r="G57" s="12">
        <v>378.98</v>
      </c>
      <c r="H57" s="12">
        <v>483.54</v>
      </c>
      <c r="I57" s="13">
        <f t="shared" si="2"/>
        <v>6821.64</v>
      </c>
      <c r="J57" s="13">
        <f t="shared" si="3"/>
        <v>8703.7200000000012</v>
      </c>
    </row>
    <row r="58" spans="1:10" s="1" customFormat="1" ht="25.5" customHeight="1" x14ac:dyDescent="0.2">
      <c r="A58" s="11" t="s">
        <v>78</v>
      </c>
      <c r="B58" s="11" t="s">
        <v>113</v>
      </c>
      <c r="C58" s="806" t="s">
        <v>114</v>
      </c>
      <c r="D58" s="807"/>
      <c r="E58" s="11" t="s">
        <v>102</v>
      </c>
      <c r="F58" s="12">
        <v>6</v>
      </c>
      <c r="G58" s="12">
        <v>421.82</v>
      </c>
      <c r="H58" s="12">
        <v>538.20000000000005</v>
      </c>
      <c r="I58" s="13">
        <f t="shared" si="2"/>
        <v>2530.92</v>
      </c>
      <c r="J58" s="13">
        <f t="shared" si="3"/>
        <v>3229.2000000000003</v>
      </c>
    </row>
    <row r="59" spans="1:10" s="1" customFormat="1" ht="25.5" customHeight="1" x14ac:dyDescent="0.2">
      <c r="A59" s="8"/>
      <c r="B59" s="803" t="s">
        <v>115</v>
      </c>
      <c r="C59" s="804"/>
      <c r="D59" s="804"/>
      <c r="E59" s="804"/>
      <c r="F59" s="804"/>
      <c r="G59" s="805"/>
      <c r="H59" s="8"/>
      <c r="I59" s="18">
        <f>SUM(I52:I58)</f>
        <v>21235.82</v>
      </c>
      <c r="J59" s="18">
        <f>SUM(J52:J58)-0.04</f>
        <v>27094.78</v>
      </c>
    </row>
    <row r="60" spans="1:10" s="1" customFormat="1" ht="25.5" customHeight="1" x14ac:dyDescent="0.2">
      <c r="A60" s="8"/>
      <c r="B60" s="9" t="s">
        <v>116</v>
      </c>
      <c r="C60" s="808" t="s">
        <v>117</v>
      </c>
      <c r="D60" s="820"/>
      <c r="E60" s="820"/>
      <c r="F60" s="820"/>
      <c r="G60" s="820"/>
      <c r="H60" s="820"/>
      <c r="I60" s="809"/>
      <c r="J60" s="8"/>
    </row>
    <row r="61" spans="1:10" s="1" customFormat="1" ht="25.5" customHeight="1" x14ac:dyDescent="0.2">
      <c r="A61" s="8"/>
      <c r="B61" s="9" t="s">
        <v>118</v>
      </c>
      <c r="C61" s="808" t="s">
        <v>119</v>
      </c>
      <c r="D61" s="809"/>
      <c r="E61" s="8"/>
      <c r="F61" s="8"/>
      <c r="G61" s="8"/>
      <c r="H61" s="8"/>
      <c r="I61" s="8"/>
      <c r="J61" s="8"/>
    </row>
    <row r="62" spans="1:10" s="1" customFormat="1" ht="25.5" customHeight="1" x14ac:dyDescent="0.2">
      <c r="A62" s="11" t="s">
        <v>120</v>
      </c>
      <c r="B62" s="11" t="s">
        <v>121</v>
      </c>
      <c r="C62" s="806" t="s">
        <v>122</v>
      </c>
      <c r="D62" s="807"/>
      <c r="E62" s="11" t="s">
        <v>102</v>
      </c>
      <c r="F62" s="12">
        <v>2</v>
      </c>
      <c r="G62" s="12">
        <v>329.82</v>
      </c>
      <c r="H62" s="12">
        <v>420.82</v>
      </c>
      <c r="I62" s="13">
        <f>F62*G62</f>
        <v>659.64</v>
      </c>
      <c r="J62" s="13">
        <f>F62*H62</f>
        <v>841.64</v>
      </c>
    </row>
    <row r="63" spans="1:10" s="1" customFormat="1" ht="25.5" customHeight="1" x14ac:dyDescent="0.2">
      <c r="A63" s="8"/>
      <c r="B63" s="9" t="s">
        <v>123</v>
      </c>
      <c r="C63" s="808" t="s">
        <v>124</v>
      </c>
      <c r="D63" s="809"/>
      <c r="E63" s="8"/>
      <c r="F63" s="8"/>
      <c r="G63" s="8"/>
      <c r="H63" s="8"/>
      <c r="I63" s="8"/>
      <c r="J63" s="8"/>
    </row>
    <row r="64" spans="1:10" s="1" customFormat="1" ht="25.5" customHeight="1" x14ac:dyDescent="0.2">
      <c r="A64" s="11" t="s">
        <v>78</v>
      </c>
      <c r="B64" s="11" t="s">
        <v>125</v>
      </c>
      <c r="C64" s="806" t="s">
        <v>126</v>
      </c>
      <c r="D64" s="807"/>
      <c r="E64" s="11" t="s">
        <v>102</v>
      </c>
      <c r="F64" s="12">
        <v>6</v>
      </c>
      <c r="G64" s="12">
        <v>179.33</v>
      </c>
      <c r="H64" s="12">
        <v>228.8</v>
      </c>
      <c r="I64" s="13">
        <f t="shared" ref="I64:I83" si="4">F64*G64</f>
        <v>1075.98</v>
      </c>
      <c r="J64" s="13">
        <f t="shared" ref="J64:J83" si="5">F64*H64</f>
        <v>1372.8000000000002</v>
      </c>
    </row>
    <row r="65" spans="1:10" s="1" customFormat="1" ht="25.5" customHeight="1" x14ac:dyDescent="0.2">
      <c r="A65" s="11" t="s">
        <v>78</v>
      </c>
      <c r="B65" s="11" t="s">
        <v>127</v>
      </c>
      <c r="C65" s="806" t="s">
        <v>128</v>
      </c>
      <c r="D65" s="807"/>
      <c r="E65" s="11" t="s">
        <v>102</v>
      </c>
      <c r="F65" s="12">
        <v>15</v>
      </c>
      <c r="G65" s="12">
        <v>268.98</v>
      </c>
      <c r="H65" s="12">
        <v>343.2</v>
      </c>
      <c r="I65" s="13">
        <f t="shared" si="4"/>
        <v>4034.7000000000003</v>
      </c>
      <c r="J65" s="13">
        <f t="shared" si="5"/>
        <v>5148</v>
      </c>
    </row>
    <row r="66" spans="1:10" s="1" customFormat="1" ht="25.5" customHeight="1" x14ac:dyDescent="0.2">
      <c r="A66" s="11" t="s">
        <v>78</v>
      </c>
      <c r="B66" s="11" t="s">
        <v>129</v>
      </c>
      <c r="C66" s="806" t="s">
        <v>130</v>
      </c>
      <c r="D66" s="807"/>
      <c r="E66" s="11" t="s">
        <v>102</v>
      </c>
      <c r="F66" s="12">
        <v>2</v>
      </c>
      <c r="G66" s="12">
        <v>134.49</v>
      </c>
      <c r="H66" s="12">
        <v>171.59</v>
      </c>
      <c r="I66" s="13">
        <f t="shared" si="4"/>
        <v>268.98</v>
      </c>
      <c r="J66" s="13">
        <f t="shared" si="5"/>
        <v>343.18</v>
      </c>
    </row>
    <row r="67" spans="1:10" s="1" customFormat="1" ht="25.5" customHeight="1" x14ac:dyDescent="0.2">
      <c r="A67" s="11" t="s">
        <v>78</v>
      </c>
      <c r="B67" s="11" t="s">
        <v>131</v>
      </c>
      <c r="C67" s="806" t="s">
        <v>132</v>
      </c>
      <c r="D67" s="807"/>
      <c r="E67" s="11" t="s">
        <v>102</v>
      </c>
      <c r="F67" s="12">
        <v>10</v>
      </c>
      <c r="G67" s="12">
        <v>313.92</v>
      </c>
      <c r="H67" s="12">
        <v>400.53</v>
      </c>
      <c r="I67" s="13">
        <f t="shared" si="4"/>
        <v>3139.2000000000003</v>
      </c>
      <c r="J67" s="13">
        <f t="shared" si="5"/>
        <v>4005.2999999999997</v>
      </c>
    </row>
    <row r="68" spans="1:10" s="1" customFormat="1" ht="25.5" customHeight="1" x14ac:dyDescent="0.2">
      <c r="A68" s="11" t="s">
        <v>78</v>
      </c>
      <c r="B68" s="11" t="s">
        <v>133</v>
      </c>
      <c r="C68" s="806" t="s">
        <v>134</v>
      </c>
      <c r="D68" s="807"/>
      <c r="E68" s="11" t="s">
        <v>102</v>
      </c>
      <c r="F68" s="12">
        <v>8</v>
      </c>
      <c r="G68" s="12">
        <v>627.62</v>
      </c>
      <c r="H68" s="12">
        <v>800.79</v>
      </c>
      <c r="I68" s="13">
        <f t="shared" si="4"/>
        <v>5020.96</v>
      </c>
      <c r="J68" s="13">
        <f t="shared" si="5"/>
        <v>6406.32</v>
      </c>
    </row>
    <row r="69" spans="1:10" s="1" customFormat="1" ht="25.5" customHeight="1" x14ac:dyDescent="0.2">
      <c r="A69" s="11" t="s">
        <v>78</v>
      </c>
      <c r="B69" s="11" t="s">
        <v>135</v>
      </c>
      <c r="C69" s="806" t="s">
        <v>136</v>
      </c>
      <c r="D69" s="807"/>
      <c r="E69" s="11" t="s">
        <v>102</v>
      </c>
      <c r="F69" s="12">
        <v>2</v>
      </c>
      <c r="G69" s="12">
        <v>358.64</v>
      </c>
      <c r="H69" s="12">
        <v>457.59</v>
      </c>
      <c r="I69" s="13">
        <f t="shared" si="4"/>
        <v>717.28</v>
      </c>
      <c r="J69" s="13">
        <f t="shared" si="5"/>
        <v>915.18</v>
      </c>
    </row>
    <row r="70" spans="1:10" s="1" customFormat="1" ht="25.5" customHeight="1" x14ac:dyDescent="0.2">
      <c r="A70" s="11" t="s">
        <v>78</v>
      </c>
      <c r="B70" s="11" t="s">
        <v>137</v>
      </c>
      <c r="C70" s="806" t="s">
        <v>138</v>
      </c>
      <c r="D70" s="807"/>
      <c r="E70" s="11" t="s">
        <v>102</v>
      </c>
      <c r="F70" s="12">
        <v>2</v>
      </c>
      <c r="G70" s="12">
        <v>448.3</v>
      </c>
      <c r="H70" s="12">
        <v>571.98</v>
      </c>
      <c r="I70" s="13">
        <f t="shared" si="4"/>
        <v>896.6</v>
      </c>
      <c r="J70" s="13">
        <f t="shared" si="5"/>
        <v>1143.96</v>
      </c>
    </row>
    <row r="71" spans="1:10" s="1" customFormat="1" ht="25.5" customHeight="1" x14ac:dyDescent="0.2">
      <c r="A71" s="11" t="s">
        <v>78</v>
      </c>
      <c r="B71" s="11" t="s">
        <v>139</v>
      </c>
      <c r="C71" s="806" t="s">
        <v>140</v>
      </c>
      <c r="D71" s="807"/>
      <c r="E71" s="11" t="s">
        <v>102</v>
      </c>
      <c r="F71" s="12">
        <v>14</v>
      </c>
      <c r="G71" s="12">
        <v>124.52</v>
      </c>
      <c r="H71" s="12">
        <v>158.88</v>
      </c>
      <c r="I71" s="13">
        <f t="shared" si="4"/>
        <v>1743.28</v>
      </c>
      <c r="J71" s="13">
        <f t="shared" si="5"/>
        <v>2224.3199999999997</v>
      </c>
    </row>
    <row r="72" spans="1:10" s="1" customFormat="1" ht="25.5" customHeight="1" x14ac:dyDescent="0.2">
      <c r="A72" s="11" t="s">
        <v>78</v>
      </c>
      <c r="B72" s="11" t="s">
        <v>141</v>
      </c>
      <c r="C72" s="806" t="s">
        <v>142</v>
      </c>
      <c r="D72" s="807"/>
      <c r="E72" s="11" t="s">
        <v>102</v>
      </c>
      <c r="F72" s="12">
        <v>1</v>
      </c>
      <c r="G72" s="12">
        <v>390.13</v>
      </c>
      <c r="H72" s="12">
        <v>497.77</v>
      </c>
      <c r="I72" s="13">
        <f t="shared" si="4"/>
        <v>390.13</v>
      </c>
      <c r="J72" s="13">
        <f t="shared" si="5"/>
        <v>497.77</v>
      </c>
    </row>
    <row r="73" spans="1:10" s="1" customFormat="1" ht="25.5" customHeight="1" x14ac:dyDescent="0.2">
      <c r="A73" s="11" t="s">
        <v>78</v>
      </c>
      <c r="B73" s="11" t="s">
        <v>143</v>
      </c>
      <c r="C73" s="806" t="s">
        <v>144</v>
      </c>
      <c r="D73" s="807"/>
      <c r="E73" s="11" t="s">
        <v>102</v>
      </c>
      <c r="F73" s="12">
        <v>1</v>
      </c>
      <c r="G73" s="12">
        <v>975.33</v>
      </c>
      <c r="H73" s="13">
        <v>1244.42</v>
      </c>
      <c r="I73" s="13">
        <f t="shared" si="4"/>
        <v>975.33</v>
      </c>
      <c r="J73" s="13">
        <f t="shared" si="5"/>
        <v>1244.42</v>
      </c>
    </row>
    <row r="74" spans="1:10" s="1" customFormat="1" ht="25.5" customHeight="1" x14ac:dyDescent="0.2">
      <c r="A74" s="11" t="s">
        <v>78</v>
      </c>
      <c r="B74" s="11" t="s">
        <v>145</v>
      </c>
      <c r="C74" s="806" t="s">
        <v>146</v>
      </c>
      <c r="D74" s="807"/>
      <c r="E74" s="11" t="s">
        <v>102</v>
      </c>
      <c r="F74" s="12">
        <v>2</v>
      </c>
      <c r="G74" s="12">
        <v>585.20000000000005</v>
      </c>
      <c r="H74" s="12">
        <v>746.65</v>
      </c>
      <c r="I74" s="13">
        <f t="shared" si="4"/>
        <v>1170.4000000000001</v>
      </c>
      <c r="J74" s="13">
        <f t="shared" si="5"/>
        <v>1493.3</v>
      </c>
    </row>
    <row r="75" spans="1:10" s="1" customFormat="1" ht="25.5" customHeight="1" x14ac:dyDescent="0.2">
      <c r="A75" s="11" t="s">
        <v>78</v>
      </c>
      <c r="B75" s="11" t="s">
        <v>147</v>
      </c>
      <c r="C75" s="806" t="s">
        <v>148</v>
      </c>
      <c r="D75" s="807"/>
      <c r="E75" s="11" t="s">
        <v>102</v>
      </c>
      <c r="F75" s="12">
        <v>1</v>
      </c>
      <c r="G75" s="12">
        <v>877.8</v>
      </c>
      <c r="H75" s="13">
        <v>1119.98</v>
      </c>
      <c r="I75" s="13">
        <f t="shared" si="4"/>
        <v>877.8</v>
      </c>
      <c r="J75" s="13">
        <f t="shared" si="5"/>
        <v>1119.98</v>
      </c>
    </row>
    <row r="76" spans="1:10" s="1" customFormat="1" ht="25.5" customHeight="1" x14ac:dyDescent="0.2">
      <c r="A76" s="11" t="s">
        <v>78</v>
      </c>
      <c r="B76" s="11" t="s">
        <v>149</v>
      </c>
      <c r="C76" s="806" t="s">
        <v>150</v>
      </c>
      <c r="D76" s="807"/>
      <c r="E76" s="11" t="s">
        <v>102</v>
      </c>
      <c r="F76" s="12">
        <v>1</v>
      </c>
      <c r="G76" s="13">
        <v>1170.4100000000001</v>
      </c>
      <c r="H76" s="13">
        <v>1493.32</v>
      </c>
      <c r="I76" s="13">
        <f t="shared" si="4"/>
        <v>1170.4100000000001</v>
      </c>
      <c r="J76" s="13">
        <f t="shared" si="5"/>
        <v>1493.32</v>
      </c>
    </row>
    <row r="77" spans="1:10" s="1" customFormat="1" ht="25.5" customHeight="1" x14ac:dyDescent="0.2">
      <c r="A77" s="11" t="s">
        <v>78</v>
      </c>
      <c r="B77" s="11" t="s">
        <v>151</v>
      </c>
      <c r="C77" s="806" t="s">
        <v>152</v>
      </c>
      <c r="D77" s="807"/>
      <c r="E77" s="11" t="s">
        <v>102</v>
      </c>
      <c r="F77" s="12">
        <v>2</v>
      </c>
      <c r="G77" s="13">
        <v>1560.54</v>
      </c>
      <c r="H77" s="13">
        <v>1991.09</v>
      </c>
      <c r="I77" s="13">
        <f t="shared" si="4"/>
        <v>3121.08</v>
      </c>
      <c r="J77" s="13">
        <f t="shared" si="5"/>
        <v>3982.18</v>
      </c>
    </row>
    <row r="78" spans="1:10" s="1" customFormat="1" ht="25.5" customHeight="1" x14ac:dyDescent="0.2">
      <c r="A78" s="11" t="s">
        <v>78</v>
      </c>
      <c r="B78" s="11" t="s">
        <v>153</v>
      </c>
      <c r="C78" s="806" t="s">
        <v>154</v>
      </c>
      <c r="D78" s="807"/>
      <c r="E78" s="11" t="s">
        <v>102</v>
      </c>
      <c r="F78" s="12">
        <v>2</v>
      </c>
      <c r="G78" s="13">
        <v>1950.67</v>
      </c>
      <c r="H78" s="13">
        <v>2488.86</v>
      </c>
      <c r="I78" s="13">
        <f t="shared" si="4"/>
        <v>3901.34</v>
      </c>
      <c r="J78" s="13">
        <f t="shared" si="5"/>
        <v>4977.72</v>
      </c>
    </row>
    <row r="79" spans="1:10" s="1" customFormat="1" ht="25.5" customHeight="1" x14ac:dyDescent="0.2">
      <c r="A79" s="11" t="s">
        <v>78</v>
      </c>
      <c r="B79" s="11" t="s">
        <v>155</v>
      </c>
      <c r="C79" s="806" t="s">
        <v>156</v>
      </c>
      <c r="D79" s="807"/>
      <c r="E79" s="11" t="s">
        <v>102</v>
      </c>
      <c r="F79" s="12">
        <v>5</v>
      </c>
      <c r="G79" s="13">
        <v>2340.81</v>
      </c>
      <c r="H79" s="13">
        <v>2986.64</v>
      </c>
      <c r="I79" s="13">
        <f t="shared" si="4"/>
        <v>11704.05</v>
      </c>
      <c r="J79" s="13">
        <f t="shared" si="5"/>
        <v>14933.199999999999</v>
      </c>
    </row>
    <row r="80" spans="1:10" s="1" customFormat="1" ht="25.5" customHeight="1" x14ac:dyDescent="0.2">
      <c r="A80" s="11" t="s">
        <v>78</v>
      </c>
      <c r="B80" s="11" t="s">
        <v>157</v>
      </c>
      <c r="C80" s="806" t="s">
        <v>158</v>
      </c>
      <c r="D80" s="807"/>
      <c r="E80" s="11" t="s">
        <v>102</v>
      </c>
      <c r="F80" s="12">
        <v>4</v>
      </c>
      <c r="G80" s="13">
        <v>3121.08</v>
      </c>
      <c r="H80" s="13">
        <v>3982.19</v>
      </c>
      <c r="I80" s="13">
        <f t="shared" si="4"/>
        <v>12484.32</v>
      </c>
      <c r="J80" s="13">
        <f t="shared" si="5"/>
        <v>15928.76</v>
      </c>
    </row>
    <row r="81" spans="1:10" s="1" customFormat="1" ht="25.5" customHeight="1" x14ac:dyDescent="0.2">
      <c r="A81" s="11" t="s">
        <v>78</v>
      </c>
      <c r="B81" s="11" t="s">
        <v>159</v>
      </c>
      <c r="C81" s="806" t="s">
        <v>160</v>
      </c>
      <c r="D81" s="807"/>
      <c r="E81" s="11" t="s">
        <v>102</v>
      </c>
      <c r="F81" s="12">
        <v>1</v>
      </c>
      <c r="G81" s="13">
        <v>1137.9000000000001</v>
      </c>
      <c r="H81" s="13">
        <v>1451.84</v>
      </c>
      <c r="I81" s="13">
        <f t="shared" si="4"/>
        <v>1137.9000000000001</v>
      </c>
      <c r="J81" s="13">
        <f t="shared" si="5"/>
        <v>1451.84</v>
      </c>
    </row>
    <row r="82" spans="1:10" s="1" customFormat="1" ht="25.5" customHeight="1" x14ac:dyDescent="0.2">
      <c r="A82" s="11" t="s">
        <v>161</v>
      </c>
      <c r="B82" s="11" t="s">
        <v>162</v>
      </c>
      <c r="C82" s="806" t="s">
        <v>163</v>
      </c>
      <c r="D82" s="807"/>
      <c r="E82" s="11" t="s">
        <v>14</v>
      </c>
      <c r="F82" s="12">
        <v>10.26</v>
      </c>
      <c r="G82" s="12">
        <v>18.63</v>
      </c>
      <c r="H82" s="12">
        <v>23.77</v>
      </c>
      <c r="I82" s="13">
        <f t="shared" si="4"/>
        <v>191.1438</v>
      </c>
      <c r="J82" s="13">
        <f t="shared" si="5"/>
        <v>243.8802</v>
      </c>
    </row>
    <row r="83" spans="1:10" s="1" customFormat="1" ht="25.5" customHeight="1" x14ac:dyDescent="0.2">
      <c r="A83" s="11" t="s">
        <v>120</v>
      </c>
      <c r="B83" s="11" t="s">
        <v>164</v>
      </c>
      <c r="C83" s="806" t="s">
        <v>165</v>
      </c>
      <c r="D83" s="807"/>
      <c r="E83" s="11" t="s">
        <v>102</v>
      </c>
      <c r="F83" s="12">
        <v>9</v>
      </c>
      <c r="G83" s="12">
        <v>582.46</v>
      </c>
      <c r="H83" s="12">
        <v>743.16</v>
      </c>
      <c r="I83" s="13">
        <f t="shared" si="4"/>
        <v>5242.1400000000003</v>
      </c>
      <c r="J83" s="13">
        <f t="shared" si="5"/>
        <v>6688.44</v>
      </c>
    </row>
    <row r="84" spans="1:10" s="1" customFormat="1" ht="25.5" customHeight="1" x14ac:dyDescent="0.2">
      <c r="A84" s="8"/>
      <c r="B84" s="9" t="s">
        <v>172</v>
      </c>
      <c r="C84" s="808" t="s">
        <v>173</v>
      </c>
      <c r="D84" s="809"/>
      <c r="E84" s="8"/>
      <c r="F84" s="8"/>
      <c r="G84" s="8"/>
      <c r="H84" s="8"/>
      <c r="I84" s="8"/>
      <c r="J84" s="8"/>
    </row>
    <row r="85" spans="1:10" s="1" customFormat="1" ht="25.5" customHeight="1" x14ac:dyDescent="0.2">
      <c r="A85" s="19">
        <v>68054</v>
      </c>
      <c r="B85" s="11" t="s">
        <v>174</v>
      </c>
      <c r="C85" s="806" t="s">
        <v>175</v>
      </c>
      <c r="D85" s="807"/>
      <c r="E85" s="11" t="s">
        <v>102</v>
      </c>
      <c r="F85" s="12">
        <v>5</v>
      </c>
      <c r="G85" s="12">
        <v>180.11</v>
      </c>
      <c r="H85" s="12">
        <v>229.8</v>
      </c>
      <c r="I85" s="13">
        <f>F85*G85</f>
        <v>900.55000000000007</v>
      </c>
      <c r="J85" s="13">
        <f>F85*H85</f>
        <v>1149</v>
      </c>
    </row>
    <row r="86" spans="1:10" s="1" customFormat="1" ht="25.5" customHeight="1" x14ac:dyDescent="0.2">
      <c r="A86" s="19">
        <v>68054</v>
      </c>
      <c r="B86" s="11" t="s">
        <v>176</v>
      </c>
      <c r="C86" s="806" t="s">
        <v>177</v>
      </c>
      <c r="D86" s="807"/>
      <c r="E86" s="11" t="s">
        <v>102</v>
      </c>
      <c r="F86" s="12">
        <v>1</v>
      </c>
      <c r="G86" s="12">
        <v>327.47000000000003</v>
      </c>
      <c r="H86" s="12">
        <v>417.81</v>
      </c>
      <c r="I86" s="13">
        <f>F86*G86</f>
        <v>327.47000000000003</v>
      </c>
      <c r="J86" s="13">
        <f>F86*H86</f>
        <v>417.81</v>
      </c>
    </row>
    <row r="87" spans="1:10" s="1" customFormat="1" ht="25.5" customHeight="1" x14ac:dyDescent="0.2">
      <c r="A87" s="2" t="s">
        <v>178</v>
      </c>
      <c r="B87" s="11" t="s">
        <v>179</v>
      </c>
      <c r="C87" s="806" t="s">
        <v>180</v>
      </c>
      <c r="D87" s="807"/>
      <c r="E87" s="11" t="s">
        <v>14</v>
      </c>
      <c r="F87" s="12">
        <v>12.6</v>
      </c>
      <c r="G87" s="12">
        <v>381.87</v>
      </c>
      <c r="H87" s="12">
        <v>487.23</v>
      </c>
      <c r="I87" s="13">
        <f>F87*G87</f>
        <v>4811.5619999999999</v>
      </c>
      <c r="J87" s="13">
        <f>F87*H87</f>
        <v>6139.098</v>
      </c>
    </row>
    <row r="88" spans="1:10" s="1" customFormat="1" ht="25.5" customHeight="1" x14ac:dyDescent="0.2">
      <c r="A88" s="8"/>
      <c r="B88" s="803" t="s">
        <v>181</v>
      </c>
      <c r="C88" s="804"/>
      <c r="D88" s="804"/>
      <c r="E88" s="804"/>
      <c r="F88" s="804"/>
      <c r="G88" s="805"/>
      <c r="H88" s="8"/>
      <c r="I88" s="18">
        <f>SUM(I62:I87)+0.09</f>
        <v>65962.335800000001</v>
      </c>
      <c r="J88" s="18">
        <f>SUM(J62:J87)-0.07</f>
        <v>84161.348199999979</v>
      </c>
    </row>
    <row r="89" spans="1:10" s="1" customFormat="1" ht="25.5" customHeight="1" x14ac:dyDescent="0.2">
      <c r="A89" s="8"/>
      <c r="B89" s="46"/>
      <c r="C89" s="803" t="s">
        <v>182</v>
      </c>
      <c r="D89" s="804"/>
      <c r="E89" s="804"/>
      <c r="F89" s="804"/>
      <c r="G89" s="805"/>
      <c r="H89" s="8"/>
      <c r="I89" s="14">
        <f>SUM(I59,I88)</f>
        <v>87198.155800000008</v>
      </c>
      <c r="J89" s="15">
        <f>SUM(J59,J88)+0.01</f>
        <v>111256.13819999997</v>
      </c>
    </row>
    <row r="90" spans="1:10" s="1" customFormat="1" ht="25.5" customHeight="1" x14ac:dyDescent="0.2">
      <c r="A90" s="8"/>
      <c r="B90" s="9" t="s">
        <v>183</v>
      </c>
      <c r="C90" s="808" t="s">
        <v>184</v>
      </c>
      <c r="D90" s="820"/>
      <c r="E90" s="820"/>
      <c r="F90" s="820"/>
      <c r="G90" s="820"/>
      <c r="H90" s="820"/>
      <c r="I90" s="809"/>
      <c r="J90" s="8"/>
    </row>
    <row r="91" spans="1:10" s="1" customFormat="1" ht="25.5" customHeight="1" x14ac:dyDescent="0.2">
      <c r="A91" s="2" t="s">
        <v>185</v>
      </c>
      <c r="B91" s="11" t="s">
        <v>186</v>
      </c>
      <c r="C91" s="806" t="s">
        <v>187</v>
      </c>
      <c r="D91" s="807"/>
      <c r="E91" s="11" t="s">
        <v>14</v>
      </c>
      <c r="F91" s="12">
        <v>13.8</v>
      </c>
      <c r="G91" s="12">
        <v>319.5</v>
      </c>
      <c r="H91" s="12">
        <v>407.65</v>
      </c>
      <c r="I91" s="13">
        <f>F91*G91</f>
        <v>4409.1000000000004</v>
      </c>
      <c r="J91" s="13">
        <f>F91*H91</f>
        <v>5625.57</v>
      </c>
    </row>
    <row r="92" spans="1:10" s="1" customFormat="1" ht="25.5" customHeight="1" x14ac:dyDescent="0.2">
      <c r="A92" s="19">
        <v>85005</v>
      </c>
      <c r="B92" s="11" t="s">
        <v>188</v>
      </c>
      <c r="C92" s="806" t="s">
        <v>189</v>
      </c>
      <c r="D92" s="807"/>
      <c r="E92" s="11" t="s">
        <v>14</v>
      </c>
      <c r="F92" s="12">
        <v>7</v>
      </c>
      <c r="G92" s="12">
        <v>347.14</v>
      </c>
      <c r="H92" s="12">
        <v>442.91</v>
      </c>
      <c r="I92" s="13">
        <f>F92*G92</f>
        <v>2429.98</v>
      </c>
      <c r="J92" s="13">
        <f>F92*H92</f>
        <v>3100.3700000000003</v>
      </c>
    </row>
    <row r="93" spans="1:10" s="1" customFormat="1" ht="25.5" customHeight="1" x14ac:dyDescent="0.2">
      <c r="A93" s="8"/>
      <c r="B93" s="803" t="s">
        <v>190</v>
      </c>
      <c r="C93" s="804"/>
      <c r="D93" s="804"/>
      <c r="E93" s="804"/>
      <c r="F93" s="804"/>
      <c r="G93" s="805"/>
      <c r="H93" s="8"/>
      <c r="I93" s="14">
        <f>SUM(I91:I92)-0.01</f>
        <v>6839.07</v>
      </c>
      <c r="J93" s="15">
        <f>SUM(J91:J92)+0.03</f>
        <v>8725.9700000000012</v>
      </c>
    </row>
    <row r="94" spans="1:10" s="1" customFormat="1" ht="25.5" customHeight="1" x14ac:dyDescent="0.2">
      <c r="A94" s="8"/>
      <c r="B94" s="9" t="s">
        <v>191</v>
      </c>
      <c r="C94" s="808" t="s">
        <v>192</v>
      </c>
      <c r="D94" s="820"/>
      <c r="E94" s="820"/>
      <c r="F94" s="820"/>
      <c r="G94" s="820"/>
      <c r="H94" s="820"/>
      <c r="I94" s="809"/>
      <c r="J94" s="8"/>
    </row>
    <row r="95" spans="1:10" s="1" customFormat="1" ht="25.5" customHeight="1" x14ac:dyDescent="0.2">
      <c r="A95" s="19">
        <v>92539</v>
      </c>
      <c r="B95" s="11" t="s">
        <v>193</v>
      </c>
      <c r="C95" s="806" t="s">
        <v>194</v>
      </c>
      <c r="D95" s="807"/>
      <c r="E95" s="11" t="s">
        <v>14</v>
      </c>
      <c r="F95" s="13">
        <v>1271.78</v>
      </c>
      <c r="G95" s="12">
        <v>52.1</v>
      </c>
      <c r="H95" s="12">
        <v>66.48</v>
      </c>
      <c r="I95" s="13">
        <f t="shared" ref="I95:I100" si="6">F95*G95</f>
        <v>66259.737999999998</v>
      </c>
      <c r="J95" s="13">
        <f t="shared" ref="J95:J100" si="7">F95*H95</f>
        <v>84547.934399999998</v>
      </c>
    </row>
    <row r="96" spans="1:10" s="1" customFormat="1" ht="25.5" customHeight="1" x14ac:dyDescent="0.2">
      <c r="A96" s="19">
        <v>94195</v>
      </c>
      <c r="B96" s="11" t="s">
        <v>195</v>
      </c>
      <c r="C96" s="806" t="s">
        <v>196</v>
      </c>
      <c r="D96" s="807"/>
      <c r="E96" s="11" t="s">
        <v>14</v>
      </c>
      <c r="F96" s="13">
        <v>1264.78</v>
      </c>
      <c r="G96" s="12">
        <v>15.24</v>
      </c>
      <c r="H96" s="12">
        <v>19.440000000000001</v>
      </c>
      <c r="I96" s="13">
        <f t="shared" si="6"/>
        <v>19275.247200000002</v>
      </c>
      <c r="J96" s="13">
        <f t="shared" si="7"/>
        <v>24587.323200000003</v>
      </c>
    </row>
    <row r="97" spans="1:11" s="1" customFormat="1" ht="25.5" customHeight="1" x14ac:dyDescent="0.2">
      <c r="A97" s="19">
        <v>94444</v>
      </c>
      <c r="B97" s="11" t="s">
        <v>197</v>
      </c>
      <c r="C97" s="806" t="s">
        <v>198</v>
      </c>
      <c r="D97" s="807"/>
      <c r="E97" s="11" t="s">
        <v>14</v>
      </c>
      <c r="F97" s="12">
        <v>7</v>
      </c>
      <c r="G97" s="12">
        <v>584.54999999999995</v>
      </c>
      <c r="H97" s="12">
        <v>745.83</v>
      </c>
      <c r="I97" s="13">
        <f t="shared" si="6"/>
        <v>4091.8499999999995</v>
      </c>
      <c r="J97" s="13">
        <f t="shared" si="7"/>
        <v>5220.8100000000004</v>
      </c>
    </row>
    <row r="98" spans="1:11" s="1" customFormat="1" ht="25.5" customHeight="1" x14ac:dyDescent="0.2">
      <c r="A98" s="19">
        <v>94219</v>
      </c>
      <c r="B98" s="11" t="s">
        <v>199</v>
      </c>
      <c r="C98" s="806" t="s">
        <v>200</v>
      </c>
      <c r="D98" s="807"/>
      <c r="E98" s="11" t="s">
        <v>81</v>
      </c>
      <c r="F98" s="12">
        <v>154.99</v>
      </c>
      <c r="G98" s="12">
        <v>18.86</v>
      </c>
      <c r="H98" s="12">
        <v>24.07</v>
      </c>
      <c r="I98" s="13">
        <f t="shared" si="6"/>
        <v>2923.1114000000002</v>
      </c>
      <c r="J98" s="13">
        <f t="shared" si="7"/>
        <v>3730.6093000000001</v>
      </c>
    </row>
    <row r="99" spans="1:11" s="1" customFormat="1" ht="25.5" customHeight="1" x14ac:dyDescent="0.2">
      <c r="A99" s="19">
        <v>94228</v>
      </c>
      <c r="B99" s="11" t="s">
        <v>201</v>
      </c>
      <c r="C99" s="806" t="s">
        <v>202</v>
      </c>
      <c r="D99" s="807"/>
      <c r="E99" s="11" t="s">
        <v>81</v>
      </c>
      <c r="F99" s="12">
        <v>2.5</v>
      </c>
      <c r="G99" s="12">
        <v>42.78</v>
      </c>
      <c r="H99" s="12">
        <v>54.58</v>
      </c>
      <c r="I99" s="13">
        <f t="shared" si="6"/>
        <v>106.95</v>
      </c>
      <c r="J99" s="13">
        <f t="shared" si="7"/>
        <v>136.44999999999999</v>
      </c>
    </row>
    <row r="100" spans="1:11" s="1" customFormat="1" ht="25.5" customHeight="1" x14ac:dyDescent="0.2">
      <c r="A100" s="2" t="s">
        <v>203</v>
      </c>
      <c r="B100" s="11" t="s">
        <v>204</v>
      </c>
      <c r="C100" s="806" t="s">
        <v>205</v>
      </c>
      <c r="D100" s="807"/>
      <c r="E100" s="11" t="s">
        <v>81</v>
      </c>
      <c r="F100" s="12">
        <v>107</v>
      </c>
      <c r="G100" s="12">
        <v>20.81</v>
      </c>
      <c r="H100" s="12">
        <v>26.55</v>
      </c>
      <c r="I100" s="13">
        <f t="shared" si="6"/>
        <v>2226.67</v>
      </c>
      <c r="J100" s="13">
        <f t="shared" si="7"/>
        <v>2840.85</v>
      </c>
    </row>
    <row r="101" spans="1:11" s="1" customFormat="1" ht="25.5" customHeight="1" x14ac:dyDescent="0.2">
      <c r="A101" s="8"/>
      <c r="B101" s="803" t="s">
        <v>206</v>
      </c>
      <c r="C101" s="804"/>
      <c r="D101" s="804"/>
      <c r="E101" s="804"/>
      <c r="F101" s="804"/>
      <c r="G101" s="805"/>
      <c r="H101" s="8"/>
      <c r="I101" s="14">
        <f>SUM(I95:I100)-2.13</f>
        <v>94881.436599999986</v>
      </c>
      <c r="J101" s="15">
        <f>SUM(J95:J100)-4.75</f>
        <v>121059.22689999999</v>
      </c>
      <c r="K101" s="49"/>
    </row>
    <row r="102" spans="1:11" s="1" customFormat="1" ht="25.5" customHeight="1" x14ac:dyDescent="0.2">
      <c r="A102" s="8"/>
      <c r="B102" s="9" t="s">
        <v>207</v>
      </c>
      <c r="C102" s="808" t="s">
        <v>208</v>
      </c>
      <c r="D102" s="820"/>
      <c r="E102" s="820"/>
      <c r="F102" s="820"/>
      <c r="G102" s="820"/>
      <c r="H102" s="820"/>
      <c r="I102" s="809"/>
      <c r="J102" s="8"/>
    </row>
    <row r="103" spans="1:11" s="1" customFormat="1" ht="25.5" customHeight="1" x14ac:dyDescent="0.2">
      <c r="A103" s="2" t="s">
        <v>209</v>
      </c>
      <c r="B103" s="11" t="s">
        <v>210</v>
      </c>
      <c r="C103" s="806" t="s">
        <v>211</v>
      </c>
      <c r="D103" s="807"/>
      <c r="E103" s="11" t="s">
        <v>14</v>
      </c>
      <c r="F103" s="12">
        <v>755</v>
      </c>
      <c r="G103" s="12">
        <v>7.73</v>
      </c>
      <c r="H103" s="12">
        <v>9.86</v>
      </c>
      <c r="I103" s="13">
        <f>F103*G103</f>
        <v>5836.1500000000005</v>
      </c>
      <c r="J103" s="13">
        <f>F103*H103</f>
        <v>7444.2999999999993</v>
      </c>
    </row>
    <row r="104" spans="1:11" s="1" customFormat="1" ht="25.5" customHeight="1" x14ac:dyDescent="0.2">
      <c r="A104" s="2" t="s">
        <v>212</v>
      </c>
      <c r="B104" s="11" t="s">
        <v>213</v>
      </c>
      <c r="C104" s="806" t="s">
        <v>214</v>
      </c>
      <c r="D104" s="807"/>
      <c r="E104" s="11" t="s">
        <v>14</v>
      </c>
      <c r="F104" s="12">
        <v>77</v>
      </c>
      <c r="G104" s="12">
        <v>29.51</v>
      </c>
      <c r="H104" s="12">
        <v>37.65</v>
      </c>
      <c r="I104" s="13">
        <f>F104*G104</f>
        <v>2272.27</v>
      </c>
      <c r="J104" s="13">
        <f>F104*H104</f>
        <v>2899.0499999999997</v>
      </c>
    </row>
    <row r="105" spans="1:11" s="1" customFormat="1" ht="25.5" customHeight="1" x14ac:dyDescent="0.2">
      <c r="A105" s="2" t="s">
        <v>215</v>
      </c>
      <c r="B105" s="11" t="s">
        <v>216</v>
      </c>
      <c r="C105" s="806" t="s">
        <v>217</v>
      </c>
      <c r="D105" s="807"/>
      <c r="E105" s="11" t="s">
        <v>14</v>
      </c>
      <c r="F105" s="12">
        <v>105</v>
      </c>
      <c r="G105" s="12">
        <v>14.07</v>
      </c>
      <c r="H105" s="12">
        <v>17.95</v>
      </c>
      <c r="I105" s="13">
        <f>F105*G105</f>
        <v>1477.3500000000001</v>
      </c>
      <c r="J105" s="13">
        <f>F105*H105</f>
        <v>1884.75</v>
      </c>
    </row>
    <row r="106" spans="1:11" s="1" customFormat="1" ht="25.5" customHeight="1" x14ac:dyDescent="0.2">
      <c r="A106" s="2" t="s">
        <v>215</v>
      </c>
      <c r="B106" s="11" t="s">
        <v>218</v>
      </c>
      <c r="C106" s="806" t="s">
        <v>219</v>
      </c>
      <c r="D106" s="807"/>
      <c r="E106" s="11" t="s">
        <v>14</v>
      </c>
      <c r="F106" s="12">
        <v>221.45</v>
      </c>
      <c r="G106" s="12">
        <v>14.07</v>
      </c>
      <c r="H106" s="12">
        <v>17.95</v>
      </c>
      <c r="I106" s="13">
        <f>F106*G106</f>
        <v>3115.8015</v>
      </c>
      <c r="J106" s="13">
        <f>F106*H106</f>
        <v>3975.0274999999997</v>
      </c>
    </row>
    <row r="107" spans="1:11" s="1" customFormat="1" ht="25.5" customHeight="1" x14ac:dyDescent="0.2">
      <c r="A107" s="8"/>
      <c r="B107" s="803" t="s">
        <v>220</v>
      </c>
      <c r="C107" s="804"/>
      <c r="D107" s="804"/>
      <c r="E107" s="804"/>
      <c r="F107" s="804"/>
      <c r="G107" s="805"/>
      <c r="H107" s="8"/>
      <c r="I107" s="14">
        <f>SUM(I103:I106)-0.15</f>
        <v>12701.4215</v>
      </c>
      <c r="J107" s="15">
        <f>SUM(J103:J106)+2.62</f>
        <v>16205.747499999999</v>
      </c>
      <c r="K107" s="49">
        <f>J107-16205.75</f>
        <v>-2.500000000509317E-3</v>
      </c>
    </row>
    <row r="108" spans="1:11" s="1" customFormat="1" ht="25.5" customHeight="1" x14ac:dyDescent="0.2">
      <c r="A108" s="8"/>
      <c r="B108" s="9" t="s">
        <v>221</v>
      </c>
      <c r="C108" s="808" t="s">
        <v>222</v>
      </c>
      <c r="D108" s="820"/>
      <c r="E108" s="820"/>
      <c r="F108" s="820"/>
      <c r="G108" s="820"/>
      <c r="H108" s="820"/>
      <c r="I108" s="809"/>
      <c r="J108" s="8"/>
    </row>
    <row r="109" spans="1:11" s="1" customFormat="1" ht="25.5" customHeight="1" x14ac:dyDescent="0.2">
      <c r="A109" s="8"/>
      <c r="B109" s="9" t="s">
        <v>223</v>
      </c>
      <c r="C109" s="808" t="s">
        <v>224</v>
      </c>
      <c r="D109" s="820"/>
      <c r="E109" s="820"/>
      <c r="F109" s="820"/>
      <c r="G109" s="820"/>
      <c r="H109" s="820"/>
      <c r="I109" s="809"/>
      <c r="J109" s="8"/>
    </row>
    <row r="110" spans="1:11" s="1" customFormat="1" ht="25.5" customHeight="1" x14ac:dyDescent="0.2">
      <c r="A110" s="8"/>
      <c r="B110" s="9" t="s">
        <v>225</v>
      </c>
      <c r="C110" s="808" t="s">
        <v>226</v>
      </c>
      <c r="D110" s="809"/>
      <c r="E110" s="8"/>
      <c r="F110" s="8"/>
      <c r="G110" s="8"/>
      <c r="H110" s="8"/>
      <c r="I110" s="8"/>
      <c r="J110" s="8"/>
    </row>
    <row r="111" spans="1:11" s="1" customFormat="1" ht="25.5" customHeight="1" x14ac:dyDescent="0.2">
      <c r="A111" s="19">
        <v>87775</v>
      </c>
      <c r="B111" s="11" t="s">
        <v>227</v>
      </c>
      <c r="C111" s="806" t="s">
        <v>228</v>
      </c>
      <c r="D111" s="807"/>
      <c r="E111" s="11" t="s">
        <v>14</v>
      </c>
      <c r="F111" s="12">
        <v>95.92</v>
      </c>
      <c r="G111" s="12">
        <v>37.78</v>
      </c>
      <c r="H111" s="12">
        <v>48.21</v>
      </c>
      <c r="I111" s="13">
        <f>F111*G111</f>
        <v>3623.8576000000003</v>
      </c>
      <c r="J111" s="13">
        <f>F111*H111</f>
        <v>4624.3032000000003</v>
      </c>
    </row>
    <row r="112" spans="1:11" s="1" customFormat="1" ht="25.5" customHeight="1" x14ac:dyDescent="0.2">
      <c r="A112" s="2" t="s">
        <v>229</v>
      </c>
      <c r="B112" s="11" t="s">
        <v>230</v>
      </c>
      <c r="C112" s="806" t="s">
        <v>231</v>
      </c>
      <c r="D112" s="807"/>
      <c r="E112" s="11" t="s">
        <v>14</v>
      </c>
      <c r="F112" s="12">
        <v>80.91</v>
      </c>
      <c r="G112" s="12">
        <v>21.63</v>
      </c>
      <c r="H112" s="12">
        <v>27.59</v>
      </c>
      <c r="I112" s="13">
        <f>F112*G112</f>
        <v>1750.0832999999998</v>
      </c>
      <c r="J112" s="13">
        <f>F112*H112</f>
        <v>2232.3069</v>
      </c>
    </row>
    <row r="113" spans="1:11" s="1" customFormat="1" ht="25.5" customHeight="1" x14ac:dyDescent="0.2">
      <c r="A113" s="19">
        <v>87265</v>
      </c>
      <c r="B113" s="11" t="s">
        <v>232</v>
      </c>
      <c r="C113" s="806" t="s">
        <v>233</v>
      </c>
      <c r="D113" s="807"/>
      <c r="E113" s="11" t="s">
        <v>14</v>
      </c>
      <c r="F113" s="12">
        <v>959.21</v>
      </c>
      <c r="G113" s="12">
        <v>31.09</v>
      </c>
      <c r="H113" s="12">
        <v>39.659999999999997</v>
      </c>
      <c r="I113" s="13">
        <f>F113*G113</f>
        <v>29821.838900000002</v>
      </c>
      <c r="J113" s="13">
        <f>F113*H113</f>
        <v>38042.268599999996</v>
      </c>
    </row>
    <row r="114" spans="1:11" s="1" customFormat="1" ht="25.5" customHeight="1" x14ac:dyDescent="0.2">
      <c r="A114" s="8"/>
      <c r="B114" s="9" t="s">
        <v>234</v>
      </c>
      <c r="C114" s="808" t="s">
        <v>235</v>
      </c>
      <c r="D114" s="809"/>
      <c r="E114" s="8"/>
      <c r="F114" s="8"/>
      <c r="G114" s="8"/>
      <c r="H114" s="8"/>
      <c r="I114" s="8"/>
      <c r="J114" s="8"/>
    </row>
    <row r="115" spans="1:11" s="1" customFormat="1" ht="25.5" customHeight="1" x14ac:dyDescent="0.2">
      <c r="A115" s="2" t="s">
        <v>236</v>
      </c>
      <c r="B115" s="11" t="s">
        <v>237</v>
      </c>
      <c r="C115" s="806" t="s">
        <v>231</v>
      </c>
      <c r="D115" s="807"/>
      <c r="E115" s="11" t="s">
        <v>14</v>
      </c>
      <c r="F115" s="12">
        <v>724.74</v>
      </c>
      <c r="G115" s="12">
        <v>22.03</v>
      </c>
      <c r="H115" s="12">
        <v>28.11</v>
      </c>
      <c r="I115" s="13">
        <f>F115*G115</f>
        <v>15966.022200000001</v>
      </c>
      <c r="J115" s="13">
        <f>F115*H115</f>
        <v>20372.4414</v>
      </c>
    </row>
    <row r="116" spans="1:11" s="1" customFormat="1" ht="25.5" customHeight="1" x14ac:dyDescent="0.2">
      <c r="A116" s="8"/>
      <c r="B116" s="803" t="s">
        <v>238</v>
      </c>
      <c r="C116" s="804"/>
      <c r="D116" s="804"/>
      <c r="E116" s="804"/>
      <c r="F116" s="804"/>
      <c r="G116" s="805"/>
      <c r="H116" s="8"/>
      <c r="I116" s="18">
        <f>SUM(I111:I115)</f>
        <v>51161.802000000003</v>
      </c>
      <c r="J116" s="18">
        <f>SUM(J111:J115)</f>
        <v>65271.320099999997</v>
      </c>
    </row>
    <row r="117" spans="1:11" s="1" customFormat="1" ht="25.5" customHeight="1" x14ac:dyDescent="0.2">
      <c r="A117" s="8"/>
      <c r="B117" s="9" t="s">
        <v>239</v>
      </c>
      <c r="C117" s="808" t="s">
        <v>240</v>
      </c>
      <c r="D117" s="820"/>
      <c r="E117" s="820"/>
      <c r="F117" s="820"/>
      <c r="G117" s="820"/>
      <c r="H117" s="820"/>
      <c r="I117" s="809"/>
      <c r="J117" s="8"/>
    </row>
    <row r="118" spans="1:11" s="1" customFormat="1" ht="25.5" customHeight="1" x14ac:dyDescent="0.2">
      <c r="A118" s="8"/>
      <c r="B118" s="9" t="s">
        <v>241</v>
      </c>
      <c r="C118" s="808" t="s">
        <v>242</v>
      </c>
      <c r="D118" s="809"/>
      <c r="E118" s="8"/>
      <c r="F118" s="8"/>
      <c r="G118" s="8"/>
      <c r="H118" s="8"/>
      <c r="I118" s="8"/>
      <c r="J118" s="8"/>
    </row>
    <row r="119" spans="1:11" s="1" customFormat="1" ht="25.5" customHeight="1" x14ac:dyDescent="0.2">
      <c r="A119" s="19">
        <v>87905</v>
      </c>
      <c r="B119" s="11" t="s">
        <v>243</v>
      </c>
      <c r="C119" s="806" t="s">
        <v>244</v>
      </c>
      <c r="D119" s="807"/>
      <c r="E119" s="11" t="s">
        <v>14</v>
      </c>
      <c r="F119" s="12">
        <v>290.31</v>
      </c>
      <c r="G119" s="12">
        <v>5.81</v>
      </c>
      <c r="H119" s="12">
        <v>7.41</v>
      </c>
      <c r="I119" s="13">
        <f>F119*G119</f>
        <v>1686.7011</v>
      </c>
      <c r="J119" s="13">
        <f>F119*H119</f>
        <v>2151.1970999999999</v>
      </c>
    </row>
    <row r="120" spans="1:11" s="1" customFormat="1" ht="25.5" customHeight="1" x14ac:dyDescent="0.2">
      <c r="A120" s="19">
        <v>87775</v>
      </c>
      <c r="B120" s="11" t="s">
        <v>245</v>
      </c>
      <c r="C120" s="806" t="s">
        <v>228</v>
      </c>
      <c r="D120" s="807"/>
      <c r="E120" s="11" t="s">
        <v>14</v>
      </c>
      <c r="F120" s="12">
        <v>128.88</v>
      </c>
      <c r="G120" s="12">
        <v>37.78</v>
      </c>
      <c r="H120" s="12">
        <v>48.21</v>
      </c>
      <c r="I120" s="13">
        <f>F120*G120</f>
        <v>4869.0864000000001</v>
      </c>
      <c r="J120" s="13">
        <f>F120*H120</f>
        <v>6213.3047999999999</v>
      </c>
    </row>
    <row r="121" spans="1:11" s="1" customFormat="1" ht="25.5" customHeight="1" x14ac:dyDescent="0.2">
      <c r="A121" s="2" t="s">
        <v>229</v>
      </c>
      <c r="B121" s="11" t="s">
        <v>246</v>
      </c>
      <c r="C121" s="806" t="s">
        <v>231</v>
      </c>
      <c r="D121" s="807"/>
      <c r="E121" s="11" t="s">
        <v>14</v>
      </c>
      <c r="F121" s="12">
        <v>161.43</v>
      </c>
      <c r="G121" s="12">
        <v>21.63</v>
      </c>
      <c r="H121" s="12">
        <v>27.59</v>
      </c>
      <c r="I121" s="13">
        <f>F121*G121</f>
        <v>3491.7309</v>
      </c>
      <c r="J121" s="13">
        <f>F121*H121</f>
        <v>4453.8537000000006</v>
      </c>
    </row>
    <row r="122" spans="1:11" s="1" customFormat="1" ht="25.5" customHeight="1" x14ac:dyDescent="0.2">
      <c r="A122" s="2" t="s">
        <v>247</v>
      </c>
      <c r="B122" s="11" t="s">
        <v>248</v>
      </c>
      <c r="C122" s="806" t="s">
        <v>249</v>
      </c>
      <c r="D122" s="807"/>
      <c r="E122" s="11" t="s">
        <v>14</v>
      </c>
      <c r="F122" s="12">
        <v>460.27</v>
      </c>
      <c r="G122" s="12">
        <v>38.770000000000003</v>
      </c>
      <c r="H122" s="12">
        <v>49.47</v>
      </c>
      <c r="I122" s="13">
        <f>F122*G122</f>
        <v>17844.6679</v>
      </c>
      <c r="J122" s="13">
        <f>F122*H122</f>
        <v>22769.5569</v>
      </c>
    </row>
    <row r="123" spans="1:11" s="1" customFormat="1" ht="25.5" customHeight="1" x14ac:dyDescent="0.2">
      <c r="A123" s="8"/>
      <c r="B123" s="803" t="s">
        <v>250</v>
      </c>
      <c r="C123" s="804"/>
      <c r="D123" s="804"/>
      <c r="E123" s="804"/>
      <c r="F123" s="804"/>
      <c r="G123" s="805"/>
      <c r="H123" s="8"/>
      <c r="I123" s="18">
        <f>SUM(I119:I122)</f>
        <v>27892.186300000001</v>
      </c>
      <c r="J123" s="18">
        <f>SUM(J119:J122)</f>
        <v>35587.912499999999</v>
      </c>
    </row>
    <row r="124" spans="1:11" s="1" customFormat="1" ht="25.5" customHeight="1" x14ac:dyDescent="0.2">
      <c r="A124" s="8"/>
      <c r="B124" s="803" t="s">
        <v>251</v>
      </c>
      <c r="C124" s="804"/>
      <c r="D124" s="804"/>
      <c r="E124" s="804"/>
      <c r="F124" s="804"/>
      <c r="G124" s="805"/>
      <c r="H124" s="8"/>
      <c r="I124" s="14">
        <f>SUM(I116,I123)-3.31</f>
        <v>79050.6783</v>
      </c>
      <c r="J124" s="15">
        <f>SUM(J116,J123)+1.54</f>
        <v>100860.77259999998</v>
      </c>
      <c r="K124" s="49"/>
    </row>
    <row r="125" spans="1:11" s="1" customFormat="1" ht="25.5" customHeight="1" x14ac:dyDescent="0.2">
      <c r="A125" s="8"/>
      <c r="B125" s="9" t="s">
        <v>252</v>
      </c>
      <c r="C125" s="808" t="s">
        <v>253</v>
      </c>
      <c r="D125" s="820"/>
      <c r="E125" s="820"/>
      <c r="F125" s="820"/>
      <c r="G125" s="820"/>
      <c r="H125" s="820"/>
      <c r="I125" s="809"/>
      <c r="J125" s="8"/>
    </row>
    <row r="126" spans="1:11" s="1" customFormat="1" ht="25.5" customHeight="1" x14ac:dyDescent="0.2">
      <c r="A126" s="19">
        <v>98572</v>
      </c>
      <c r="B126" s="11" t="s">
        <v>254</v>
      </c>
      <c r="C126" s="806" t="s">
        <v>255</v>
      </c>
      <c r="D126" s="807"/>
      <c r="E126" s="11" t="s">
        <v>14</v>
      </c>
      <c r="F126" s="13">
        <v>1707</v>
      </c>
      <c r="G126" s="12">
        <v>29.86</v>
      </c>
      <c r="H126" s="12">
        <v>38.1</v>
      </c>
      <c r="I126" s="13">
        <f t="shared" ref="I126:I132" si="8">F126*G126</f>
        <v>50971.02</v>
      </c>
      <c r="J126" s="13">
        <f t="shared" ref="J126:J132" si="9">F126*H126</f>
        <v>65036.700000000004</v>
      </c>
    </row>
    <row r="127" spans="1:11" s="1" customFormat="1" ht="25.5" customHeight="1" x14ac:dyDescent="0.2">
      <c r="A127" s="19">
        <v>98560</v>
      </c>
      <c r="B127" s="11" t="s">
        <v>256</v>
      </c>
      <c r="C127" s="806" t="s">
        <v>257</v>
      </c>
      <c r="D127" s="807"/>
      <c r="E127" s="11" t="s">
        <v>14</v>
      </c>
      <c r="F127" s="13">
        <v>1304.0999999999999</v>
      </c>
      <c r="G127" s="12">
        <v>32.090000000000003</v>
      </c>
      <c r="H127" s="12">
        <v>40.94</v>
      </c>
      <c r="I127" s="13">
        <f t="shared" si="8"/>
        <v>41848.569000000003</v>
      </c>
      <c r="J127" s="13">
        <f t="shared" si="9"/>
        <v>53389.853999999992</v>
      </c>
    </row>
    <row r="128" spans="1:11" s="1" customFormat="1" ht="25.5" customHeight="1" x14ac:dyDescent="0.2">
      <c r="A128" s="19">
        <v>92391</v>
      </c>
      <c r="B128" s="11" t="s">
        <v>258</v>
      </c>
      <c r="C128" s="806" t="s">
        <v>259</v>
      </c>
      <c r="D128" s="807"/>
      <c r="E128" s="11" t="s">
        <v>14</v>
      </c>
      <c r="F128" s="12">
        <v>224</v>
      </c>
      <c r="G128" s="12">
        <v>46.88</v>
      </c>
      <c r="H128" s="12">
        <v>59.82</v>
      </c>
      <c r="I128" s="13">
        <f t="shared" si="8"/>
        <v>10501.12</v>
      </c>
      <c r="J128" s="13">
        <f t="shared" si="9"/>
        <v>13399.68</v>
      </c>
    </row>
    <row r="129" spans="1:11" s="1" customFormat="1" ht="25.5" customHeight="1" x14ac:dyDescent="0.2">
      <c r="A129" s="2" t="s">
        <v>260</v>
      </c>
      <c r="B129" s="11" t="s">
        <v>261</v>
      </c>
      <c r="C129" s="806" t="s">
        <v>262</v>
      </c>
      <c r="D129" s="807"/>
      <c r="E129" s="11" t="s">
        <v>14</v>
      </c>
      <c r="F129" s="12">
        <v>36</v>
      </c>
      <c r="G129" s="12">
        <v>31.2</v>
      </c>
      <c r="H129" s="12">
        <v>39.81</v>
      </c>
      <c r="I129" s="13">
        <f t="shared" si="8"/>
        <v>1123.2</v>
      </c>
      <c r="J129" s="13">
        <f t="shared" si="9"/>
        <v>1433.16</v>
      </c>
    </row>
    <row r="130" spans="1:11" s="1" customFormat="1" ht="25.5" customHeight="1" x14ac:dyDescent="0.2">
      <c r="A130" s="19">
        <v>88477</v>
      </c>
      <c r="B130" s="11" t="s">
        <v>263</v>
      </c>
      <c r="C130" s="806" t="s">
        <v>264</v>
      </c>
      <c r="D130" s="807"/>
      <c r="E130" s="11" t="s">
        <v>14</v>
      </c>
      <c r="F130" s="12">
        <v>470</v>
      </c>
      <c r="G130" s="12">
        <v>19.170000000000002</v>
      </c>
      <c r="H130" s="12">
        <v>24.46</v>
      </c>
      <c r="I130" s="13">
        <f t="shared" si="8"/>
        <v>9009.9000000000015</v>
      </c>
      <c r="J130" s="13">
        <f t="shared" si="9"/>
        <v>11496.2</v>
      </c>
    </row>
    <row r="131" spans="1:11" s="1" customFormat="1" ht="25.5" customHeight="1" x14ac:dyDescent="0.2">
      <c r="A131" s="19">
        <v>84191</v>
      </c>
      <c r="B131" s="11" t="s">
        <v>265</v>
      </c>
      <c r="C131" s="806" t="s">
        <v>266</v>
      </c>
      <c r="D131" s="807"/>
      <c r="E131" s="11" t="s">
        <v>14</v>
      </c>
      <c r="F131" s="12">
        <v>885</v>
      </c>
      <c r="G131" s="12">
        <v>98.11</v>
      </c>
      <c r="H131" s="12">
        <v>125.18</v>
      </c>
      <c r="I131" s="13">
        <f t="shared" si="8"/>
        <v>86827.35</v>
      </c>
      <c r="J131" s="13">
        <f t="shared" si="9"/>
        <v>110784.3</v>
      </c>
    </row>
    <row r="132" spans="1:11" s="1" customFormat="1" ht="25.5" customHeight="1" x14ac:dyDescent="0.2">
      <c r="A132" s="2" t="s">
        <v>267</v>
      </c>
      <c r="B132" s="11" t="s">
        <v>268</v>
      </c>
      <c r="C132" s="806" t="s">
        <v>269</v>
      </c>
      <c r="D132" s="807"/>
      <c r="E132" s="11" t="s">
        <v>81</v>
      </c>
      <c r="F132" s="12">
        <v>77</v>
      </c>
      <c r="G132" s="12">
        <v>174.65</v>
      </c>
      <c r="H132" s="12">
        <v>222.84</v>
      </c>
      <c r="I132" s="13">
        <f t="shared" si="8"/>
        <v>13448.050000000001</v>
      </c>
      <c r="J132" s="13">
        <f t="shared" si="9"/>
        <v>17158.68</v>
      </c>
    </row>
    <row r="133" spans="1:11" s="1" customFormat="1" ht="25.5" customHeight="1" x14ac:dyDescent="0.2">
      <c r="A133" s="8"/>
      <c r="B133" s="803" t="s">
        <v>270</v>
      </c>
      <c r="C133" s="804"/>
      <c r="D133" s="804"/>
      <c r="E133" s="804"/>
      <c r="F133" s="804"/>
      <c r="G133" s="805"/>
      <c r="H133" s="8"/>
      <c r="I133" s="14">
        <f>SUM(I126:I132)-3.35</f>
        <v>213725.859</v>
      </c>
      <c r="J133" s="15">
        <f>SUM(J126:J132)-5.75</f>
        <v>272692.82400000002</v>
      </c>
      <c r="K133" s="49"/>
    </row>
    <row r="134" spans="1:11" s="1" customFormat="1" ht="25.5" customHeight="1" x14ac:dyDescent="0.2">
      <c r="A134" s="8"/>
      <c r="B134" s="9" t="s">
        <v>271</v>
      </c>
      <c r="C134" s="808" t="s">
        <v>272</v>
      </c>
      <c r="D134" s="820"/>
      <c r="E134" s="820"/>
      <c r="F134" s="820"/>
      <c r="G134" s="820"/>
      <c r="H134" s="820"/>
      <c r="I134" s="809"/>
      <c r="J134" s="8"/>
    </row>
    <row r="135" spans="1:11" s="1" customFormat="1" ht="25.5" customHeight="1" x14ac:dyDescent="0.2">
      <c r="A135" s="2" t="s">
        <v>273</v>
      </c>
      <c r="B135" s="11" t="s">
        <v>274</v>
      </c>
      <c r="C135" s="806" t="s">
        <v>275</v>
      </c>
      <c r="D135" s="807"/>
      <c r="E135" s="11" t="s">
        <v>81</v>
      </c>
      <c r="F135" s="12">
        <v>32.799999999999997</v>
      </c>
      <c r="G135" s="12">
        <v>33.909999999999997</v>
      </c>
      <c r="H135" s="12">
        <v>43.27</v>
      </c>
      <c r="I135" s="13">
        <f>F135*G135</f>
        <v>1112.2479999999998</v>
      </c>
      <c r="J135" s="13">
        <f>F135*H135</f>
        <v>1419.2560000000001</v>
      </c>
    </row>
    <row r="136" spans="1:11" s="1" customFormat="1" ht="25.5" customHeight="1" x14ac:dyDescent="0.2">
      <c r="A136" s="19">
        <v>96467</v>
      </c>
      <c r="B136" s="11" t="s">
        <v>276</v>
      </c>
      <c r="C136" s="806" t="s">
        <v>277</v>
      </c>
      <c r="D136" s="807"/>
      <c r="E136" s="11" t="s">
        <v>81</v>
      </c>
      <c r="F136" s="12">
        <v>648</v>
      </c>
      <c r="G136" s="12">
        <v>4.1100000000000003</v>
      </c>
      <c r="H136" s="12">
        <v>5.25</v>
      </c>
      <c r="I136" s="13">
        <f>F136*G136</f>
        <v>2663.28</v>
      </c>
      <c r="J136" s="13">
        <f>F136*H136</f>
        <v>3402</v>
      </c>
    </row>
    <row r="137" spans="1:11" s="1" customFormat="1" ht="25.5" customHeight="1" x14ac:dyDescent="0.2">
      <c r="A137" s="2" t="s">
        <v>78</v>
      </c>
      <c r="B137" s="11" t="s">
        <v>278</v>
      </c>
      <c r="C137" s="806" t="s">
        <v>279</v>
      </c>
      <c r="D137" s="807"/>
      <c r="E137" s="11" t="s">
        <v>81</v>
      </c>
      <c r="F137" s="12">
        <v>100</v>
      </c>
      <c r="G137" s="12">
        <v>9.81</v>
      </c>
      <c r="H137" s="12">
        <v>12.52</v>
      </c>
      <c r="I137" s="13">
        <f>F137*G137</f>
        <v>981</v>
      </c>
      <c r="J137" s="13">
        <f>F137*H137</f>
        <v>1252</v>
      </c>
    </row>
    <row r="138" spans="1:11" s="1" customFormat="1" ht="25.5" customHeight="1" x14ac:dyDescent="0.2">
      <c r="A138" s="2" t="s">
        <v>280</v>
      </c>
      <c r="B138" s="11" t="s">
        <v>281</v>
      </c>
      <c r="C138" s="806" t="s">
        <v>282</v>
      </c>
      <c r="D138" s="807"/>
      <c r="E138" s="11" t="s">
        <v>81</v>
      </c>
      <c r="F138" s="12">
        <v>548</v>
      </c>
      <c r="G138" s="12">
        <v>12.72</v>
      </c>
      <c r="H138" s="12">
        <v>16.23</v>
      </c>
      <c r="I138" s="13">
        <f>F138*G138</f>
        <v>6970.56</v>
      </c>
      <c r="J138" s="13">
        <f>F138*H138</f>
        <v>8894.0400000000009</v>
      </c>
    </row>
    <row r="139" spans="1:11" s="1" customFormat="1" ht="25.5" customHeight="1" x14ac:dyDescent="0.2">
      <c r="A139" s="8"/>
      <c r="B139" s="803" t="s">
        <v>283</v>
      </c>
      <c r="C139" s="804"/>
      <c r="D139" s="804"/>
      <c r="E139" s="804"/>
      <c r="F139" s="804"/>
      <c r="G139" s="805"/>
      <c r="H139" s="8"/>
      <c r="I139" s="14">
        <f>SUM(I135:I138)+0.36</f>
        <v>11727.448</v>
      </c>
      <c r="J139" s="15">
        <f>SUM(J135:J138)-274.24</f>
        <v>14693.056000000002</v>
      </c>
      <c r="K139" s="49"/>
    </row>
    <row r="140" spans="1:11" s="1" customFormat="1" ht="25.5" customHeight="1" x14ac:dyDescent="0.2">
      <c r="A140" s="8"/>
      <c r="B140" s="9" t="s">
        <v>284</v>
      </c>
      <c r="C140" s="808" t="s">
        <v>285</v>
      </c>
      <c r="D140" s="820"/>
      <c r="E140" s="820"/>
      <c r="F140" s="820"/>
      <c r="G140" s="820"/>
      <c r="H140" s="820"/>
      <c r="I140" s="809"/>
      <c r="J140" s="8"/>
    </row>
    <row r="141" spans="1:11" s="1" customFormat="1" ht="25.5" customHeight="1" x14ac:dyDescent="0.2">
      <c r="A141" s="8"/>
      <c r="B141" s="20">
        <v>12.1</v>
      </c>
      <c r="C141" s="808" t="s">
        <v>286</v>
      </c>
      <c r="D141" s="809"/>
      <c r="E141" s="8"/>
      <c r="F141" s="8"/>
      <c r="G141" s="8"/>
      <c r="H141" s="8"/>
      <c r="I141" s="8"/>
      <c r="J141" s="8"/>
    </row>
    <row r="142" spans="1:11" s="1" customFormat="1" ht="25.5" customHeight="1" x14ac:dyDescent="0.2">
      <c r="A142" s="19">
        <v>88489</v>
      </c>
      <c r="B142" s="21">
        <v>40909</v>
      </c>
      <c r="C142" s="806" t="s">
        <v>287</v>
      </c>
      <c r="D142" s="807"/>
      <c r="E142" s="11" t="s">
        <v>14</v>
      </c>
      <c r="F142" s="12">
        <v>638.78</v>
      </c>
      <c r="G142" s="12">
        <v>8.41</v>
      </c>
      <c r="H142" s="12">
        <v>10.73</v>
      </c>
      <c r="I142" s="13">
        <f>F142*G142</f>
        <v>5372.1397999999999</v>
      </c>
      <c r="J142" s="13">
        <f>F142*H142</f>
        <v>6854.1094000000003</v>
      </c>
    </row>
    <row r="143" spans="1:11" s="1" customFormat="1" ht="25.5" customHeight="1" x14ac:dyDescent="0.2">
      <c r="A143" s="19">
        <v>88497</v>
      </c>
      <c r="B143" s="21">
        <v>40910</v>
      </c>
      <c r="C143" s="806" t="s">
        <v>288</v>
      </c>
      <c r="D143" s="807"/>
      <c r="E143" s="11" t="s">
        <v>14</v>
      </c>
      <c r="F143" s="12">
        <v>638.78</v>
      </c>
      <c r="G143" s="12">
        <v>9.49</v>
      </c>
      <c r="H143" s="12">
        <v>12.1</v>
      </c>
      <c r="I143" s="13">
        <f>F143*G143</f>
        <v>6062.0221999999994</v>
      </c>
      <c r="J143" s="13">
        <f>F143*H143</f>
        <v>7729.2379999999994</v>
      </c>
    </row>
    <row r="144" spans="1:11" s="1" customFormat="1" ht="25.5" customHeight="1" x14ac:dyDescent="0.2">
      <c r="A144" s="19">
        <v>88487</v>
      </c>
      <c r="B144" s="21">
        <v>40911</v>
      </c>
      <c r="C144" s="806" t="s">
        <v>289</v>
      </c>
      <c r="D144" s="807"/>
      <c r="E144" s="11" t="s">
        <v>14</v>
      </c>
      <c r="F144" s="12">
        <v>77.3</v>
      </c>
      <c r="G144" s="12">
        <v>6.56</v>
      </c>
      <c r="H144" s="12">
        <v>8.3699999999999992</v>
      </c>
      <c r="I144" s="13">
        <f>F144*G144</f>
        <v>507.08799999999997</v>
      </c>
      <c r="J144" s="13">
        <f>F144*H144</f>
        <v>647.00099999999986</v>
      </c>
    </row>
    <row r="145" spans="1:11" s="1" customFormat="1" ht="25.5" customHeight="1" x14ac:dyDescent="0.2">
      <c r="A145" s="8"/>
      <c r="B145" s="9" t="s">
        <v>290</v>
      </c>
      <c r="C145" s="808" t="s">
        <v>291</v>
      </c>
      <c r="D145" s="820"/>
      <c r="E145" s="820"/>
      <c r="F145" s="820"/>
      <c r="G145" s="809"/>
      <c r="H145" s="8"/>
      <c r="I145" s="8"/>
      <c r="J145" s="8"/>
    </row>
    <row r="146" spans="1:11" s="1" customFormat="1" ht="25.5" customHeight="1" x14ac:dyDescent="0.2">
      <c r="A146" s="19">
        <v>88489</v>
      </c>
      <c r="B146" s="21">
        <v>40940</v>
      </c>
      <c r="C146" s="806" t="s">
        <v>287</v>
      </c>
      <c r="D146" s="807"/>
      <c r="E146" s="11" t="s">
        <v>14</v>
      </c>
      <c r="F146" s="12">
        <v>606.17999999999995</v>
      </c>
      <c r="G146" s="12">
        <v>8.41</v>
      </c>
      <c r="H146" s="12">
        <v>10.73</v>
      </c>
      <c r="I146" s="13">
        <f>F146*G146</f>
        <v>5097.9737999999998</v>
      </c>
      <c r="J146" s="13">
        <f>F146*H146</f>
        <v>6504.3113999999996</v>
      </c>
    </row>
    <row r="147" spans="1:11" s="1" customFormat="1" ht="25.5" customHeight="1" x14ac:dyDescent="0.2">
      <c r="A147" s="8"/>
      <c r="B147" s="9" t="s">
        <v>292</v>
      </c>
      <c r="C147" s="808" t="s">
        <v>235</v>
      </c>
      <c r="D147" s="820"/>
      <c r="E147" s="820"/>
      <c r="F147" s="820"/>
      <c r="G147" s="809"/>
      <c r="H147" s="8"/>
      <c r="I147" s="8"/>
      <c r="J147" s="8"/>
    </row>
    <row r="148" spans="1:11" s="1" customFormat="1" ht="25.5" customHeight="1" x14ac:dyDescent="0.2">
      <c r="A148" s="19">
        <v>88487</v>
      </c>
      <c r="B148" s="11" t="s">
        <v>293</v>
      </c>
      <c r="C148" s="806" t="s">
        <v>289</v>
      </c>
      <c r="D148" s="807"/>
      <c r="E148" s="11" t="s">
        <v>14</v>
      </c>
      <c r="F148" s="12">
        <v>732.68</v>
      </c>
      <c r="G148" s="12">
        <v>6.56</v>
      </c>
      <c r="H148" s="12">
        <v>8.3699999999999992</v>
      </c>
      <c r="I148" s="13">
        <f>F148*G148</f>
        <v>4806.380799999999</v>
      </c>
      <c r="J148" s="13">
        <f>F148*H148</f>
        <v>6132.5315999999993</v>
      </c>
    </row>
    <row r="149" spans="1:11" s="1" customFormat="1" ht="25.5" customHeight="1" x14ac:dyDescent="0.2">
      <c r="A149" s="19">
        <v>88497</v>
      </c>
      <c r="B149" s="11" t="s">
        <v>294</v>
      </c>
      <c r="C149" s="806" t="s">
        <v>288</v>
      </c>
      <c r="D149" s="807"/>
      <c r="E149" s="11" t="s">
        <v>14</v>
      </c>
      <c r="F149" s="12">
        <v>732.68</v>
      </c>
      <c r="G149" s="12">
        <v>9.49</v>
      </c>
      <c r="H149" s="12">
        <v>12.1</v>
      </c>
      <c r="I149" s="13">
        <f>F149*G149</f>
        <v>6953.1331999999993</v>
      </c>
      <c r="J149" s="13">
        <f>F149*H149</f>
        <v>8865.4279999999999</v>
      </c>
    </row>
    <row r="150" spans="1:11" s="1" customFormat="1" ht="25.5" customHeight="1" x14ac:dyDescent="0.2">
      <c r="A150" s="8"/>
      <c r="B150" s="9" t="s">
        <v>295</v>
      </c>
      <c r="C150" s="808" t="s">
        <v>296</v>
      </c>
      <c r="D150" s="820"/>
      <c r="E150" s="820"/>
      <c r="F150" s="820"/>
      <c r="G150" s="809"/>
      <c r="H150" s="8"/>
      <c r="I150" s="8"/>
      <c r="J150" s="8"/>
    </row>
    <row r="151" spans="1:11" s="1" customFormat="1" ht="25.5" customHeight="1" x14ac:dyDescent="0.2">
      <c r="A151" s="2" t="s">
        <v>297</v>
      </c>
      <c r="B151" s="21">
        <v>41000</v>
      </c>
      <c r="C151" s="806" t="s">
        <v>298</v>
      </c>
      <c r="D151" s="807"/>
      <c r="E151" s="11" t="s">
        <v>14</v>
      </c>
      <c r="F151" s="12">
        <v>257.60000000000002</v>
      </c>
      <c r="G151" s="12">
        <v>13.87</v>
      </c>
      <c r="H151" s="12">
        <v>17.7</v>
      </c>
      <c r="I151" s="13">
        <f>F151*G151</f>
        <v>3572.9120000000003</v>
      </c>
      <c r="J151" s="13">
        <f>F151*H151</f>
        <v>4559.5200000000004</v>
      </c>
    </row>
    <row r="152" spans="1:11" s="1" customFormat="1" ht="25.5" customHeight="1" x14ac:dyDescent="0.2">
      <c r="A152" s="19">
        <v>40905</v>
      </c>
      <c r="B152" s="21">
        <v>41001</v>
      </c>
      <c r="C152" s="806" t="s">
        <v>299</v>
      </c>
      <c r="D152" s="807"/>
      <c r="E152" s="11" t="s">
        <v>14</v>
      </c>
      <c r="F152" s="12">
        <v>54.8</v>
      </c>
      <c r="G152" s="12">
        <v>16.510000000000002</v>
      </c>
      <c r="H152" s="12">
        <v>21.06</v>
      </c>
      <c r="I152" s="13">
        <f>F152*G152</f>
        <v>904.74800000000005</v>
      </c>
      <c r="J152" s="13">
        <f>F152*H152</f>
        <v>1154.088</v>
      </c>
    </row>
    <row r="153" spans="1:11" s="1" customFormat="1" ht="25.5" customHeight="1" x14ac:dyDescent="0.2">
      <c r="A153" s="2" t="s">
        <v>300</v>
      </c>
      <c r="B153" s="21">
        <v>41002</v>
      </c>
      <c r="C153" s="806" t="s">
        <v>301</v>
      </c>
      <c r="D153" s="807"/>
      <c r="E153" s="11" t="s">
        <v>14</v>
      </c>
      <c r="F153" s="12">
        <v>170.5</v>
      </c>
      <c r="G153" s="12">
        <v>20.6</v>
      </c>
      <c r="H153" s="12">
        <v>26.28</v>
      </c>
      <c r="I153" s="13">
        <f>F153*G153</f>
        <v>3512.3</v>
      </c>
      <c r="J153" s="13">
        <f>F153*H153</f>
        <v>4480.74</v>
      </c>
    </row>
    <row r="154" spans="1:11" s="1" customFormat="1" ht="25.5" customHeight="1" x14ac:dyDescent="0.2">
      <c r="A154" s="8"/>
      <c r="B154" s="803" t="s">
        <v>302</v>
      </c>
      <c r="C154" s="804"/>
      <c r="D154" s="804"/>
      <c r="E154" s="804"/>
      <c r="F154" s="804"/>
      <c r="G154" s="805"/>
      <c r="H154" s="8"/>
      <c r="I154" s="14">
        <f>SUM(I142:I153)</f>
        <v>36788.697800000002</v>
      </c>
      <c r="J154" s="15">
        <f>SUM(J142:J153)-1.02</f>
        <v>46925.947400000005</v>
      </c>
      <c r="K154" s="49"/>
    </row>
    <row r="155" spans="1:11" s="1" customFormat="1" ht="25.5" customHeight="1" x14ac:dyDescent="0.2">
      <c r="A155" s="8"/>
      <c r="B155" s="9" t="s">
        <v>303</v>
      </c>
      <c r="C155" s="808" t="s">
        <v>304</v>
      </c>
      <c r="D155" s="820"/>
      <c r="E155" s="820"/>
      <c r="F155" s="820"/>
      <c r="G155" s="820"/>
      <c r="H155" s="820"/>
      <c r="I155" s="809"/>
      <c r="J155" s="8"/>
    </row>
    <row r="156" spans="1:11" s="1" customFormat="1" ht="25.5" customHeight="1" x14ac:dyDescent="0.2">
      <c r="A156" s="2" t="s">
        <v>305</v>
      </c>
      <c r="B156" s="11" t="s">
        <v>306</v>
      </c>
      <c r="C156" s="806" t="s">
        <v>307</v>
      </c>
      <c r="D156" s="807"/>
      <c r="E156" s="11" t="s">
        <v>14</v>
      </c>
      <c r="F156" s="12">
        <v>43.5</v>
      </c>
      <c r="G156" s="12">
        <v>224.11</v>
      </c>
      <c r="H156" s="12">
        <v>285.94</v>
      </c>
      <c r="I156" s="13">
        <f t="shared" ref="I156:I176" si="10">F156*G156</f>
        <v>9748.7849999999999</v>
      </c>
      <c r="J156" s="13">
        <f t="shared" ref="J156:J176" si="11">F156*H156</f>
        <v>12438.39</v>
      </c>
    </row>
    <row r="157" spans="1:11" s="1" customFormat="1" ht="25.5" customHeight="1" x14ac:dyDescent="0.2">
      <c r="A157" s="22" t="s">
        <v>308</v>
      </c>
      <c r="B157" s="11" t="s">
        <v>309</v>
      </c>
      <c r="C157" s="806" t="s">
        <v>310</v>
      </c>
      <c r="D157" s="807"/>
      <c r="E157" s="11" t="s">
        <v>14</v>
      </c>
      <c r="F157" s="12">
        <v>10.5</v>
      </c>
      <c r="G157" s="12">
        <v>312.5</v>
      </c>
      <c r="H157" s="12">
        <v>398.72</v>
      </c>
      <c r="I157" s="13">
        <f t="shared" si="10"/>
        <v>3281.25</v>
      </c>
      <c r="J157" s="13">
        <f t="shared" si="11"/>
        <v>4186.5600000000004</v>
      </c>
    </row>
    <row r="158" spans="1:11" s="1" customFormat="1" ht="25.5" customHeight="1" x14ac:dyDescent="0.2">
      <c r="A158" s="2" t="s">
        <v>78</v>
      </c>
      <c r="B158" s="11" t="s">
        <v>311</v>
      </c>
      <c r="C158" s="806" t="s">
        <v>312</v>
      </c>
      <c r="D158" s="807"/>
      <c r="E158" s="11" t="s">
        <v>14</v>
      </c>
      <c r="F158" s="12">
        <v>53</v>
      </c>
      <c r="G158" s="12">
        <v>323.14</v>
      </c>
      <c r="H158" s="12">
        <v>412.29</v>
      </c>
      <c r="I158" s="13">
        <f t="shared" si="10"/>
        <v>17126.419999999998</v>
      </c>
      <c r="J158" s="13">
        <f t="shared" si="11"/>
        <v>21851.370000000003</v>
      </c>
    </row>
    <row r="159" spans="1:11" s="1" customFormat="1" ht="25.5" customHeight="1" x14ac:dyDescent="0.2">
      <c r="A159" s="2" t="s">
        <v>305</v>
      </c>
      <c r="B159" s="11" t="s">
        <v>313</v>
      </c>
      <c r="C159" s="806" t="s">
        <v>314</v>
      </c>
      <c r="D159" s="807"/>
      <c r="E159" s="11" t="s">
        <v>14</v>
      </c>
      <c r="F159" s="12">
        <v>35.700000000000003</v>
      </c>
      <c r="G159" s="12">
        <v>224.11</v>
      </c>
      <c r="H159" s="12">
        <v>285.94</v>
      </c>
      <c r="I159" s="13">
        <f t="shared" si="10"/>
        <v>8000.7270000000008</v>
      </c>
      <c r="J159" s="13">
        <f t="shared" si="11"/>
        <v>10208.058000000001</v>
      </c>
    </row>
    <row r="160" spans="1:11" s="1" customFormat="1" ht="25.5" customHeight="1" x14ac:dyDescent="0.2">
      <c r="A160" s="19">
        <v>20231</v>
      </c>
      <c r="B160" s="11" t="s">
        <v>315</v>
      </c>
      <c r="C160" s="806" t="s">
        <v>316</v>
      </c>
      <c r="D160" s="807"/>
      <c r="E160" s="11" t="s">
        <v>81</v>
      </c>
      <c r="F160" s="12">
        <v>65.8</v>
      </c>
      <c r="G160" s="12">
        <v>33.93</v>
      </c>
      <c r="H160" s="12">
        <v>43.29</v>
      </c>
      <c r="I160" s="13">
        <f t="shared" si="10"/>
        <v>2232.5940000000001</v>
      </c>
      <c r="J160" s="13">
        <f t="shared" si="11"/>
        <v>2848.482</v>
      </c>
    </row>
    <row r="161" spans="1:10" s="1" customFormat="1" ht="25.5" customHeight="1" x14ac:dyDescent="0.2">
      <c r="A161" s="19">
        <v>20231</v>
      </c>
      <c r="B161" s="11" t="s">
        <v>317</v>
      </c>
      <c r="C161" s="806" t="s">
        <v>318</v>
      </c>
      <c r="D161" s="807"/>
      <c r="E161" s="11" t="s">
        <v>81</v>
      </c>
      <c r="F161" s="12">
        <v>99.5</v>
      </c>
      <c r="G161" s="12">
        <v>33.93</v>
      </c>
      <c r="H161" s="12">
        <v>43.29</v>
      </c>
      <c r="I161" s="13">
        <f t="shared" si="10"/>
        <v>3376.0349999999999</v>
      </c>
      <c r="J161" s="13">
        <f t="shared" si="11"/>
        <v>4307.3549999999996</v>
      </c>
    </row>
    <row r="162" spans="1:10" s="1" customFormat="1" ht="25.5" customHeight="1" x14ac:dyDescent="0.2">
      <c r="A162" s="19">
        <v>20231</v>
      </c>
      <c r="B162" s="11" t="s">
        <v>319</v>
      </c>
      <c r="C162" s="806" t="s">
        <v>320</v>
      </c>
      <c r="D162" s="807"/>
      <c r="E162" s="11" t="s">
        <v>81</v>
      </c>
      <c r="F162" s="12">
        <v>130.80000000000001</v>
      </c>
      <c r="G162" s="12">
        <v>33.93</v>
      </c>
      <c r="H162" s="12">
        <v>43.29</v>
      </c>
      <c r="I162" s="13">
        <f t="shared" si="10"/>
        <v>4438.0440000000008</v>
      </c>
      <c r="J162" s="13">
        <f t="shared" si="11"/>
        <v>5662.3320000000003</v>
      </c>
    </row>
    <row r="163" spans="1:10" s="1" customFormat="1" ht="25.5" customHeight="1" x14ac:dyDescent="0.2">
      <c r="A163" s="19">
        <v>20231</v>
      </c>
      <c r="B163" s="11" t="s">
        <v>321</v>
      </c>
      <c r="C163" s="806" t="s">
        <v>322</v>
      </c>
      <c r="D163" s="807"/>
      <c r="E163" s="11" t="s">
        <v>81</v>
      </c>
      <c r="F163" s="12">
        <v>90.4</v>
      </c>
      <c r="G163" s="12">
        <v>33.93</v>
      </c>
      <c r="H163" s="12">
        <v>43.29</v>
      </c>
      <c r="I163" s="13">
        <f t="shared" si="10"/>
        <v>3067.2720000000004</v>
      </c>
      <c r="J163" s="13">
        <f t="shared" si="11"/>
        <v>3913.4160000000002</v>
      </c>
    </row>
    <row r="164" spans="1:10" s="1" customFormat="1" ht="25.5" customHeight="1" x14ac:dyDescent="0.2">
      <c r="A164" s="10">
        <v>20231</v>
      </c>
      <c r="B164" s="11" t="s">
        <v>323</v>
      </c>
      <c r="C164" s="806" t="s">
        <v>324</v>
      </c>
      <c r="D164" s="807"/>
      <c r="E164" s="11" t="s">
        <v>81</v>
      </c>
      <c r="F164" s="12">
        <v>19.2</v>
      </c>
      <c r="G164" s="12">
        <v>33.93</v>
      </c>
      <c r="H164" s="12">
        <v>43.29</v>
      </c>
      <c r="I164" s="13">
        <f t="shared" si="10"/>
        <v>651.45600000000002</v>
      </c>
      <c r="J164" s="13">
        <f t="shared" si="11"/>
        <v>831.16800000000001</v>
      </c>
    </row>
    <row r="165" spans="1:10" s="1" customFormat="1" ht="25.5" customHeight="1" x14ac:dyDescent="0.2">
      <c r="A165" s="11" t="s">
        <v>308</v>
      </c>
      <c r="B165" s="11" t="s">
        <v>325</v>
      </c>
      <c r="C165" s="806" t="s">
        <v>326</v>
      </c>
      <c r="D165" s="807"/>
      <c r="E165" s="11" t="s">
        <v>102</v>
      </c>
      <c r="F165" s="12">
        <v>2</v>
      </c>
      <c r="G165" s="12">
        <v>58.84</v>
      </c>
      <c r="H165" s="12">
        <v>75.069999999999993</v>
      </c>
      <c r="I165" s="13">
        <f t="shared" si="10"/>
        <v>117.68</v>
      </c>
      <c r="J165" s="13">
        <f t="shared" si="11"/>
        <v>150.13999999999999</v>
      </c>
    </row>
    <row r="166" spans="1:10" s="1" customFormat="1" ht="25.5" customHeight="1" x14ac:dyDescent="0.2">
      <c r="A166" s="10">
        <v>84862</v>
      </c>
      <c r="B166" s="11" t="s">
        <v>327</v>
      </c>
      <c r="C166" s="806" t="s">
        <v>328</v>
      </c>
      <c r="D166" s="807"/>
      <c r="E166" s="11" t="s">
        <v>81</v>
      </c>
      <c r="F166" s="12">
        <v>10.9</v>
      </c>
      <c r="G166" s="12">
        <v>190.09</v>
      </c>
      <c r="H166" s="12">
        <v>242.53</v>
      </c>
      <c r="I166" s="13">
        <f t="shared" si="10"/>
        <v>2071.9810000000002</v>
      </c>
      <c r="J166" s="13">
        <f t="shared" si="11"/>
        <v>2643.5770000000002</v>
      </c>
    </row>
    <row r="167" spans="1:10" s="1" customFormat="1" ht="25.5" customHeight="1" x14ac:dyDescent="0.2">
      <c r="A167" s="11" t="s">
        <v>329</v>
      </c>
      <c r="B167" s="11" t="s">
        <v>330</v>
      </c>
      <c r="C167" s="806" t="s">
        <v>331</v>
      </c>
      <c r="D167" s="807"/>
      <c r="E167" s="11" t="s">
        <v>81</v>
      </c>
      <c r="F167" s="12">
        <v>11.79</v>
      </c>
      <c r="G167" s="12">
        <v>222.14</v>
      </c>
      <c r="H167" s="12">
        <v>283.43</v>
      </c>
      <c r="I167" s="13">
        <f t="shared" si="10"/>
        <v>2619.0305999999996</v>
      </c>
      <c r="J167" s="13">
        <f t="shared" si="11"/>
        <v>3341.6396999999997</v>
      </c>
    </row>
    <row r="168" spans="1:10" s="1" customFormat="1" ht="25.5" customHeight="1" x14ac:dyDescent="0.2">
      <c r="A168" s="11" t="s">
        <v>78</v>
      </c>
      <c r="B168" s="11" t="s">
        <v>332</v>
      </c>
      <c r="C168" s="806" t="s">
        <v>333</v>
      </c>
      <c r="D168" s="807"/>
      <c r="E168" s="11" t="s">
        <v>102</v>
      </c>
      <c r="F168" s="12">
        <v>1</v>
      </c>
      <c r="G168" s="12">
        <v>474.97</v>
      </c>
      <c r="H168" s="12">
        <v>606.01</v>
      </c>
      <c r="I168" s="13">
        <f t="shared" si="10"/>
        <v>474.97</v>
      </c>
      <c r="J168" s="13">
        <f t="shared" si="11"/>
        <v>606.01</v>
      </c>
    </row>
    <row r="169" spans="1:10" s="1" customFormat="1" ht="25.5" customHeight="1" x14ac:dyDescent="0.2">
      <c r="A169" s="11" t="s">
        <v>308</v>
      </c>
      <c r="B169" s="11" t="s">
        <v>334</v>
      </c>
      <c r="C169" s="806" t="s">
        <v>335</v>
      </c>
      <c r="D169" s="807"/>
      <c r="E169" s="11" t="s">
        <v>336</v>
      </c>
      <c r="F169" s="12">
        <v>2</v>
      </c>
      <c r="G169" s="12">
        <v>891.52</v>
      </c>
      <c r="H169" s="13">
        <v>1137.49</v>
      </c>
      <c r="I169" s="13">
        <f t="shared" si="10"/>
        <v>1783.04</v>
      </c>
      <c r="J169" s="13">
        <f t="shared" si="11"/>
        <v>2274.98</v>
      </c>
    </row>
    <row r="170" spans="1:10" s="1" customFormat="1" ht="25.5" customHeight="1" x14ac:dyDescent="0.2">
      <c r="A170" s="11" t="s">
        <v>308</v>
      </c>
      <c r="B170" s="11" t="s">
        <v>337</v>
      </c>
      <c r="C170" s="806" t="s">
        <v>338</v>
      </c>
      <c r="D170" s="807"/>
      <c r="E170" s="11" t="s">
        <v>102</v>
      </c>
      <c r="F170" s="12">
        <v>8</v>
      </c>
      <c r="G170" s="12">
        <v>179</v>
      </c>
      <c r="H170" s="12">
        <v>228.39</v>
      </c>
      <c r="I170" s="13">
        <f t="shared" si="10"/>
        <v>1432</v>
      </c>
      <c r="J170" s="13">
        <f t="shared" si="11"/>
        <v>1827.12</v>
      </c>
    </row>
    <row r="171" spans="1:10" s="1" customFormat="1" ht="25.5" customHeight="1" x14ac:dyDescent="0.2">
      <c r="A171" s="11" t="s">
        <v>308</v>
      </c>
      <c r="B171" s="11" t="s">
        <v>339</v>
      </c>
      <c r="C171" s="806" t="s">
        <v>340</v>
      </c>
      <c r="D171" s="807"/>
      <c r="E171" s="11" t="s">
        <v>336</v>
      </c>
      <c r="F171" s="12">
        <v>2</v>
      </c>
      <c r="G171" s="12">
        <v>144</v>
      </c>
      <c r="H171" s="12">
        <v>183.73</v>
      </c>
      <c r="I171" s="13">
        <f t="shared" si="10"/>
        <v>288</v>
      </c>
      <c r="J171" s="13">
        <f t="shared" si="11"/>
        <v>367.46</v>
      </c>
    </row>
    <row r="172" spans="1:10" s="1" customFormat="1" ht="25.5" customHeight="1" x14ac:dyDescent="0.2">
      <c r="A172" s="11" t="s">
        <v>78</v>
      </c>
      <c r="B172" s="11" t="s">
        <v>341</v>
      </c>
      <c r="C172" s="806" t="s">
        <v>342</v>
      </c>
      <c r="D172" s="807"/>
      <c r="E172" s="11" t="s">
        <v>81</v>
      </c>
      <c r="F172" s="12">
        <v>2.85</v>
      </c>
      <c r="G172" s="12">
        <v>201.25</v>
      </c>
      <c r="H172" s="12">
        <v>256.77</v>
      </c>
      <c r="I172" s="13">
        <f t="shared" si="10"/>
        <v>573.5625</v>
      </c>
      <c r="J172" s="13">
        <f t="shared" si="11"/>
        <v>731.79449999999997</v>
      </c>
    </row>
    <row r="173" spans="1:10" s="1" customFormat="1" ht="25.5" customHeight="1" x14ac:dyDescent="0.2">
      <c r="A173" s="11" t="s">
        <v>78</v>
      </c>
      <c r="B173" s="11" t="s">
        <v>343</v>
      </c>
      <c r="C173" s="806" t="s">
        <v>344</v>
      </c>
      <c r="D173" s="807"/>
      <c r="E173" s="11" t="s">
        <v>81</v>
      </c>
      <c r="F173" s="12">
        <v>9.1999999999999993</v>
      </c>
      <c r="G173" s="12">
        <v>356.72</v>
      </c>
      <c r="H173" s="12">
        <v>455.13</v>
      </c>
      <c r="I173" s="13">
        <f t="shared" si="10"/>
        <v>3281.8240000000001</v>
      </c>
      <c r="J173" s="13">
        <f t="shared" si="11"/>
        <v>4187.1959999999999</v>
      </c>
    </row>
    <row r="174" spans="1:10" s="1" customFormat="1" ht="25.5" customHeight="1" x14ac:dyDescent="0.2">
      <c r="A174" s="11" t="s">
        <v>345</v>
      </c>
      <c r="B174" s="11" t="s">
        <v>346</v>
      </c>
      <c r="C174" s="806" t="s">
        <v>347</v>
      </c>
      <c r="D174" s="807"/>
      <c r="E174" s="11" t="s">
        <v>102</v>
      </c>
      <c r="F174" s="12">
        <v>3</v>
      </c>
      <c r="G174" s="13">
        <v>2030.45</v>
      </c>
      <c r="H174" s="13">
        <v>2590.64</v>
      </c>
      <c r="I174" s="13">
        <f t="shared" si="10"/>
        <v>6091.35</v>
      </c>
      <c r="J174" s="13">
        <f t="shared" si="11"/>
        <v>7771.92</v>
      </c>
    </row>
    <row r="175" spans="1:10" s="1" customFormat="1" ht="25.5" customHeight="1" x14ac:dyDescent="0.2">
      <c r="A175" s="11" t="s">
        <v>308</v>
      </c>
      <c r="B175" s="11" t="s">
        <v>348</v>
      </c>
      <c r="C175" s="806" t="s">
        <v>349</v>
      </c>
      <c r="D175" s="807"/>
      <c r="E175" s="11" t="s">
        <v>102</v>
      </c>
      <c r="F175" s="12">
        <v>2</v>
      </c>
      <c r="G175" s="12">
        <v>415</v>
      </c>
      <c r="H175" s="12">
        <v>529.5</v>
      </c>
      <c r="I175" s="13">
        <f t="shared" si="10"/>
        <v>830</v>
      </c>
      <c r="J175" s="13">
        <f t="shared" si="11"/>
        <v>1059</v>
      </c>
    </row>
    <row r="176" spans="1:10" s="1" customFormat="1" ht="25.5" customHeight="1" x14ac:dyDescent="0.2">
      <c r="A176" s="11" t="s">
        <v>308</v>
      </c>
      <c r="B176" s="11" t="s">
        <v>350</v>
      </c>
      <c r="C176" s="806" t="s">
        <v>351</v>
      </c>
      <c r="D176" s="807"/>
      <c r="E176" s="11" t="s">
        <v>102</v>
      </c>
      <c r="F176" s="12">
        <v>1</v>
      </c>
      <c r="G176" s="12">
        <v>63.04</v>
      </c>
      <c r="H176" s="12">
        <v>80.430000000000007</v>
      </c>
      <c r="I176" s="13">
        <f t="shared" si="10"/>
        <v>63.04</v>
      </c>
      <c r="J176" s="13">
        <f t="shared" si="11"/>
        <v>80.430000000000007</v>
      </c>
    </row>
    <row r="177" spans="1:11" s="1" customFormat="1" ht="25.5" customHeight="1" x14ac:dyDescent="0.2">
      <c r="A177" s="8"/>
      <c r="B177" s="803" t="s">
        <v>352</v>
      </c>
      <c r="C177" s="804"/>
      <c r="D177" s="804"/>
      <c r="E177" s="804"/>
      <c r="F177" s="804"/>
      <c r="G177" s="805"/>
      <c r="H177" s="8"/>
      <c r="I177" s="14">
        <f>SUM(I156:I176)-0.39</f>
        <v>71548.671099999992</v>
      </c>
      <c r="J177" s="15">
        <f>SUM(J156:J176)+0.54</f>
        <v>91288.93819999999</v>
      </c>
      <c r="K177" s="49"/>
    </row>
    <row r="178" spans="1:11" s="1" customFormat="1" ht="25.5" customHeight="1" x14ac:dyDescent="0.2">
      <c r="A178" s="8"/>
      <c r="B178" s="9" t="s">
        <v>353</v>
      </c>
      <c r="C178" s="808" t="s">
        <v>354</v>
      </c>
      <c r="D178" s="809"/>
      <c r="E178" s="8"/>
      <c r="F178" s="8"/>
      <c r="G178" s="8"/>
      <c r="H178" s="8"/>
      <c r="I178" s="8"/>
      <c r="J178" s="8"/>
    </row>
    <row r="179" spans="1:11" s="1" customFormat="1" ht="25.5" customHeight="1" x14ac:dyDescent="0.2">
      <c r="A179" s="8"/>
      <c r="B179" s="9" t="s">
        <v>355</v>
      </c>
      <c r="C179" s="808" t="s">
        <v>356</v>
      </c>
      <c r="D179" s="809"/>
      <c r="E179" s="8"/>
      <c r="F179" s="8"/>
      <c r="G179" s="8"/>
      <c r="H179" s="8"/>
      <c r="I179" s="8"/>
      <c r="J179" s="8"/>
    </row>
    <row r="180" spans="1:11" s="1" customFormat="1" ht="25.5" customHeight="1" x14ac:dyDescent="0.2">
      <c r="A180" s="8"/>
      <c r="B180" s="23">
        <v>41640</v>
      </c>
      <c r="C180" s="808" t="s">
        <v>357</v>
      </c>
      <c r="D180" s="809"/>
      <c r="E180" s="8"/>
      <c r="F180" s="8"/>
      <c r="G180" s="8"/>
      <c r="H180" s="8"/>
      <c r="I180" s="8"/>
      <c r="J180" s="8"/>
    </row>
    <row r="181" spans="1:11" s="1" customFormat="1" ht="25.5" customHeight="1" x14ac:dyDescent="0.2">
      <c r="A181" s="11" t="s">
        <v>358</v>
      </c>
      <c r="B181" s="11" t="s">
        <v>359</v>
      </c>
      <c r="C181" s="806" t="s">
        <v>360</v>
      </c>
      <c r="D181" s="807"/>
      <c r="E181" s="11" t="s">
        <v>81</v>
      </c>
      <c r="F181" s="12">
        <v>172</v>
      </c>
      <c r="G181" s="12">
        <v>11.27</v>
      </c>
      <c r="H181" s="12">
        <v>14.38</v>
      </c>
      <c r="I181" s="13">
        <f>F181*G181</f>
        <v>1938.4399999999998</v>
      </c>
      <c r="J181" s="13">
        <f>F181*H181</f>
        <v>2473.36</v>
      </c>
    </row>
    <row r="182" spans="1:11" s="1" customFormat="1" ht="25.5" customHeight="1" x14ac:dyDescent="0.2">
      <c r="A182" s="11" t="s">
        <v>361</v>
      </c>
      <c r="B182" s="11" t="s">
        <v>362</v>
      </c>
      <c r="C182" s="806" t="s">
        <v>363</v>
      </c>
      <c r="D182" s="807"/>
      <c r="E182" s="11" t="s">
        <v>81</v>
      </c>
      <c r="F182" s="12">
        <v>169</v>
      </c>
      <c r="G182" s="12">
        <v>11.89</v>
      </c>
      <c r="H182" s="12">
        <v>15.17</v>
      </c>
      <c r="I182" s="13">
        <f>F182*G182</f>
        <v>2009.41</v>
      </c>
      <c r="J182" s="13">
        <f>F182*H182</f>
        <v>2563.73</v>
      </c>
    </row>
    <row r="183" spans="1:11" s="1" customFormat="1" ht="25.5" customHeight="1" x14ac:dyDescent="0.2">
      <c r="A183" s="11" t="s">
        <v>364</v>
      </c>
      <c r="B183" s="11" t="s">
        <v>365</v>
      </c>
      <c r="C183" s="806" t="s">
        <v>366</v>
      </c>
      <c r="D183" s="807"/>
      <c r="E183" s="11" t="s">
        <v>81</v>
      </c>
      <c r="F183" s="12">
        <v>66</v>
      </c>
      <c r="G183" s="12">
        <v>28.56</v>
      </c>
      <c r="H183" s="12">
        <v>36.44</v>
      </c>
      <c r="I183" s="13">
        <f>F183*G183</f>
        <v>1884.9599999999998</v>
      </c>
      <c r="J183" s="13">
        <f>F183*H183</f>
        <v>2405.04</v>
      </c>
    </row>
    <row r="184" spans="1:11" s="1" customFormat="1" ht="25.5" customHeight="1" x14ac:dyDescent="0.2">
      <c r="A184" s="11" t="s">
        <v>367</v>
      </c>
      <c r="B184" s="11" t="s">
        <v>368</v>
      </c>
      <c r="C184" s="806" t="s">
        <v>369</v>
      </c>
      <c r="D184" s="807"/>
      <c r="E184" s="11" t="s">
        <v>81</v>
      </c>
      <c r="F184" s="12">
        <v>39</v>
      </c>
      <c r="G184" s="12">
        <v>35.53</v>
      </c>
      <c r="H184" s="12">
        <v>45.34</v>
      </c>
      <c r="I184" s="13">
        <f>F184*G184</f>
        <v>1385.67</v>
      </c>
      <c r="J184" s="13">
        <f>F184*H184</f>
        <v>1768.2600000000002</v>
      </c>
    </row>
    <row r="185" spans="1:11" s="1" customFormat="1" ht="25.5" customHeight="1" x14ac:dyDescent="0.2">
      <c r="A185" s="11" t="s">
        <v>370</v>
      </c>
      <c r="B185" s="11" t="s">
        <v>371</v>
      </c>
      <c r="C185" s="806" t="s">
        <v>372</v>
      </c>
      <c r="D185" s="807"/>
      <c r="E185" s="11" t="s">
        <v>81</v>
      </c>
      <c r="F185" s="12">
        <v>87</v>
      </c>
      <c r="G185" s="12">
        <v>47.11</v>
      </c>
      <c r="H185" s="12">
        <v>60.1</v>
      </c>
      <c r="I185" s="13">
        <f>F185*G185</f>
        <v>4098.57</v>
      </c>
      <c r="J185" s="13">
        <f>F185*H185</f>
        <v>5228.7</v>
      </c>
    </row>
    <row r="186" spans="1:11" s="1" customFormat="1" ht="25.5" customHeight="1" x14ac:dyDescent="0.2">
      <c r="A186" s="8"/>
      <c r="B186" s="23">
        <v>41641</v>
      </c>
      <c r="C186" s="808" t="s">
        <v>373</v>
      </c>
      <c r="D186" s="809"/>
      <c r="E186" s="8"/>
      <c r="F186" s="8"/>
      <c r="G186" s="8"/>
      <c r="H186" s="8"/>
      <c r="I186" s="8"/>
      <c r="J186" s="8"/>
    </row>
    <row r="187" spans="1:11" s="1" customFormat="1" ht="25.5" customHeight="1" x14ac:dyDescent="0.2">
      <c r="A187" s="10">
        <v>89383</v>
      </c>
      <c r="B187" s="11" t="s">
        <v>374</v>
      </c>
      <c r="C187" s="806" t="s">
        <v>375</v>
      </c>
      <c r="D187" s="807"/>
      <c r="E187" s="11" t="s">
        <v>102</v>
      </c>
      <c r="F187" s="12">
        <v>125</v>
      </c>
      <c r="G187" s="12">
        <v>5.09</v>
      </c>
      <c r="H187" s="12">
        <v>6.49</v>
      </c>
      <c r="I187" s="13">
        <f t="shared" ref="I187:I194" si="12">F187*G187</f>
        <v>636.25</v>
      </c>
      <c r="J187" s="13">
        <f t="shared" ref="J187:J194" si="13">F187*H187</f>
        <v>811.25</v>
      </c>
    </row>
    <row r="188" spans="1:11" s="1" customFormat="1" ht="25.5" customHeight="1" x14ac:dyDescent="0.2">
      <c r="A188" s="10">
        <v>89391</v>
      </c>
      <c r="B188" s="11" t="s">
        <v>376</v>
      </c>
      <c r="C188" s="806" t="s">
        <v>377</v>
      </c>
      <c r="D188" s="807"/>
      <c r="E188" s="11" t="s">
        <v>102</v>
      </c>
      <c r="F188" s="12">
        <v>30</v>
      </c>
      <c r="G188" s="12">
        <v>6.77</v>
      </c>
      <c r="H188" s="12">
        <v>8.64</v>
      </c>
      <c r="I188" s="13">
        <f t="shared" si="12"/>
        <v>203.1</v>
      </c>
      <c r="J188" s="13">
        <f t="shared" si="13"/>
        <v>259.20000000000005</v>
      </c>
    </row>
    <row r="189" spans="1:11" s="1" customFormat="1" ht="25.5" customHeight="1" x14ac:dyDescent="0.2">
      <c r="A189" s="10">
        <v>89595</v>
      </c>
      <c r="B189" s="11" t="s">
        <v>378</v>
      </c>
      <c r="C189" s="806" t="s">
        <v>379</v>
      </c>
      <c r="D189" s="807"/>
      <c r="E189" s="11" t="s">
        <v>102</v>
      </c>
      <c r="F189" s="12">
        <v>30</v>
      </c>
      <c r="G189" s="12">
        <v>10.76</v>
      </c>
      <c r="H189" s="12">
        <v>13.73</v>
      </c>
      <c r="I189" s="13">
        <f t="shared" si="12"/>
        <v>322.8</v>
      </c>
      <c r="J189" s="13">
        <f t="shared" si="13"/>
        <v>411.90000000000003</v>
      </c>
    </row>
    <row r="190" spans="1:11" s="1" customFormat="1" ht="25.5" customHeight="1" x14ac:dyDescent="0.2">
      <c r="A190" s="10">
        <v>94668</v>
      </c>
      <c r="B190" s="11" t="s">
        <v>380</v>
      </c>
      <c r="C190" s="806" t="s">
        <v>381</v>
      </c>
      <c r="D190" s="807"/>
      <c r="E190" s="11" t="s">
        <v>102</v>
      </c>
      <c r="F190" s="12">
        <v>11</v>
      </c>
      <c r="G190" s="12">
        <v>42.01</v>
      </c>
      <c r="H190" s="12">
        <v>53.6</v>
      </c>
      <c r="I190" s="13">
        <f t="shared" si="12"/>
        <v>462.10999999999996</v>
      </c>
      <c r="J190" s="13">
        <f t="shared" si="13"/>
        <v>589.6</v>
      </c>
    </row>
    <row r="191" spans="1:11" s="1" customFormat="1" ht="25.5" customHeight="1" x14ac:dyDescent="0.2">
      <c r="A191" s="10">
        <v>94708</v>
      </c>
      <c r="B191" s="11" t="s">
        <v>382</v>
      </c>
      <c r="C191" s="806" t="s">
        <v>383</v>
      </c>
      <c r="D191" s="807"/>
      <c r="E191" s="11" t="s">
        <v>102</v>
      </c>
      <c r="F191" s="12">
        <v>1</v>
      </c>
      <c r="G191" s="12">
        <v>19.79</v>
      </c>
      <c r="H191" s="12">
        <v>25.25</v>
      </c>
      <c r="I191" s="13">
        <f t="shared" si="12"/>
        <v>19.79</v>
      </c>
      <c r="J191" s="13">
        <f t="shared" si="13"/>
        <v>25.25</v>
      </c>
    </row>
    <row r="192" spans="1:11" s="1" customFormat="1" ht="25.5" customHeight="1" x14ac:dyDescent="0.2">
      <c r="A192" s="10">
        <v>94709</v>
      </c>
      <c r="B192" s="11" t="s">
        <v>384</v>
      </c>
      <c r="C192" s="806" t="s">
        <v>385</v>
      </c>
      <c r="D192" s="807"/>
      <c r="E192" s="11" t="s">
        <v>102</v>
      </c>
      <c r="F192" s="12">
        <v>1</v>
      </c>
      <c r="G192" s="12">
        <v>23.32</v>
      </c>
      <c r="H192" s="12">
        <v>29.75</v>
      </c>
      <c r="I192" s="13">
        <f t="shared" si="12"/>
        <v>23.32</v>
      </c>
      <c r="J192" s="13">
        <f t="shared" si="13"/>
        <v>29.75</v>
      </c>
    </row>
    <row r="193" spans="1:10" s="1" customFormat="1" ht="25.5" customHeight="1" x14ac:dyDescent="0.2">
      <c r="A193" s="10">
        <v>94711</v>
      </c>
      <c r="B193" s="11" t="s">
        <v>386</v>
      </c>
      <c r="C193" s="806" t="s">
        <v>387</v>
      </c>
      <c r="D193" s="807"/>
      <c r="E193" s="11" t="s">
        <v>102</v>
      </c>
      <c r="F193" s="12">
        <v>5</v>
      </c>
      <c r="G193" s="12">
        <v>40.08</v>
      </c>
      <c r="H193" s="12">
        <v>51.14</v>
      </c>
      <c r="I193" s="13">
        <f t="shared" si="12"/>
        <v>200.39999999999998</v>
      </c>
      <c r="J193" s="13">
        <f t="shared" si="13"/>
        <v>255.7</v>
      </c>
    </row>
    <row r="194" spans="1:10" s="1" customFormat="1" ht="25.5" customHeight="1" x14ac:dyDescent="0.2">
      <c r="A194" s="10">
        <v>94714</v>
      </c>
      <c r="B194" s="11" t="s">
        <v>388</v>
      </c>
      <c r="C194" s="806" t="s">
        <v>389</v>
      </c>
      <c r="D194" s="807"/>
      <c r="E194" s="11" t="s">
        <v>102</v>
      </c>
      <c r="F194" s="12">
        <v>1</v>
      </c>
      <c r="G194" s="12">
        <v>199.75</v>
      </c>
      <c r="H194" s="12">
        <v>254.86</v>
      </c>
      <c r="I194" s="13">
        <f t="shared" si="12"/>
        <v>199.75</v>
      </c>
      <c r="J194" s="13">
        <f t="shared" si="13"/>
        <v>254.86</v>
      </c>
    </row>
    <row r="195" spans="1:10" s="1" customFormat="1" ht="25.5" customHeight="1" x14ac:dyDescent="0.2">
      <c r="A195" s="8"/>
      <c r="B195" s="23">
        <v>41642</v>
      </c>
      <c r="C195" s="808" t="s">
        <v>390</v>
      </c>
      <c r="D195" s="809"/>
      <c r="E195" s="8"/>
      <c r="F195" s="8"/>
      <c r="G195" s="8"/>
      <c r="H195" s="8"/>
      <c r="I195" s="8"/>
      <c r="J195" s="8"/>
    </row>
    <row r="196" spans="1:10" s="1" customFormat="1" ht="25.5" customHeight="1" x14ac:dyDescent="0.2">
      <c r="A196" s="11" t="s">
        <v>391</v>
      </c>
      <c r="B196" s="11" t="s">
        <v>392</v>
      </c>
      <c r="C196" s="806" t="s">
        <v>393</v>
      </c>
      <c r="D196" s="807"/>
      <c r="E196" s="11" t="s">
        <v>102</v>
      </c>
      <c r="F196" s="12">
        <v>13</v>
      </c>
      <c r="G196" s="12">
        <v>3.37</v>
      </c>
      <c r="H196" s="12">
        <v>4.29</v>
      </c>
      <c r="I196" s="13">
        <f t="shared" ref="I196:I202" si="14">F196*G196</f>
        <v>43.81</v>
      </c>
      <c r="J196" s="13">
        <f t="shared" ref="J196:J202" si="15">F196*H196</f>
        <v>55.77</v>
      </c>
    </row>
    <row r="197" spans="1:10" s="1" customFormat="1" ht="25.5" customHeight="1" x14ac:dyDescent="0.2">
      <c r="A197" s="11" t="s">
        <v>394</v>
      </c>
      <c r="B197" s="11" t="s">
        <v>395</v>
      </c>
      <c r="C197" s="806" t="s">
        <v>396</v>
      </c>
      <c r="D197" s="807"/>
      <c r="E197" s="11" t="s">
        <v>102</v>
      </c>
      <c r="F197" s="12">
        <v>4</v>
      </c>
      <c r="G197" s="12">
        <v>10.220000000000001</v>
      </c>
      <c r="H197" s="12">
        <v>13.03</v>
      </c>
      <c r="I197" s="13">
        <f t="shared" si="14"/>
        <v>40.880000000000003</v>
      </c>
      <c r="J197" s="13">
        <f t="shared" si="15"/>
        <v>52.12</v>
      </c>
    </row>
    <row r="198" spans="1:10" s="1" customFormat="1" ht="25.5" customHeight="1" x14ac:dyDescent="0.2">
      <c r="A198" s="11" t="s">
        <v>397</v>
      </c>
      <c r="B198" s="11" t="s">
        <v>398</v>
      </c>
      <c r="C198" s="806" t="s">
        <v>399</v>
      </c>
      <c r="D198" s="807"/>
      <c r="E198" s="11" t="s">
        <v>102</v>
      </c>
      <c r="F198" s="12">
        <v>2</v>
      </c>
      <c r="G198" s="12">
        <v>10.91</v>
      </c>
      <c r="H198" s="12">
        <v>13.92</v>
      </c>
      <c r="I198" s="13">
        <f t="shared" si="14"/>
        <v>21.82</v>
      </c>
      <c r="J198" s="13">
        <f t="shared" si="15"/>
        <v>27.84</v>
      </c>
    </row>
    <row r="199" spans="1:10" s="1" customFormat="1" ht="25.5" customHeight="1" x14ac:dyDescent="0.2">
      <c r="A199" s="11" t="s">
        <v>400</v>
      </c>
      <c r="B199" s="11" t="s">
        <v>401</v>
      </c>
      <c r="C199" s="806" t="s">
        <v>402</v>
      </c>
      <c r="D199" s="807"/>
      <c r="E199" s="11" t="s">
        <v>102</v>
      </c>
      <c r="F199" s="12">
        <v>5</v>
      </c>
      <c r="G199" s="12">
        <v>13.18</v>
      </c>
      <c r="H199" s="12">
        <v>16.809999999999999</v>
      </c>
      <c r="I199" s="13">
        <f t="shared" si="14"/>
        <v>65.900000000000006</v>
      </c>
      <c r="J199" s="13">
        <f t="shared" si="15"/>
        <v>84.05</v>
      </c>
    </row>
    <row r="200" spans="1:10" s="1" customFormat="1" ht="25.5" customHeight="1" x14ac:dyDescent="0.2">
      <c r="A200" s="11" t="s">
        <v>403</v>
      </c>
      <c r="B200" s="11" t="s">
        <v>404</v>
      </c>
      <c r="C200" s="806" t="s">
        <v>405</v>
      </c>
      <c r="D200" s="807"/>
      <c r="E200" s="11" t="s">
        <v>102</v>
      </c>
      <c r="F200" s="12">
        <v>11</v>
      </c>
      <c r="G200" s="12">
        <v>12.73</v>
      </c>
      <c r="H200" s="12">
        <v>16.239999999999998</v>
      </c>
      <c r="I200" s="13">
        <f t="shared" si="14"/>
        <v>140.03</v>
      </c>
      <c r="J200" s="13">
        <f t="shared" si="15"/>
        <v>178.64</v>
      </c>
    </row>
    <row r="201" spans="1:10" s="1" customFormat="1" ht="25.5" customHeight="1" x14ac:dyDescent="0.2">
      <c r="A201" s="11" t="s">
        <v>406</v>
      </c>
      <c r="B201" s="11" t="s">
        <v>407</v>
      </c>
      <c r="C201" s="806" t="s">
        <v>408</v>
      </c>
      <c r="D201" s="807"/>
      <c r="E201" s="11" t="s">
        <v>102</v>
      </c>
      <c r="F201" s="12">
        <v>12</v>
      </c>
      <c r="G201" s="12">
        <v>8.5299999999999994</v>
      </c>
      <c r="H201" s="12">
        <v>10.89</v>
      </c>
      <c r="I201" s="13">
        <f t="shared" si="14"/>
        <v>102.35999999999999</v>
      </c>
      <c r="J201" s="13">
        <f t="shared" si="15"/>
        <v>130.68</v>
      </c>
    </row>
    <row r="202" spans="1:10" s="1" customFormat="1" ht="25.5" customHeight="1" x14ac:dyDescent="0.2">
      <c r="A202" s="11" t="s">
        <v>409</v>
      </c>
      <c r="B202" s="11" t="s">
        <v>410</v>
      </c>
      <c r="C202" s="806" t="s">
        <v>411</v>
      </c>
      <c r="D202" s="807"/>
      <c r="E202" s="11" t="s">
        <v>102</v>
      </c>
      <c r="F202" s="12">
        <v>6</v>
      </c>
      <c r="G202" s="12">
        <v>22.59</v>
      </c>
      <c r="H202" s="12">
        <v>28.82</v>
      </c>
      <c r="I202" s="13">
        <f t="shared" si="14"/>
        <v>135.54</v>
      </c>
      <c r="J202" s="13">
        <f t="shared" si="15"/>
        <v>172.92000000000002</v>
      </c>
    </row>
    <row r="203" spans="1:10" s="1" customFormat="1" ht="25.5" customHeight="1" x14ac:dyDescent="0.2">
      <c r="A203" s="8"/>
      <c r="B203" s="23">
        <v>41643</v>
      </c>
      <c r="C203" s="808" t="s">
        <v>412</v>
      </c>
      <c r="D203" s="809"/>
      <c r="E203" s="8"/>
      <c r="F203" s="8"/>
      <c r="G203" s="8"/>
      <c r="H203" s="8"/>
      <c r="I203" s="8"/>
      <c r="J203" s="8"/>
    </row>
    <row r="204" spans="1:10" s="1" customFormat="1" ht="25.5" customHeight="1" x14ac:dyDescent="0.2">
      <c r="A204" s="10">
        <v>89408</v>
      </c>
      <c r="B204" s="11" t="s">
        <v>413</v>
      </c>
      <c r="C204" s="806" t="s">
        <v>414</v>
      </c>
      <c r="D204" s="807"/>
      <c r="E204" s="11" t="s">
        <v>102</v>
      </c>
      <c r="F204" s="12">
        <v>91</v>
      </c>
      <c r="G204" s="12">
        <v>4.09</v>
      </c>
      <c r="H204" s="12">
        <v>5.21</v>
      </c>
      <c r="I204" s="13">
        <f t="shared" ref="I204:I214" si="16">F204*G204</f>
        <v>372.19</v>
      </c>
      <c r="J204" s="13">
        <f t="shared" ref="J204:J214" si="17">F204*H204</f>
        <v>474.11</v>
      </c>
    </row>
    <row r="205" spans="1:10" s="1" customFormat="1" ht="25.5" customHeight="1" x14ac:dyDescent="0.2">
      <c r="A205" s="10">
        <v>89413</v>
      </c>
      <c r="B205" s="11" t="s">
        <v>415</v>
      </c>
      <c r="C205" s="806" t="s">
        <v>416</v>
      </c>
      <c r="D205" s="807"/>
      <c r="E205" s="11" t="s">
        <v>102</v>
      </c>
      <c r="F205" s="12">
        <v>28</v>
      </c>
      <c r="G205" s="12">
        <v>5.71</v>
      </c>
      <c r="H205" s="12">
        <v>7.28</v>
      </c>
      <c r="I205" s="13">
        <f t="shared" si="16"/>
        <v>159.88</v>
      </c>
      <c r="J205" s="13">
        <f t="shared" si="17"/>
        <v>203.84</v>
      </c>
    </row>
    <row r="206" spans="1:10" s="1" customFormat="1" ht="25.5" customHeight="1" x14ac:dyDescent="0.2">
      <c r="A206" s="10">
        <v>89501</v>
      </c>
      <c r="B206" s="11" t="s">
        <v>417</v>
      </c>
      <c r="C206" s="806" t="s">
        <v>418</v>
      </c>
      <c r="D206" s="807"/>
      <c r="E206" s="11" t="s">
        <v>102</v>
      </c>
      <c r="F206" s="12">
        <v>20</v>
      </c>
      <c r="G206" s="12">
        <v>8.99</v>
      </c>
      <c r="H206" s="12">
        <v>11.47</v>
      </c>
      <c r="I206" s="13">
        <f t="shared" si="16"/>
        <v>179.8</v>
      </c>
      <c r="J206" s="13">
        <f t="shared" si="17"/>
        <v>229.4</v>
      </c>
    </row>
    <row r="207" spans="1:10" s="1" customFormat="1" ht="25.5" customHeight="1" x14ac:dyDescent="0.2">
      <c r="A207" s="10">
        <v>89505</v>
      </c>
      <c r="B207" s="11" t="s">
        <v>419</v>
      </c>
      <c r="C207" s="806" t="s">
        <v>420</v>
      </c>
      <c r="D207" s="807"/>
      <c r="E207" s="11" t="s">
        <v>102</v>
      </c>
      <c r="F207" s="12">
        <v>10</v>
      </c>
      <c r="G207" s="12">
        <v>23.78</v>
      </c>
      <c r="H207" s="12">
        <v>30.34</v>
      </c>
      <c r="I207" s="13">
        <f t="shared" si="16"/>
        <v>237.8</v>
      </c>
      <c r="J207" s="13">
        <f t="shared" si="17"/>
        <v>303.39999999999998</v>
      </c>
    </row>
    <row r="208" spans="1:10" s="1" customFormat="1" ht="25.5" customHeight="1" x14ac:dyDescent="0.2">
      <c r="A208" s="10">
        <v>89521</v>
      </c>
      <c r="B208" s="11" t="s">
        <v>421</v>
      </c>
      <c r="C208" s="806" t="s">
        <v>422</v>
      </c>
      <c r="D208" s="807"/>
      <c r="E208" s="11" t="s">
        <v>102</v>
      </c>
      <c r="F208" s="12">
        <v>4</v>
      </c>
      <c r="G208" s="12">
        <v>72.209999999999994</v>
      </c>
      <c r="H208" s="12">
        <v>92.13</v>
      </c>
      <c r="I208" s="13">
        <f t="shared" si="16"/>
        <v>288.83999999999997</v>
      </c>
      <c r="J208" s="13">
        <f t="shared" si="17"/>
        <v>368.52</v>
      </c>
    </row>
    <row r="209" spans="1:10" s="1" customFormat="1" ht="25.5" customHeight="1" x14ac:dyDescent="0.2">
      <c r="A209" s="10">
        <v>89409</v>
      </c>
      <c r="B209" s="11" t="s">
        <v>423</v>
      </c>
      <c r="C209" s="806" t="s">
        <v>424</v>
      </c>
      <c r="D209" s="807"/>
      <c r="E209" s="11" t="s">
        <v>102</v>
      </c>
      <c r="F209" s="12">
        <v>5</v>
      </c>
      <c r="G209" s="12">
        <v>4.51</v>
      </c>
      <c r="H209" s="12">
        <v>5.75</v>
      </c>
      <c r="I209" s="13">
        <f t="shared" si="16"/>
        <v>22.549999999999997</v>
      </c>
      <c r="J209" s="13">
        <f t="shared" si="17"/>
        <v>28.75</v>
      </c>
    </row>
    <row r="210" spans="1:10" s="1" customFormat="1" ht="25.5" customHeight="1" x14ac:dyDescent="0.2">
      <c r="A210" s="10">
        <v>89414</v>
      </c>
      <c r="B210" s="11" t="s">
        <v>425</v>
      </c>
      <c r="C210" s="806" t="s">
        <v>426</v>
      </c>
      <c r="D210" s="807"/>
      <c r="E210" s="11" t="s">
        <v>102</v>
      </c>
      <c r="F210" s="12">
        <v>3</v>
      </c>
      <c r="G210" s="12">
        <v>6.88</v>
      </c>
      <c r="H210" s="12">
        <v>8.77</v>
      </c>
      <c r="I210" s="13">
        <f t="shared" si="16"/>
        <v>20.64</v>
      </c>
      <c r="J210" s="13">
        <f t="shared" si="17"/>
        <v>26.31</v>
      </c>
    </row>
    <row r="211" spans="1:10" s="1" customFormat="1" ht="25.5" customHeight="1" x14ac:dyDescent="0.2">
      <c r="A211" s="10">
        <v>89502</v>
      </c>
      <c r="B211" s="11" t="s">
        <v>427</v>
      </c>
      <c r="C211" s="806" t="s">
        <v>428</v>
      </c>
      <c r="D211" s="807"/>
      <c r="E211" s="11" t="s">
        <v>102</v>
      </c>
      <c r="F211" s="12">
        <v>2</v>
      </c>
      <c r="G211" s="12">
        <v>9.86</v>
      </c>
      <c r="H211" s="12">
        <v>12.57</v>
      </c>
      <c r="I211" s="13">
        <f t="shared" si="16"/>
        <v>19.72</v>
      </c>
      <c r="J211" s="13">
        <f t="shared" si="17"/>
        <v>25.14</v>
      </c>
    </row>
    <row r="212" spans="1:10" s="1" customFormat="1" ht="25.5" customHeight="1" x14ac:dyDescent="0.2">
      <c r="A212" s="10">
        <v>89366</v>
      </c>
      <c r="B212" s="11" t="s">
        <v>429</v>
      </c>
      <c r="C212" s="806" t="s">
        <v>430</v>
      </c>
      <c r="D212" s="807"/>
      <c r="E212" s="11" t="s">
        <v>102</v>
      </c>
      <c r="F212" s="12">
        <v>12</v>
      </c>
      <c r="G212" s="12">
        <v>10.4</v>
      </c>
      <c r="H212" s="12">
        <v>13.26</v>
      </c>
      <c r="I212" s="13">
        <f t="shared" si="16"/>
        <v>124.80000000000001</v>
      </c>
      <c r="J212" s="13">
        <f t="shared" si="17"/>
        <v>159.12</v>
      </c>
    </row>
    <row r="213" spans="1:10" s="1" customFormat="1" ht="25.5" customHeight="1" x14ac:dyDescent="0.2">
      <c r="A213" s="10">
        <v>90373</v>
      </c>
      <c r="B213" s="11" t="s">
        <v>431</v>
      </c>
      <c r="C213" s="806" t="s">
        <v>432</v>
      </c>
      <c r="D213" s="807"/>
      <c r="E213" s="11" t="s">
        <v>102</v>
      </c>
      <c r="F213" s="12">
        <v>64</v>
      </c>
      <c r="G213" s="12">
        <v>9.6</v>
      </c>
      <c r="H213" s="12">
        <v>12.25</v>
      </c>
      <c r="I213" s="13">
        <f t="shared" si="16"/>
        <v>614.4</v>
      </c>
      <c r="J213" s="13">
        <f t="shared" si="17"/>
        <v>784</v>
      </c>
    </row>
    <row r="214" spans="1:10" s="1" customFormat="1" ht="25.5" customHeight="1" x14ac:dyDescent="0.2">
      <c r="A214" s="11" t="s">
        <v>433</v>
      </c>
      <c r="B214" s="11" t="s">
        <v>434</v>
      </c>
      <c r="C214" s="806" t="s">
        <v>435</v>
      </c>
      <c r="D214" s="807"/>
      <c r="E214" s="11" t="s">
        <v>102</v>
      </c>
      <c r="F214" s="12">
        <v>13</v>
      </c>
      <c r="G214" s="12">
        <v>7.38</v>
      </c>
      <c r="H214" s="12">
        <v>9.42</v>
      </c>
      <c r="I214" s="13">
        <f t="shared" si="16"/>
        <v>95.94</v>
      </c>
      <c r="J214" s="13">
        <f t="shared" si="17"/>
        <v>122.46</v>
      </c>
    </row>
    <row r="215" spans="1:10" s="1" customFormat="1" ht="25.5" customHeight="1" x14ac:dyDescent="0.2">
      <c r="A215" s="8"/>
      <c r="B215" s="23">
        <v>41644</v>
      </c>
      <c r="C215" s="808" t="s">
        <v>436</v>
      </c>
      <c r="D215" s="809"/>
      <c r="E215" s="8"/>
      <c r="F215" s="8"/>
      <c r="G215" s="8"/>
      <c r="H215" s="8"/>
      <c r="I215" s="8"/>
      <c r="J215" s="8"/>
    </row>
    <row r="216" spans="1:10" s="1" customFormat="1" ht="25.5" customHeight="1" x14ac:dyDescent="0.2">
      <c r="A216" s="10">
        <v>89424</v>
      </c>
      <c r="B216" s="11" t="s">
        <v>437</v>
      </c>
      <c r="C216" s="806" t="s">
        <v>438</v>
      </c>
      <c r="D216" s="807"/>
      <c r="E216" s="11" t="s">
        <v>102</v>
      </c>
      <c r="F216" s="12">
        <v>12</v>
      </c>
      <c r="G216" s="12">
        <v>3.06</v>
      </c>
      <c r="H216" s="12">
        <v>3.9</v>
      </c>
      <c r="I216" s="13">
        <f t="shared" ref="I216:I221" si="18">F216*G216</f>
        <v>36.72</v>
      </c>
      <c r="J216" s="13">
        <f t="shared" ref="J216:J221" si="19">F216*H216</f>
        <v>46.8</v>
      </c>
    </row>
    <row r="217" spans="1:10" s="1" customFormat="1" ht="25.5" customHeight="1" x14ac:dyDescent="0.2">
      <c r="A217" s="10">
        <v>89431</v>
      </c>
      <c r="B217" s="11" t="s">
        <v>439</v>
      </c>
      <c r="C217" s="806" t="s">
        <v>440</v>
      </c>
      <c r="D217" s="807"/>
      <c r="E217" s="11" t="s">
        <v>102</v>
      </c>
      <c r="F217" s="12">
        <v>12</v>
      </c>
      <c r="G217" s="12">
        <v>4.18</v>
      </c>
      <c r="H217" s="12">
        <v>5.33</v>
      </c>
      <c r="I217" s="13">
        <f t="shared" si="18"/>
        <v>50.16</v>
      </c>
      <c r="J217" s="13">
        <f t="shared" si="19"/>
        <v>63.96</v>
      </c>
    </row>
    <row r="218" spans="1:10" s="1" customFormat="1" ht="25.5" customHeight="1" x14ac:dyDescent="0.2">
      <c r="A218" s="10">
        <v>89575</v>
      </c>
      <c r="B218" s="11" t="s">
        <v>441</v>
      </c>
      <c r="C218" s="806" t="s">
        <v>442</v>
      </c>
      <c r="D218" s="807"/>
      <c r="E218" s="11" t="s">
        <v>102</v>
      </c>
      <c r="F218" s="12">
        <v>7</v>
      </c>
      <c r="G218" s="12">
        <v>6.7</v>
      </c>
      <c r="H218" s="12">
        <v>8.5399999999999991</v>
      </c>
      <c r="I218" s="13">
        <f t="shared" si="18"/>
        <v>46.9</v>
      </c>
      <c r="J218" s="13">
        <f t="shared" si="19"/>
        <v>59.779999999999994</v>
      </c>
    </row>
    <row r="219" spans="1:10" s="1" customFormat="1" ht="25.5" customHeight="1" x14ac:dyDescent="0.2">
      <c r="A219" s="10">
        <v>89597</v>
      </c>
      <c r="B219" s="11" t="s">
        <v>443</v>
      </c>
      <c r="C219" s="806" t="s">
        <v>444</v>
      </c>
      <c r="D219" s="807"/>
      <c r="E219" s="11" t="s">
        <v>102</v>
      </c>
      <c r="F219" s="12">
        <v>3</v>
      </c>
      <c r="G219" s="12">
        <v>12.3</v>
      </c>
      <c r="H219" s="12">
        <v>15.7</v>
      </c>
      <c r="I219" s="13">
        <f t="shared" si="18"/>
        <v>36.900000000000006</v>
      </c>
      <c r="J219" s="13">
        <f t="shared" si="19"/>
        <v>47.099999999999994</v>
      </c>
    </row>
    <row r="220" spans="1:10" s="1" customFormat="1" ht="25.5" customHeight="1" x14ac:dyDescent="0.2">
      <c r="A220" s="10">
        <v>89614</v>
      </c>
      <c r="B220" s="11" t="s">
        <v>445</v>
      </c>
      <c r="C220" s="806" t="s">
        <v>446</v>
      </c>
      <c r="D220" s="807"/>
      <c r="E220" s="11" t="s">
        <v>102</v>
      </c>
      <c r="F220" s="12">
        <v>7</v>
      </c>
      <c r="G220" s="12">
        <v>33.06</v>
      </c>
      <c r="H220" s="12">
        <v>42.18</v>
      </c>
      <c r="I220" s="13">
        <f t="shared" si="18"/>
        <v>231.42000000000002</v>
      </c>
      <c r="J220" s="13">
        <f t="shared" si="19"/>
        <v>295.26</v>
      </c>
    </row>
    <row r="221" spans="1:10" s="1" customFormat="1" ht="25.5" customHeight="1" x14ac:dyDescent="0.2">
      <c r="A221" s="11" t="s">
        <v>447</v>
      </c>
      <c r="B221" s="11" t="s">
        <v>448</v>
      </c>
      <c r="C221" s="806" t="s">
        <v>449</v>
      </c>
      <c r="D221" s="807"/>
      <c r="E221" s="11" t="s">
        <v>102</v>
      </c>
      <c r="F221" s="12">
        <v>8</v>
      </c>
      <c r="G221" s="12">
        <v>4.53</v>
      </c>
      <c r="H221" s="12">
        <v>5.78</v>
      </c>
      <c r="I221" s="13">
        <f t="shared" si="18"/>
        <v>36.24</v>
      </c>
      <c r="J221" s="13">
        <f t="shared" si="19"/>
        <v>46.24</v>
      </c>
    </row>
    <row r="222" spans="1:10" s="1" customFormat="1" ht="25.5" customHeight="1" x14ac:dyDescent="0.2">
      <c r="A222" s="8"/>
      <c r="B222" s="23">
        <v>41645</v>
      </c>
      <c r="C222" s="808" t="s">
        <v>450</v>
      </c>
      <c r="D222" s="809"/>
      <c r="E222" s="8"/>
      <c r="F222" s="8"/>
      <c r="G222" s="8"/>
      <c r="H222" s="8"/>
      <c r="I222" s="8"/>
      <c r="J222" s="8"/>
    </row>
    <row r="223" spans="1:10" s="1" customFormat="1" ht="25.5" customHeight="1" x14ac:dyDescent="0.2">
      <c r="A223" s="10">
        <v>89440</v>
      </c>
      <c r="B223" s="11" t="s">
        <v>451</v>
      </c>
      <c r="C223" s="806" t="s">
        <v>452</v>
      </c>
      <c r="D223" s="807"/>
      <c r="E223" s="11" t="s">
        <v>102</v>
      </c>
      <c r="F223" s="12">
        <v>17</v>
      </c>
      <c r="G223" s="12">
        <v>5.76</v>
      </c>
      <c r="H223" s="12">
        <v>7.35</v>
      </c>
      <c r="I223" s="13">
        <f t="shared" ref="I223:I233" si="20">F223*G223</f>
        <v>97.92</v>
      </c>
      <c r="J223" s="13">
        <f t="shared" ref="J223:J233" si="21">F223*H223</f>
        <v>124.94999999999999</v>
      </c>
    </row>
    <row r="224" spans="1:10" s="1" customFormat="1" ht="25.5" customHeight="1" x14ac:dyDescent="0.2">
      <c r="A224" s="10">
        <v>89443</v>
      </c>
      <c r="B224" s="11" t="s">
        <v>453</v>
      </c>
      <c r="C224" s="806" t="s">
        <v>454</v>
      </c>
      <c r="D224" s="807"/>
      <c r="E224" s="11" t="s">
        <v>102</v>
      </c>
      <c r="F224" s="12">
        <v>13</v>
      </c>
      <c r="G224" s="12">
        <v>8.1999999999999993</v>
      </c>
      <c r="H224" s="12">
        <v>10.46</v>
      </c>
      <c r="I224" s="13">
        <f t="shared" si="20"/>
        <v>106.6</v>
      </c>
      <c r="J224" s="13">
        <f t="shared" si="21"/>
        <v>135.98000000000002</v>
      </c>
    </row>
    <row r="225" spans="1:10" s="1" customFormat="1" ht="25.5" customHeight="1" x14ac:dyDescent="0.2">
      <c r="A225" s="10">
        <v>89625</v>
      </c>
      <c r="B225" s="11" t="s">
        <v>455</v>
      </c>
      <c r="C225" s="806" t="s">
        <v>456</v>
      </c>
      <c r="D225" s="807"/>
      <c r="E225" s="11" t="s">
        <v>102</v>
      </c>
      <c r="F225" s="12">
        <v>17</v>
      </c>
      <c r="G225" s="12">
        <v>13.75</v>
      </c>
      <c r="H225" s="12">
        <v>17.55</v>
      </c>
      <c r="I225" s="13">
        <f t="shared" si="20"/>
        <v>233.75</v>
      </c>
      <c r="J225" s="13">
        <f t="shared" si="21"/>
        <v>298.35000000000002</v>
      </c>
    </row>
    <row r="226" spans="1:10" s="1" customFormat="1" ht="25.5" customHeight="1" x14ac:dyDescent="0.2">
      <c r="A226" s="10">
        <v>89628</v>
      </c>
      <c r="B226" s="11" t="s">
        <v>457</v>
      </c>
      <c r="C226" s="806" t="s">
        <v>458</v>
      </c>
      <c r="D226" s="807"/>
      <c r="E226" s="11" t="s">
        <v>102</v>
      </c>
      <c r="F226" s="12">
        <v>8</v>
      </c>
      <c r="G226" s="12">
        <v>27.72</v>
      </c>
      <c r="H226" s="12">
        <v>35.369999999999997</v>
      </c>
      <c r="I226" s="13">
        <f t="shared" si="20"/>
        <v>221.76</v>
      </c>
      <c r="J226" s="13">
        <f t="shared" si="21"/>
        <v>282.95999999999998</v>
      </c>
    </row>
    <row r="227" spans="1:10" s="1" customFormat="1" ht="25.5" customHeight="1" x14ac:dyDescent="0.2">
      <c r="A227" s="10">
        <v>89631</v>
      </c>
      <c r="B227" s="11" t="s">
        <v>459</v>
      </c>
      <c r="C227" s="806" t="s">
        <v>460</v>
      </c>
      <c r="D227" s="807"/>
      <c r="E227" s="11" t="s">
        <v>102</v>
      </c>
      <c r="F227" s="12">
        <v>6</v>
      </c>
      <c r="G227" s="12">
        <v>71.03</v>
      </c>
      <c r="H227" s="12">
        <v>90.62</v>
      </c>
      <c r="I227" s="13">
        <f t="shared" si="20"/>
        <v>426.18</v>
      </c>
      <c r="J227" s="13">
        <f t="shared" si="21"/>
        <v>543.72</v>
      </c>
    </row>
    <row r="228" spans="1:10" s="1" customFormat="1" ht="25.5" customHeight="1" x14ac:dyDescent="0.2">
      <c r="A228" s="11" t="s">
        <v>78</v>
      </c>
      <c r="B228" s="11" t="s">
        <v>461</v>
      </c>
      <c r="C228" s="806" t="s">
        <v>462</v>
      </c>
      <c r="D228" s="807"/>
      <c r="E228" s="11" t="s">
        <v>102</v>
      </c>
      <c r="F228" s="12">
        <v>13</v>
      </c>
      <c r="G228" s="12">
        <v>12.99</v>
      </c>
      <c r="H228" s="12">
        <v>16.57</v>
      </c>
      <c r="I228" s="13">
        <f t="shared" si="20"/>
        <v>168.87</v>
      </c>
      <c r="J228" s="13">
        <f t="shared" si="21"/>
        <v>215.41</v>
      </c>
    </row>
    <row r="229" spans="1:10" s="1" customFormat="1" ht="25.5" customHeight="1" x14ac:dyDescent="0.2">
      <c r="A229" s="11" t="s">
        <v>78</v>
      </c>
      <c r="B229" s="11" t="s">
        <v>463</v>
      </c>
      <c r="C229" s="806" t="s">
        <v>464</v>
      </c>
      <c r="D229" s="807"/>
      <c r="E229" s="11" t="s">
        <v>102</v>
      </c>
      <c r="F229" s="12">
        <v>4</v>
      </c>
      <c r="G229" s="12">
        <v>14.25</v>
      </c>
      <c r="H229" s="12">
        <v>18.18</v>
      </c>
      <c r="I229" s="13">
        <f t="shared" si="20"/>
        <v>57</v>
      </c>
      <c r="J229" s="13">
        <f t="shared" si="21"/>
        <v>72.72</v>
      </c>
    </row>
    <row r="230" spans="1:10" s="1" customFormat="1" ht="25.5" customHeight="1" x14ac:dyDescent="0.2">
      <c r="A230" s="10">
        <v>89400</v>
      </c>
      <c r="B230" s="11" t="s">
        <v>465</v>
      </c>
      <c r="C230" s="806" t="s">
        <v>466</v>
      </c>
      <c r="D230" s="807"/>
      <c r="E230" s="11" t="s">
        <v>102</v>
      </c>
      <c r="F230" s="12">
        <v>26</v>
      </c>
      <c r="G230" s="12">
        <v>13.19</v>
      </c>
      <c r="H230" s="12">
        <v>16.829999999999998</v>
      </c>
      <c r="I230" s="13">
        <f t="shared" si="20"/>
        <v>342.94</v>
      </c>
      <c r="J230" s="13">
        <f t="shared" si="21"/>
        <v>437.57999999999993</v>
      </c>
    </row>
    <row r="231" spans="1:10" s="1" customFormat="1" ht="25.5" customHeight="1" x14ac:dyDescent="0.2">
      <c r="A231" s="10">
        <v>89627</v>
      </c>
      <c r="B231" s="11" t="s">
        <v>467</v>
      </c>
      <c r="C231" s="806" t="s">
        <v>468</v>
      </c>
      <c r="D231" s="807"/>
      <c r="E231" s="11" t="s">
        <v>102</v>
      </c>
      <c r="F231" s="12">
        <v>3</v>
      </c>
      <c r="G231" s="12">
        <v>13.53</v>
      </c>
      <c r="H231" s="12">
        <v>17.260000000000002</v>
      </c>
      <c r="I231" s="13">
        <f t="shared" si="20"/>
        <v>40.589999999999996</v>
      </c>
      <c r="J231" s="13">
        <f t="shared" si="21"/>
        <v>51.78</v>
      </c>
    </row>
    <row r="232" spans="1:10" s="1" customFormat="1" ht="25.5" customHeight="1" x14ac:dyDescent="0.2">
      <c r="A232" s="11" t="s">
        <v>78</v>
      </c>
      <c r="B232" s="11" t="s">
        <v>469</v>
      </c>
      <c r="C232" s="806" t="s">
        <v>470</v>
      </c>
      <c r="D232" s="807"/>
      <c r="E232" s="11" t="s">
        <v>102</v>
      </c>
      <c r="F232" s="12">
        <v>2</v>
      </c>
      <c r="G232" s="12">
        <v>26.32</v>
      </c>
      <c r="H232" s="12">
        <v>33.58</v>
      </c>
      <c r="I232" s="13">
        <f t="shared" si="20"/>
        <v>52.64</v>
      </c>
      <c r="J232" s="13">
        <f t="shared" si="21"/>
        <v>67.16</v>
      </c>
    </row>
    <row r="233" spans="1:10" s="1" customFormat="1" ht="25.5" customHeight="1" x14ac:dyDescent="0.2">
      <c r="A233" s="10">
        <v>89632</v>
      </c>
      <c r="B233" s="11" t="s">
        <v>471</v>
      </c>
      <c r="C233" s="806" t="s">
        <v>472</v>
      </c>
      <c r="D233" s="807"/>
      <c r="E233" s="11" t="s">
        <v>102</v>
      </c>
      <c r="F233" s="12">
        <v>14</v>
      </c>
      <c r="G233" s="12">
        <v>61.2</v>
      </c>
      <c r="H233" s="12">
        <v>78.09</v>
      </c>
      <c r="I233" s="13">
        <f t="shared" si="20"/>
        <v>856.80000000000007</v>
      </c>
      <c r="J233" s="13">
        <f t="shared" si="21"/>
        <v>1093.26</v>
      </c>
    </row>
    <row r="234" spans="1:10" s="1" customFormat="1" ht="25.5" customHeight="1" x14ac:dyDescent="0.2">
      <c r="A234" s="8"/>
      <c r="B234" s="23">
        <v>41646</v>
      </c>
      <c r="C234" s="808" t="s">
        <v>473</v>
      </c>
      <c r="D234" s="809"/>
      <c r="E234" s="8"/>
      <c r="F234" s="8"/>
      <c r="G234" s="8"/>
      <c r="H234" s="8"/>
      <c r="I234" s="8"/>
      <c r="J234" s="8"/>
    </row>
    <row r="235" spans="1:10" s="1" customFormat="1" ht="25.5" customHeight="1" x14ac:dyDescent="0.2">
      <c r="A235" s="10">
        <v>89382</v>
      </c>
      <c r="B235" s="11" t="s">
        <v>474</v>
      </c>
      <c r="C235" s="806" t="s">
        <v>475</v>
      </c>
      <c r="D235" s="807"/>
      <c r="E235" s="11" t="s">
        <v>102</v>
      </c>
      <c r="F235" s="12">
        <v>2</v>
      </c>
      <c r="G235" s="12">
        <v>8.39</v>
      </c>
      <c r="H235" s="12">
        <v>10.7</v>
      </c>
      <c r="I235" s="13">
        <f>F235*G235</f>
        <v>16.78</v>
      </c>
      <c r="J235" s="13">
        <f>F235*H235</f>
        <v>21.4</v>
      </c>
    </row>
    <row r="236" spans="1:10" s="1" customFormat="1" ht="25.5" customHeight="1" x14ac:dyDescent="0.2">
      <c r="A236" s="10">
        <v>89390</v>
      </c>
      <c r="B236" s="11" t="s">
        <v>476</v>
      </c>
      <c r="C236" s="806" t="s">
        <v>477</v>
      </c>
      <c r="D236" s="807"/>
      <c r="E236" s="11" t="s">
        <v>102</v>
      </c>
      <c r="F236" s="12">
        <v>2</v>
      </c>
      <c r="G236" s="12">
        <v>12.33</v>
      </c>
      <c r="H236" s="12">
        <v>15.73</v>
      </c>
      <c r="I236" s="13">
        <f>F236*G236</f>
        <v>24.66</v>
      </c>
      <c r="J236" s="13">
        <f>F236*H236</f>
        <v>31.46</v>
      </c>
    </row>
    <row r="237" spans="1:10" s="1" customFormat="1" ht="25.5" customHeight="1" x14ac:dyDescent="0.2">
      <c r="A237" s="10">
        <v>89594</v>
      </c>
      <c r="B237" s="11" t="s">
        <v>478</v>
      </c>
      <c r="C237" s="806" t="s">
        <v>479</v>
      </c>
      <c r="D237" s="807"/>
      <c r="E237" s="11" t="s">
        <v>102</v>
      </c>
      <c r="F237" s="12">
        <v>4</v>
      </c>
      <c r="G237" s="12">
        <v>21.53</v>
      </c>
      <c r="H237" s="12">
        <v>27.47</v>
      </c>
      <c r="I237" s="13">
        <f>F237*G237</f>
        <v>86.12</v>
      </c>
      <c r="J237" s="13">
        <f>F237*H237</f>
        <v>109.88</v>
      </c>
    </row>
    <row r="238" spans="1:10" s="1" customFormat="1" ht="25.5" customHeight="1" x14ac:dyDescent="0.2">
      <c r="A238" s="10">
        <v>89615</v>
      </c>
      <c r="B238" s="11" t="s">
        <v>480</v>
      </c>
      <c r="C238" s="806" t="s">
        <v>481</v>
      </c>
      <c r="D238" s="807"/>
      <c r="E238" s="11" t="s">
        <v>102</v>
      </c>
      <c r="F238" s="12">
        <v>2</v>
      </c>
      <c r="G238" s="12">
        <v>133.13999999999999</v>
      </c>
      <c r="H238" s="12">
        <v>169.87</v>
      </c>
      <c r="I238" s="13">
        <f>F238*G238</f>
        <v>266.27999999999997</v>
      </c>
      <c r="J238" s="13">
        <f>F238*H238</f>
        <v>339.74</v>
      </c>
    </row>
    <row r="239" spans="1:10" s="1" customFormat="1" ht="25.5" customHeight="1" x14ac:dyDescent="0.2">
      <c r="A239" s="8"/>
      <c r="B239" s="23">
        <v>41647</v>
      </c>
      <c r="C239" s="808" t="s">
        <v>482</v>
      </c>
      <c r="D239" s="809"/>
      <c r="E239" s="8"/>
      <c r="F239" s="8"/>
      <c r="G239" s="8"/>
      <c r="H239" s="8"/>
      <c r="I239" s="8"/>
      <c r="J239" s="8"/>
    </row>
    <row r="240" spans="1:10" s="1" customFormat="1" ht="25.5" customHeight="1" x14ac:dyDescent="0.2">
      <c r="A240" s="11" t="s">
        <v>483</v>
      </c>
      <c r="B240" s="11" t="s">
        <v>484</v>
      </c>
      <c r="C240" s="806" t="s">
        <v>485</v>
      </c>
      <c r="D240" s="807"/>
      <c r="E240" s="11" t="s">
        <v>102</v>
      </c>
      <c r="F240" s="12">
        <v>74</v>
      </c>
      <c r="G240" s="12">
        <v>1.81</v>
      </c>
      <c r="H240" s="12">
        <v>2.31</v>
      </c>
      <c r="I240" s="13">
        <f>F240*G240</f>
        <v>133.94</v>
      </c>
      <c r="J240" s="13">
        <f>F240*H240</f>
        <v>170.94</v>
      </c>
    </row>
    <row r="241" spans="1:11" s="1" customFormat="1" ht="25.5" customHeight="1" x14ac:dyDescent="0.2">
      <c r="A241" s="11" t="s">
        <v>486</v>
      </c>
      <c r="B241" s="11" t="s">
        <v>487</v>
      </c>
      <c r="C241" s="806" t="s">
        <v>488</v>
      </c>
      <c r="D241" s="807"/>
      <c r="E241" s="11" t="s">
        <v>102</v>
      </c>
      <c r="F241" s="12">
        <v>17</v>
      </c>
      <c r="G241" s="12">
        <v>2.93</v>
      </c>
      <c r="H241" s="12">
        <v>3.73</v>
      </c>
      <c r="I241" s="13">
        <f>F241*G241</f>
        <v>49.81</v>
      </c>
      <c r="J241" s="13">
        <f>F241*H241</f>
        <v>63.41</v>
      </c>
    </row>
    <row r="242" spans="1:11" s="1" customFormat="1" ht="25.5" customHeight="1" x14ac:dyDescent="0.2">
      <c r="A242" s="11" t="s">
        <v>78</v>
      </c>
      <c r="B242" s="11" t="s">
        <v>489</v>
      </c>
      <c r="C242" s="806" t="s">
        <v>490</v>
      </c>
      <c r="D242" s="807"/>
      <c r="E242" s="11" t="s">
        <v>102</v>
      </c>
      <c r="F242" s="12">
        <v>23</v>
      </c>
      <c r="G242" s="12">
        <v>4.1100000000000003</v>
      </c>
      <c r="H242" s="12">
        <v>5.25</v>
      </c>
      <c r="I242" s="13">
        <f>F242*G242</f>
        <v>94.53</v>
      </c>
      <c r="J242" s="13">
        <f>F242*H242</f>
        <v>120.75</v>
      </c>
    </row>
    <row r="243" spans="1:11" s="1" customFormat="1" ht="25.5" customHeight="1" x14ac:dyDescent="0.2">
      <c r="A243" s="8"/>
      <c r="B243" s="803" t="s">
        <v>491</v>
      </c>
      <c r="C243" s="804"/>
      <c r="D243" s="804"/>
      <c r="E243" s="804"/>
      <c r="F243" s="804"/>
      <c r="G243" s="805"/>
      <c r="H243" s="8"/>
      <c r="I243" s="14">
        <f>SUM(I181:I242)-1.65</f>
        <v>19785.32999999998</v>
      </c>
      <c r="J243" s="15">
        <f>SUM(J181:J242)-0.16</f>
        <v>25244.099999999995</v>
      </c>
      <c r="K243" s="49"/>
    </row>
    <row r="244" spans="1:11" s="1" customFormat="1" ht="25.5" customHeight="1" x14ac:dyDescent="0.2">
      <c r="A244" s="8"/>
      <c r="B244" s="9" t="s">
        <v>492</v>
      </c>
      <c r="C244" s="808" t="s">
        <v>493</v>
      </c>
      <c r="D244" s="809"/>
      <c r="E244" s="8"/>
      <c r="F244" s="8"/>
      <c r="G244" s="8"/>
      <c r="H244" s="8"/>
      <c r="I244" s="8"/>
      <c r="J244" s="8"/>
    </row>
    <row r="245" spans="1:11" s="1" customFormat="1" ht="25.5" customHeight="1" x14ac:dyDescent="0.2">
      <c r="A245" s="10">
        <v>86902</v>
      </c>
      <c r="B245" s="11" t="s">
        <v>494</v>
      </c>
      <c r="C245" s="806" t="s">
        <v>495</v>
      </c>
      <c r="D245" s="807"/>
      <c r="E245" s="11" t="s">
        <v>102</v>
      </c>
      <c r="F245" s="12">
        <v>7</v>
      </c>
      <c r="G245" s="12">
        <v>179.19</v>
      </c>
      <c r="H245" s="12">
        <v>228.63</v>
      </c>
      <c r="I245" s="13">
        <f t="shared" ref="I245:I298" si="22">F245*G245</f>
        <v>1254.33</v>
      </c>
      <c r="J245" s="13">
        <f t="shared" ref="J245:J298" si="23">F245*H245</f>
        <v>1600.4099999999999</v>
      </c>
    </row>
    <row r="246" spans="1:11" s="1" customFormat="1" ht="25.5" customHeight="1" x14ac:dyDescent="0.2">
      <c r="A246" s="10">
        <v>86938</v>
      </c>
      <c r="B246" s="11" t="s">
        <v>496</v>
      </c>
      <c r="C246" s="806" t="s">
        <v>497</v>
      </c>
      <c r="D246" s="807"/>
      <c r="E246" s="11" t="s">
        <v>102</v>
      </c>
      <c r="F246" s="12">
        <v>2</v>
      </c>
      <c r="G246" s="12">
        <v>212.03</v>
      </c>
      <c r="H246" s="12">
        <v>270.52999999999997</v>
      </c>
      <c r="I246" s="13">
        <f t="shared" si="22"/>
        <v>424.06</v>
      </c>
      <c r="J246" s="13">
        <f t="shared" si="23"/>
        <v>541.05999999999995</v>
      </c>
    </row>
    <row r="247" spans="1:11" s="1" customFormat="1" ht="25.5" customHeight="1" x14ac:dyDescent="0.2">
      <c r="A247" s="10">
        <v>86901</v>
      </c>
      <c r="B247" s="11" t="s">
        <v>498</v>
      </c>
      <c r="C247" s="806" t="s">
        <v>499</v>
      </c>
      <c r="D247" s="807"/>
      <c r="E247" s="11" t="s">
        <v>102</v>
      </c>
      <c r="F247" s="12">
        <v>2</v>
      </c>
      <c r="G247" s="12">
        <v>101.58</v>
      </c>
      <c r="H247" s="12">
        <v>129.61000000000001</v>
      </c>
      <c r="I247" s="13">
        <f t="shared" si="22"/>
        <v>203.16</v>
      </c>
      <c r="J247" s="13">
        <f t="shared" si="23"/>
        <v>259.22000000000003</v>
      </c>
    </row>
    <row r="248" spans="1:11" s="1" customFormat="1" ht="25.5" customHeight="1" x14ac:dyDescent="0.2">
      <c r="A248" s="11" t="s">
        <v>78</v>
      </c>
      <c r="B248" s="11" t="s">
        <v>500</v>
      </c>
      <c r="C248" s="806" t="s">
        <v>501</v>
      </c>
      <c r="D248" s="807"/>
      <c r="E248" s="11" t="s">
        <v>102</v>
      </c>
      <c r="F248" s="12">
        <v>2</v>
      </c>
      <c r="G248" s="12">
        <v>412.2</v>
      </c>
      <c r="H248" s="12">
        <v>525.92999999999995</v>
      </c>
      <c r="I248" s="13">
        <f t="shared" si="22"/>
        <v>824.4</v>
      </c>
      <c r="J248" s="13">
        <f t="shared" si="23"/>
        <v>1051.8599999999999</v>
      </c>
    </row>
    <row r="249" spans="1:11" s="1" customFormat="1" ht="25.5" customHeight="1" x14ac:dyDescent="0.2">
      <c r="A249" s="10">
        <v>72739</v>
      </c>
      <c r="B249" s="11" t="s">
        <v>502</v>
      </c>
      <c r="C249" s="806" t="s">
        <v>503</v>
      </c>
      <c r="D249" s="807"/>
      <c r="E249" s="11" t="s">
        <v>102</v>
      </c>
      <c r="F249" s="12">
        <v>12</v>
      </c>
      <c r="G249" s="12">
        <v>348.66</v>
      </c>
      <c r="H249" s="12">
        <v>444.86</v>
      </c>
      <c r="I249" s="13">
        <f t="shared" si="22"/>
        <v>4183.92</v>
      </c>
      <c r="J249" s="13">
        <f t="shared" si="23"/>
        <v>5338.32</v>
      </c>
    </row>
    <row r="250" spans="1:11" s="1" customFormat="1" ht="25.5" customHeight="1" x14ac:dyDescent="0.2">
      <c r="A250" s="10">
        <v>95469</v>
      </c>
      <c r="B250" s="11" t="s">
        <v>504</v>
      </c>
      <c r="C250" s="806" t="s">
        <v>505</v>
      </c>
      <c r="D250" s="807"/>
      <c r="E250" s="11" t="s">
        <v>102</v>
      </c>
      <c r="F250" s="12">
        <v>9</v>
      </c>
      <c r="G250" s="12">
        <v>153.37</v>
      </c>
      <c r="H250" s="12">
        <v>195.68</v>
      </c>
      <c r="I250" s="13">
        <f t="shared" si="22"/>
        <v>1380.33</v>
      </c>
      <c r="J250" s="13">
        <f t="shared" si="23"/>
        <v>1761.1200000000001</v>
      </c>
    </row>
    <row r="251" spans="1:11" s="1" customFormat="1" ht="25.5" customHeight="1" x14ac:dyDescent="0.2">
      <c r="A251" s="11" t="s">
        <v>78</v>
      </c>
      <c r="B251" s="11" t="s">
        <v>506</v>
      </c>
      <c r="C251" s="806" t="s">
        <v>507</v>
      </c>
      <c r="D251" s="807"/>
      <c r="E251" s="11" t="s">
        <v>102</v>
      </c>
      <c r="F251" s="12">
        <v>2</v>
      </c>
      <c r="G251" s="12">
        <v>62.01</v>
      </c>
      <c r="H251" s="12">
        <v>79.12</v>
      </c>
      <c r="I251" s="13">
        <f t="shared" si="22"/>
        <v>124.02</v>
      </c>
      <c r="J251" s="13">
        <f t="shared" si="23"/>
        <v>158.24</v>
      </c>
    </row>
    <row r="252" spans="1:11" s="1" customFormat="1" ht="25.5" customHeight="1" x14ac:dyDescent="0.2">
      <c r="A252" s="11" t="s">
        <v>78</v>
      </c>
      <c r="B252" s="11" t="s">
        <v>508</v>
      </c>
      <c r="C252" s="806" t="s">
        <v>509</v>
      </c>
      <c r="D252" s="807"/>
      <c r="E252" s="11" t="s">
        <v>102</v>
      </c>
      <c r="F252" s="12">
        <v>12</v>
      </c>
      <c r="G252" s="12">
        <v>47.22</v>
      </c>
      <c r="H252" s="12">
        <v>60.25</v>
      </c>
      <c r="I252" s="13">
        <f t="shared" si="22"/>
        <v>566.64</v>
      </c>
      <c r="J252" s="13">
        <f t="shared" si="23"/>
        <v>723</v>
      </c>
    </row>
    <row r="253" spans="1:11" s="1" customFormat="1" ht="25.5" customHeight="1" x14ac:dyDescent="0.2">
      <c r="A253" s="11" t="s">
        <v>510</v>
      </c>
      <c r="B253" s="11" t="s">
        <v>511</v>
      </c>
      <c r="C253" s="806" t="s">
        <v>512</v>
      </c>
      <c r="D253" s="807"/>
      <c r="E253" s="11" t="s">
        <v>102</v>
      </c>
      <c r="F253" s="12">
        <v>9</v>
      </c>
      <c r="G253" s="12">
        <v>30.39</v>
      </c>
      <c r="H253" s="12">
        <v>38.78</v>
      </c>
      <c r="I253" s="13">
        <f t="shared" si="22"/>
        <v>273.51</v>
      </c>
      <c r="J253" s="13">
        <f t="shared" si="23"/>
        <v>349.02</v>
      </c>
    </row>
    <row r="254" spans="1:11" s="1" customFormat="1" ht="25.5" customHeight="1" x14ac:dyDescent="0.2">
      <c r="A254" s="11" t="s">
        <v>308</v>
      </c>
      <c r="B254" s="11" t="s">
        <v>513</v>
      </c>
      <c r="C254" s="806" t="s">
        <v>514</v>
      </c>
      <c r="D254" s="807"/>
      <c r="E254" s="11" t="s">
        <v>102</v>
      </c>
      <c r="F254" s="12">
        <v>2</v>
      </c>
      <c r="G254" s="12">
        <v>224.79</v>
      </c>
      <c r="H254" s="12">
        <v>286.81</v>
      </c>
      <c r="I254" s="13">
        <f t="shared" si="22"/>
        <v>449.58</v>
      </c>
      <c r="J254" s="13">
        <f t="shared" si="23"/>
        <v>573.62</v>
      </c>
    </row>
    <row r="255" spans="1:11" s="1" customFormat="1" ht="25.5" customHeight="1" x14ac:dyDescent="0.2">
      <c r="A255" s="11" t="s">
        <v>308</v>
      </c>
      <c r="B255" s="11" t="s">
        <v>515</v>
      </c>
      <c r="C255" s="806" t="s">
        <v>516</v>
      </c>
      <c r="D255" s="807"/>
      <c r="E255" s="11" t="s">
        <v>102</v>
      </c>
      <c r="F255" s="12">
        <v>8</v>
      </c>
      <c r="G255" s="12">
        <v>170.36</v>
      </c>
      <c r="H255" s="12">
        <v>217.36</v>
      </c>
      <c r="I255" s="13">
        <f t="shared" si="22"/>
        <v>1362.88</v>
      </c>
      <c r="J255" s="13">
        <f t="shared" si="23"/>
        <v>1738.88</v>
      </c>
    </row>
    <row r="256" spans="1:11" s="1" customFormat="1" ht="25.5" customHeight="1" x14ac:dyDescent="0.2">
      <c r="A256" s="11" t="s">
        <v>308</v>
      </c>
      <c r="B256" s="11" t="s">
        <v>517</v>
      </c>
      <c r="C256" s="806" t="s">
        <v>518</v>
      </c>
      <c r="D256" s="807"/>
      <c r="E256" s="11" t="s">
        <v>102</v>
      </c>
      <c r="F256" s="12">
        <v>4</v>
      </c>
      <c r="G256" s="12">
        <v>108</v>
      </c>
      <c r="H256" s="12">
        <v>137.80000000000001</v>
      </c>
      <c r="I256" s="13">
        <f t="shared" si="22"/>
        <v>432</v>
      </c>
      <c r="J256" s="13">
        <f t="shared" si="23"/>
        <v>551.20000000000005</v>
      </c>
    </row>
    <row r="257" spans="1:10" s="1" customFormat="1" ht="25.5" customHeight="1" x14ac:dyDescent="0.2">
      <c r="A257" s="11" t="s">
        <v>308</v>
      </c>
      <c r="B257" s="11" t="s">
        <v>519</v>
      </c>
      <c r="C257" s="806" t="s">
        <v>520</v>
      </c>
      <c r="D257" s="807"/>
      <c r="E257" s="11" t="s">
        <v>102</v>
      </c>
      <c r="F257" s="12">
        <v>1</v>
      </c>
      <c r="G257" s="13">
        <v>1249</v>
      </c>
      <c r="H257" s="13">
        <v>1593.6</v>
      </c>
      <c r="I257" s="13">
        <f t="shared" si="22"/>
        <v>1249</v>
      </c>
      <c r="J257" s="13">
        <f t="shared" si="23"/>
        <v>1593.6</v>
      </c>
    </row>
    <row r="258" spans="1:10" s="1" customFormat="1" ht="25.5" customHeight="1" x14ac:dyDescent="0.2">
      <c r="A258" s="10">
        <v>86909</v>
      </c>
      <c r="B258" s="11" t="s">
        <v>521</v>
      </c>
      <c r="C258" s="806" t="s">
        <v>522</v>
      </c>
      <c r="D258" s="807"/>
      <c r="E258" s="11" t="s">
        <v>102</v>
      </c>
      <c r="F258" s="12">
        <v>7</v>
      </c>
      <c r="G258" s="12">
        <v>74.2</v>
      </c>
      <c r="H258" s="12">
        <v>94.67</v>
      </c>
      <c r="I258" s="13">
        <f t="shared" si="22"/>
        <v>519.4</v>
      </c>
      <c r="J258" s="13">
        <f t="shared" si="23"/>
        <v>662.69</v>
      </c>
    </row>
    <row r="259" spans="1:10" s="1" customFormat="1" ht="25.5" customHeight="1" x14ac:dyDescent="0.2">
      <c r="A259" s="10">
        <v>86911</v>
      </c>
      <c r="B259" s="11" t="s">
        <v>523</v>
      </c>
      <c r="C259" s="806" t="s">
        <v>524</v>
      </c>
      <c r="D259" s="807"/>
      <c r="E259" s="11" t="s">
        <v>102</v>
      </c>
      <c r="F259" s="12">
        <v>14</v>
      </c>
      <c r="G259" s="12">
        <v>31.64</v>
      </c>
      <c r="H259" s="12">
        <v>40.369999999999997</v>
      </c>
      <c r="I259" s="13">
        <f t="shared" si="22"/>
        <v>442.96000000000004</v>
      </c>
      <c r="J259" s="13">
        <f t="shared" si="23"/>
        <v>565.17999999999995</v>
      </c>
    </row>
    <row r="260" spans="1:10" s="1" customFormat="1" ht="25.5" customHeight="1" x14ac:dyDescent="0.2">
      <c r="A260" s="10">
        <v>86915</v>
      </c>
      <c r="B260" s="11" t="s">
        <v>525</v>
      </c>
      <c r="C260" s="806" t="s">
        <v>526</v>
      </c>
      <c r="D260" s="807"/>
      <c r="E260" s="11" t="s">
        <v>102</v>
      </c>
      <c r="F260" s="12">
        <v>5</v>
      </c>
      <c r="G260" s="12">
        <v>62.36</v>
      </c>
      <c r="H260" s="12">
        <v>79.569999999999993</v>
      </c>
      <c r="I260" s="13">
        <f t="shared" si="22"/>
        <v>311.8</v>
      </c>
      <c r="J260" s="13">
        <f t="shared" si="23"/>
        <v>397.84999999999997</v>
      </c>
    </row>
    <row r="261" spans="1:10" s="1" customFormat="1" ht="25.5" customHeight="1" x14ac:dyDescent="0.2">
      <c r="A261" s="11" t="s">
        <v>527</v>
      </c>
      <c r="B261" s="11" t="s">
        <v>528</v>
      </c>
      <c r="C261" s="806" t="s">
        <v>529</v>
      </c>
      <c r="D261" s="807"/>
      <c r="E261" s="11" t="s">
        <v>102</v>
      </c>
      <c r="F261" s="12">
        <v>3</v>
      </c>
      <c r="G261" s="12">
        <v>100.46</v>
      </c>
      <c r="H261" s="12">
        <v>128.16999999999999</v>
      </c>
      <c r="I261" s="13">
        <f t="shared" si="22"/>
        <v>301.38</v>
      </c>
      <c r="J261" s="13">
        <f t="shared" si="23"/>
        <v>384.51</v>
      </c>
    </row>
    <row r="262" spans="1:10" s="1" customFormat="1" ht="25.5" customHeight="1" x14ac:dyDescent="0.2">
      <c r="A262" s="10">
        <v>86910</v>
      </c>
      <c r="B262" s="11" t="s">
        <v>530</v>
      </c>
      <c r="C262" s="806" t="s">
        <v>531</v>
      </c>
      <c r="D262" s="807"/>
      <c r="E262" s="11" t="s">
        <v>102</v>
      </c>
      <c r="F262" s="12">
        <v>4</v>
      </c>
      <c r="G262" s="12">
        <v>71</v>
      </c>
      <c r="H262" s="12">
        <v>90.59</v>
      </c>
      <c r="I262" s="13">
        <f t="shared" si="22"/>
        <v>284</v>
      </c>
      <c r="J262" s="13">
        <f t="shared" si="23"/>
        <v>362.36</v>
      </c>
    </row>
    <row r="263" spans="1:10" s="1" customFormat="1" ht="25.5" customHeight="1" x14ac:dyDescent="0.2">
      <c r="A263" s="10">
        <v>86906</v>
      </c>
      <c r="B263" s="11" t="s">
        <v>532</v>
      </c>
      <c r="C263" s="806" t="s">
        <v>533</v>
      </c>
      <c r="D263" s="807"/>
      <c r="E263" s="11" t="s">
        <v>102</v>
      </c>
      <c r="F263" s="12">
        <v>7</v>
      </c>
      <c r="G263" s="12">
        <v>37.18</v>
      </c>
      <c r="H263" s="12">
        <v>47.44</v>
      </c>
      <c r="I263" s="13">
        <f t="shared" si="22"/>
        <v>260.26</v>
      </c>
      <c r="J263" s="13">
        <f t="shared" si="23"/>
        <v>332.08</v>
      </c>
    </row>
    <row r="264" spans="1:10" s="1" customFormat="1" ht="25.5" customHeight="1" x14ac:dyDescent="0.2">
      <c r="A264" s="10">
        <v>86913</v>
      </c>
      <c r="B264" s="11" t="s">
        <v>534</v>
      </c>
      <c r="C264" s="806" t="s">
        <v>535</v>
      </c>
      <c r="D264" s="807"/>
      <c r="E264" s="11" t="s">
        <v>102</v>
      </c>
      <c r="F264" s="12">
        <v>6</v>
      </c>
      <c r="G264" s="12">
        <v>14.42</v>
      </c>
      <c r="H264" s="12">
        <v>18.399999999999999</v>
      </c>
      <c r="I264" s="13">
        <f t="shared" si="22"/>
        <v>86.52</v>
      </c>
      <c r="J264" s="13">
        <f t="shared" si="23"/>
        <v>110.39999999999999</v>
      </c>
    </row>
    <row r="265" spans="1:10" s="1" customFormat="1" ht="25.5" customHeight="1" x14ac:dyDescent="0.2">
      <c r="A265" s="11" t="s">
        <v>536</v>
      </c>
      <c r="B265" s="11" t="s">
        <v>537</v>
      </c>
      <c r="C265" s="806" t="s">
        <v>538</v>
      </c>
      <c r="D265" s="807"/>
      <c r="E265" s="11" t="s">
        <v>102</v>
      </c>
      <c r="F265" s="12">
        <v>11</v>
      </c>
      <c r="G265" s="12">
        <v>22.57</v>
      </c>
      <c r="H265" s="12">
        <v>28.8</v>
      </c>
      <c r="I265" s="13">
        <f t="shared" si="22"/>
        <v>248.27</v>
      </c>
      <c r="J265" s="13">
        <f t="shared" si="23"/>
        <v>316.8</v>
      </c>
    </row>
    <row r="266" spans="1:10" s="1" customFormat="1" ht="25.5" customHeight="1" x14ac:dyDescent="0.2">
      <c r="A266" s="10">
        <v>94796</v>
      </c>
      <c r="B266" s="11" t="s">
        <v>539</v>
      </c>
      <c r="C266" s="806" t="s">
        <v>540</v>
      </c>
      <c r="D266" s="807"/>
      <c r="E266" s="11" t="s">
        <v>102</v>
      </c>
      <c r="F266" s="12">
        <v>1</v>
      </c>
      <c r="G266" s="12">
        <v>26.75</v>
      </c>
      <c r="H266" s="12">
        <v>34.130000000000003</v>
      </c>
      <c r="I266" s="13">
        <f t="shared" si="22"/>
        <v>26.75</v>
      </c>
      <c r="J266" s="13">
        <f t="shared" si="23"/>
        <v>34.130000000000003</v>
      </c>
    </row>
    <row r="267" spans="1:10" s="1" customFormat="1" ht="25.5" customHeight="1" x14ac:dyDescent="0.2">
      <c r="A267" s="10">
        <v>89985</v>
      </c>
      <c r="B267" s="11" t="s">
        <v>541</v>
      </c>
      <c r="C267" s="806" t="s">
        <v>542</v>
      </c>
      <c r="D267" s="807"/>
      <c r="E267" s="11" t="s">
        <v>102</v>
      </c>
      <c r="F267" s="12">
        <v>19</v>
      </c>
      <c r="G267" s="12">
        <v>61.1</v>
      </c>
      <c r="H267" s="12">
        <v>77.959999999999994</v>
      </c>
      <c r="I267" s="13">
        <f t="shared" si="22"/>
        <v>1160.9000000000001</v>
      </c>
      <c r="J267" s="13">
        <f t="shared" si="23"/>
        <v>1481.2399999999998</v>
      </c>
    </row>
    <row r="268" spans="1:10" s="1" customFormat="1" ht="25.5" customHeight="1" x14ac:dyDescent="0.2">
      <c r="A268" s="10">
        <v>89351</v>
      </c>
      <c r="B268" s="11" t="s">
        <v>543</v>
      </c>
      <c r="C268" s="806" t="s">
        <v>544</v>
      </c>
      <c r="D268" s="807"/>
      <c r="E268" s="11" t="s">
        <v>102</v>
      </c>
      <c r="F268" s="12">
        <v>5</v>
      </c>
      <c r="G268" s="12">
        <v>24.75</v>
      </c>
      <c r="H268" s="12">
        <v>31.58</v>
      </c>
      <c r="I268" s="13">
        <f t="shared" si="22"/>
        <v>123.75</v>
      </c>
      <c r="J268" s="13">
        <f t="shared" si="23"/>
        <v>157.89999999999998</v>
      </c>
    </row>
    <row r="269" spans="1:10" s="1" customFormat="1" ht="25.5" customHeight="1" x14ac:dyDescent="0.2">
      <c r="A269" s="11" t="s">
        <v>545</v>
      </c>
      <c r="B269" s="11" t="s">
        <v>546</v>
      </c>
      <c r="C269" s="806" t="s">
        <v>547</v>
      </c>
      <c r="D269" s="807"/>
      <c r="E269" s="11" t="s">
        <v>102</v>
      </c>
      <c r="F269" s="12">
        <v>8</v>
      </c>
      <c r="G269" s="12">
        <v>40.06</v>
      </c>
      <c r="H269" s="12">
        <v>51.11</v>
      </c>
      <c r="I269" s="13">
        <f t="shared" si="22"/>
        <v>320.48</v>
      </c>
      <c r="J269" s="13">
        <f t="shared" si="23"/>
        <v>408.88</v>
      </c>
    </row>
    <row r="270" spans="1:10" s="1" customFormat="1" ht="25.5" customHeight="1" x14ac:dyDescent="0.2">
      <c r="A270" s="11" t="s">
        <v>548</v>
      </c>
      <c r="B270" s="11" t="s">
        <v>549</v>
      </c>
      <c r="C270" s="806" t="s">
        <v>550</v>
      </c>
      <c r="D270" s="807"/>
      <c r="E270" s="11" t="s">
        <v>102</v>
      </c>
      <c r="F270" s="12">
        <v>6</v>
      </c>
      <c r="G270" s="12">
        <v>71.88</v>
      </c>
      <c r="H270" s="12">
        <v>91.72</v>
      </c>
      <c r="I270" s="13">
        <f t="shared" si="22"/>
        <v>431.28</v>
      </c>
      <c r="J270" s="13">
        <f t="shared" si="23"/>
        <v>550.31999999999994</v>
      </c>
    </row>
    <row r="271" spans="1:10" s="1" customFormat="1" ht="25.5" customHeight="1" x14ac:dyDescent="0.2">
      <c r="A271" s="11" t="s">
        <v>551</v>
      </c>
      <c r="B271" s="11" t="s">
        <v>552</v>
      </c>
      <c r="C271" s="806" t="s">
        <v>553</v>
      </c>
      <c r="D271" s="807"/>
      <c r="E271" s="11" t="s">
        <v>102</v>
      </c>
      <c r="F271" s="12">
        <v>5</v>
      </c>
      <c r="G271" s="12">
        <v>267.62</v>
      </c>
      <c r="H271" s="12">
        <v>341.45</v>
      </c>
      <c r="I271" s="13">
        <f t="shared" si="22"/>
        <v>1338.1</v>
      </c>
      <c r="J271" s="13">
        <f t="shared" si="23"/>
        <v>1707.25</v>
      </c>
    </row>
    <row r="272" spans="1:10" s="1" customFormat="1" ht="25.5" customHeight="1" x14ac:dyDescent="0.2">
      <c r="A272" s="10">
        <v>89987</v>
      </c>
      <c r="B272" s="11" t="s">
        <v>554</v>
      </c>
      <c r="C272" s="806" t="s">
        <v>555</v>
      </c>
      <c r="D272" s="807"/>
      <c r="E272" s="11" t="s">
        <v>102</v>
      </c>
      <c r="F272" s="12">
        <v>39</v>
      </c>
      <c r="G272" s="12">
        <v>64.260000000000005</v>
      </c>
      <c r="H272" s="12">
        <v>81.99</v>
      </c>
      <c r="I272" s="13">
        <f t="shared" si="22"/>
        <v>2506.1400000000003</v>
      </c>
      <c r="J272" s="13">
        <f t="shared" si="23"/>
        <v>3197.6099999999997</v>
      </c>
    </row>
    <row r="273" spans="1:10" s="1" customFormat="1" ht="25.5" customHeight="1" x14ac:dyDescent="0.2">
      <c r="A273" s="10">
        <v>94792</v>
      </c>
      <c r="B273" s="11" t="s">
        <v>556</v>
      </c>
      <c r="C273" s="806" t="s">
        <v>557</v>
      </c>
      <c r="D273" s="807"/>
      <c r="E273" s="11" t="s">
        <v>102</v>
      </c>
      <c r="F273" s="12">
        <v>10</v>
      </c>
      <c r="G273" s="12">
        <v>92.77</v>
      </c>
      <c r="H273" s="12">
        <v>118.37</v>
      </c>
      <c r="I273" s="13">
        <f t="shared" si="22"/>
        <v>927.69999999999993</v>
      </c>
      <c r="J273" s="13">
        <f t="shared" si="23"/>
        <v>1183.7</v>
      </c>
    </row>
    <row r="274" spans="1:10" s="1" customFormat="1" ht="25.5" customHeight="1" x14ac:dyDescent="0.2">
      <c r="A274" s="10">
        <v>94794</v>
      </c>
      <c r="B274" s="11" t="s">
        <v>558</v>
      </c>
      <c r="C274" s="806" t="s">
        <v>559</v>
      </c>
      <c r="D274" s="807"/>
      <c r="E274" s="11" t="s">
        <v>102</v>
      </c>
      <c r="F274" s="12">
        <v>12</v>
      </c>
      <c r="G274" s="12">
        <v>124.23</v>
      </c>
      <c r="H274" s="12">
        <v>158.5</v>
      </c>
      <c r="I274" s="13">
        <f t="shared" si="22"/>
        <v>1490.76</v>
      </c>
      <c r="J274" s="13">
        <f t="shared" si="23"/>
        <v>1902</v>
      </c>
    </row>
    <row r="275" spans="1:10" s="1" customFormat="1" ht="25.5" customHeight="1" x14ac:dyDescent="0.2">
      <c r="A275" s="11" t="s">
        <v>78</v>
      </c>
      <c r="B275" s="11" t="s">
        <v>560</v>
      </c>
      <c r="C275" s="806" t="s">
        <v>561</v>
      </c>
      <c r="D275" s="807"/>
      <c r="E275" s="11" t="s">
        <v>102</v>
      </c>
      <c r="F275" s="12">
        <v>11</v>
      </c>
      <c r="G275" s="12">
        <v>20.3</v>
      </c>
      <c r="H275" s="12">
        <v>25.91</v>
      </c>
      <c r="I275" s="13">
        <f t="shared" si="22"/>
        <v>223.3</v>
      </c>
      <c r="J275" s="13">
        <f t="shared" si="23"/>
        <v>285.01</v>
      </c>
    </row>
    <row r="276" spans="1:10" s="1" customFormat="1" ht="25.5" customHeight="1" x14ac:dyDescent="0.2">
      <c r="A276" s="11" t="s">
        <v>78</v>
      </c>
      <c r="B276" s="11" t="s">
        <v>562</v>
      </c>
      <c r="C276" s="806" t="s">
        <v>563</v>
      </c>
      <c r="D276" s="807"/>
      <c r="E276" s="11" t="s">
        <v>102</v>
      </c>
      <c r="F276" s="12">
        <v>7</v>
      </c>
      <c r="G276" s="12">
        <v>25.99</v>
      </c>
      <c r="H276" s="12">
        <v>33.159999999999997</v>
      </c>
      <c r="I276" s="13">
        <f t="shared" si="22"/>
        <v>181.92999999999998</v>
      </c>
      <c r="J276" s="13">
        <f t="shared" si="23"/>
        <v>232.11999999999998</v>
      </c>
    </row>
    <row r="277" spans="1:10" s="1" customFormat="1" ht="25.5" customHeight="1" x14ac:dyDescent="0.2">
      <c r="A277" s="10">
        <v>9535</v>
      </c>
      <c r="B277" s="11" t="s">
        <v>564</v>
      </c>
      <c r="C277" s="806" t="s">
        <v>565</v>
      </c>
      <c r="D277" s="807"/>
      <c r="E277" s="11" t="s">
        <v>102</v>
      </c>
      <c r="F277" s="12">
        <v>12</v>
      </c>
      <c r="G277" s="12">
        <v>56.12</v>
      </c>
      <c r="H277" s="12">
        <v>71.599999999999994</v>
      </c>
      <c r="I277" s="13">
        <f t="shared" si="22"/>
        <v>673.43999999999994</v>
      </c>
      <c r="J277" s="13">
        <f t="shared" si="23"/>
        <v>859.19999999999993</v>
      </c>
    </row>
    <row r="278" spans="1:10" s="1" customFormat="1" ht="25.5" customHeight="1" x14ac:dyDescent="0.2">
      <c r="A278" s="11" t="s">
        <v>308</v>
      </c>
      <c r="B278" s="11" t="s">
        <v>566</v>
      </c>
      <c r="C278" s="806" t="s">
        <v>567</v>
      </c>
      <c r="D278" s="807"/>
      <c r="E278" s="11" t="s">
        <v>102</v>
      </c>
      <c r="F278" s="12">
        <v>4</v>
      </c>
      <c r="G278" s="12">
        <v>40.85</v>
      </c>
      <c r="H278" s="12">
        <v>52.12</v>
      </c>
      <c r="I278" s="13">
        <f t="shared" si="22"/>
        <v>163.4</v>
      </c>
      <c r="J278" s="13">
        <f t="shared" si="23"/>
        <v>208.48</v>
      </c>
    </row>
    <row r="279" spans="1:10" s="1" customFormat="1" ht="25.5" customHeight="1" x14ac:dyDescent="0.2">
      <c r="A279" s="10">
        <v>9535</v>
      </c>
      <c r="B279" s="11" t="s">
        <v>568</v>
      </c>
      <c r="C279" s="806" t="s">
        <v>569</v>
      </c>
      <c r="D279" s="807"/>
      <c r="E279" s="11" t="s">
        <v>102</v>
      </c>
      <c r="F279" s="12">
        <v>4</v>
      </c>
      <c r="G279" s="12">
        <v>56.21</v>
      </c>
      <c r="H279" s="12">
        <v>71.709999999999994</v>
      </c>
      <c r="I279" s="13">
        <f t="shared" si="22"/>
        <v>224.84</v>
      </c>
      <c r="J279" s="13">
        <f t="shared" si="23"/>
        <v>286.83999999999997</v>
      </c>
    </row>
    <row r="280" spans="1:10" s="1" customFormat="1" ht="25.5" customHeight="1" x14ac:dyDescent="0.2">
      <c r="A280" s="11" t="s">
        <v>78</v>
      </c>
      <c r="B280" s="11" t="s">
        <v>570</v>
      </c>
      <c r="C280" s="806" t="s">
        <v>571</v>
      </c>
      <c r="D280" s="807"/>
      <c r="E280" s="11" t="s">
        <v>102</v>
      </c>
      <c r="F280" s="12">
        <v>5</v>
      </c>
      <c r="G280" s="12">
        <v>132.01</v>
      </c>
      <c r="H280" s="12">
        <v>168.43</v>
      </c>
      <c r="I280" s="13">
        <f t="shared" si="22"/>
        <v>660.05</v>
      </c>
      <c r="J280" s="13">
        <f t="shared" si="23"/>
        <v>842.15000000000009</v>
      </c>
    </row>
    <row r="281" spans="1:10" s="1" customFormat="1" ht="25.5" customHeight="1" x14ac:dyDescent="0.2">
      <c r="A281" s="10">
        <v>40729</v>
      </c>
      <c r="B281" s="11" t="s">
        <v>572</v>
      </c>
      <c r="C281" s="806" t="s">
        <v>573</v>
      </c>
      <c r="D281" s="807"/>
      <c r="E281" s="11" t="s">
        <v>102</v>
      </c>
      <c r="F281" s="12">
        <v>23</v>
      </c>
      <c r="G281" s="12">
        <v>218.15</v>
      </c>
      <c r="H281" s="12">
        <v>278.33999999999997</v>
      </c>
      <c r="I281" s="13">
        <f t="shared" si="22"/>
        <v>5017.45</v>
      </c>
      <c r="J281" s="13">
        <f t="shared" si="23"/>
        <v>6401.82</v>
      </c>
    </row>
    <row r="282" spans="1:10" s="1" customFormat="1" ht="25.5" customHeight="1" x14ac:dyDescent="0.2">
      <c r="A282" s="11" t="s">
        <v>308</v>
      </c>
      <c r="B282" s="11" t="s">
        <v>574</v>
      </c>
      <c r="C282" s="806" t="s">
        <v>575</v>
      </c>
      <c r="D282" s="807"/>
      <c r="E282" s="11" t="s">
        <v>102</v>
      </c>
      <c r="F282" s="12">
        <v>1</v>
      </c>
      <c r="G282" s="13">
        <v>5800</v>
      </c>
      <c r="H282" s="13">
        <v>7400.22</v>
      </c>
      <c r="I282" s="13">
        <f t="shared" si="22"/>
        <v>5800</v>
      </c>
      <c r="J282" s="13">
        <f t="shared" si="23"/>
        <v>7400.22</v>
      </c>
    </row>
    <row r="283" spans="1:10" s="1" customFormat="1" ht="25.5" customHeight="1" x14ac:dyDescent="0.2">
      <c r="A283" s="11" t="s">
        <v>308</v>
      </c>
      <c r="B283" s="11" t="s">
        <v>576</v>
      </c>
      <c r="C283" s="806" t="s">
        <v>577</v>
      </c>
      <c r="D283" s="807"/>
      <c r="E283" s="11" t="s">
        <v>102</v>
      </c>
      <c r="F283" s="12">
        <v>23</v>
      </c>
      <c r="G283" s="12">
        <v>7.69</v>
      </c>
      <c r="H283" s="12">
        <v>9.81</v>
      </c>
      <c r="I283" s="13">
        <f t="shared" si="22"/>
        <v>176.87</v>
      </c>
      <c r="J283" s="13">
        <f t="shared" si="23"/>
        <v>225.63000000000002</v>
      </c>
    </row>
    <row r="284" spans="1:10" s="1" customFormat="1" ht="25.5" customHeight="1" x14ac:dyDescent="0.2">
      <c r="A284" s="11" t="s">
        <v>578</v>
      </c>
      <c r="B284" s="11" t="s">
        <v>579</v>
      </c>
      <c r="C284" s="806" t="s">
        <v>580</v>
      </c>
      <c r="D284" s="807"/>
      <c r="E284" s="11" t="s">
        <v>102</v>
      </c>
      <c r="F284" s="12">
        <v>1</v>
      </c>
      <c r="G284" s="12">
        <v>7.69</v>
      </c>
      <c r="H284" s="12">
        <v>9.81</v>
      </c>
      <c r="I284" s="13">
        <f t="shared" si="22"/>
        <v>7.69</v>
      </c>
      <c r="J284" s="13">
        <f t="shared" si="23"/>
        <v>9.81</v>
      </c>
    </row>
    <row r="285" spans="1:10" s="1" customFormat="1" ht="25.5" customHeight="1" x14ac:dyDescent="0.2">
      <c r="A285" s="11" t="s">
        <v>581</v>
      </c>
      <c r="B285" s="11" t="s">
        <v>582</v>
      </c>
      <c r="C285" s="806" t="s">
        <v>583</v>
      </c>
      <c r="D285" s="807"/>
      <c r="E285" s="11" t="s">
        <v>102</v>
      </c>
      <c r="F285" s="12">
        <v>1</v>
      </c>
      <c r="G285" s="12">
        <v>44.58</v>
      </c>
      <c r="H285" s="12">
        <v>56.88</v>
      </c>
      <c r="I285" s="13">
        <f t="shared" si="22"/>
        <v>44.58</v>
      </c>
      <c r="J285" s="13">
        <f t="shared" si="23"/>
        <v>56.88</v>
      </c>
    </row>
    <row r="286" spans="1:10" s="1" customFormat="1" ht="25.5" customHeight="1" x14ac:dyDescent="0.2">
      <c r="A286" s="11" t="s">
        <v>584</v>
      </c>
      <c r="B286" s="11" t="s">
        <v>585</v>
      </c>
      <c r="C286" s="806" t="s">
        <v>586</v>
      </c>
      <c r="D286" s="807"/>
      <c r="E286" s="11" t="s">
        <v>102</v>
      </c>
      <c r="F286" s="12">
        <v>9</v>
      </c>
      <c r="G286" s="12">
        <v>95.78</v>
      </c>
      <c r="H286" s="12">
        <v>122.2</v>
      </c>
      <c r="I286" s="13">
        <f t="shared" si="22"/>
        <v>862.02</v>
      </c>
      <c r="J286" s="13">
        <f t="shared" si="23"/>
        <v>1099.8</v>
      </c>
    </row>
    <row r="287" spans="1:10" s="1" customFormat="1" ht="25.5" customHeight="1" x14ac:dyDescent="0.2">
      <c r="A287" s="11" t="s">
        <v>78</v>
      </c>
      <c r="B287" s="11" t="s">
        <v>587</v>
      </c>
      <c r="C287" s="806" t="s">
        <v>588</v>
      </c>
      <c r="D287" s="807"/>
      <c r="E287" s="11" t="s">
        <v>102</v>
      </c>
      <c r="F287" s="12">
        <v>1</v>
      </c>
      <c r="G287" s="13">
        <v>1067.05</v>
      </c>
      <c r="H287" s="13">
        <v>1361.45</v>
      </c>
      <c r="I287" s="13">
        <f t="shared" si="22"/>
        <v>1067.05</v>
      </c>
      <c r="J287" s="13">
        <f t="shared" si="23"/>
        <v>1361.45</v>
      </c>
    </row>
    <row r="288" spans="1:10" s="1" customFormat="1" ht="25.5" customHeight="1" x14ac:dyDescent="0.2">
      <c r="A288" s="11" t="s">
        <v>308</v>
      </c>
      <c r="B288" s="11" t="s">
        <v>589</v>
      </c>
      <c r="C288" s="806" t="s">
        <v>590</v>
      </c>
      <c r="D288" s="807"/>
      <c r="E288" s="11" t="s">
        <v>102</v>
      </c>
      <c r="F288" s="12">
        <v>9</v>
      </c>
      <c r="G288" s="12">
        <v>49.99</v>
      </c>
      <c r="H288" s="12">
        <v>63.78</v>
      </c>
      <c r="I288" s="13">
        <f t="shared" si="22"/>
        <v>449.91</v>
      </c>
      <c r="J288" s="13">
        <f t="shared" si="23"/>
        <v>574.02</v>
      </c>
    </row>
    <row r="289" spans="1:11" s="1" customFormat="1" ht="25.5" customHeight="1" x14ac:dyDescent="0.2">
      <c r="A289" s="11" t="s">
        <v>308</v>
      </c>
      <c r="B289" s="11" t="s">
        <v>591</v>
      </c>
      <c r="C289" s="806" t="s">
        <v>592</v>
      </c>
      <c r="D289" s="807"/>
      <c r="E289" s="11" t="s">
        <v>102</v>
      </c>
      <c r="F289" s="12">
        <v>2</v>
      </c>
      <c r="G289" s="12">
        <v>205.99</v>
      </c>
      <c r="H289" s="12">
        <v>262.82</v>
      </c>
      <c r="I289" s="13">
        <f t="shared" si="22"/>
        <v>411.98</v>
      </c>
      <c r="J289" s="13">
        <f t="shared" si="23"/>
        <v>525.64</v>
      </c>
    </row>
    <row r="290" spans="1:11" s="1" customFormat="1" ht="25.5" customHeight="1" x14ac:dyDescent="0.2">
      <c r="A290" s="11" t="s">
        <v>308</v>
      </c>
      <c r="B290" s="11" t="s">
        <v>593</v>
      </c>
      <c r="C290" s="806" t="s">
        <v>594</v>
      </c>
      <c r="D290" s="807"/>
      <c r="E290" s="11" t="s">
        <v>102</v>
      </c>
      <c r="F290" s="12">
        <v>6</v>
      </c>
      <c r="G290" s="12">
        <v>0.17</v>
      </c>
      <c r="H290" s="12">
        <v>0.22</v>
      </c>
      <c r="I290" s="13">
        <f t="shared" si="22"/>
        <v>1.02</v>
      </c>
      <c r="J290" s="13">
        <f t="shared" si="23"/>
        <v>1.32</v>
      </c>
    </row>
    <row r="291" spans="1:11" s="1" customFormat="1" ht="25.5" customHeight="1" x14ac:dyDescent="0.2">
      <c r="A291" s="11" t="s">
        <v>308</v>
      </c>
      <c r="B291" s="11" t="s">
        <v>595</v>
      </c>
      <c r="C291" s="806" t="s">
        <v>596</v>
      </c>
      <c r="D291" s="807"/>
      <c r="E291" s="11" t="s">
        <v>102</v>
      </c>
      <c r="F291" s="12">
        <v>13</v>
      </c>
      <c r="G291" s="12">
        <v>0.25</v>
      </c>
      <c r="H291" s="12">
        <v>0.32</v>
      </c>
      <c r="I291" s="13">
        <f t="shared" si="22"/>
        <v>3.25</v>
      </c>
      <c r="J291" s="13">
        <f t="shared" si="23"/>
        <v>4.16</v>
      </c>
    </row>
    <row r="292" spans="1:11" s="1" customFormat="1" ht="25.5" customHeight="1" x14ac:dyDescent="0.2">
      <c r="A292" s="11" t="s">
        <v>308</v>
      </c>
      <c r="B292" s="11" t="s">
        <v>597</v>
      </c>
      <c r="C292" s="806" t="s">
        <v>598</v>
      </c>
      <c r="D292" s="807"/>
      <c r="E292" s="11" t="s">
        <v>102</v>
      </c>
      <c r="F292" s="12">
        <v>13</v>
      </c>
      <c r="G292" s="12">
        <v>0.54</v>
      </c>
      <c r="H292" s="12">
        <v>0.69</v>
      </c>
      <c r="I292" s="13">
        <f t="shared" si="22"/>
        <v>7.0200000000000005</v>
      </c>
      <c r="J292" s="13">
        <f t="shared" si="23"/>
        <v>8.9699999999999989</v>
      </c>
    </row>
    <row r="293" spans="1:11" s="1" customFormat="1" ht="25.5" customHeight="1" x14ac:dyDescent="0.2">
      <c r="A293" s="11" t="s">
        <v>308</v>
      </c>
      <c r="B293" s="11" t="s">
        <v>599</v>
      </c>
      <c r="C293" s="806" t="s">
        <v>600</v>
      </c>
      <c r="D293" s="807"/>
      <c r="E293" s="11" t="s">
        <v>102</v>
      </c>
      <c r="F293" s="12">
        <v>20</v>
      </c>
      <c r="G293" s="12">
        <v>0.62</v>
      </c>
      <c r="H293" s="12">
        <v>0.79</v>
      </c>
      <c r="I293" s="13">
        <f t="shared" si="22"/>
        <v>12.4</v>
      </c>
      <c r="J293" s="13">
        <f t="shared" si="23"/>
        <v>15.8</v>
      </c>
    </row>
    <row r="294" spans="1:11" s="1" customFormat="1" ht="25.5" customHeight="1" x14ac:dyDescent="0.2">
      <c r="A294" s="11" t="s">
        <v>308</v>
      </c>
      <c r="B294" s="11" t="s">
        <v>601</v>
      </c>
      <c r="C294" s="806" t="s">
        <v>602</v>
      </c>
      <c r="D294" s="807"/>
      <c r="E294" s="11" t="s">
        <v>102</v>
      </c>
      <c r="F294" s="12">
        <v>8</v>
      </c>
      <c r="G294" s="12">
        <v>1.95</v>
      </c>
      <c r="H294" s="12">
        <v>2.4900000000000002</v>
      </c>
      <c r="I294" s="13">
        <f t="shared" si="22"/>
        <v>15.6</v>
      </c>
      <c r="J294" s="13">
        <f t="shared" si="23"/>
        <v>19.920000000000002</v>
      </c>
    </row>
    <row r="295" spans="1:11" s="1" customFormat="1" ht="25.5" customHeight="1" x14ac:dyDescent="0.2">
      <c r="A295" s="10">
        <v>95547</v>
      </c>
      <c r="B295" s="11" t="s">
        <v>603</v>
      </c>
      <c r="C295" s="806" t="s">
        <v>604</v>
      </c>
      <c r="D295" s="807"/>
      <c r="E295" s="11" t="s">
        <v>102</v>
      </c>
      <c r="F295" s="12">
        <v>32</v>
      </c>
      <c r="G295" s="12">
        <v>48.53</v>
      </c>
      <c r="H295" s="12">
        <v>61.92</v>
      </c>
      <c r="I295" s="13">
        <f t="shared" si="22"/>
        <v>1552.96</v>
      </c>
      <c r="J295" s="13">
        <f t="shared" si="23"/>
        <v>1981.44</v>
      </c>
    </row>
    <row r="296" spans="1:11" s="1" customFormat="1" ht="25.5" customHeight="1" x14ac:dyDescent="0.2">
      <c r="A296" s="10">
        <v>95542</v>
      </c>
      <c r="B296" s="11" t="s">
        <v>605</v>
      </c>
      <c r="C296" s="806" t="s">
        <v>606</v>
      </c>
      <c r="D296" s="807"/>
      <c r="E296" s="11" t="s">
        <v>102</v>
      </c>
      <c r="F296" s="12">
        <v>30</v>
      </c>
      <c r="G296" s="12">
        <v>16.57</v>
      </c>
      <c r="H296" s="12">
        <v>21.14</v>
      </c>
      <c r="I296" s="13">
        <f t="shared" si="22"/>
        <v>497.1</v>
      </c>
      <c r="J296" s="13">
        <f t="shared" si="23"/>
        <v>634.20000000000005</v>
      </c>
    </row>
    <row r="297" spans="1:11" s="1" customFormat="1" ht="25.5" customHeight="1" x14ac:dyDescent="0.2">
      <c r="A297" s="11" t="s">
        <v>607</v>
      </c>
      <c r="B297" s="11" t="s">
        <v>608</v>
      </c>
      <c r="C297" s="806" t="s">
        <v>609</v>
      </c>
      <c r="D297" s="807"/>
      <c r="E297" s="11" t="s">
        <v>102</v>
      </c>
      <c r="F297" s="12">
        <v>23</v>
      </c>
      <c r="G297" s="12">
        <v>37.58</v>
      </c>
      <c r="H297" s="12">
        <v>47.94</v>
      </c>
      <c r="I297" s="13">
        <f t="shared" si="22"/>
        <v>864.33999999999992</v>
      </c>
      <c r="J297" s="13">
        <f t="shared" si="23"/>
        <v>1102.6199999999999</v>
      </c>
    </row>
    <row r="298" spans="1:11" s="1" customFormat="1" ht="25.5" customHeight="1" x14ac:dyDescent="0.2">
      <c r="A298" s="11" t="s">
        <v>610</v>
      </c>
      <c r="B298" s="11" t="s">
        <v>611</v>
      </c>
      <c r="C298" s="806" t="s">
        <v>612</v>
      </c>
      <c r="D298" s="807"/>
      <c r="E298" s="11" t="s">
        <v>102</v>
      </c>
      <c r="F298" s="12">
        <v>17</v>
      </c>
      <c r="G298" s="12">
        <v>30.88</v>
      </c>
      <c r="H298" s="12">
        <v>39.4</v>
      </c>
      <c r="I298" s="13">
        <f t="shared" si="22"/>
        <v>524.96</v>
      </c>
      <c r="J298" s="13">
        <f t="shared" si="23"/>
        <v>669.8</v>
      </c>
    </row>
    <row r="299" spans="1:11" s="1" customFormat="1" ht="25.5" customHeight="1" x14ac:dyDescent="0.2">
      <c r="A299" s="8"/>
      <c r="B299" s="803" t="s">
        <v>613</v>
      </c>
      <c r="C299" s="804"/>
      <c r="D299" s="804"/>
      <c r="E299" s="804"/>
      <c r="F299" s="804"/>
      <c r="G299" s="805"/>
      <c r="H299" s="8"/>
      <c r="I299" s="14">
        <f>SUM(I245:I298)-0.18</f>
        <v>42951.259999999995</v>
      </c>
      <c r="J299" s="15">
        <f>SUM(J245:J298)-0.23</f>
        <v>54801.520000000004</v>
      </c>
      <c r="K299" s="49"/>
    </row>
    <row r="300" spans="1:11" s="1" customFormat="1" ht="25.5" customHeight="1" x14ac:dyDescent="0.2">
      <c r="A300" s="8"/>
      <c r="B300" s="9" t="s">
        <v>614</v>
      </c>
      <c r="C300" s="808" t="s">
        <v>615</v>
      </c>
      <c r="D300" s="809"/>
      <c r="E300" s="8"/>
      <c r="F300" s="8"/>
      <c r="G300" s="8"/>
      <c r="H300" s="8"/>
      <c r="I300" s="8"/>
      <c r="J300" s="8"/>
    </row>
    <row r="301" spans="1:11" s="1" customFormat="1" ht="25.5" customHeight="1" x14ac:dyDescent="0.2">
      <c r="A301" s="11" t="s">
        <v>78</v>
      </c>
      <c r="B301" s="11" t="s">
        <v>616</v>
      </c>
      <c r="C301" s="806" t="s">
        <v>617</v>
      </c>
      <c r="D301" s="807"/>
      <c r="E301" s="11" t="s">
        <v>102</v>
      </c>
      <c r="F301" s="12">
        <v>2</v>
      </c>
      <c r="G301" s="13">
        <v>1100.49</v>
      </c>
      <c r="H301" s="13">
        <v>1404.12</v>
      </c>
      <c r="I301" s="13">
        <f>F301*G301</f>
        <v>2200.98</v>
      </c>
      <c r="J301" s="13">
        <f>F301*H301</f>
        <v>2808.24</v>
      </c>
    </row>
    <row r="302" spans="1:11" s="1" customFormat="1" ht="25.5" customHeight="1" x14ac:dyDescent="0.2">
      <c r="A302" s="11" t="s">
        <v>308</v>
      </c>
      <c r="B302" s="11" t="s">
        <v>618</v>
      </c>
      <c r="C302" s="806" t="s">
        <v>619</v>
      </c>
      <c r="D302" s="807"/>
      <c r="E302" s="11" t="s">
        <v>102</v>
      </c>
      <c r="F302" s="12">
        <v>1</v>
      </c>
      <c r="G302" s="12">
        <v>33</v>
      </c>
      <c r="H302" s="12">
        <v>42.1</v>
      </c>
      <c r="I302" s="13">
        <f>F302*G302</f>
        <v>33</v>
      </c>
      <c r="J302" s="13">
        <f>F302*H302</f>
        <v>42.1</v>
      </c>
    </row>
    <row r="303" spans="1:11" s="1" customFormat="1" ht="25.5" customHeight="1" x14ac:dyDescent="0.2">
      <c r="A303" s="11" t="s">
        <v>308</v>
      </c>
      <c r="B303" s="11" t="s">
        <v>620</v>
      </c>
      <c r="C303" s="806" t="s">
        <v>621</v>
      </c>
      <c r="D303" s="807"/>
      <c r="E303" s="11" t="s">
        <v>102</v>
      </c>
      <c r="F303" s="12">
        <v>2</v>
      </c>
      <c r="G303" s="12">
        <v>36.5</v>
      </c>
      <c r="H303" s="12">
        <v>46.57</v>
      </c>
      <c r="I303" s="13">
        <f>F303*G303</f>
        <v>73</v>
      </c>
      <c r="J303" s="13">
        <f>F303*H303</f>
        <v>93.14</v>
      </c>
    </row>
    <row r="304" spans="1:11" s="1" customFormat="1" ht="25.5" customHeight="1" x14ac:dyDescent="0.2">
      <c r="A304" s="8"/>
      <c r="B304" s="803" t="s">
        <v>622</v>
      </c>
      <c r="C304" s="804"/>
      <c r="D304" s="804"/>
      <c r="E304" s="804"/>
      <c r="F304" s="804"/>
      <c r="G304" s="805"/>
      <c r="H304" s="8"/>
      <c r="I304" s="14">
        <f>SUM(I301:I303)</f>
        <v>2306.98</v>
      </c>
      <c r="J304" s="15">
        <f>SUM(J301:J303)</f>
        <v>2943.4799999999996</v>
      </c>
    </row>
    <row r="305" spans="1:10" s="1" customFormat="1" ht="25.5" customHeight="1" x14ac:dyDescent="0.2">
      <c r="A305" s="8"/>
      <c r="B305" s="9" t="s">
        <v>623</v>
      </c>
      <c r="C305" s="808" t="s">
        <v>624</v>
      </c>
      <c r="D305" s="809"/>
      <c r="E305" s="8"/>
      <c r="F305" s="8"/>
      <c r="G305" s="8"/>
      <c r="H305" s="8"/>
      <c r="I305" s="8"/>
      <c r="J305" s="8"/>
    </row>
    <row r="306" spans="1:10" s="1" customFormat="1" ht="25.5" customHeight="1" x14ac:dyDescent="0.2">
      <c r="A306" s="8"/>
      <c r="B306" s="9" t="s">
        <v>625</v>
      </c>
      <c r="C306" s="808" t="s">
        <v>626</v>
      </c>
      <c r="D306" s="809"/>
      <c r="E306" s="8"/>
      <c r="F306" s="8"/>
      <c r="G306" s="8"/>
      <c r="H306" s="8"/>
      <c r="I306" s="8"/>
      <c r="J306" s="8"/>
    </row>
    <row r="307" spans="1:10" s="1" customFormat="1" ht="25.5" customHeight="1" x14ac:dyDescent="0.2">
      <c r="A307" s="10">
        <v>92688</v>
      </c>
      <c r="B307" s="21">
        <v>42736</v>
      </c>
      <c r="C307" s="806" t="s">
        <v>627</v>
      </c>
      <c r="D307" s="807"/>
      <c r="E307" s="11" t="s">
        <v>81</v>
      </c>
      <c r="F307" s="12">
        <v>18</v>
      </c>
      <c r="G307" s="12">
        <v>25.9</v>
      </c>
      <c r="H307" s="12">
        <v>33.049999999999997</v>
      </c>
      <c r="I307" s="13">
        <f>F307*G307</f>
        <v>466.2</v>
      </c>
      <c r="J307" s="13">
        <f>F307*H307</f>
        <v>594.9</v>
      </c>
    </row>
    <row r="308" spans="1:10" s="1" customFormat="1" ht="25.5" customHeight="1" x14ac:dyDescent="0.2">
      <c r="A308" s="10">
        <v>97535</v>
      </c>
      <c r="B308" s="21">
        <v>42737</v>
      </c>
      <c r="C308" s="806" t="s">
        <v>628</v>
      </c>
      <c r="D308" s="807"/>
      <c r="E308" s="11" t="s">
        <v>81</v>
      </c>
      <c r="F308" s="12">
        <v>24</v>
      </c>
      <c r="G308" s="12">
        <v>32.049999999999997</v>
      </c>
      <c r="H308" s="12">
        <v>40.89</v>
      </c>
      <c r="I308" s="13">
        <f>F308*G308</f>
        <v>769.19999999999993</v>
      </c>
      <c r="J308" s="13">
        <f>F308*H308</f>
        <v>981.36</v>
      </c>
    </row>
    <row r="309" spans="1:10" s="1" customFormat="1" ht="25.5" customHeight="1" x14ac:dyDescent="0.2">
      <c r="A309" s="10">
        <v>92653</v>
      </c>
      <c r="B309" s="21">
        <v>42738</v>
      </c>
      <c r="C309" s="806" t="s">
        <v>629</v>
      </c>
      <c r="D309" s="807"/>
      <c r="E309" s="11" t="s">
        <v>81</v>
      </c>
      <c r="F309" s="12">
        <v>36</v>
      </c>
      <c r="G309" s="12">
        <v>43.81</v>
      </c>
      <c r="H309" s="12">
        <v>55.9</v>
      </c>
      <c r="I309" s="13">
        <f>F309*G309</f>
        <v>1577.16</v>
      </c>
      <c r="J309" s="13">
        <f>F309*H309</f>
        <v>2012.3999999999999</v>
      </c>
    </row>
    <row r="310" spans="1:10" s="1" customFormat="1" ht="25.5" customHeight="1" x14ac:dyDescent="0.2">
      <c r="A310" s="10">
        <v>92656</v>
      </c>
      <c r="B310" s="21">
        <v>42739</v>
      </c>
      <c r="C310" s="806" t="s">
        <v>630</v>
      </c>
      <c r="D310" s="807"/>
      <c r="E310" s="11" t="s">
        <v>81</v>
      </c>
      <c r="F310" s="12">
        <v>12</v>
      </c>
      <c r="G310" s="12">
        <v>79.11</v>
      </c>
      <c r="H310" s="12">
        <v>100.94</v>
      </c>
      <c r="I310" s="13">
        <f>F310*G310</f>
        <v>949.31999999999994</v>
      </c>
      <c r="J310" s="13">
        <f>F310*H310</f>
        <v>1211.28</v>
      </c>
    </row>
    <row r="311" spans="1:10" s="1" customFormat="1" ht="25.5" customHeight="1" x14ac:dyDescent="0.2">
      <c r="A311" s="8"/>
      <c r="B311" s="9" t="s">
        <v>631</v>
      </c>
      <c r="C311" s="808" t="s">
        <v>632</v>
      </c>
      <c r="D311" s="809"/>
      <c r="E311" s="8"/>
      <c r="F311" s="8"/>
      <c r="G311" s="8"/>
      <c r="H311" s="8"/>
      <c r="I311" s="8"/>
      <c r="J311" s="8"/>
    </row>
    <row r="312" spans="1:10" s="1" customFormat="1" ht="25.5" customHeight="1" x14ac:dyDescent="0.2">
      <c r="A312" s="10">
        <v>92939</v>
      </c>
      <c r="B312" s="21">
        <v>42767</v>
      </c>
      <c r="C312" s="806" t="s">
        <v>633</v>
      </c>
      <c r="D312" s="807"/>
      <c r="E312" s="11" t="s">
        <v>102</v>
      </c>
      <c r="F312" s="12">
        <v>2</v>
      </c>
      <c r="G312" s="12">
        <v>17.52</v>
      </c>
      <c r="H312" s="12">
        <v>22.35</v>
      </c>
      <c r="I312" s="13">
        <f>F312*G312</f>
        <v>35.04</v>
      </c>
      <c r="J312" s="13">
        <f>F312*H312</f>
        <v>44.7</v>
      </c>
    </row>
    <row r="313" spans="1:10" s="1" customFormat="1" ht="25.5" customHeight="1" x14ac:dyDescent="0.2">
      <c r="A313" s="8"/>
      <c r="B313" s="9" t="s">
        <v>634</v>
      </c>
      <c r="C313" s="808" t="s">
        <v>635</v>
      </c>
      <c r="D313" s="809"/>
      <c r="E313" s="8"/>
      <c r="F313" s="8"/>
      <c r="G313" s="8"/>
      <c r="H313" s="8"/>
      <c r="I313" s="8"/>
      <c r="J313" s="8"/>
    </row>
    <row r="314" spans="1:10" s="1" customFormat="1" ht="25.5" customHeight="1" x14ac:dyDescent="0.2">
      <c r="A314" s="10">
        <v>92701</v>
      </c>
      <c r="B314" s="21">
        <v>42795</v>
      </c>
      <c r="C314" s="806" t="s">
        <v>636</v>
      </c>
      <c r="D314" s="807"/>
      <c r="E314" s="11" t="s">
        <v>102</v>
      </c>
      <c r="F314" s="12">
        <v>4</v>
      </c>
      <c r="G314" s="12">
        <v>21.04</v>
      </c>
      <c r="H314" s="12">
        <v>26.84</v>
      </c>
      <c r="I314" s="13">
        <f>F314*G314</f>
        <v>84.16</v>
      </c>
      <c r="J314" s="13">
        <f>F314*H314</f>
        <v>107.36</v>
      </c>
    </row>
    <row r="315" spans="1:10" s="1" customFormat="1" ht="25.5" customHeight="1" x14ac:dyDescent="0.2">
      <c r="A315" s="10">
        <v>92674</v>
      </c>
      <c r="B315" s="21">
        <v>42796</v>
      </c>
      <c r="C315" s="806" t="s">
        <v>637</v>
      </c>
      <c r="D315" s="807"/>
      <c r="E315" s="11" t="s">
        <v>102</v>
      </c>
      <c r="F315" s="12">
        <v>4</v>
      </c>
      <c r="G315" s="12">
        <v>34.25</v>
      </c>
      <c r="H315" s="12">
        <v>43.7</v>
      </c>
      <c r="I315" s="13">
        <f>F315*G315</f>
        <v>137</v>
      </c>
      <c r="J315" s="13">
        <f>F315*H315</f>
        <v>174.8</v>
      </c>
    </row>
    <row r="316" spans="1:10" s="1" customFormat="1" ht="25.5" customHeight="1" x14ac:dyDescent="0.2">
      <c r="A316" s="10">
        <v>92703</v>
      </c>
      <c r="B316" s="21">
        <v>42797</v>
      </c>
      <c r="C316" s="806" t="s">
        <v>638</v>
      </c>
      <c r="D316" s="807"/>
      <c r="E316" s="11" t="s">
        <v>102</v>
      </c>
      <c r="F316" s="12">
        <v>15</v>
      </c>
      <c r="G316" s="12">
        <v>33.51</v>
      </c>
      <c r="H316" s="12">
        <v>42.76</v>
      </c>
      <c r="I316" s="13">
        <f>F316*G316</f>
        <v>502.65</v>
      </c>
      <c r="J316" s="13">
        <f>F316*H316</f>
        <v>641.4</v>
      </c>
    </row>
    <row r="317" spans="1:10" s="1" customFormat="1" ht="25.5" customHeight="1" x14ac:dyDescent="0.2">
      <c r="A317" s="10">
        <v>92680</v>
      </c>
      <c r="B317" s="21">
        <v>42798</v>
      </c>
      <c r="C317" s="806" t="s">
        <v>639</v>
      </c>
      <c r="D317" s="807"/>
      <c r="E317" s="11" t="s">
        <v>102</v>
      </c>
      <c r="F317" s="12">
        <v>8</v>
      </c>
      <c r="G317" s="12">
        <v>87.03</v>
      </c>
      <c r="H317" s="12">
        <v>111.04</v>
      </c>
      <c r="I317" s="13">
        <f>F317*G317</f>
        <v>696.24</v>
      </c>
      <c r="J317" s="13">
        <f>F317*H317</f>
        <v>888.32</v>
      </c>
    </row>
    <row r="318" spans="1:10" s="1" customFormat="1" ht="25.5" customHeight="1" x14ac:dyDescent="0.2">
      <c r="A318" s="8"/>
      <c r="B318" s="9" t="s">
        <v>640</v>
      </c>
      <c r="C318" s="808" t="s">
        <v>641</v>
      </c>
      <c r="D318" s="809"/>
      <c r="E318" s="8"/>
      <c r="F318" s="8"/>
      <c r="G318" s="8"/>
      <c r="H318" s="8"/>
      <c r="I318" s="8"/>
      <c r="J318" s="8"/>
    </row>
    <row r="319" spans="1:10" s="1" customFormat="1" ht="25.5" customHeight="1" x14ac:dyDescent="0.2">
      <c r="A319" s="10">
        <v>92658</v>
      </c>
      <c r="B319" s="21">
        <v>42826</v>
      </c>
      <c r="C319" s="806" t="s">
        <v>642</v>
      </c>
      <c r="D319" s="807"/>
      <c r="E319" s="11" t="s">
        <v>102</v>
      </c>
      <c r="F319" s="12">
        <v>1</v>
      </c>
      <c r="G319" s="12">
        <v>17.47</v>
      </c>
      <c r="H319" s="12">
        <v>22.29</v>
      </c>
      <c r="I319" s="13">
        <f>F319*G319</f>
        <v>17.47</v>
      </c>
      <c r="J319" s="13">
        <f>F319*H319</f>
        <v>22.29</v>
      </c>
    </row>
    <row r="320" spans="1:10" s="1" customFormat="1" ht="25.5" customHeight="1" x14ac:dyDescent="0.2">
      <c r="A320" s="10">
        <v>92662</v>
      </c>
      <c r="B320" s="21">
        <v>42827</v>
      </c>
      <c r="C320" s="806" t="s">
        <v>643</v>
      </c>
      <c r="D320" s="807"/>
      <c r="E320" s="11" t="s">
        <v>102</v>
      </c>
      <c r="F320" s="12">
        <v>1</v>
      </c>
      <c r="G320" s="12">
        <v>23.58</v>
      </c>
      <c r="H320" s="12">
        <v>30.09</v>
      </c>
      <c r="I320" s="13">
        <f>F320*G320</f>
        <v>23.58</v>
      </c>
      <c r="J320" s="13">
        <f>F320*H320</f>
        <v>30.09</v>
      </c>
    </row>
    <row r="321" spans="1:10" s="1" customFormat="1" ht="25.5" customHeight="1" x14ac:dyDescent="0.2">
      <c r="A321" s="8"/>
      <c r="B321" s="9" t="s">
        <v>644</v>
      </c>
      <c r="C321" s="808" t="s">
        <v>450</v>
      </c>
      <c r="D321" s="809"/>
      <c r="E321" s="8"/>
      <c r="F321" s="8"/>
      <c r="G321" s="8"/>
      <c r="H321" s="8"/>
      <c r="I321" s="8"/>
      <c r="J321" s="8"/>
    </row>
    <row r="322" spans="1:10" s="1" customFormat="1" ht="25.5" customHeight="1" x14ac:dyDescent="0.2">
      <c r="A322" s="10">
        <v>92683</v>
      </c>
      <c r="B322" s="21">
        <v>42856</v>
      </c>
      <c r="C322" s="806" t="s">
        <v>645</v>
      </c>
      <c r="D322" s="807"/>
      <c r="E322" s="11" t="s">
        <v>102</v>
      </c>
      <c r="F322" s="12">
        <v>1</v>
      </c>
      <c r="G322" s="12">
        <v>45.08</v>
      </c>
      <c r="H322" s="12">
        <v>57.52</v>
      </c>
      <c r="I322" s="13">
        <f>F322*G322</f>
        <v>45.08</v>
      </c>
      <c r="J322" s="13">
        <f>F322*H322</f>
        <v>57.52</v>
      </c>
    </row>
    <row r="323" spans="1:10" s="1" customFormat="1" ht="25.5" customHeight="1" x14ac:dyDescent="0.2">
      <c r="A323" s="10">
        <v>92681</v>
      </c>
      <c r="B323" s="21">
        <v>42857</v>
      </c>
      <c r="C323" s="806" t="s">
        <v>646</v>
      </c>
      <c r="D323" s="807"/>
      <c r="E323" s="11" t="s">
        <v>102</v>
      </c>
      <c r="F323" s="12">
        <v>2</v>
      </c>
      <c r="G323" s="12">
        <v>32.270000000000003</v>
      </c>
      <c r="H323" s="12">
        <v>41.17</v>
      </c>
      <c r="I323" s="13">
        <f>F323*G323</f>
        <v>64.540000000000006</v>
      </c>
      <c r="J323" s="13">
        <f>F323*H323</f>
        <v>82.34</v>
      </c>
    </row>
    <row r="324" spans="1:10" s="1" customFormat="1" ht="25.5" customHeight="1" x14ac:dyDescent="0.2">
      <c r="A324" s="11" t="s">
        <v>78</v>
      </c>
      <c r="B324" s="21">
        <v>42858</v>
      </c>
      <c r="C324" s="806" t="s">
        <v>647</v>
      </c>
      <c r="D324" s="807"/>
      <c r="E324" s="11" t="s">
        <v>102</v>
      </c>
      <c r="F324" s="12">
        <v>1</v>
      </c>
      <c r="G324" s="12">
        <v>32.92</v>
      </c>
      <c r="H324" s="12">
        <v>42.01</v>
      </c>
      <c r="I324" s="13">
        <f>F324*G324</f>
        <v>32.92</v>
      </c>
      <c r="J324" s="13">
        <f>F324*H324</f>
        <v>42.01</v>
      </c>
    </row>
    <row r="325" spans="1:10" s="1" customFormat="1" ht="25.5" customHeight="1" x14ac:dyDescent="0.2">
      <c r="A325" s="8"/>
      <c r="B325" s="9" t="s">
        <v>648</v>
      </c>
      <c r="C325" s="808" t="s">
        <v>473</v>
      </c>
      <c r="D325" s="809"/>
      <c r="E325" s="8"/>
      <c r="F325" s="8"/>
      <c r="G325" s="8"/>
      <c r="H325" s="8"/>
      <c r="I325" s="8"/>
      <c r="J325" s="8"/>
    </row>
    <row r="326" spans="1:10" s="1" customFormat="1" ht="25.5" customHeight="1" x14ac:dyDescent="0.2">
      <c r="A326" s="10">
        <v>92898</v>
      </c>
      <c r="B326" s="21">
        <v>42887</v>
      </c>
      <c r="C326" s="806" t="s">
        <v>649</v>
      </c>
      <c r="D326" s="807"/>
      <c r="E326" s="11" t="s">
        <v>102</v>
      </c>
      <c r="F326" s="12">
        <v>4</v>
      </c>
      <c r="G326" s="12">
        <v>27.29</v>
      </c>
      <c r="H326" s="12">
        <v>34.82</v>
      </c>
      <c r="I326" s="13">
        <f>F326*G326</f>
        <v>109.16</v>
      </c>
      <c r="J326" s="13">
        <f>F326*H326</f>
        <v>139.28</v>
      </c>
    </row>
    <row r="327" spans="1:10" s="1" customFormat="1" ht="25.5" customHeight="1" x14ac:dyDescent="0.2">
      <c r="A327" s="10">
        <v>92900</v>
      </c>
      <c r="B327" s="21">
        <v>42888</v>
      </c>
      <c r="C327" s="806" t="s">
        <v>650</v>
      </c>
      <c r="D327" s="807"/>
      <c r="E327" s="11" t="s">
        <v>102</v>
      </c>
      <c r="F327" s="12">
        <v>2</v>
      </c>
      <c r="G327" s="12">
        <v>46.5</v>
      </c>
      <c r="H327" s="12">
        <v>59.33</v>
      </c>
      <c r="I327" s="13">
        <f>F327*G327</f>
        <v>93</v>
      </c>
      <c r="J327" s="13">
        <f>F327*H327</f>
        <v>118.66</v>
      </c>
    </row>
    <row r="328" spans="1:10" s="1" customFormat="1" ht="25.5" customHeight="1" x14ac:dyDescent="0.2">
      <c r="A328" s="8"/>
      <c r="B328" s="9" t="s">
        <v>651</v>
      </c>
      <c r="C328" s="808" t="s">
        <v>652</v>
      </c>
      <c r="D328" s="809"/>
      <c r="E328" s="8"/>
      <c r="F328" s="8"/>
      <c r="G328" s="8"/>
      <c r="H328" s="8"/>
      <c r="I328" s="8"/>
      <c r="J328" s="8"/>
    </row>
    <row r="329" spans="1:10" s="1" customFormat="1" ht="25.5" customHeight="1" x14ac:dyDescent="0.2">
      <c r="A329" s="11" t="s">
        <v>78</v>
      </c>
      <c r="B329" s="21">
        <v>42917</v>
      </c>
      <c r="C329" s="806" t="s">
        <v>653</v>
      </c>
      <c r="D329" s="807"/>
      <c r="E329" s="11" t="s">
        <v>102</v>
      </c>
      <c r="F329" s="12">
        <v>2</v>
      </c>
      <c r="G329" s="12">
        <v>20.03</v>
      </c>
      <c r="H329" s="12">
        <v>25.55</v>
      </c>
      <c r="I329" s="13">
        <f>F329*G329</f>
        <v>40.06</v>
      </c>
      <c r="J329" s="13">
        <f>F329*H329</f>
        <v>51.1</v>
      </c>
    </row>
    <row r="330" spans="1:10" s="1" customFormat="1" ht="25.5" customHeight="1" x14ac:dyDescent="0.2">
      <c r="A330" s="8"/>
      <c r="B330" s="803" t="s">
        <v>654</v>
      </c>
      <c r="C330" s="804"/>
      <c r="D330" s="804"/>
      <c r="E330" s="804"/>
      <c r="F330" s="804"/>
      <c r="G330" s="805"/>
      <c r="H330" s="8"/>
      <c r="I330" s="14">
        <f>SUM(I307:I329)-0.01</f>
        <v>5642.7699999999995</v>
      </c>
      <c r="J330" s="15">
        <f>SUM(J307:J329)-0.2</f>
        <v>7199.61</v>
      </c>
    </row>
    <row r="331" spans="1:10" s="1" customFormat="1" ht="25.5" customHeight="1" x14ac:dyDescent="0.2">
      <c r="A331" s="8"/>
      <c r="B331" s="46"/>
      <c r="C331" s="821"/>
      <c r="D331" s="822"/>
      <c r="E331" s="8"/>
      <c r="F331" s="8"/>
      <c r="G331" s="8"/>
      <c r="H331" s="8"/>
      <c r="I331" s="8"/>
      <c r="J331" s="8"/>
    </row>
    <row r="332" spans="1:10" s="1" customFormat="1" ht="25.5" customHeight="1" x14ac:dyDescent="0.2">
      <c r="A332" s="8"/>
      <c r="B332" s="9" t="s">
        <v>655</v>
      </c>
      <c r="C332" s="808" t="s">
        <v>656</v>
      </c>
      <c r="D332" s="809"/>
      <c r="E332" s="8"/>
      <c r="F332" s="8"/>
      <c r="G332" s="8"/>
      <c r="H332" s="8"/>
      <c r="I332" s="8"/>
      <c r="J332" s="8"/>
    </row>
    <row r="333" spans="1:10" s="1" customFormat="1" ht="25.5" customHeight="1" x14ac:dyDescent="0.2">
      <c r="A333" s="8"/>
      <c r="B333" s="9" t="s">
        <v>657</v>
      </c>
      <c r="C333" s="808" t="s">
        <v>626</v>
      </c>
      <c r="D333" s="809"/>
      <c r="E333" s="8"/>
      <c r="F333" s="8"/>
      <c r="G333" s="8"/>
      <c r="H333" s="8"/>
      <c r="I333" s="8"/>
      <c r="J333" s="8"/>
    </row>
    <row r="334" spans="1:10" s="1" customFormat="1" ht="25.5" customHeight="1" x14ac:dyDescent="0.2">
      <c r="A334" s="11" t="s">
        <v>78</v>
      </c>
      <c r="B334" s="21">
        <v>43101</v>
      </c>
      <c r="C334" s="806" t="s">
        <v>658</v>
      </c>
      <c r="D334" s="807"/>
      <c r="E334" s="11" t="s">
        <v>81</v>
      </c>
      <c r="F334" s="12">
        <v>15.5</v>
      </c>
      <c r="G334" s="12">
        <v>15.13</v>
      </c>
      <c r="H334" s="12">
        <v>19.3</v>
      </c>
      <c r="I334" s="13">
        <f t="shared" ref="I334:I339" si="24">F334*G334</f>
        <v>234.51500000000001</v>
      </c>
      <c r="J334" s="13">
        <f t="shared" ref="J334:J339" si="25">F334*H334</f>
        <v>299.15000000000003</v>
      </c>
    </row>
    <row r="335" spans="1:10" s="1" customFormat="1" ht="25.5" customHeight="1" x14ac:dyDescent="0.2">
      <c r="A335" s="11" t="s">
        <v>78</v>
      </c>
      <c r="B335" s="21">
        <v>43102</v>
      </c>
      <c r="C335" s="806" t="s">
        <v>659</v>
      </c>
      <c r="D335" s="807"/>
      <c r="E335" s="11" t="s">
        <v>81</v>
      </c>
      <c r="F335" s="12">
        <v>127.6</v>
      </c>
      <c r="G335" s="12">
        <v>29.08</v>
      </c>
      <c r="H335" s="12">
        <v>37.1</v>
      </c>
      <c r="I335" s="13">
        <f t="shared" si="24"/>
        <v>3710.6079999999997</v>
      </c>
      <c r="J335" s="13">
        <f t="shared" si="25"/>
        <v>4733.96</v>
      </c>
    </row>
    <row r="336" spans="1:10" s="1" customFormat="1" ht="25.5" customHeight="1" x14ac:dyDescent="0.2">
      <c r="A336" s="11" t="s">
        <v>78</v>
      </c>
      <c r="B336" s="21">
        <v>43103</v>
      </c>
      <c r="C336" s="806" t="s">
        <v>660</v>
      </c>
      <c r="D336" s="807"/>
      <c r="E336" s="11" t="s">
        <v>81</v>
      </c>
      <c r="F336" s="12">
        <v>18</v>
      </c>
      <c r="G336" s="12">
        <v>25.97</v>
      </c>
      <c r="H336" s="12">
        <v>33.14</v>
      </c>
      <c r="I336" s="13">
        <f t="shared" si="24"/>
        <v>467.46</v>
      </c>
      <c r="J336" s="13">
        <f t="shared" si="25"/>
        <v>596.52</v>
      </c>
    </row>
    <row r="337" spans="1:10" s="1" customFormat="1" ht="25.5" customHeight="1" x14ac:dyDescent="0.2">
      <c r="A337" s="11" t="s">
        <v>78</v>
      </c>
      <c r="B337" s="21">
        <v>43104</v>
      </c>
      <c r="C337" s="806" t="s">
        <v>661</v>
      </c>
      <c r="D337" s="807"/>
      <c r="E337" s="11" t="s">
        <v>81</v>
      </c>
      <c r="F337" s="12">
        <v>28.7</v>
      </c>
      <c r="G337" s="12">
        <v>39.630000000000003</v>
      </c>
      <c r="H337" s="12">
        <v>50.56</v>
      </c>
      <c r="I337" s="13">
        <f t="shared" si="24"/>
        <v>1137.3810000000001</v>
      </c>
      <c r="J337" s="13">
        <f t="shared" si="25"/>
        <v>1451.0720000000001</v>
      </c>
    </row>
    <row r="338" spans="1:10" s="1" customFormat="1" ht="25.5" customHeight="1" x14ac:dyDescent="0.2">
      <c r="A338" s="11" t="s">
        <v>78</v>
      </c>
      <c r="B338" s="21">
        <v>43105</v>
      </c>
      <c r="C338" s="806" t="s">
        <v>662</v>
      </c>
      <c r="D338" s="807"/>
      <c r="E338" s="11" t="s">
        <v>81</v>
      </c>
      <c r="F338" s="12">
        <v>34.9</v>
      </c>
      <c r="G338" s="12">
        <v>65.430000000000007</v>
      </c>
      <c r="H338" s="12">
        <v>83.48</v>
      </c>
      <c r="I338" s="13">
        <f t="shared" si="24"/>
        <v>2283.5070000000001</v>
      </c>
      <c r="J338" s="13">
        <f t="shared" si="25"/>
        <v>2913.4520000000002</v>
      </c>
    </row>
    <row r="339" spans="1:10" s="1" customFormat="1" ht="25.5" customHeight="1" x14ac:dyDescent="0.2">
      <c r="A339" s="11" t="s">
        <v>78</v>
      </c>
      <c r="B339" s="21">
        <v>43106</v>
      </c>
      <c r="C339" s="806" t="s">
        <v>663</v>
      </c>
      <c r="D339" s="807"/>
      <c r="E339" s="11" t="s">
        <v>81</v>
      </c>
      <c r="F339" s="12">
        <v>13</v>
      </c>
      <c r="G339" s="12">
        <v>103.37</v>
      </c>
      <c r="H339" s="12">
        <v>131.88999999999999</v>
      </c>
      <c r="I339" s="13">
        <f t="shared" si="24"/>
        <v>1343.81</v>
      </c>
      <c r="J339" s="13">
        <f t="shared" si="25"/>
        <v>1714.5699999999997</v>
      </c>
    </row>
    <row r="340" spans="1:10" s="1" customFormat="1" ht="25.5" customHeight="1" x14ac:dyDescent="0.2">
      <c r="A340" s="8"/>
      <c r="B340" s="9" t="s">
        <v>664</v>
      </c>
      <c r="C340" s="808" t="s">
        <v>665</v>
      </c>
      <c r="D340" s="809"/>
      <c r="E340" s="8"/>
      <c r="F340" s="8"/>
      <c r="G340" s="8"/>
      <c r="H340" s="8"/>
      <c r="I340" s="8"/>
      <c r="J340" s="8"/>
    </row>
    <row r="341" spans="1:10" s="1" customFormat="1" ht="25.5" customHeight="1" x14ac:dyDescent="0.2">
      <c r="A341" s="10">
        <v>89592</v>
      </c>
      <c r="B341" s="21">
        <v>43132</v>
      </c>
      <c r="C341" s="806" t="s">
        <v>666</v>
      </c>
      <c r="D341" s="807"/>
      <c r="E341" s="11" t="s">
        <v>102</v>
      </c>
      <c r="F341" s="12">
        <v>11</v>
      </c>
      <c r="G341" s="12">
        <v>231.71</v>
      </c>
      <c r="H341" s="12">
        <v>295.63</v>
      </c>
      <c r="I341" s="13">
        <f>F341*G341</f>
        <v>2548.81</v>
      </c>
      <c r="J341" s="13">
        <f>F341*H341</f>
        <v>3251.93</v>
      </c>
    </row>
    <row r="342" spans="1:10" s="1" customFormat="1" ht="25.5" customHeight="1" x14ac:dyDescent="0.2">
      <c r="A342" s="10">
        <v>89587</v>
      </c>
      <c r="B342" s="21">
        <v>43133</v>
      </c>
      <c r="C342" s="806" t="s">
        <v>667</v>
      </c>
      <c r="D342" s="807"/>
      <c r="E342" s="11" t="s">
        <v>102</v>
      </c>
      <c r="F342" s="12">
        <v>1</v>
      </c>
      <c r="G342" s="12">
        <v>35.79</v>
      </c>
      <c r="H342" s="12">
        <v>45.67</v>
      </c>
      <c r="I342" s="13">
        <f>F342*G342</f>
        <v>35.79</v>
      </c>
      <c r="J342" s="13">
        <f>F342*H342</f>
        <v>45.67</v>
      </c>
    </row>
    <row r="343" spans="1:10" s="1" customFormat="1" ht="25.5" customHeight="1" x14ac:dyDescent="0.2">
      <c r="A343" s="8"/>
      <c r="B343" s="9" t="s">
        <v>668</v>
      </c>
      <c r="C343" s="808" t="s">
        <v>635</v>
      </c>
      <c r="D343" s="809"/>
      <c r="E343" s="8"/>
      <c r="F343" s="8"/>
      <c r="G343" s="8"/>
      <c r="H343" s="8"/>
      <c r="I343" s="8"/>
      <c r="J343" s="8"/>
    </row>
    <row r="344" spans="1:10" s="1" customFormat="1" ht="25.5" customHeight="1" x14ac:dyDescent="0.2">
      <c r="A344" s="10">
        <v>89591</v>
      </c>
      <c r="B344" s="21">
        <v>43160</v>
      </c>
      <c r="C344" s="806" t="s">
        <v>669</v>
      </c>
      <c r="D344" s="807"/>
      <c r="E344" s="11" t="s">
        <v>102</v>
      </c>
      <c r="F344" s="12">
        <v>2</v>
      </c>
      <c r="G344" s="12">
        <v>56.03</v>
      </c>
      <c r="H344" s="12">
        <v>71.489999999999995</v>
      </c>
      <c r="I344" s="13">
        <f>F344*G344</f>
        <v>112.06</v>
      </c>
      <c r="J344" s="13">
        <f>F344*H344</f>
        <v>142.97999999999999</v>
      </c>
    </row>
    <row r="345" spans="1:10" s="1" customFormat="1" ht="25.5" customHeight="1" x14ac:dyDescent="0.2">
      <c r="A345" s="10">
        <v>89590</v>
      </c>
      <c r="B345" s="21">
        <v>43161</v>
      </c>
      <c r="C345" s="806" t="s">
        <v>670</v>
      </c>
      <c r="D345" s="807"/>
      <c r="E345" s="11" t="s">
        <v>102</v>
      </c>
      <c r="F345" s="12">
        <v>2</v>
      </c>
      <c r="G345" s="12">
        <v>68.44</v>
      </c>
      <c r="H345" s="12">
        <v>87.32</v>
      </c>
      <c r="I345" s="13">
        <f>F345*G345</f>
        <v>136.88</v>
      </c>
      <c r="J345" s="13">
        <f>F345*H345</f>
        <v>174.64</v>
      </c>
    </row>
    <row r="346" spans="1:10" s="1" customFormat="1" ht="25.5" customHeight="1" x14ac:dyDescent="0.2">
      <c r="A346" s="8"/>
      <c r="B346" s="9" t="s">
        <v>671</v>
      </c>
      <c r="C346" s="808" t="s">
        <v>641</v>
      </c>
      <c r="D346" s="809"/>
      <c r="E346" s="8"/>
      <c r="F346" s="8"/>
      <c r="G346" s="8"/>
      <c r="H346" s="8"/>
      <c r="I346" s="8"/>
      <c r="J346" s="8"/>
    </row>
    <row r="347" spans="1:10" s="1" customFormat="1" ht="25.5" customHeight="1" x14ac:dyDescent="0.2">
      <c r="A347" s="10">
        <v>89554</v>
      </c>
      <c r="B347" s="21">
        <v>43191</v>
      </c>
      <c r="C347" s="806" t="s">
        <v>672</v>
      </c>
      <c r="D347" s="807"/>
      <c r="E347" s="11" t="s">
        <v>102</v>
      </c>
      <c r="F347" s="12">
        <v>2</v>
      </c>
      <c r="G347" s="12">
        <v>12.67</v>
      </c>
      <c r="H347" s="12">
        <v>16.170000000000002</v>
      </c>
      <c r="I347" s="13">
        <f t="shared" ref="I347:I353" si="26">F347*G347</f>
        <v>25.34</v>
      </c>
      <c r="J347" s="13">
        <f t="shared" ref="J347:J353" si="27">F347*H347</f>
        <v>32.340000000000003</v>
      </c>
    </row>
    <row r="348" spans="1:10" s="1" customFormat="1" ht="25.5" customHeight="1" x14ac:dyDescent="0.2">
      <c r="A348" s="10">
        <v>89677</v>
      </c>
      <c r="B348" s="21">
        <v>43192</v>
      </c>
      <c r="C348" s="806" t="s">
        <v>673</v>
      </c>
      <c r="D348" s="807"/>
      <c r="E348" s="11" t="s">
        <v>102</v>
      </c>
      <c r="F348" s="12">
        <v>5</v>
      </c>
      <c r="G348" s="12">
        <v>34.049999999999997</v>
      </c>
      <c r="H348" s="12">
        <v>43.44</v>
      </c>
      <c r="I348" s="13">
        <f t="shared" si="26"/>
        <v>170.25</v>
      </c>
      <c r="J348" s="13">
        <f t="shared" si="27"/>
        <v>217.2</v>
      </c>
    </row>
    <row r="349" spans="1:10" s="1" customFormat="1" ht="25.5" customHeight="1" x14ac:dyDescent="0.2">
      <c r="A349" s="10">
        <v>3833</v>
      </c>
      <c r="B349" s="21">
        <v>43193</v>
      </c>
      <c r="C349" s="806" t="s">
        <v>674</v>
      </c>
      <c r="D349" s="807"/>
      <c r="E349" s="11" t="s">
        <v>102</v>
      </c>
      <c r="F349" s="12">
        <v>1</v>
      </c>
      <c r="G349" s="12">
        <v>8.4600000000000009</v>
      </c>
      <c r="H349" s="12">
        <v>10.79</v>
      </c>
      <c r="I349" s="13">
        <f t="shared" si="26"/>
        <v>8.4600000000000009</v>
      </c>
      <c r="J349" s="13">
        <f t="shared" si="27"/>
        <v>10.79</v>
      </c>
    </row>
    <row r="350" spans="1:10" s="1" customFormat="1" ht="25.5" customHeight="1" x14ac:dyDescent="0.2">
      <c r="A350" s="10">
        <v>3835</v>
      </c>
      <c r="B350" s="21">
        <v>43194</v>
      </c>
      <c r="C350" s="806" t="s">
        <v>675</v>
      </c>
      <c r="D350" s="807"/>
      <c r="E350" s="11" t="s">
        <v>102</v>
      </c>
      <c r="F350" s="12">
        <v>1</v>
      </c>
      <c r="G350" s="12">
        <v>18.989999999999998</v>
      </c>
      <c r="H350" s="12">
        <v>24.23</v>
      </c>
      <c r="I350" s="13">
        <f t="shared" si="26"/>
        <v>18.989999999999998</v>
      </c>
      <c r="J350" s="13">
        <f t="shared" si="27"/>
        <v>24.23</v>
      </c>
    </row>
    <row r="351" spans="1:10" s="1" customFormat="1" ht="25.5" customHeight="1" x14ac:dyDescent="0.2">
      <c r="A351" s="10">
        <v>3836</v>
      </c>
      <c r="B351" s="21">
        <v>43195</v>
      </c>
      <c r="C351" s="806" t="s">
        <v>676</v>
      </c>
      <c r="D351" s="807"/>
      <c r="E351" s="11" t="s">
        <v>102</v>
      </c>
      <c r="F351" s="12">
        <v>3</v>
      </c>
      <c r="G351" s="12">
        <v>49.1</v>
      </c>
      <c r="H351" s="12">
        <v>62.65</v>
      </c>
      <c r="I351" s="13">
        <f t="shared" si="26"/>
        <v>147.30000000000001</v>
      </c>
      <c r="J351" s="13">
        <f t="shared" si="27"/>
        <v>187.95</v>
      </c>
    </row>
    <row r="352" spans="1:10" s="1" customFormat="1" ht="25.5" customHeight="1" x14ac:dyDescent="0.2">
      <c r="A352" s="10">
        <v>3830</v>
      </c>
      <c r="B352" s="21">
        <v>43196</v>
      </c>
      <c r="C352" s="806" t="s">
        <v>677</v>
      </c>
      <c r="D352" s="807"/>
      <c r="E352" s="11" t="s">
        <v>102</v>
      </c>
      <c r="F352" s="12">
        <v>2</v>
      </c>
      <c r="G352" s="12">
        <v>80.83</v>
      </c>
      <c r="H352" s="12">
        <v>103.13</v>
      </c>
      <c r="I352" s="13">
        <f t="shared" si="26"/>
        <v>161.66</v>
      </c>
      <c r="J352" s="13">
        <f t="shared" si="27"/>
        <v>206.26</v>
      </c>
    </row>
    <row r="353" spans="1:11" s="1" customFormat="1" ht="25.5" customHeight="1" x14ac:dyDescent="0.2">
      <c r="A353" s="10">
        <v>3831</v>
      </c>
      <c r="B353" s="21">
        <v>43197</v>
      </c>
      <c r="C353" s="806" t="s">
        <v>678</v>
      </c>
      <c r="D353" s="807"/>
      <c r="E353" s="11" t="s">
        <v>102</v>
      </c>
      <c r="F353" s="12">
        <v>1</v>
      </c>
      <c r="G353" s="12">
        <v>125.22</v>
      </c>
      <c r="H353" s="12">
        <v>159.77000000000001</v>
      </c>
      <c r="I353" s="13">
        <f t="shared" si="26"/>
        <v>125.22</v>
      </c>
      <c r="J353" s="13">
        <f t="shared" si="27"/>
        <v>159.77000000000001</v>
      </c>
    </row>
    <row r="354" spans="1:11" s="1" customFormat="1" ht="25.5" customHeight="1" x14ac:dyDescent="0.2">
      <c r="A354" s="8"/>
      <c r="B354" s="9" t="s">
        <v>679</v>
      </c>
      <c r="C354" s="808" t="s">
        <v>680</v>
      </c>
      <c r="D354" s="809"/>
      <c r="E354" s="8"/>
      <c r="F354" s="8"/>
      <c r="G354" s="8"/>
      <c r="H354" s="8"/>
      <c r="I354" s="8"/>
      <c r="J354" s="8"/>
    </row>
    <row r="355" spans="1:11" s="1" customFormat="1" ht="25.5" customHeight="1" x14ac:dyDescent="0.2">
      <c r="A355" s="10">
        <v>38448</v>
      </c>
      <c r="B355" s="21">
        <v>43221</v>
      </c>
      <c r="C355" s="806" t="s">
        <v>681</v>
      </c>
      <c r="D355" s="807"/>
      <c r="E355" s="11" t="s">
        <v>102</v>
      </c>
      <c r="F355" s="12">
        <v>11</v>
      </c>
      <c r="G355" s="12">
        <v>149.65</v>
      </c>
      <c r="H355" s="12">
        <v>190.94</v>
      </c>
      <c r="I355" s="13">
        <f>F355*G355</f>
        <v>1646.15</v>
      </c>
      <c r="J355" s="13">
        <f>F355*H355</f>
        <v>2100.34</v>
      </c>
    </row>
    <row r="356" spans="1:11" s="1" customFormat="1" ht="25.5" customHeight="1" x14ac:dyDescent="0.2">
      <c r="A356" s="10">
        <v>20183</v>
      </c>
      <c r="B356" s="21">
        <v>43222</v>
      </c>
      <c r="C356" s="806" t="s">
        <v>682</v>
      </c>
      <c r="D356" s="807"/>
      <c r="E356" s="11" t="s">
        <v>102</v>
      </c>
      <c r="F356" s="12">
        <v>1</v>
      </c>
      <c r="G356" s="12">
        <v>28.2</v>
      </c>
      <c r="H356" s="12">
        <v>35.979999999999997</v>
      </c>
      <c r="I356" s="13">
        <f>F356*G356</f>
        <v>28.2</v>
      </c>
      <c r="J356" s="13">
        <f>F356*H356</f>
        <v>35.979999999999997</v>
      </c>
    </row>
    <row r="357" spans="1:11" s="1" customFormat="1" ht="25.5" customHeight="1" x14ac:dyDescent="0.2">
      <c r="A357" s="8"/>
      <c r="B357" s="803" t="s">
        <v>683</v>
      </c>
      <c r="C357" s="804"/>
      <c r="D357" s="804"/>
      <c r="E357" s="804"/>
      <c r="F357" s="804"/>
      <c r="G357" s="805"/>
      <c r="H357" s="8"/>
      <c r="I357" s="14">
        <f>SUM(I334:I356)-0.17</f>
        <v>14342.220999999996</v>
      </c>
      <c r="J357" s="15">
        <f>SUM(J334:J356)+0.44</f>
        <v>18299.243999999999</v>
      </c>
      <c r="K357" s="49"/>
    </row>
    <row r="358" spans="1:11" s="1" customFormat="1" ht="25.5" customHeight="1" x14ac:dyDescent="0.2">
      <c r="A358" s="8"/>
      <c r="B358" s="43">
        <v>19</v>
      </c>
      <c r="C358" s="808" t="s">
        <v>684</v>
      </c>
      <c r="D358" s="809"/>
      <c r="E358" s="8"/>
      <c r="F358" s="8"/>
      <c r="G358" s="8"/>
      <c r="H358" s="8"/>
      <c r="I358" s="8"/>
      <c r="J358" s="8"/>
    </row>
    <row r="359" spans="1:11" s="1" customFormat="1" ht="25.5" customHeight="1" x14ac:dyDescent="0.2">
      <c r="A359" s="8"/>
      <c r="B359" s="9" t="s">
        <v>685</v>
      </c>
      <c r="C359" s="808" t="s">
        <v>686</v>
      </c>
      <c r="D359" s="809"/>
      <c r="E359" s="8"/>
      <c r="F359" s="8"/>
      <c r="G359" s="8"/>
      <c r="H359" s="8"/>
      <c r="I359" s="8"/>
      <c r="J359" s="8"/>
    </row>
    <row r="360" spans="1:11" s="1" customFormat="1" ht="25.5" customHeight="1" x14ac:dyDescent="0.2">
      <c r="A360" s="11" t="s">
        <v>687</v>
      </c>
      <c r="B360" s="21">
        <v>43466</v>
      </c>
      <c r="C360" s="806" t="s">
        <v>688</v>
      </c>
      <c r="D360" s="807"/>
      <c r="E360" s="11" t="s">
        <v>102</v>
      </c>
      <c r="F360" s="12">
        <v>11</v>
      </c>
      <c r="G360" s="12">
        <v>45.06</v>
      </c>
      <c r="H360" s="12">
        <v>57.5</v>
      </c>
      <c r="I360" s="13">
        <f>F360*G360</f>
        <v>495.66</v>
      </c>
      <c r="J360" s="13">
        <f>F360*H360</f>
        <v>632.5</v>
      </c>
    </row>
    <row r="361" spans="1:11" s="1" customFormat="1" ht="25.5" customHeight="1" x14ac:dyDescent="0.2">
      <c r="A361" s="11" t="s">
        <v>689</v>
      </c>
      <c r="B361" s="21">
        <v>43467</v>
      </c>
      <c r="C361" s="806" t="s">
        <v>690</v>
      </c>
      <c r="D361" s="807"/>
      <c r="E361" s="11" t="s">
        <v>102</v>
      </c>
      <c r="F361" s="12">
        <v>1</v>
      </c>
      <c r="G361" s="12">
        <v>26.35</v>
      </c>
      <c r="H361" s="12">
        <v>33.619999999999997</v>
      </c>
      <c r="I361" s="13">
        <f>F361*G361</f>
        <v>26.35</v>
      </c>
      <c r="J361" s="13">
        <f>F361*H361</f>
        <v>33.619999999999997</v>
      </c>
    </row>
    <row r="362" spans="1:11" s="1" customFormat="1" ht="25.5" customHeight="1" x14ac:dyDescent="0.2">
      <c r="A362" s="8"/>
      <c r="B362" s="9" t="s">
        <v>691</v>
      </c>
      <c r="C362" s="808" t="s">
        <v>692</v>
      </c>
      <c r="D362" s="809"/>
      <c r="E362" s="8"/>
      <c r="F362" s="8"/>
      <c r="G362" s="8"/>
      <c r="H362" s="8"/>
      <c r="I362" s="8"/>
      <c r="J362" s="8"/>
    </row>
    <row r="363" spans="1:11" s="1" customFormat="1" ht="25.5" customHeight="1" x14ac:dyDescent="0.2">
      <c r="A363" s="11" t="s">
        <v>693</v>
      </c>
      <c r="B363" s="21">
        <v>43497</v>
      </c>
      <c r="C363" s="806" t="s">
        <v>694</v>
      </c>
      <c r="D363" s="807"/>
      <c r="E363" s="11" t="s">
        <v>102</v>
      </c>
      <c r="F363" s="12">
        <v>9</v>
      </c>
      <c r="G363" s="12">
        <v>226.16</v>
      </c>
      <c r="H363" s="12">
        <v>288.56</v>
      </c>
      <c r="I363" s="13">
        <f>F363*G363</f>
        <v>2035.44</v>
      </c>
      <c r="J363" s="13">
        <f>F363*H363</f>
        <v>2597.04</v>
      </c>
    </row>
    <row r="364" spans="1:11" s="1" customFormat="1" ht="25.5" customHeight="1" x14ac:dyDescent="0.2">
      <c r="A364" s="10">
        <v>6171</v>
      </c>
      <c r="B364" s="21">
        <v>43498</v>
      </c>
      <c r="C364" s="806" t="s">
        <v>695</v>
      </c>
      <c r="D364" s="807"/>
      <c r="E364" s="11" t="s">
        <v>102</v>
      </c>
      <c r="F364" s="12">
        <v>9</v>
      </c>
      <c r="G364" s="12">
        <v>21.74</v>
      </c>
      <c r="H364" s="12">
        <v>27.74</v>
      </c>
      <c r="I364" s="13">
        <f>F364*G364</f>
        <v>195.66</v>
      </c>
      <c r="J364" s="13">
        <f>F364*H364</f>
        <v>249.66</v>
      </c>
    </row>
    <row r="365" spans="1:11" s="1" customFormat="1" ht="25.5" customHeight="1" x14ac:dyDescent="0.2">
      <c r="A365" s="11" t="s">
        <v>696</v>
      </c>
      <c r="B365" s="21">
        <v>43499</v>
      </c>
      <c r="C365" s="806" t="s">
        <v>697</v>
      </c>
      <c r="D365" s="807"/>
      <c r="E365" s="11" t="s">
        <v>102</v>
      </c>
      <c r="F365" s="12">
        <v>5</v>
      </c>
      <c r="G365" s="12">
        <v>165.35</v>
      </c>
      <c r="H365" s="12">
        <v>210.97</v>
      </c>
      <c r="I365" s="13">
        <f>F365*G365</f>
        <v>826.75</v>
      </c>
      <c r="J365" s="13">
        <f>F365*H365</f>
        <v>1054.8499999999999</v>
      </c>
    </row>
    <row r="366" spans="1:11" s="1" customFormat="1" ht="25.5" customHeight="1" x14ac:dyDescent="0.2">
      <c r="A366" s="11" t="s">
        <v>698</v>
      </c>
      <c r="B366" s="21">
        <v>43500</v>
      </c>
      <c r="C366" s="806" t="s">
        <v>699</v>
      </c>
      <c r="D366" s="807"/>
      <c r="E366" s="11" t="s">
        <v>102</v>
      </c>
      <c r="F366" s="12">
        <v>5</v>
      </c>
      <c r="G366" s="12">
        <v>112.26</v>
      </c>
      <c r="H366" s="12">
        <v>143.22999999999999</v>
      </c>
      <c r="I366" s="13">
        <f>F366*G366</f>
        <v>561.30000000000007</v>
      </c>
      <c r="J366" s="13">
        <f>F366*H366</f>
        <v>716.15</v>
      </c>
    </row>
    <row r="367" spans="1:11" s="1" customFormat="1" ht="25.5" customHeight="1" x14ac:dyDescent="0.2">
      <c r="A367" s="11" t="s">
        <v>700</v>
      </c>
      <c r="B367" s="21">
        <v>43501</v>
      </c>
      <c r="C367" s="806" t="s">
        <v>701</v>
      </c>
      <c r="D367" s="807"/>
      <c r="E367" s="11" t="s">
        <v>102</v>
      </c>
      <c r="F367" s="12">
        <v>2</v>
      </c>
      <c r="G367" s="12">
        <v>171</v>
      </c>
      <c r="H367" s="12">
        <v>218.18</v>
      </c>
      <c r="I367" s="13">
        <f>F367*G367</f>
        <v>342</v>
      </c>
      <c r="J367" s="13">
        <f>F367*H367</f>
        <v>436.36</v>
      </c>
    </row>
    <row r="368" spans="1:11" s="1" customFormat="1" ht="25.5" customHeight="1" x14ac:dyDescent="0.2">
      <c r="A368" s="8"/>
      <c r="B368" s="9" t="s">
        <v>702</v>
      </c>
      <c r="C368" s="808" t="s">
        <v>703</v>
      </c>
      <c r="D368" s="809"/>
      <c r="E368" s="8"/>
      <c r="F368" s="8"/>
      <c r="G368" s="8"/>
      <c r="H368" s="8"/>
      <c r="I368" s="8"/>
      <c r="J368" s="8"/>
    </row>
    <row r="369" spans="1:10" s="1" customFormat="1" ht="25.5" customHeight="1" x14ac:dyDescent="0.2">
      <c r="A369" s="11" t="s">
        <v>704</v>
      </c>
      <c r="B369" s="21">
        <v>43525</v>
      </c>
      <c r="C369" s="806" t="s">
        <v>705</v>
      </c>
      <c r="D369" s="807"/>
      <c r="E369" s="11" t="s">
        <v>102</v>
      </c>
      <c r="F369" s="12">
        <v>1</v>
      </c>
      <c r="G369" s="13">
        <v>1880.53</v>
      </c>
      <c r="H369" s="13">
        <v>2399.37</v>
      </c>
      <c r="I369" s="13">
        <f>F369*G369</f>
        <v>1880.53</v>
      </c>
      <c r="J369" s="13">
        <f>F369*H369</f>
        <v>2399.37</v>
      </c>
    </row>
    <row r="370" spans="1:10" s="1" customFormat="1" ht="25.5" customHeight="1" x14ac:dyDescent="0.2">
      <c r="A370" s="10">
        <v>6171</v>
      </c>
      <c r="B370" s="21">
        <v>43526</v>
      </c>
      <c r="C370" s="806" t="s">
        <v>706</v>
      </c>
      <c r="D370" s="807"/>
      <c r="E370" s="11" t="s">
        <v>102</v>
      </c>
      <c r="F370" s="12">
        <v>1</v>
      </c>
      <c r="G370" s="12">
        <v>21.74</v>
      </c>
      <c r="H370" s="12">
        <v>27.74</v>
      </c>
      <c r="I370" s="13">
        <f>F370*G370</f>
        <v>21.74</v>
      </c>
      <c r="J370" s="13">
        <f>F370*H370</f>
        <v>27.74</v>
      </c>
    </row>
    <row r="371" spans="1:10" s="1" customFormat="1" ht="25.5" customHeight="1" x14ac:dyDescent="0.2">
      <c r="A371" s="8"/>
      <c r="B371" s="9" t="s">
        <v>707</v>
      </c>
      <c r="C371" s="808" t="s">
        <v>708</v>
      </c>
      <c r="D371" s="809"/>
      <c r="E371" s="8"/>
      <c r="F371" s="8"/>
      <c r="G371" s="8"/>
      <c r="H371" s="8"/>
      <c r="I371" s="8"/>
      <c r="J371" s="8"/>
    </row>
    <row r="372" spans="1:10" s="1" customFormat="1" ht="25.5" customHeight="1" x14ac:dyDescent="0.2">
      <c r="A372" s="10">
        <v>1332</v>
      </c>
      <c r="B372" s="21">
        <v>43556</v>
      </c>
      <c r="C372" s="806" t="s">
        <v>709</v>
      </c>
      <c r="D372" s="807"/>
      <c r="E372" s="11" t="s">
        <v>102</v>
      </c>
      <c r="F372" s="12">
        <v>5</v>
      </c>
      <c r="G372" s="12">
        <v>7.59</v>
      </c>
      <c r="H372" s="12">
        <v>9.68</v>
      </c>
      <c r="I372" s="13">
        <f>F372*G372</f>
        <v>37.950000000000003</v>
      </c>
      <c r="J372" s="13">
        <f>F372*H372</f>
        <v>48.4</v>
      </c>
    </row>
    <row r="373" spans="1:10" s="1" customFormat="1" ht="25.5" customHeight="1" x14ac:dyDescent="0.2">
      <c r="A373" s="8"/>
      <c r="B373" s="9" t="s">
        <v>710</v>
      </c>
      <c r="C373" s="808" t="s">
        <v>711</v>
      </c>
      <c r="D373" s="809"/>
      <c r="E373" s="8"/>
      <c r="F373" s="8"/>
      <c r="G373" s="8"/>
      <c r="H373" s="8"/>
      <c r="I373" s="8"/>
      <c r="J373" s="8"/>
    </row>
    <row r="374" spans="1:10" s="1" customFormat="1" ht="25.5" customHeight="1" x14ac:dyDescent="0.2">
      <c r="A374" s="11" t="s">
        <v>712</v>
      </c>
      <c r="B374" s="21">
        <v>43586</v>
      </c>
      <c r="C374" s="806" t="s">
        <v>713</v>
      </c>
      <c r="D374" s="807"/>
      <c r="E374" s="11" t="s">
        <v>81</v>
      </c>
      <c r="F374" s="12">
        <v>8</v>
      </c>
      <c r="G374" s="12">
        <v>267.89</v>
      </c>
      <c r="H374" s="12">
        <v>341.81</v>
      </c>
      <c r="I374" s="13">
        <f>F374*G374</f>
        <v>2143.12</v>
      </c>
      <c r="J374" s="13">
        <f>F374*H374</f>
        <v>2734.48</v>
      </c>
    </row>
    <row r="375" spans="1:10" s="1" customFormat="1" ht="25.5" customHeight="1" x14ac:dyDescent="0.2">
      <c r="A375" s="11" t="s">
        <v>714</v>
      </c>
      <c r="B375" s="21">
        <v>43587</v>
      </c>
      <c r="C375" s="806" t="s">
        <v>715</v>
      </c>
      <c r="D375" s="807"/>
      <c r="E375" s="11" t="s">
        <v>81</v>
      </c>
      <c r="F375" s="12">
        <v>2</v>
      </c>
      <c r="G375" s="12">
        <v>57.59</v>
      </c>
      <c r="H375" s="12">
        <v>73.48</v>
      </c>
      <c r="I375" s="13">
        <f>F375*G375</f>
        <v>115.18</v>
      </c>
      <c r="J375" s="13">
        <f>F375*H375</f>
        <v>146.96</v>
      </c>
    </row>
    <row r="376" spans="1:10" s="1" customFormat="1" ht="25.5" customHeight="1" x14ac:dyDescent="0.2">
      <c r="A376" s="8"/>
      <c r="B376" s="803" t="s">
        <v>716</v>
      </c>
      <c r="C376" s="804"/>
      <c r="D376" s="804"/>
      <c r="E376" s="804"/>
      <c r="F376" s="804"/>
      <c r="G376" s="805"/>
      <c r="H376" s="8"/>
      <c r="I376" s="14">
        <f>SUM(I360:I375)+0.08</f>
        <v>8681.76</v>
      </c>
      <c r="J376" s="15">
        <f>SUM(J360:J375)-0.07</f>
        <v>11077.059999999998</v>
      </c>
    </row>
    <row r="377" spans="1:10" s="1" customFormat="1" ht="25.5" customHeight="1" x14ac:dyDescent="0.2">
      <c r="A377" s="8"/>
      <c r="B377" s="9" t="s">
        <v>717</v>
      </c>
      <c r="C377" s="808" t="s">
        <v>718</v>
      </c>
      <c r="D377" s="809"/>
      <c r="E377" s="8"/>
      <c r="F377" s="8"/>
      <c r="G377" s="8"/>
      <c r="H377" s="8"/>
      <c r="I377" s="8"/>
      <c r="J377" s="8"/>
    </row>
    <row r="378" spans="1:10" s="1" customFormat="1" ht="25.5" customHeight="1" x14ac:dyDescent="0.2">
      <c r="A378" s="8"/>
      <c r="B378" s="9" t="s">
        <v>719</v>
      </c>
      <c r="C378" s="808" t="s">
        <v>626</v>
      </c>
      <c r="D378" s="809"/>
      <c r="E378" s="8"/>
      <c r="F378" s="8"/>
      <c r="G378" s="8"/>
      <c r="H378" s="8"/>
      <c r="I378" s="8"/>
      <c r="J378" s="8"/>
    </row>
    <row r="379" spans="1:10" s="1" customFormat="1" ht="25.5" customHeight="1" x14ac:dyDescent="0.2">
      <c r="A379" s="10">
        <v>89580</v>
      </c>
      <c r="B379" s="21">
        <v>43831</v>
      </c>
      <c r="C379" s="806" t="s">
        <v>720</v>
      </c>
      <c r="D379" s="807"/>
      <c r="E379" s="11" t="s">
        <v>81</v>
      </c>
      <c r="F379" s="12">
        <v>204</v>
      </c>
      <c r="G379" s="12">
        <v>38.24</v>
      </c>
      <c r="H379" s="12">
        <v>48.79</v>
      </c>
      <c r="I379" s="13">
        <f t="shared" ref="I379:I442" si="28">F379*G379</f>
        <v>7800.96</v>
      </c>
      <c r="J379" s="13">
        <f t="shared" ref="J379:J442" si="29">F379*H379</f>
        <v>9953.16</v>
      </c>
    </row>
    <row r="380" spans="1:10" s="1" customFormat="1" ht="25.5" customHeight="1" x14ac:dyDescent="0.2">
      <c r="A380" s="11" t="s">
        <v>721</v>
      </c>
      <c r="B380" s="21">
        <v>43832</v>
      </c>
      <c r="C380" s="806" t="s">
        <v>722</v>
      </c>
      <c r="D380" s="807"/>
      <c r="E380" s="11" t="s">
        <v>81</v>
      </c>
      <c r="F380" s="12">
        <v>108</v>
      </c>
      <c r="G380" s="12">
        <v>31.84</v>
      </c>
      <c r="H380" s="12">
        <v>40.619999999999997</v>
      </c>
      <c r="I380" s="13">
        <f t="shared" si="28"/>
        <v>3438.72</v>
      </c>
      <c r="J380" s="13">
        <f t="shared" si="29"/>
        <v>4386.96</v>
      </c>
    </row>
    <row r="381" spans="1:10" s="1" customFormat="1" ht="25.5" customHeight="1" x14ac:dyDescent="0.2">
      <c r="A381" s="10">
        <v>89511</v>
      </c>
      <c r="B381" s="21">
        <v>43833</v>
      </c>
      <c r="C381" s="806" t="s">
        <v>723</v>
      </c>
      <c r="D381" s="807"/>
      <c r="E381" s="11" t="s">
        <v>81</v>
      </c>
      <c r="F381" s="12">
        <v>120</v>
      </c>
      <c r="G381" s="12">
        <v>24.3</v>
      </c>
      <c r="H381" s="12">
        <v>31</v>
      </c>
      <c r="I381" s="13">
        <f t="shared" si="28"/>
        <v>2916</v>
      </c>
      <c r="J381" s="13">
        <f t="shared" si="29"/>
        <v>3720</v>
      </c>
    </row>
    <row r="382" spans="1:10" s="1" customFormat="1" ht="25.5" customHeight="1" x14ac:dyDescent="0.2">
      <c r="A382" s="10">
        <v>89509</v>
      </c>
      <c r="B382" s="21">
        <v>43834</v>
      </c>
      <c r="C382" s="806" t="s">
        <v>724</v>
      </c>
      <c r="D382" s="807"/>
      <c r="E382" s="11" t="s">
        <v>81</v>
      </c>
      <c r="F382" s="12">
        <v>210</v>
      </c>
      <c r="G382" s="12">
        <v>16.3</v>
      </c>
      <c r="H382" s="12">
        <v>20.8</v>
      </c>
      <c r="I382" s="13">
        <f t="shared" si="28"/>
        <v>3423</v>
      </c>
      <c r="J382" s="13">
        <f t="shared" si="29"/>
        <v>4368</v>
      </c>
    </row>
    <row r="383" spans="1:10" s="1" customFormat="1" ht="25.5" customHeight="1" x14ac:dyDescent="0.2">
      <c r="A383" s="10">
        <v>89508</v>
      </c>
      <c r="B383" s="21">
        <v>43835</v>
      </c>
      <c r="C383" s="806" t="s">
        <v>725</v>
      </c>
      <c r="D383" s="807"/>
      <c r="E383" s="11" t="s">
        <v>81</v>
      </c>
      <c r="F383" s="12">
        <v>102</v>
      </c>
      <c r="G383" s="12">
        <v>11.22</v>
      </c>
      <c r="H383" s="12">
        <v>14.32</v>
      </c>
      <c r="I383" s="13">
        <f t="shared" si="28"/>
        <v>1144.44</v>
      </c>
      <c r="J383" s="13">
        <f t="shared" si="29"/>
        <v>1460.64</v>
      </c>
    </row>
    <row r="384" spans="1:10" s="1" customFormat="1" ht="25.5" customHeight="1" x14ac:dyDescent="0.2">
      <c r="A384" s="8"/>
      <c r="B384" s="9" t="s">
        <v>726</v>
      </c>
      <c r="C384" s="808" t="s">
        <v>727</v>
      </c>
      <c r="D384" s="809"/>
      <c r="E384" s="8"/>
      <c r="F384" s="8"/>
      <c r="G384" s="8"/>
      <c r="H384" s="8"/>
      <c r="I384" s="13">
        <f t="shared" si="28"/>
        <v>0</v>
      </c>
      <c r="J384" s="13">
        <f t="shared" si="29"/>
        <v>0</v>
      </c>
    </row>
    <row r="385" spans="1:10" s="1" customFormat="1" ht="25.5" customHeight="1" x14ac:dyDescent="0.2">
      <c r="A385" s="11" t="s">
        <v>728</v>
      </c>
      <c r="B385" s="21">
        <v>43862</v>
      </c>
      <c r="C385" s="806" t="s">
        <v>729</v>
      </c>
      <c r="D385" s="807"/>
      <c r="E385" s="11" t="s">
        <v>102</v>
      </c>
      <c r="F385" s="12">
        <v>2</v>
      </c>
      <c r="G385" s="12">
        <v>11.18</v>
      </c>
      <c r="H385" s="12">
        <v>14.26</v>
      </c>
      <c r="I385" s="13">
        <f t="shared" si="28"/>
        <v>22.36</v>
      </c>
      <c r="J385" s="13">
        <f t="shared" si="29"/>
        <v>28.52</v>
      </c>
    </row>
    <row r="386" spans="1:10" s="1" customFormat="1" ht="25.5" customHeight="1" x14ac:dyDescent="0.2">
      <c r="A386" s="8"/>
      <c r="B386" s="9" t="s">
        <v>730</v>
      </c>
      <c r="C386" s="808" t="s">
        <v>635</v>
      </c>
      <c r="D386" s="809"/>
      <c r="E386" s="8"/>
      <c r="F386" s="8"/>
      <c r="G386" s="8"/>
      <c r="H386" s="8"/>
      <c r="I386" s="13">
        <f t="shared" si="28"/>
        <v>0</v>
      </c>
      <c r="J386" s="13">
        <f t="shared" si="29"/>
        <v>0</v>
      </c>
    </row>
    <row r="387" spans="1:10" s="1" customFormat="1" ht="25.5" customHeight="1" x14ac:dyDescent="0.2">
      <c r="A387" s="10">
        <v>20151</v>
      </c>
      <c r="B387" s="21">
        <v>43891</v>
      </c>
      <c r="C387" s="806" t="s">
        <v>731</v>
      </c>
      <c r="D387" s="807"/>
      <c r="E387" s="11" t="s">
        <v>102</v>
      </c>
      <c r="F387" s="12">
        <v>11</v>
      </c>
      <c r="G387" s="12">
        <v>15.18</v>
      </c>
      <c r="H387" s="12">
        <v>19.37</v>
      </c>
      <c r="I387" s="13">
        <f t="shared" si="28"/>
        <v>166.98</v>
      </c>
      <c r="J387" s="13">
        <f t="shared" si="29"/>
        <v>213.07000000000002</v>
      </c>
    </row>
    <row r="388" spans="1:10" s="1" customFormat="1" ht="25.5" customHeight="1" x14ac:dyDescent="0.2">
      <c r="A388" s="10">
        <v>20150</v>
      </c>
      <c r="B388" s="21">
        <v>43892</v>
      </c>
      <c r="C388" s="806" t="s">
        <v>732</v>
      </c>
      <c r="D388" s="807"/>
      <c r="E388" s="11" t="s">
        <v>102</v>
      </c>
      <c r="F388" s="12">
        <v>18</v>
      </c>
      <c r="G388" s="12">
        <v>11.04</v>
      </c>
      <c r="H388" s="12">
        <v>14.09</v>
      </c>
      <c r="I388" s="13">
        <f t="shared" si="28"/>
        <v>198.71999999999997</v>
      </c>
      <c r="J388" s="13">
        <f t="shared" si="29"/>
        <v>253.62</v>
      </c>
    </row>
    <row r="389" spans="1:10" s="1" customFormat="1" ht="25.5" customHeight="1" x14ac:dyDescent="0.2">
      <c r="A389" s="10">
        <v>20149</v>
      </c>
      <c r="B389" s="21">
        <v>43893</v>
      </c>
      <c r="C389" s="806" t="s">
        <v>733</v>
      </c>
      <c r="D389" s="807"/>
      <c r="E389" s="11" t="s">
        <v>102</v>
      </c>
      <c r="F389" s="12">
        <v>13</v>
      </c>
      <c r="G389" s="12">
        <v>4.2</v>
      </c>
      <c r="H389" s="12">
        <v>5.36</v>
      </c>
      <c r="I389" s="13">
        <f t="shared" si="28"/>
        <v>54.6</v>
      </c>
      <c r="J389" s="13">
        <f t="shared" si="29"/>
        <v>69.680000000000007</v>
      </c>
    </row>
    <row r="390" spans="1:10" s="1" customFormat="1" ht="25.5" customHeight="1" x14ac:dyDescent="0.2">
      <c r="A390" s="10">
        <v>20148</v>
      </c>
      <c r="B390" s="21">
        <v>43894</v>
      </c>
      <c r="C390" s="806" t="s">
        <v>734</v>
      </c>
      <c r="D390" s="807"/>
      <c r="E390" s="11" t="s">
        <v>102</v>
      </c>
      <c r="F390" s="12">
        <v>33</v>
      </c>
      <c r="G390" s="12">
        <v>2.79</v>
      </c>
      <c r="H390" s="12">
        <v>3.56</v>
      </c>
      <c r="I390" s="13">
        <f t="shared" si="28"/>
        <v>92.070000000000007</v>
      </c>
      <c r="J390" s="13">
        <f t="shared" si="29"/>
        <v>117.48</v>
      </c>
    </row>
    <row r="391" spans="1:10" s="1" customFormat="1" ht="25.5" customHeight="1" x14ac:dyDescent="0.2">
      <c r="A391" s="10">
        <v>20157</v>
      </c>
      <c r="B391" s="21">
        <v>43895</v>
      </c>
      <c r="C391" s="806" t="s">
        <v>735</v>
      </c>
      <c r="D391" s="807"/>
      <c r="E391" s="11" t="s">
        <v>102</v>
      </c>
      <c r="F391" s="12">
        <v>23</v>
      </c>
      <c r="G391" s="12">
        <v>18.87</v>
      </c>
      <c r="H391" s="12">
        <v>24.08</v>
      </c>
      <c r="I391" s="13">
        <f t="shared" si="28"/>
        <v>434.01000000000005</v>
      </c>
      <c r="J391" s="13">
        <f t="shared" si="29"/>
        <v>553.83999999999992</v>
      </c>
    </row>
    <row r="392" spans="1:10" s="1" customFormat="1" ht="25.5" customHeight="1" x14ac:dyDescent="0.2">
      <c r="A392" s="10">
        <v>20156</v>
      </c>
      <c r="B392" s="21">
        <v>43896</v>
      </c>
      <c r="C392" s="806" t="s">
        <v>736</v>
      </c>
      <c r="D392" s="807"/>
      <c r="E392" s="11" t="s">
        <v>102</v>
      </c>
      <c r="F392" s="12">
        <v>7</v>
      </c>
      <c r="G392" s="12">
        <v>11.44</v>
      </c>
      <c r="H392" s="12">
        <v>14.6</v>
      </c>
      <c r="I392" s="13">
        <f t="shared" si="28"/>
        <v>80.08</v>
      </c>
      <c r="J392" s="13">
        <f t="shared" si="29"/>
        <v>102.2</v>
      </c>
    </row>
    <row r="393" spans="1:10" s="1" customFormat="1" ht="25.5" customHeight="1" x14ac:dyDescent="0.2">
      <c r="A393" s="10">
        <v>20155</v>
      </c>
      <c r="B393" s="21">
        <v>43897</v>
      </c>
      <c r="C393" s="806" t="s">
        <v>737</v>
      </c>
      <c r="D393" s="807"/>
      <c r="E393" s="11" t="s">
        <v>102</v>
      </c>
      <c r="F393" s="12">
        <v>80</v>
      </c>
      <c r="G393" s="12">
        <v>4.8099999999999996</v>
      </c>
      <c r="H393" s="12">
        <v>6.14</v>
      </c>
      <c r="I393" s="13">
        <f t="shared" si="28"/>
        <v>384.79999999999995</v>
      </c>
      <c r="J393" s="13">
        <f t="shared" si="29"/>
        <v>491.2</v>
      </c>
    </row>
    <row r="394" spans="1:10" s="1" customFormat="1" ht="25.5" customHeight="1" x14ac:dyDescent="0.2">
      <c r="A394" s="10">
        <v>20154</v>
      </c>
      <c r="B394" s="21">
        <v>43898</v>
      </c>
      <c r="C394" s="806" t="s">
        <v>738</v>
      </c>
      <c r="D394" s="807"/>
      <c r="E394" s="11" t="s">
        <v>102</v>
      </c>
      <c r="F394" s="12">
        <v>69</v>
      </c>
      <c r="G394" s="12">
        <v>3.07</v>
      </c>
      <c r="H394" s="12">
        <v>3.92</v>
      </c>
      <c r="I394" s="13">
        <f t="shared" si="28"/>
        <v>211.82999999999998</v>
      </c>
      <c r="J394" s="13">
        <f t="shared" si="29"/>
        <v>270.48</v>
      </c>
    </row>
    <row r="395" spans="1:10" s="1" customFormat="1" ht="25.5" customHeight="1" x14ac:dyDescent="0.2">
      <c r="A395" s="8"/>
      <c r="B395" s="9" t="s">
        <v>739</v>
      </c>
      <c r="C395" s="808" t="s">
        <v>740</v>
      </c>
      <c r="D395" s="809"/>
      <c r="E395" s="8"/>
      <c r="F395" s="8"/>
      <c r="G395" s="8"/>
      <c r="H395" s="8"/>
      <c r="I395" s="13">
        <f t="shared" si="28"/>
        <v>0</v>
      </c>
      <c r="J395" s="13">
        <f t="shared" si="29"/>
        <v>0</v>
      </c>
    </row>
    <row r="396" spans="1:10" s="1" customFormat="1" ht="25.5" customHeight="1" x14ac:dyDescent="0.2">
      <c r="A396" s="10">
        <v>20141</v>
      </c>
      <c r="B396" s="21">
        <v>43922</v>
      </c>
      <c r="C396" s="806" t="s">
        <v>741</v>
      </c>
      <c r="D396" s="807"/>
      <c r="E396" s="11" t="s">
        <v>102</v>
      </c>
      <c r="F396" s="12">
        <v>6</v>
      </c>
      <c r="G396" s="12">
        <v>8.65</v>
      </c>
      <c r="H396" s="12">
        <v>11.04</v>
      </c>
      <c r="I396" s="13">
        <f t="shared" si="28"/>
        <v>51.900000000000006</v>
      </c>
      <c r="J396" s="13">
        <f t="shared" si="29"/>
        <v>66.239999999999995</v>
      </c>
    </row>
    <row r="397" spans="1:10" s="1" customFormat="1" ht="25.5" customHeight="1" x14ac:dyDescent="0.2">
      <c r="A397" s="10">
        <v>20140</v>
      </c>
      <c r="B397" s="21">
        <v>43923</v>
      </c>
      <c r="C397" s="806" t="s">
        <v>742</v>
      </c>
      <c r="D397" s="807"/>
      <c r="E397" s="11" t="s">
        <v>102</v>
      </c>
      <c r="F397" s="12">
        <v>3</v>
      </c>
      <c r="G397" s="12">
        <v>5.75</v>
      </c>
      <c r="H397" s="12">
        <v>7.34</v>
      </c>
      <c r="I397" s="13">
        <f t="shared" si="28"/>
        <v>17.25</v>
      </c>
      <c r="J397" s="13">
        <f t="shared" si="29"/>
        <v>22.02</v>
      </c>
    </row>
    <row r="398" spans="1:10" s="1" customFormat="1" ht="25.5" customHeight="1" x14ac:dyDescent="0.2">
      <c r="A398" s="8"/>
      <c r="B398" s="9" t="s">
        <v>743</v>
      </c>
      <c r="C398" s="808" t="s">
        <v>641</v>
      </c>
      <c r="D398" s="809"/>
      <c r="E398" s="8"/>
      <c r="F398" s="8"/>
      <c r="G398" s="8"/>
      <c r="H398" s="8"/>
      <c r="I398" s="13">
        <f t="shared" si="28"/>
        <v>0</v>
      </c>
      <c r="J398" s="13">
        <f t="shared" si="29"/>
        <v>0</v>
      </c>
    </row>
    <row r="399" spans="1:10" s="1" customFormat="1" ht="25.5" customHeight="1" x14ac:dyDescent="0.2">
      <c r="A399" s="10">
        <v>20171</v>
      </c>
      <c r="B399" s="21">
        <v>43952</v>
      </c>
      <c r="C399" s="806" t="s">
        <v>744</v>
      </c>
      <c r="D399" s="807"/>
      <c r="E399" s="11" t="s">
        <v>102</v>
      </c>
      <c r="F399" s="12">
        <v>13</v>
      </c>
      <c r="G399" s="12">
        <v>25.8</v>
      </c>
      <c r="H399" s="12">
        <v>32.92</v>
      </c>
      <c r="I399" s="13">
        <f t="shared" si="28"/>
        <v>335.40000000000003</v>
      </c>
      <c r="J399" s="13">
        <f t="shared" si="29"/>
        <v>427.96000000000004</v>
      </c>
    </row>
    <row r="400" spans="1:10" s="1" customFormat="1" ht="25.5" customHeight="1" x14ac:dyDescent="0.2">
      <c r="A400" s="10">
        <v>20170</v>
      </c>
      <c r="B400" s="21">
        <v>43953</v>
      </c>
      <c r="C400" s="806" t="s">
        <v>745</v>
      </c>
      <c r="D400" s="807"/>
      <c r="E400" s="11" t="s">
        <v>102</v>
      </c>
      <c r="F400" s="12">
        <v>7</v>
      </c>
      <c r="G400" s="12">
        <v>8.23</v>
      </c>
      <c r="H400" s="12">
        <v>10.5</v>
      </c>
      <c r="I400" s="13">
        <f t="shared" si="28"/>
        <v>57.61</v>
      </c>
      <c r="J400" s="13">
        <f t="shared" si="29"/>
        <v>73.5</v>
      </c>
    </row>
    <row r="401" spans="1:10" s="1" customFormat="1" ht="25.5" customHeight="1" x14ac:dyDescent="0.2">
      <c r="A401" s="10">
        <v>20169</v>
      </c>
      <c r="B401" s="21">
        <v>43954</v>
      </c>
      <c r="C401" s="806" t="s">
        <v>746</v>
      </c>
      <c r="D401" s="807"/>
      <c r="E401" s="11" t="s">
        <v>102</v>
      </c>
      <c r="F401" s="12">
        <v>8</v>
      </c>
      <c r="G401" s="12">
        <v>6.79</v>
      </c>
      <c r="H401" s="12">
        <v>8.66</v>
      </c>
      <c r="I401" s="13">
        <f t="shared" si="28"/>
        <v>54.32</v>
      </c>
      <c r="J401" s="13">
        <f t="shared" si="29"/>
        <v>69.28</v>
      </c>
    </row>
    <row r="402" spans="1:10" s="1" customFormat="1" ht="25.5" customHeight="1" x14ac:dyDescent="0.2">
      <c r="A402" s="10">
        <v>20168</v>
      </c>
      <c r="B402" s="21">
        <v>43955</v>
      </c>
      <c r="C402" s="806" t="s">
        <v>747</v>
      </c>
      <c r="D402" s="807"/>
      <c r="E402" s="11" t="s">
        <v>102</v>
      </c>
      <c r="F402" s="12">
        <v>14</v>
      </c>
      <c r="G402" s="12">
        <v>4.83</v>
      </c>
      <c r="H402" s="12">
        <v>6.16</v>
      </c>
      <c r="I402" s="13">
        <f t="shared" si="28"/>
        <v>67.62</v>
      </c>
      <c r="J402" s="13">
        <f t="shared" si="29"/>
        <v>86.240000000000009</v>
      </c>
    </row>
    <row r="403" spans="1:10" s="1" customFormat="1" ht="25.5" customHeight="1" x14ac:dyDescent="0.2">
      <c r="A403" s="10">
        <v>20167</v>
      </c>
      <c r="B403" s="21">
        <v>43956</v>
      </c>
      <c r="C403" s="806" t="s">
        <v>748</v>
      </c>
      <c r="D403" s="807"/>
      <c r="E403" s="11" t="s">
        <v>102</v>
      </c>
      <c r="F403" s="12">
        <v>7</v>
      </c>
      <c r="G403" s="12">
        <v>3.24</v>
      </c>
      <c r="H403" s="12">
        <v>4.13</v>
      </c>
      <c r="I403" s="13">
        <f t="shared" si="28"/>
        <v>22.68</v>
      </c>
      <c r="J403" s="13">
        <f t="shared" si="29"/>
        <v>28.91</v>
      </c>
    </row>
    <row r="404" spans="1:10" s="1" customFormat="1" ht="25.5" customHeight="1" x14ac:dyDescent="0.2">
      <c r="A404" s="8"/>
      <c r="B404" s="9" t="s">
        <v>749</v>
      </c>
      <c r="C404" s="808" t="s">
        <v>750</v>
      </c>
      <c r="D404" s="809"/>
      <c r="E404" s="8"/>
      <c r="F404" s="8"/>
      <c r="G404" s="8"/>
      <c r="H404" s="8"/>
      <c r="I404" s="13">
        <f t="shared" si="28"/>
        <v>0</v>
      </c>
      <c r="J404" s="13">
        <f t="shared" si="29"/>
        <v>0</v>
      </c>
    </row>
    <row r="405" spans="1:10" s="1" customFormat="1" ht="25.5" customHeight="1" x14ac:dyDescent="0.2">
      <c r="A405" s="19">
        <v>20042</v>
      </c>
      <c r="B405" s="21">
        <v>43983</v>
      </c>
      <c r="C405" s="806" t="s">
        <v>751</v>
      </c>
      <c r="D405" s="807"/>
      <c r="E405" s="11" t="s">
        <v>102</v>
      </c>
      <c r="F405" s="12">
        <v>9</v>
      </c>
      <c r="G405" s="12">
        <v>3.11</v>
      </c>
      <c r="H405" s="12">
        <v>3.97</v>
      </c>
      <c r="I405" s="13">
        <f t="shared" si="28"/>
        <v>27.99</v>
      </c>
      <c r="J405" s="13">
        <f t="shared" si="29"/>
        <v>35.730000000000004</v>
      </c>
    </row>
    <row r="406" spans="1:10" s="1" customFormat="1" ht="25.5" customHeight="1" x14ac:dyDescent="0.2">
      <c r="A406" s="19">
        <v>38418</v>
      </c>
      <c r="B406" s="21">
        <v>43984</v>
      </c>
      <c r="C406" s="806" t="s">
        <v>752</v>
      </c>
      <c r="D406" s="807"/>
      <c r="E406" s="11" t="s">
        <v>102</v>
      </c>
      <c r="F406" s="12">
        <v>2</v>
      </c>
      <c r="G406" s="12">
        <v>3.14</v>
      </c>
      <c r="H406" s="12">
        <v>4.01</v>
      </c>
      <c r="I406" s="13">
        <f t="shared" si="28"/>
        <v>6.28</v>
      </c>
      <c r="J406" s="13">
        <f t="shared" si="29"/>
        <v>8.02</v>
      </c>
    </row>
    <row r="407" spans="1:10" s="1" customFormat="1" ht="25.5" customHeight="1" x14ac:dyDescent="0.2">
      <c r="A407" s="8"/>
      <c r="B407" s="9" t="s">
        <v>753</v>
      </c>
      <c r="C407" s="808" t="s">
        <v>754</v>
      </c>
      <c r="D407" s="809"/>
      <c r="E407" s="8"/>
      <c r="F407" s="8"/>
      <c r="G407" s="8"/>
      <c r="H407" s="8"/>
      <c r="I407" s="13">
        <f t="shared" si="28"/>
        <v>0</v>
      </c>
      <c r="J407" s="13">
        <f t="shared" si="29"/>
        <v>0</v>
      </c>
    </row>
    <row r="408" spans="1:10" s="1" customFormat="1" ht="25.5" customHeight="1" x14ac:dyDescent="0.2">
      <c r="A408" s="19">
        <v>89834</v>
      </c>
      <c r="B408" s="21">
        <v>44013</v>
      </c>
      <c r="C408" s="806" t="s">
        <v>755</v>
      </c>
      <c r="D408" s="807"/>
      <c r="E408" s="11" t="s">
        <v>102</v>
      </c>
      <c r="F408" s="12">
        <v>23</v>
      </c>
      <c r="G408" s="12">
        <v>26.88</v>
      </c>
      <c r="H408" s="12">
        <v>34.299999999999997</v>
      </c>
      <c r="I408" s="13">
        <f t="shared" si="28"/>
        <v>618.24</v>
      </c>
      <c r="J408" s="13">
        <f t="shared" si="29"/>
        <v>788.9</v>
      </c>
    </row>
    <row r="409" spans="1:10" s="1" customFormat="1" ht="25.5" customHeight="1" x14ac:dyDescent="0.2">
      <c r="A409" s="8"/>
      <c r="B409" s="9" t="s">
        <v>756</v>
      </c>
      <c r="C409" s="808" t="s">
        <v>757</v>
      </c>
      <c r="D409" s="809"/>
      <c r="E409" s="8"/>
      <c r="F409" s="8"/>
      <c r="G409" s="8"/>
      <c r="H409" s="8"/>
      <c r="I409" s="13">
        <f t="shared" si="28"/>
        <v>0</v>
      </c>
      <c r="J409" s="13">
        <f t="shared" si="29"/>
        <v>0</v>
      </c>
    </row>
    <row r="410" spans="1:10" s="1" customFormat="1" ht="25.5" customHeight="1" x14ac:dyDescent="0.2">
      <c r="A410" s="19">
        <v>6138</v>
      </c>
      <c r="B410" s="21">
        <v>44044</v>
      </c>
      <c r="C410" s="806" t="s">
        <v>758</v>
      </c>
      <c r="D410" s="807"/>
      <c r="E410" s="11" t="s">
        <v>102</v>
      </c>
      <c r="F410" s="12">
        <v>23</v>
      </c>
      <c r="G410" s="12">
        <v>1.66</v>
      </c>
      <c r="H410" s="12">
        <v>2.12</v>
      </c>
      <c r="I410" s="13">
        <f t="shared" si="28"/>
        <v>38.18</v>
      </c>
      <c r="J410" s="13">
        <f t="shared" si="29"/>
        <v>48.760000000000005</v>
      </c>
    </row>
    <row r="411" spans="1:10" s="1" customFormat="1" ht="25.5" customHeight="1" x14ac:dyDescent="0.2">
      <c r="A411" s="8"/>
      <c r="B411" s="9" t="s">
        <v>759</v>
      </c>
      <c r="C411" s="808" t="s">
        <v>760</v>
      </c>
      <c r="D411" s="809"/>
      <c r="E411" s="8"/>
      <c r="F411" s="8"/>
      <c r="G411" s="8"/>
      <c r="H411" s="8"/>
      <c r="I411" s="13">
        <f t="shared" si="28"/>
        <v>0</v>
      </c>
      <c r="J411" s="13">
        <f t="shared" si="29"/>
        <v>0</v>
      </c>
    </row>
    <row r="412" spans="1:10" s="1" customFormat="1" ht="25.5" customHeight="1" x14ac:dyDescent="0.2">
      <c r="A412" s="24">
        <v>84</v>
      </c>
      <c r="B412" s="21">
        <v>44075</v>
      </c>
      <c r="C412" s="806" t="s">
        <v>761</v>
      </c>
      <c r="D412" s="807"/>
      <c r="E412" s="11" t="s">
        <v>102</v>
      </c>
      <c r="F412" s="12">
        <v>17</v>
      </c>
      <c r="G412" s="12">
        <v>1.34</v>
      </c>
      <c r="H412" s="12">
        <v>1.71</v>
      </c>
      <c r="I412" s="13">
        <f t="shared" si="28"/>
        <v>22.78</v>
      </c>
      <c r="J412" s="13">
        <f t="shared" si="29"/>
        <v>29.07</v>
      </c>
    </row>
    <row r="413" spans="1:10" s="1" customFormat="1" ht="25.5" customHeight="1" x14ac:dyDescent="0.2">
      <c r="A413" s="8"/>
      <c r="B413" s="9" t="s">
        <v>762</v>
      </c>
      <c r="C413" s="808" t="s">
        <v>450</v>
      </c>
      <c r="D413" s="809"/>
      <c r="E413" s="8"/>
      <c r="F413" s="8"/>
      <c r="G413" s="8"/>
      <c r="H413" s="8"/>
      <c r="I413" s="13">
        <f t="shared" si="28"/>
        <v>0</v>
      </c>
      <c r="J413" s="13">
        <f t="shared" si="29"/>
        <v>0</v>
      </c>
    </row>
    <row r="414" spans="1:10" s="1" customFormat="1" ht="25.5" customHeight="1" x14ac:dyDescent="0.2">
      <c r="A414" s="19">
        <v>20178</v>
      </c>
      <c r="B414" s="25">
        <v>44105</v>
      </c>
      <c r="C414" s="806" t="s">
        <v>763</v>
      </c>
      <c r="D414" s="807"/>
      <c r="E414" s="11" t="s">
        <v>102</v>
      </c>
      <c r="F414" s="12">
        <v>23</v>
      </c>
      <c r="G414" s="12">
        <v>21.6</v>
      </c>
      <c r="H414" s="12">
        <v>27.56</v>
      </c>
      <c r="I414" s="13">
        <f t="shared" si="28"/>
        <v>496.8</v>
      </c>
      <c r="J414" s="13">
        <f t="shared" si="29"/>
        <v>633.88</v>
      </c>
    </row>
    <row r="415" spans="1:10" s="1" customFormat="1" ht="25.5" customHeight="1" x14ac:dyDescent="0.2">
      <c r="A415" s="22" t="s">
        <v>308</v>
      </c>
      <c r="B415" s="25">
        <v>44106</v>
      </c>
      <c r="C415" s="806" t="s">
        <v>764</v>
      </c>
      <c r="D415" s="807"/>
      <c r="E415" s="11" t="s">
        <v>102</v>
      </c>
      <c r="F415" s="12">
        <v>21</v>
      </c>
      <c r="G415" s="12">
        <v>15.9</v>
      </c>
      <c r="H415" s="12">
        <v>20.29</v>
      </c>
      <c r="I415" s="13">
        <f t="shared" si="28"/>
        <v>333.90000000000003</v>
      </c>
      <c r="J415" s="13">
        <f t="shared" si="29"/>
        <v>426.09</v>
      </c>
    </row>
    <row r="416" spans="1:10" s="1" customFormat="1" ht="25.5" customHeight="1" x14ac:dyDescent="0.2">
      <c r="A416" s="19">
        <v>20179</v>
      </c>
      <c r="B416" s="25">
        <v>44107</v>
      </c>
      <c r="C416" s="806" t="s">
        <v>765</v>
      </c>
      <c r="D416" s="807"/>
      <c r="E416" s="11" t="s">
        <v>102</v>
      </c>
      <c r="F416" s="12">
        <v>2</v>
      </c>
      <c r="G416" s="12">
        <v>29.74</v>
      </c>
      <c r="H416" s="12">
        <v>37.950000000000003</v>
      </c>
      <c r="I416" s="13">
        <f t="shared" si="28"/>
        <v>59.48</v>
      </c>
      <c r="J416" s="13">
        <f t="shared" si="29"/>
        <v>75.900000000000006</v>
      </c>
    </row>
    <row r="417" spans="1:10" s="1" customFormat="1" ht="25.5" customHeight="1" x14ac:dyDescent="0.2">
      <c r="A417" s="19">
        <v>20177</v>
      </c>
      <c r="B417" s="25">
        <v>44108</v>
      </c>
      <c r="C417" s="806" t="s">
        <v>766</v>
      </c>
      <c r="D417" s="807"/>
      <c r="E417" s="11" t="s">
        <v>102</v>
      </c>
      <c r="F417" s="12">
        <v>4</v>
      </c>
      <c r="G417" s="12">
        <v>17.09</v>
      </c>
      <c r="H417" s="12">
        <v>21.81</v>
      </c>
      <c r="I417" s="13">
        <f t="shared" si="28"/>
        <v>68.36</v>
      </c>
      <c r="J417" s="13">
        <f t="shared" si="29"/>
        <v>87.24</v>
      </c>
    </row>
    <row r="418" spans="1:10" s="1" customFormat="1" ht="25.5" customHeight="1" x14ac:dyDescent="0.2">
      <c r="A418" s="19">
        <v>7097</v>
      </c>
      <c r="B418" s="25">
        <v>44109</v>
      </c>
      <c r="C418" s="806" t="s">
        <v>767</v>
      </c>
      <c r="D418" s="807"/>
      <c r="E418" s="11" t="s">
        <v>102</v>
      </c>
      <c r="F418" s="12">
        <v>50</v>
      </c>
      <c r="G418" s="12">
        <v>5.2</v>
      </c>
      <c r="H418" s="12">
        <v>6.63</v>
      </c>
      <c r="I418" s="13">
        <f t="shared" si="28"/>
        <v>260</v>
      </c>
      <c r="J418" s="13">
        <f t="shared" si="29"/>
        <v>331.5</v>
      </c>
    </row>
    <row r="419" spans="1:10" s="1" customFormat="1" ht="25.5" customHeight="1" x14ac:dyDescent="0.2">
      <c r="A419" s="8"/>
      <c r="B419" s="9" t="s">
        <v>768</v>
      </c>
      <c r="C419" s="808" t="s">
        <v>684</v>
      </c>
      <c r="D419" s="809"/>
      <c r="E419" s="8"/>
      <c r="F419" s="8"/>
      <c r="G419" s="8"/>
      <c r="H419" s="8"/>
      <c r="I419" s="13">
        <f t="shared" si="28"/>
        <v>0</v>
      </c>
      <c r="J419" s="13">
        <f t="shared" si="29"/>
        <v>0</v>
      </c>
    </row>
    <row r="420" spans="1:10" s="1" customFormat="1" ht="25.5" customHeight="1" x14ac:dyDescent="0.2">
      <c r="A420" s="8"/>
      <c r="B420" s="26">
        <v>44136</v>
      </c>
      <c r="C420" s="808" t="s">
        <v>769</v>
      </c>
      <c r="D420" s="809"/>
      <c r="E420" s="8"/>
      <c r="F420" s="8"/>
      <c r="G420" s="8"/>
      <c r="H420" s="8"/>
      <c r="I420" s="13">
        <f t="shared" si="28"/>
        <v>0</v>
      </c>
      <c r="J420" s="13">
        <f t="shared" si="29"/>
        <v>0</v>
      </c>
    </row>
    <row r="421" spans="1:10" s="1" customFormat="1" ht="25.5" customHeight="1" x14ac:dyDescent="0.2">
      <c r="A421" s="19">
        <v>11880</v>
      </c>
      <c r="B421" s="11" t="s">
        <v>770</v>
      </c>
      <c r="C421" s="806" t="s">
        <v>771</v>
      </c>
      <c r="D421" s="807"/>
      <c r="E421" s="11" t="s">
        <v>102</v>
      </c>
      <c r="F421" s="12">
        <v>4</v>
      </c>
      <c r="G421" s="12">
        <v>68.53</v>
      </c>
      <c r="H421" s="12">
        <v>87.44</v>
      </c>
      <c r="I421" s="13">
        <f t="shared" si="28"/>
        <v>274.12</v>
      </c>
      <c r="J421" s="13">
        <f t="shared" si="29"/>
        <v>349.76</v>
      </c>
    </row>
    <row r="422" spans="1:10" s="1" customFormat="1" ht="25.5" customHeight="1" x14ac:dyDescent="0.2">
      <c r="A422" s="19">
        <v>89491</v>
      </c>
      <c r="B422" s="11" t="s">
        <v>772</v>
      </c>
      <c r="C422" s="806" t="s">
        <v>773</v>
      </c>
      <c r="D422" s="807"/>
      <c r="E422" s="11" t="s">
        <v>102</v>
      </c>
      <c r="F422" s="12">
        <v>18</v>
      </c>
      <c r="G422" s="12">
        <v>44.44</v>
      </c>
      <c r="H422" s="12">
        <v>56.7</v>
      </c>
      <c r="I422" s="13">
        <f t="shared" si="28"/>
        <v>799.92</v>
      </c>
      <c r="J422" s="13">
        <f t="shared" si="29"/>
        <v>1020.6</v>
      </c>
    </row>
    <row r="423" spans="1:10" s="1" customFormat="1" ht="25.5" customHeight="1" x14ac:dyDescent="0.2">
      <c r="A423" s="8"/>
      <c r="B423" s="26">
        <v>44137</v>
      </c>
      <c r="C423" s="808" t="s">
        <v>774</v>
      </c>
      <c r="D423" s="809"/>
      <c r="E423" s="8"/>
      <c r="F423" s="8"/>
      <c r="G423" s="8"/>
      <c r="H423" s="8"/>
      <c r="I423" s="13">
        <f t="shared" si="28"/>
        <v>0</v>
      </c>
      <c r="J423" s="13">
        <f t="shared" si="29"/>
        <v>0</v>
      </c>
    </row>
    <row r="424" spans="1:10" s="1" customFormat="1" ht="25.5" customHeight="1" x14ac:dyDescent="0.2">
      <c r="A424" s="19">
        <v>11716</v>
      </c>
      <c r="B424" s="11" t="s">
        <v>775</v>
      </c>
      <c r="C424" s="806" t="s">
        <v>776</v>
      </c>
      <c r="D424" s="807"/>
      <c r="E424" s="11" t="s">
        <v>102</v>
      </c>
      <c r="F424" s="12">
        <v>6</v>
      </c>
      <c r="G424" s="12">
        <v>10.38</v>
      </c>
      <c r="H424" s="12">
        <v>13.24</v>
      </c>
      <c r="I424" s="13">
        <f t="shared" si="28"/>
        <v>62.28</v>
      </c>
      <c r="J424" s="13">
        <f t="shared" si="29"/>
        <v>79.44</v>
      </c>
    </row>
    <row r="425" spans="1:10" s="1" customFormat="1" ht="25.5" customHeight="1" x14ac:dyDescent="0.2">
      <c r="A425" s="8"/>
      <c r="B425" s="26">
        <v>44138</v>
      </c>
      <c r="C425" s="808" t="s">
        <v>711</v>
      </c>
      <c r="D425" s="809"/>
      <c r="E425" s="8"/>
      <c r="F425" s="8"/>
      <c r="G425" s="8"/>
      <c r="H425" s="8"/>
      <c r="I425" s="13">
        <f t="shared" si="28"/>
        <v>0</v>
      </c>
      <c r="J425" s="13">
        <f t="shared" si="29"/>
        <v>0</v>
      </c>
    </row>
    <row r="426" spans="1:10" s="1" customFormat="1" ht="25.5" customHeight="1" x14ac:dyDescent="0.2">
      <c r="A426" s="22" t="s">
        <v>308</v>
      </c>
      <c r="B426" s="11" t="s">
        <v>777</v>
      </c>
      <c r="C426" s="806" t="s">
        <v>778</v>
      </c>
      <c r="D426" s="807"/>
      <c r="E426" s="11" t="s">
        <v>102</v>
      </c>
      <c r="F426" s="12">
        <v>13</v>
      </c>
      <c r="G426" s="12">
        <v>24.15</v>
      </c>
      <c r="H426" s="12">
        <v>30.81</v>
      </c>
      <c r="I426" s="13">
        <f t="shared" si="28"/>
        <v>313.95</v>
      </c>
      <c r="J426" s="13">
        <f t="shared" si="29"/>
        <v>400.53</v>
      </c>
    </row>
    <row r="427" spans="1:10" s="1" customFormat="1" ht="25.5" customHeight="1" x14ac:dyDescent="0.2">
      <c r="A427" s="22" t="s">
        <v>308</v>
      </c>
      <c r="B427" s="11" t="s">
        <v>779</v>
      </c>
      <c r="C427" s="806" t="s">
        <v>780</v>
      </c>
      <c r="D427" s="807"/>
      <c r="E427" s="11" t="s">
        <v>102</v>
      </c>
      <c r="F427" s="12">
        <v>2</v>
      </c>
      <c r="G427" s="12">
        <v>11.66</v>
      </c>
      <c r="H427" s="12">
        <v>14.88</v>
      </c>
      <c r="I427" s="13">
        <f t="shared" si="28"/>
        <v>23.32</v>
      </c>
      <c r="J427" s="13">
        <f t="shared" si="29"/>
        <v>29.76</v>
      </c>
    </row>
    <row r="428" spans="1:10" s="1" customFormat="1" ht="25.5" customHeight="1" x14ac:dyDescent="0.2">
      <c r="A428" s="22" t="s">
        <v>308</v>
      </c>
      <c r="B428" s="11" t="s">
        <v>781</v>
      </c>
      <c r="C428" s="806" t="s">
        <v>782</v>
      </c>
      <c r="D428" s="807"/>
      <c r="E428" s="11" t="s">
        <v>102</v>
      </c>
      <c r="F428" s="12">
        <v>5</v>
      </c>
      <c r="G428" s="12">
        <v>16.05</v>
      </c>
      <c r="H428" s="12">
        <v>20.48</v>
      </c>
      <c r="I428" s="13">
        <f t="shared" si="28"/>
        <v>80.25</v>
      </c>
      <c r="J428" s="13">
        <f t="shared" si="29"/>
        <v>102.4</v>
      </c>
    </row>
    <row r="429" spans="1:10" s="1" customFormat="1" ht="25.5" customHeight="1" x14ac:dyDescent="0.2">
      <c r="A429" s="22" t="s">
        <v>308</v>
      </c>
      <c r="B429" s="11" t="s">
        <v>783</v>
      </c>
      <c r="C429" s="806" t="s">
        <v>784</v>
      </c>
      <c r="D429" s="807"/>
      <c r="E429" s="11" t="s">
        <v>102</v>
      </c>
      <c r="F429" s="12">
        <v>4</v>
      </c>
      <c r="G429" s="12">
        <v>9.69</v>
      </c>
      <c r="H429" s="12">
        <v>12.36</v>
      </c>
      <c r="I429" s="13">
        <f t="shared" si="28"/>
        <v>38.76</v>
      </c>
      <c r="J429" s="13">
        <f t="shared" si="29"/>
        <v>49.44</v>
      </c>
    </row>
    <row r="430" spans="1:10" s="1" customFormat="1" ht="25.5" customHeight="1" x14ac:dyDescent="0.2">
      <c r="A430" s="22" t="s">
        <v>308</v>
      </c>
      <c r="B430" s="11" t="s">
        <v>785</v>
      </c>
      <c r="C430" s="806" t="s">
        <v>786</v>
      </c>
      <c r="D430" s="807"/>
      <c r="E430" s="11" t="s">
        <v>102</v>
      </c>
      <c r="F430" s="12">
        <v>8</v>
      </c>
      <c r="G430" s="12">
        <v>128.66</v>
      </c>
      <c r="H430" s="12">
        <v>164.16</v>
      </c>
      <c r="I430" s="13">
        <f t="shared" si="28"/>
        <v>1029.28</v>
      </c>
      <c r="J430" s="13">
        <f t="shared" si="29"/>
        <v>1313.28</v>
      </c>
    </row>
    <row r="431" spans="1:10" s="1" customFormat="1" ht="25.5" customHeight="1" x14ac:dyDescent="0.2">
      <c r="A431" s="22" t="s">
        <v>308</v>
      </c>
      <c r="B431" s="11" t="s">
        <v>787</v>
      </c>
      <c r="C431" s="806" t="s">
        <v>788</v>
      </c>
      <c r="D431" s="807"/>
      <c r="E431" s="11" t="s">
        <v>102</v>
      </c>
      <c r="F431" s="12">
        <v>40</v>
      </c>
      <c r="G431" s="12">
        <v>61.54</v>
      </c>
      <c r="H431" s="12">
        <v>78.52</v>
      </c>
      <c r="I431" s="13">
        <f t="shared" si="28"/>
        <v>2461.6</v>
      </c>
      <c r="J431" s="13">
        <f t="shared" si="29"/>
        <v>3140.7999999999997</v>
      </c>
    </row>
    <row r="432" spans="1:10" s="1" customFormat="1" ht="25.5" customHeight="1" x14ac:dyDescent="0.2">
      <c r="A432" s="22" t="s">
        <v>308</v>
      </c>
      <c r="B432" s="11" t="s">
        <v>789</v>
      </c>
      <c r="C432" s="806" t="s">
        <v>790</v>
      </c>
      <c r="D432" s="807"/>
      <c r="E432" s="11" t="s">
        <v>102</v>
      </c>
      <c r="F432" s="12">
        <v>1</v>
      </c>
      <c r="G432" s="12">
        <v>23.8</v>
      </c>
      <c r="H432" s="12">
        <v>30.37</v>
      </c>
      <c r="I432" s="13">
        <f t="shared" si="28"/>
        <v>23.8</v>
      </c>
      <c r="J432" s="13">
        <f t="shared" si="29"/>
        <v>30.37</v>
      </c>
    </row>
    <row r="433" spans="1:10" s="1" customFormat="1" ht="25.5" customHeight="1" x14ac:dyDescent="0.2">
      <c r="A433" s="22" t="s">
        <v>308</v>
      </c>
      <c r="B433" s="11" t="s">
        <v>791</v>
      </c>
      <c r="C433" s="806" t="s">
        <v>792</v>
      </c>
      <c r="D433" s="807"/>
      <c r="E433" s="11" t="s">
        <v>102</v>
      </c>
      <c r="F433" s="12">
        <v>4</v>
      </c>
      <c r="G433" s="12">
        <v>39.9</v>
      </c>
      <c r="H433" s="12">
        <v>50.91</v>
      </c>
      <c r="I433" s="13">
        <f t="shared" si="28"/>
        <v>159.6</v>
      </c>
      <c r="J433" s="13">
        <f t="shared" si="29"/>
        <v>203.64</v>
      </c>
    </row>
    <row r="434" spans="1:10" s="1" customFormat="1" ht="25.5" customHeight="1" x14ac:dyDescent="0.2">
      <c r="A434" s="22" t="s">
        <v>308</v>
      </c>
      <c r="B434" s="11" t="s">
        <v>793</v>
      </c>
      <c r="C434" s="806" t="s">
        <v>794</v>
      </c>
      <c r="D434" s="807"/>
      <c r="E434" s="11" t="s">
        <v>102</v>
      </c>
      <c r="F434" s="12">
        <v>4</v>
      </c>
      <c r="G434" s="12">
        <v>12.92</v>
      </c>
      <c r="H434" s="12">
        <v>16.48</v>
      </c>
      <c r="I434" s="13">
        <f t="shared" si="28"/>
        <v>51.68</v>
      </c>
      <c r="J434" s="13">
        <f t="shared" si="29"/>
        <v>65.92</v>
      </c>
    </row>
    <row r="435" spans="1:10" s="1" customFormat="1" ht="25.5" customHeight="1" x14ac:dyDescent="0.2">
      <c r="A435" s="22" t="s">
        <v>308</v>
      </c>
      <c r="B435" s="11" t="s">
        <v>795</v>
      </c>
      <c r="C435" s="806" t="s">
        <v>796</v>
      </c>
      <c r="D435" s="807"/>
      <c r="E435" s="11" t="s">
        <v>102</v>
      </c>
      <c r="F435" s="12">
        <v>18</v>
      </c>
      <c r="G435" s="12">
        <v>3.73</v>
      </c>
      <c r="H435" s="12">
        <v>4.76</v>
      </c>
      <c r="I435" s="13">
        <f t="shared" si="28"/>
        <v>67.14</v>
      </c>
      <c r="J435" s="13">
        <f t="shared" si="29"/>
        <v>85.679999999999993</v>
      </c>
    </row>
    <row r="436" spans="1:10" s="1" customFormat="1" ht="25.5" customHeight="1" x14ac:dyDescent="0.2">
      <c r="A436" s="22" t="s">
        <v>308</v>
      </c>
      <c r="B436" s="11" t="s">
        <v>797</v>
      </c>
      <c r="C436" s="806" t="s">
        <v>798</v>
      </c>
      <c r="D436" s="807"/>
      <c r="E436" s="11" t="s">
        <v>102</v>
      </c>
      <c r="F436" s="12">
        <v>6</v>
      </c>
      <c r="G436" s="12">
        <v>3.01</v>
      </c>
      <c r="H436" s="12">
        <v>3.84</v>
      </c>
      <c r="I436" s="13">
        <f t="shared" si="28"/>
        <v>18.059999999999999</v>
      </c>
      <c r="J436" s="13">
        <f t="shared" si="29"/>
        <v>23.04</v>
      </c>
    </row>
    <row r="437" spans="1:10" s="1" customFormat="1" ht="25.5" customHeight="1" x14ac:dyDescent="0.2">
      <c r="A437" s="8"/>
      <c r="B437" s="26">
        <v>44139</v>
      </c>
      <c r="C437" s="808" t="s">
        <v>799</v>
      </c>
      <c r="D437" s="809"/>
      <c r="E437" s="8"/>
      <c r="F437" s="8"/>
      <c r="G437" s="8"/>
      <c r="H437" s="8"/>
      <c r="I437" s="13">
        <f t="shared" si="28"/>
        <v>0</v>
      </c>
      <c r="J437" s="13">
        <f t="shared" si="29"/>
        <v>0</v>
      </c>
    </row>
    <row r="438" spans="1:10" s="1" customFormat="1" ht="25.5" customHeight="1" x14ac:dyDescent="0.2">
      <c r="A438" s="19">
        <v>98108</v>
      </c>
      <c r="B438" s="11" t="s">
        <v>800</v>
      </c>
      <c r="C438" s="806" t="s">
        <v>801</v>
      </c>
      <c r="D438" s="807"/>
      <c r="E438" s="11" t="s">
        <v>102</v>
      </c>
      <c r="F438" s="12">
        <v>1</v>
      </c>
      <c r="G438" s="12">
        <v>347.61</v>
      </c>
      <c r="H438" s="12">
        <v>443.52</v>
      </c>
      <c r="I438" s="13">
        <f t="shared" si="28"/>
        <v>347.61</v>
      </c>
      <c r="J438" s="13">
        <f t="shared" si="29"/>
        <v>443.52</v>
      </c>
    </row>
    <row r="439" spans="1:10" s="1" customFormat="1" ht="25.5" customHeight="1" x14ac:dyDescent="0.2">
      <c r="A439" s="19">
        <v>98106</v>
      </c>
      <c r="B439" s="11" t="s">
        <v>802</v>
      </c>
      <c r="C439" s="806" t="s">
        <v>803</v>
      </c>
      <c r="D439" s="807"/>
      <c r="E439" s="11" t="s">
        <v>102</v>
      </c>
      <c r="F439" s="12">
        <v>1</v>
      </c>
      <c r="G439" s="12">
        <v>786.65</v>
      </c>
      <c r="H439" s="13">
        <v>1003.69</v>
      </c>
      <c r="I439" s="13">
        <f t="shared" si="28"/>
        <v>786.65</v>
      </c>
      <c r="J439" s="13">
        <f t="shared" si="29"/>
        <v>1003.69</v>
      </c>
    </row>
    <row r="440" spans="1:10" s="1" customFormat="1" ht="25.5" customHeight="1" x14ac:dyDescent="0.2">
      <c r="A440" s="22" t="s">
        <v>308</v>
      </c>
      <c r="B440" s="11" t="s">
        <v>804</v>
      </c>
      <c r="C440" s="806" t="s">
        <v>805</v>
      </c>
      <c r="D440" s="807"/>
      <c r="E440" s="11" t="s">
        <v>102</v>
      </c>
      <c r="F440" s="12">
        <v>2</v>
      </c>
      <c r="G440" s="12">
        <v>205.99</v>
      </c>
      <c r="H440" s="12">
        <v>262.82</v>
      </c>
      <c r="I440" s="13">
        <f t="shared" si="28"/>
        <v>411.98</v>
      </c>
      <c r="J440" s="13">
        <f t="shared" si="29"/>
        <v>525.64</v>
      </c>
    </row>
    <row r="441" spans="1:10" s="1" customFormat="1" ht="25.5" customHeight="1" x14ac:dyDescent="0.2">
      <c r="A441" s="8"/>
      <c r="B441" s="26">
        <v>44140</v>
      </c>
      <c r="C441" s="808" t="s">
        <v>806</v>
      </c>
      <c r="D441" s="809"/>
      <c r="E441" s="8"/>
      <c r="F441" s="8"/>
      <c r="G441" s="8"/>
      <c r="H441" s="8"/>
      <c r="I441" s="13">
        <f t="shared" si="28"/>
        <v>0</v>
      </c>
      <c r="J441" s="13">
        <f t="shared" si="29"/>
        <v>0</v>
      </c>
    </row>
    <row r="442" spans="1:10" s="1" customFormat="1" ht="25.5" customHeight="1" x14ac:dyDescent="0.2">
      <c r="A442" s="19">
        <v>39320</v>
      </c>
      <c r="B442" s="11" t="s">
        <v>807</v>
      </c>
      <c r="C442" s="806" t="s">
        <v>808</v>
      </c>
      <c r="D442" s="807"/>
      <c r="E442" s="11" t="s">
        <v>102</v>
      </c>
      <c r="F442" s="12">
        <v>9</v>
      </c>
      <c r="G442" s="12">
        <v>5.18</v>
      </c>
      <c r="H442" s="12">
        <v>6.61</v>
      </c>
      <c r="I442" s="13">
        <f t="shared" si="28"/>
        <v>46.62</v>
      </c>
      <c r="J442" s="13">
        <f t="shared" si="29"/>
        <v>59.49</v>
      </c>
    </row>
    <row r="443" spans="1:10" s="1" customFormat="1" ht="25.5" customHeight="1" x14ac:dyDescent="0.2">
      <c r="A443" s="19">
        <v>39319</v>
      </c>
      <c r="B443" s="11" t="s">
        <v>809</v>
      </c>
      <c r="C443" s="806" t="s">
        <v>810</v>
      </c>
      <c r="D443" s="807"/>
      <c r="E443" s="11" t="s">
        <v>102</v>
      </c>
      <c r="F443" s="12">
        <v>6</v>
      </c>
      <c r="G443" s="12">
        <v>4.34</v>
      </c>
      <c r="H443" s="12">
        <v>5.54</v>
      </c>
      <c r="I443" s="13">
        <f t="shared" ref="I443:I450" si="30">F443*G443</f>
        <v>26.04</v>
      </c>
      <c r="J443" s="13">
        <f t="shared" ref="J443:J450" si="31">F443*H443</f>
        <v>33.24</v>
      </c>
    </row>
    <row r="444" spans="1:10" s="1" customFormat="1" ht="25.5" customHeight="1" x14ac:dyDescent="0.2">
      <c r="A444" s="8"/>
      <c r="B444" s="26">
        <v>44141</v>
      </c>
      <c r="C444" s="808" t="s">
        <v>811</v>
      </c>
      <c r="D444" s="809"/>
      <c r="E444" s="8"/>
      <c r="F444" s="8"/>
      <c r="G444" s="8"/>
      <c r="H444" s="8"/>
      <c r="I444" s="13">
        <f t="shared" si="30"/>
        <v>0</v>
      </c>
      <c r="J444" s="13">
        <f t="shared" si="31"/>
        <v>0</v>
      </c>
    </row>
    <row r="445" spans="1:10" s="1" customFormat="1" ht="25.5" customHeight="1" x14ac:dyDescent="0.2">
      <c r="A445" s="27" t="s">
        <v>78</v>
      </c>
      <c r="B445" s="11" t="s">
        <v>812</v>
      </c>
      <c r="C445" s="806" t="s">
        <v>813</v>
      </c>
      <c r="D445" s="807"/>
      <c r="E445" s="11" t="s">
        <v>102</v>
      </c>
      <c r="F445" s="12">
        <v>11</v>
      </c>
      <c r="G445" s="12">
        <v>376.56</v>
      </c>
      <c r="H445" s="12">
        <v>480.45</v>
      </c>
      <c r="I445" s="13">
        <f t="shared" si="30"/>
        <v>4142.16</v>
      </c>
      <c r="J445" s="13">
        <f t="shared" si="31"/>
        <v>5284.95</v>
      </c>
    </row>
    <row r="446" spans="1:10" s="1" customFormat="1" ht="25.5" customHeight="1" x14ac:dyDescent="0.2">
      <c r="A446" s="22" t="s">
        <v>308</v>
      </c>
      <c r="B446" s="11" t="s">
        <v>814</v>
      </c>
      <c r="C446" s="806" t="s">
        <v>815</v>
      </c>
      <c r="D446" s="807"/>
      <c r="E446" s="11" t="s">
        <v>102</v>
      </c>
      <c r="F446" s="12">
        <v>13</v>
      </c>
      <c r="G446" s="12">
        <v>205.99</v>
      </c>
      <c r="H446" s="12">
        <v>262.82</v>
      </c>
      <c r="I446" s="13">
        <f t="shared" si="30"/>
        <v>2677.87</v>
      </c>
      <c r="J446" s="13">
        <f t="shared" si="31"/>
        <v>3416.66</v>
      </c>
    </row>
    <row r="447" spans="1:10" s="1" customFormat="1" ht="25.5" customHeight="1" x14ac:dyDescent="0.2">
      <c r="A447" s="27" t="s">
        <v>78</v>
      </c>
      <c r="B447" s="11" t="s">
        <v>816</v>
      </c>
      <c r="C447" s="806" t="s">
        <v>817</v>
      </c>
      <c r="D447" s="807"/>
      <c r="E447" s="11" t="s">
        <v>102</v>
      </c>
      <c r="F447" s="12">
        <v>2</v>
      </c>
      <c r="G447" s="12">
        <v>472.96</v>
      </c>
      <c r="H447" s="12">
        <v>603.45000000000005</v>
      </c>
      <c r="I447" s="13">
        <f t="shared" si="30"/>
        <v>945.92</v>
      </c>
      <c r="J447" s="13">
        <f t="shared" si="31"/>
        <v>1206.9000000000001</v>
      </c>
    </row>
    <row r="448" spans="1:10" s="1" customFormat="1" ht="25.5" customHeight="1" x14ac:dyDescent="0.2">
      <c r="A448" s="8"/>
      <c r="B448" s="26">
        <v>44142</v>
      </c>
      <c r="C448" s="808" t="s">
        <v>703</v>
      </c>
      <c r="D448" s="809"/>
      <c r="E448" s="8"/>
      <c r="F448" s="8"/>
      <c r="G448" s="8"/>
      <c r="H448" s="8"/>
      <c r="I448" s="13">
        <f t="shared" si="30"/>
        <v>0</v>
      </c>
      <c r="J448" s="13">
        <f t="shared" si="31"/>
        <v>0</v>
      </c>
    </row>
    <row r="449" spans="1:11" s="1" customFormat="1" ht="25.5" customHeight="1" x14ac:dyDescent="0.2">
      <c r="A449" s="27" t="s">
        <v>818</v>
      </c>
      <c r="B449" s="11" t="s">
        <v>819</v>
      </c>
      <c r="C449" s="806" t="s">
        <v>820</v>
      </c>
      <c r="D449" s="807"/>
      <c r="E449" s="11" t="s">
        <v>102</v>
      </c>
      <c r="F449" s="12">
        <v>1</v>
      </c>
      <c r="G449" s="13">
        <v>3604.47</v>
      </c>
      <c r="H449" s="13">
        <v>4598.9399999999996</v>
      </c>
      <c r="I449" s="13">
        <f t="shared" si="30"/>
        <v>3604.47</v>
      </c>
      <c r="J449" s="13">
        <f t="shared" si="31"/>
        <v>4598.9399999999996</v>
      </c>
    </row>
    <row r="450" spans="1:11" s="1" customFormat="1" ht="25.5" customHeight="1" x14ac:dyDescent="0.2">
      <c r="A450" s="22" t="s">
        <v>308</v>
      </c>
      <c r="B450" s="11" t="s">
        <v>821</v>
      </c>
      <c r="C450" s="806" t="s">
        <v>822</v>
      </c>
      <c r="D450" s="807"/>
      <c r="E450" s="11" t="s">
        <v>102</v>
      </c>
      <c r="F450" s="12">
        <v>1</v>
      </c>
      <c r="G450" s="12">
        <v>308.99</v>
      </c>
      <c r="H450" s="12">
        <v>394.24</v>
      </c>
      <c r="I450" s="13">
        <f t="shared" si="30"/>
        <v>308.99</v>
      </c>
      <c r="J450" s="13">
        <f t="shared" si="31"/>
        <v>394.24</v>
      </c>
    </row>
    <row r="451" spans="1:11" s="1" customFormat="1" ht="25.5" customHeight="1" x14ac:dyDescent="0.2">
      <c r="A451" s="8"/>
      <c r="B451" s="803" t="s">
        <v>823</v>
      </c>
      <c r="C451" s="804"/>
      <c r="D451" s="804"/>
      <c r="E451" s="804"/>
      <c r="F451" s="804"/>
      <c r="G451" s="805"/>
      <c r="H451" s="8"/>
      <c r="I451" s="14">
        <f>SUM(I379:I450)</f>
        <v>41609.429999999993</v>
      </c>
      <c r="J451" s="15">
        <f>SUM(J379:J450)-0.55</f>
        <v>53089.469999999987</v>
      </c>
      <c r="K451" s="49"/>
    </row>
    <row r="452" spans="1:11" s="1" customFormat="1" ht="25.5" customHeight="1" x14ac:dyDescent="0.2">
      <c r="A452" s="8"/>
      <c r="B452" s="46"/>
      <c r="C452" s="821"/>
      <c r="D452" s="822"/>
      <c r="E452" s="8"/>
      <c r="F452" s="8"/>
      <c r="G452" s="8"/>
      <c r="H452" s="8"/>
      <c r="I452" s="8"/>
      <c r="J452" s="8"/>
    </row>
    <row r="453" spans="1:11" s="1" customFormat="1" ht="25.5" customHeight="1" x14ac:dyDescent="0.2">
      <c r="A453" s="8"/>
      <c r="B453" s="9" t="s">
        <v>824</v>
      </c>
      <c r="C453" s="808" t="s">
        <v>825</v>
      </c>
      <c r="D453" s="809"/>
      <c r="E453" s="8"/>
      <c r="F453" s="8"/>
      <c r="G453" s="8"/>
      <c r="H453" s="8"/>
      <c r="I453" s="8"/>
      <c r="J453" s="8"/>
    </row>
    <row r="454" spans="1:11" s="1" customFormat="1" ht="25.5" customHeight="1" x14ac:dyDescent="0.2">
      <c r="A454" s="8"/>
      <c r="B454" s="9" t="s">
        <v>826</v>
      </c>
      <c r="C454" s="808" t="s">
        <v>827</v>
      </c>
      <c r="D454" s="809"/>
      <c r="E454" s="8"/>
      <c r="F454" s="8"/>
      <c r="G454" s="8"/>
      <c r="H454" s="8"/>
      <c r="I454" s="8"/>
      <c r="J454" s="8"/>
    </row>
    <row r="455" spans="1:11" s="1" customFormat="1" ht="25.5" customHeight="1" x14ac:dyDescent="0.2">
      <c r="A455" s="19">
        <v>96985</v>
      </c>
      <c r="B455" s="21">
        <v>44197</v>
      </c>
      <c r="C455" s="823" t="s">
        <v>863</v>
      </c>
      <c r="D455" s="824"/>
      <c r="E455" s="11" t="s">
        <v>102</v>
      </c>
      <c r="F455" s="12">
        <v>3</v>
      </c>
      <c r="G455" s="12">
        <v>38.270000000000003</v>
      </c>
      <c r="H455" s="12">
        <v>48.83</v>
      </c>
      <c r="I455" s="13">
        <f>F455*G455</f>
        <v>114.81</v>
      </c>
      <c r="J455" s="13">
        <f>F455*H455</f>
        <v>146.49</v>
      </c>
    </row>
    <row r="456" spans="1:11" s="1" customFormat="1" ht="25.5" customHeight="1" x14ac:dyDescent="0.2">
      <c r="A456" s="19">
        <v>98111</v>
      </c>
      <c r="B456" s="21">
        <v>44198</v>
      </c>
      <c r="C456" s="806" t="s">
        <v>828</v>
      </c>
      <c r="D456" s="807"/>
      <c r="E456" s="11" t="s">
        <v>102</v>
      </c>
      <c r="F456" s="12">
        <v>1</v>
      </c>
      <c r="G456" s="12">
        <v>17.170000000000002</v>
      </c>
      <c r="H456" s="12">
        <v>21.91</v>
      </c>
      <c r="I456" s="13">
        <f>F456*G456</f>
        <v>17.170000000000002</v>
      </c>
      <c r="J456" s="13">
        <f>F456*H456</f>
        <v>21.91</v>
      </c>
    </row>
    <row r="457" spans="1:11" s="1" customFormat="1" ht="25.5" customHeight="1" x14ac:dyDescent="0.2">
      <c r="A457" s="19">
        <v>39862</v>
      </c>
      <c r="B457" s="21">
        <v>44199</v>
      </c>
      <c r="C457" s="806" t="s">
        <v>829</v>
      </c>
      <c r="D457" s="807"/>
      <c r="E457" s="11" t="s">
        <v>102</v>
      </c>
      <c r="F457" s="12">
        <v>3</v>
      </c>
      <c r="G457" s="12">
        <v>5.62</v>
      </c>
      <c r="H457" s="12">
        <v>7.17</v>
      </c>
      <c r="I457" s="13">
        <f>F457*G457</f>
        <v>16.86</v>
      </c>
      <c r="J457" s="13">
        <f>F457*H457</f>
        <v>21.509999999999998</v>
      </c>
    </row>
    <row r="458" spans="1:11" s="1" customFormat="1" ht="25.5" customHeight="1" x14ac:dyDescent="0.2">
      <c r="A458" s="8"/>
      <c r="B458" s="803" t="s">
        <v>830</v>
      </c>
      <c r="C458" s="804"/>
      <c r="D458" s="804"/>
      <c r="E458" s="804"/>
      <c r="F458" s="804"/>
      <c r="G458" s="805"/>
      <c r="H458" s="8"/>
      <c r="I458" s="28">
        <f>SUM(I455:I457)</f>
        <v>148.84000000000003</v>
      </c>
      <c r="J458" s="28">
        <f>SUM(J455:J457)</f>
        <v>189.91</v>
      </c>
    </row>
    <row r="459" spans="1:11" s="1" customFormat="1" ht="25.5" customHeight="1" x14ac:dyDescent="0.2">
      <c r="A459" s="8"/>
      <c r="B459" s="9" t="s">
        <v>831</v>
      </c>
      <c r="C459" s="808" t="s">
        <v>832</v>
      </c>
      <c r="D459" s="809"/>
      <c r="E459" s="8"/>
      <c r="F459" s="8"/>
      <c r="G459" s="8"/>
      <c r="H459" s="8"/>
      <c r="I459" s="8"/>
      <c r="J459" s="8"/>
    </row>
    <row r="460" spans="1:11" s="1" customFormat="1" ht="25.5" customHeight="1" x14ac:dyDescent="0.2">
      <c r="A460" s="19">
        <v>96974</v>
      </c>
      <c r="B460" s="21">
        <v>44228</v>
      </c>
      <c r="C460" s="806" t="s">
        <v>833</v>
      </c>
      <c r="D460" s="807"/>
      <c r="E460" s="11" t="s">
        <v>81</v>
      </c>
      <c r="F460" s="12">
        <v>15</v>
      </c>
      <c r="G460" s="12">
        <v>36.83</v>
      </c>
      <c r="H460" s="12">
        <v>46.99</v>
      </c>
      <c r="I460" s="13">
        <f>F460*G460</f>
        <v>552.44999999999993</v>
      </c>
      <c r="J460" s="13">
        <f>F460*H460</f>
        <v>704.85</v>
      </c>
    </row>
    <row r="461" spans="1:11" s="1" customFormat="1" ht="25.5" customHeight="1" x14ac:dyDescent="0.2">
      <c r="A461" s="19">
        <v>96973</v>
      </c>
      <c r="B461" s="21">
        <v>44229</v>
      </c>
      <c r="C461" s="806" t="s">
        <v>834</v>
      </c>
      <c r="D461" s="807"/>
      <c r="E461" s="11" t="s">
        <v>81</v>
      </c>
      <c r="F461" s="12">
        <v>8</v>
      </c>
      <c r="G461" s="12">
        <v>29.32</v>
      </c>
      <c r="H461" s="12">
        <v>37.409999999999997</v>
      </c>
      <c r="I461" s="13">
        <f>F461*G461</f>
        <v>234.56</v>
      </c>
      <c r="J461" s="13">
        <f>F461*H461</f>
        <v>299.27999999999997</v>
      </c>
    </row>
    <row r="462" spans="1:11" s="1" customFormat="1" ht="25.5" customHeight="1" x14ac:dyDescent="0.2">
      <c r="A462" s="8"/>
      <c r="B462" s="803" t="s">
        <v>835</v>
      </c>
      <c r="C462" s="804"/>
      <c r="D462" s="804"/>
      <c r="E462" s="804"/>
      <c r="F462" s="804"/>
      <c r="G462" s="805"/>
      <c r="H462" s="8"/>
      <c r="I462" s="28">
        <f>SUM(I460:I461)</f>
        <v>787.01</v>
      </c>
      <c r="J462" s="28">
        <f>SUM(J460:J461)</f>
        <v>1004.13</v>
      </c>
    </row>
    <row r="463" spans="1:11" s="1" customFormat="1" ht="25.5" customHeight="1" x14ac:dyDescent="0.2">
      <c r="A463" s="8"/>
      <c r="B463" s="9" t="s">
        <v>836</v>
      </c>
      <c r="C463" s="808" t="s">
        <v>837</v>
      </c>
      <c r="D463" s="809"/>
      <c r="E463" s="8"/>
      <c r="F463" s="8"/>
      <c r="G463" s="8"/>
      <c r="H463" s="8"/>
      <c r="I463" s="8"/>
      <c r="J463" s="8"/>
    </row>
    <row r="464" spans="1:11" s="1" customFormat="1" ht="25.5" customHeight="1" x14ac:dyDescent="0.2">
      <c r="A464" s="2" t="s">
        <v>838</v>
      </c>
      <c r="B464" s="21">
        <v>44256</v>
      </c>
      <c r="C464" s="806" t="s">
        <v>839</v>
      </c>
      <c r="D464" s="807"/>
      <c r="E464" s="11" t="s">
        <v>102</v>
      </c>
      <c r="F464" s="12">
        <v>1</v>
      </c>
      <c r="G464" s="13">
        <v>1679.04</v>
      </c>
      <c r="H464" s="13">
        <v>2142.29</v>
      </c>
      <c r="I464" s="13">
        <f t="shared" ref="I464:I469" si="32">F464*G464</f>
        <v>1679.04</v>
      </c>
      <c r="J464" s="13">
        <f t="shared" ref="J464:J469" si="33">F464*H464</f>
        <v>2142.29</v>
      </c>
    </row>
    <row r="465" spans="1:10" s="1" customFormat="1" ht="25.5" customHeight="1" x14ac:dyDescent="0.2">
      <c r="A465" s="27" t="s">
        <v>840</v>
      </c>
      <c r="B465" s="21">
        <v>44257</v>
      </c>
      <c r="C465" s="806" t="s">
        <v>841</v>
      </c>
      <c r="D465" s="807"/>
      <c r="E465" s="11" t="s">
        <v>102</v>
      </c>
      <c r="F465" s="12">
        <v>1</v>
      </c>
      <c r="G465" s="12">
        <v>214.05</v>
      </c>
      <c r="H465" s="12">
        <v>273.10000000000002</v>
      </c>
      <c r="I465" s="13">
        <f t="shared" si="32"/>
        <v>214.05</v>
      </c>
      <c r="J465" s="13">
        <f t="shared" si="33"/>
        <v>273.10000000000002</v>
      </c>
    </row>
    <row r="466" spans="1:10" s="1" customFormat="1" ht="25.5" customHeight="1" x14ac:dyDescent="0.2">
      <c r="A466" s="27" t="s">
        <v>842</v>
      </c>
      <c r="B466" s="21">
        <v>44258</v>
      </c>
      <c r="C466" s="806" t="s">
        <v>843</v>
      </c>
      <c r="D466" s="807"/>
      <c r="E466" s="11" t="s">
        <v>102</v>
      </c>
      <c r="F466" s="12">
        <v>2</v>
      </c>
      <c r="G466" s="12">
        <v>320</v>
      </c>
      <c r="H466" s="12">
        <v>408.28</v>
      </c>
      <c r="I466" s="13">
        <f t="shared" si="32"/>
        <v>640</v>
      </c>
      <c r="J466" s="13">
        <f t="shared" si="33"/>
        <v>816.56</v>
      </c>
    </row>
    <row r="467" spans="1:10" s="1" customFormat="1" ht="25.5" customHeight="1" x14ac:dyDescent="0.2">
      <c r="A467" s="27" t="s">
        <v>842</v>
      </c>
      <c r="B467" s="21">
        <v>44259</v>
      </c>
      <c r="C467" s="806" t="s">
        <v>844</v>
      </c>
      <c r="D467" s="807"/>
      <c r="E467" s="11" t="s">
        <v>102</v>
      </c>
      <c r="F467" s="12">
        <v>1</v>
      </c>
      <c r="G467" s="12">
        <v>320</v>
      </c>
      <c r="H467" s="12">
        <v>408.28</v>
      </c>
      <c r="I467" s="13">
        <f t="shared" si="32"/>
        <v>320</v>
      </c>
      <c r="J467" s="13">
        <f t="shared" si="33"/>
        <v>408.28</v>
      </c>
    </row>
    <row r="468" spans="1:10" s="1" customFormat="1" ht="25.5" customHeight="1" x14ac:dyDescent="0.2">
      <c r="A468" s="27" t="s">
        <v>842</v>
      </c>
      <c r="B468" s="21">
        <v>44260</v>
      </c>
      <c r="C468" s="806" t="s">
        <v>845</v>
      </c>
      <c r="D468" s="807"/>
      <c r="E468" s="11" t="s">
        <v>102</v>
      </c>
      <c r="F468" s="12">
        <v>1</v>
      </c>
      <c r="G468" s="12">
        <v>320</v>
      </c>
      <c r="H468" s="12">
        <v>408.28</v>
      </c>
      <c r="I468" s="13">
        <f t="shared" si="32"/>
        <v>320</v>
      </c>
      <c r="J468" s="13">
        <f t="shared" si="33"/>
        <v>408.28</v>
      </c>
    </row>
    <row r="469" spans="1:10" s="1" customFormat="1" ht="25.5" customHeight="1" x14ac:dyDescent="0.2">
      <c r="A469" s="22" t="s">
        <v>308</v>
      </c>
      <c r="B469" s="21">
        <v>44261</v>
      </c>
      <c r="C469" s="806" t="s">
        <v>846</v>
      </c>
      <c r="D469" s="807"/>
      <c r="E469" s="11" t="s">
        <v>102</v>
      </c>
      <c r="F469" s="12">
        <v>1</v>
      </c>
      <c r="G469" s="12">
        <v>282.57</v>
      </c>
      <c r="H469" s="12">
        <v>360.53</v>
      </c>
      <c r="I469" s="13">
        <f t="shared" si="32"/>
        <v>282.57</v>
      </c>
      <c r="J469" s="13">
        <f t="shared" si="33"/>
        <v>360.53</v>
      </c>
    </row>
    <row r="470" spans="1:10" s="1" customFormat="1" ht="25.5" customHeight="1" x14ac:dyDescent="0.2">
      <c r="A470" s="8"/>
      <c r="B470" s="803" t="s">
        <v>847</v>
      </c>
      <c r="C470" s="804"/>
      <c r="D470" s="804"/>
      <c r="E470" s="804"/>
      <c r="F470" s="804"/>
      <c r="G470" s="805"/>
      <c r="H470" s="8"/>
      <c r="I470" s="28">
        <f>SUM(I464:I469)</f>
        <v>3455.6600000000003</v>
      </c>
      <c r="J470" s="28">
        <f>SUM(J464:J469)</f>
        <v>4409.0399999999991</v>
      </c>
    </row>
    <row r="471" spans="1:10" s="1" customFormat="1" ht="25.5" customHeight="1" x14ac:dyDescent="0.2">
      <c r="A471" s="8"/>
      <c r="B471" s="9" t="s">
        <v>848</v>
      </c>
      <c r="C471" s="808" t="s">
        <v>849</v>
      </c>
      <c r="D471" s="809"/>
      <c r="E471" s="8"/>
      <c r="F471" s="8"/>
      <c r="G471" s="8"/>
      <c r="H471" s="8"/>
      <c r="I471" s="8"/>
      <c r="J471" s="8"/>
    </row>
    <row r="472" spans="1:10" s="1" customFormat="1" ht="25.5" customHeight="1" x14ac:dyDescent="0.2">
      <c r="A472" s="27" t="s">
        <v>842</v>
      </c>
      <c r="B472" s="21">
        <v>44287</v>
      </c>
      <c r="C472" s="806" t="s">
        <v>850</v>
      </c>
      <c r="D472" s="807"/>
      <c r="E472" s="11" t="s">
        <v>102</v>
      </c>
      <c r="F472" s="12">
        <v>2</v>
      </c>
      <c r="G472" s="12">
        <v>320</v>
      </c>
      <c r="H472" s="12">
        <v>408.28</v>
      </c>
      <c r="I472" s="13">
        <f>F472*G472</f>
        <v>640</v>
      </c>
      <c r="J472" s="13">
        <f>F472*H472</f>
        <v>816.56</v>
      </c>
    </row>
    <row r="473" spans="1:10" s="1" customFormat="1" ht="25.5" customHeight="1" x14ac:dyDescent="0.2">
      <c r="A473" s="27" t="s">
        <v>851</v>
      </c>
      <c r="B473" s="21">
        <v>44288</v>
      </c>
      <c r="C473" s="806" t="s">
        <v>852</v>
      </c>
      <c r="D473" s="807"/>
      <c r="E473" s="11" t="s">
        <v>102</v>
      </c>
      <c r="F473" s="12">
        <v>1</v>
      </c>
      <c r="G473" s="12">
        <v>950.49</v>
      </c>
      <c r="H473" s="13">
        <v>1212.73</v>
      </c>
      <c r="I473" s="13">
        <f>F473*G473</f>
        <v>950.49</v>
      </c>
      <c r="J473" s="13">
        <f>F473*H473</f>
        <v>1212.73</v>
      </c>
    </row>
    <row r="474" spans="1:10" s="1" customFormat="1" ht="25.5" customHeight="1" x14ac:dyDescent="0.2">
      <c r="A474" s="29" t="s">
        <v>853</v>
      </c>
      <c r="B474" s="30">
        <v>44289</v>
      </c>
      <c r="C474" s="823" t="s">
        <v>864</v>
      </c>
      <c r="D474" s="824"/>
      <c r="E474" s="31" t="s">
        <v>102</v>
      </c>
      <c r="F474" s="32">
        <v>1</v>
      </c>
      <c r="G474" s="33">
        <v>1309.99</v>
      </c>
      <c r="H474" s="33">
        <v>1671.41</v>
      </c>
      <c r="I474" s="13">
        <f>F474*G474</f>
        <v>1309.99</v>
      </c>
      <c r="J474" s="13">
        <f>F474*H474</f>
        <v>1671.41</v>
      </c>
    </row>
    <row r="475" spans="1:10" s="1" customFormat="1" ht="25.5" customHeight="1" x14ac:dyDescent="0.2">
      <c r="A475" s="8"/>
      <c r="B475" s="803" t="s">
        <v>854</v>
      </c>
      <c r="C475" s="804"/>
      <c r="D475" s="804"/>
      <c r="E475" s="804"/>
      <c r="F475" s="804"/>
      <c r="G475" s="805"/>
      <c r="H475" s="8"/>
      <c r="I475" s="28">
        <f>SUM(I472:I474)</f>
        <v>2900.48</v>
      </c>
      <c r="J475" s="28">
        <f>SUM(J472:J474)</f>
        <v>3700.7</v>
      </c>
    </row>
    <row r="476" spans="1:10" s="1" customFormat="1" ht="25.5" customHeight="1" x14ac:dyDescent="0.2">
      <c r="A476" s="8"/>
      <c r="B476" s="821"/>
      <c r="C476" s="825"/>
      <c r="D476" s="825"/>
      <c r="E476" s="825"/>
      <c r="F476" s="825"/>
      <c r="G476" s="825"/>
      <c r="H476" s="825"/>
      <c r="I476" s="822"/>
      <c r="J476" s="8"/>
    </row>
    <row r="477" spans="1:10" s="1" customFormat="1" ht="25.5" customHeight="1" x14ac:dyDescent="0.2">
      <c r="A477" s="8"/>
      <c r="B477" s="9" t="s">
        <v>855</v>
      </c>
      <c r="C477" s="808" t="s">
        <v>856</v>
      </c>
      <c r="D477" s="809"/>
      <c r="E477" s="8"/>
      <c r="F477" s="8"/>
      <c r="G477" s="8"/>
      <c r="H477" s="8"/>
      <c r="I477" s="8"/>
      <c r="J477" s="8"/>
    </row>
    <row r="478" spans="1:10" s="1" customFormat="1" ht="25.5" customHeight="1" x14ac:dyDescent="0.2">
      <c r="A478" s="19">
        <v>2504</v>
      </c>
      <c r="B478" s="21">
        <v>44317</v>
      </c>
      <c r="C478" s="806" t="s">
        <v>857</v>
      </c>
      <c r="D478" s="807"/>
      <c r="E478" s="11" t="s">
        <v>81</v>
      </c>
      <c r="F478" s="12">
        <v>160</v>
      </c>
      <c r="G478" s="12">
        <v>5.51</v>
      </c>
      <c r="H478" s="12">
        <v>7.03</v>
      </c>
      <c r="I478" s="13">
        <f t="shared" ref="I478:I489" si="34">F478*G478</f>
        <v>881.59999999999991</v>
      </c>
      <c r="J478" s="13">
        <f t="shared" ref="J478:J489" si="35">F478*H478</f>
        <v>1124.8</v>
      </c>
    </row>
    <row r="479" spans="1:10" s="1" customFormat="1" ht="25.5" customHeight="1" x14ac:dyDescent="0.2">
      <c r="A479" s="19">
        <v>91844</v>
      </c>
      <c r="B479" s="21">
        <v>44318</v>
      </c>
      <c r="C479" s="806" t="s">
        <v>858</v>
      </c>
      <c r="D479" s="807"/>
      <c r="E479" s="11" t="s">
        <v>81</v>
      </c>
      <c r="F479" s="13">
        <v>1250</v>
      </c>
      <c r="G479" s="12">
        <v>4.1500000000000004</v>
      </c>
      <c r="H479" s="12">
        <v>5.29</v>
      </c>
      <c r="I479" s="13">
        <f t="shared" si="34"/>
        <v>5187.5</v>
      </c>
      <c r="J479" s="13">
        <f t="shared" si="35"/>
        <v>6612.5</v>
      </c>
    </row>
    <row r="480" spans="1:10" s="1" customFormat="1" ht="25.5" customHeight="1" x14ac:dyDescent="0.2">
      <c r="A480" s="19">
        <v>91846</v>
      </c>
      <c r="B480" s="21">
        <v>44319</v>
      </c>
      <c r="C480" s="806" t="s">
        <v>859</v>
      </c>
      <c r="D480" s="807"/>
      <c r="E480" s="11" t="s">
        <v>81</v>
      </c>
      <c r="F480" s="12">
        <v>200</v>
      </c>
      <c r="G480" s="12">
        <v>5.77</v>
      </c>
      <c r="H480" s="12">
        <v>7.36</v>
      </c>
      <c r="I480" s="13">
        <f t="shared" si="34"/>
        <v>1154</v>
      </c>
      <c r="J480" s="13">
        <f t="shared" si="35"/>
        <v>1472</v>
      </c>
    </row>
    <row r="481" spans="1:10" s="1" customFormat="1" ht="25.5" customHeight="1" x14ac:dyDescent="0.2">
      <c r="A481" s="27" t="s">
        <v>78</v>
      </c>
      <c r="B481" s="21">
        <v>44320</v>
      </c>
      <c r="C481" s="806" t="s">
        <v>860</v>
      </c>
      <c r="D481" s="807"/>
      <c r="E481" s="11" t="s">
        <v>102</v>
      </c>
      <c r="F481" s="12">
        <v>25</v>
      </c>
      <c r="G481" s="12">
        <v>44.63</v>
      </c>
      <c r="H481" s="12">
        <v>56.94</v>
      </c>
      <c r="I481" s="13">
        <f t="shared" si="34"/>
        <v>1115.75</v>
      </c>
      <c r="J481" s="13">
        <f t="shared" si="35"/>
        <v>1423.5</v>
      </c>
    </row>
    <row r="482" spans="1:10" s="1" customFormat="1" ht="25.5" customHeight="1" x14ac:dyDescent="0.2">
      <c r="A482" s="19">
        <v>39246</v>
      </c>
      <c r="B482" s="21">
        <v>44321</v>
      </c>
      <c r="C482" s="806" t="s">
        <v>861</v>
      </c>
      <c r="D482" s="807"/>
      <c r="E482" s="11" t="s">
        <v>81</v>
      </c>
      <c r="F482" s="12">
        <v>30</v>
      </c>
      <c r="G482" s="12">
        <v>2.0299999999999998</v>
      </c>
      <c r="H482" s="12">
        <v>2.6</v>
      </c>
      <c r="I482" s="13">
        <f t="shared" si="34"/>
        <v>60.899999999999991</v>
      </c>
      <c r="J482" s="13">
        <f t="shared" si="35"/>
        <v>78</v>
      </c>
    </row>
    <row r="483" spans="1:10" s="1" customFormat="1" ht="25.5" customHeight="1" x14ac:dyDescent="0.2">
      <c r="A483" s="19">
        <v>2446</v>
      </c>
      <c r="B483" s="21">
        <v>44322</v>
      </c>
      <c r="C483" s="806" t="s">
        <v>862</v>
      </c>
      <c r="D483" s="807"/>
      <c r="E483" s="11" t="s">
        <v>81</v>
      </c>
      <c r="F483" s="12">
        <v>55</v>
      </c>
      <c r="G483" s="12">
        <v>2.93</v>
      </c>
      <c r="H483" s="12">
        <v>3.73</v>
      </c>
      <c r="I483" s="13">
        <f t="shared" si="34"/>
        <v>161.15</v>
      </c>
      <c r="J483" s="13">
        <f t="shared" si="35"/>
        <v>205.15</v>
      </c>
    </row>
    <row r="484" spans="1:10" s="1" customFormat="1" ht="25.5" customHeight="1" x14ac:dyDescent="0.2">
      <c r="A484" s="10">
        <v>2442</v>
      </c>
      <c r="B484" s="21">
        <v>44323</v>
      </c>
      <c r="C484" s="806" t="s">
        <v>865</v>
      </c>
      <c r="D484" s="807"/>
      <c r="E484" s="11" t="s">
        <v>81</v>
      </c>
      <c r="F484" s="12">
        <v>60</v>
      </c>
      <c r="G484" s="12">
        <v>4.0999999999999996</v>
      </c>
      <c r="H484" s="12">
        <v>5.22</v>
      </c>
      <c r="I484" s="13">
        <f t="shared" si="34"/>
        <v>245.99999999999997</v>
      </c>
      <c r="J484" s="13">
        <f t="shared" si="35"/>
        <v>313.2</v>
      </c>
    </row>
    <row r="485" spans="1:10" s="1" customFormat="1" ht="25.5" customHeight="1" x14ac:dyDescent="0.2">
      <c r="A485" s="10">
        <v>39248</v>
      </c>
      <c r="B485" s="21">
        <v>44324</v>
      </c>
      <c r="C485" s="806" t="s">
        <v>866</v>
      </c>
      <c r="D485" s="807"/>
      <c r="E485" s="11" t="s">
        <v>81</v>
      </c>
      <c r="F485" s="12">
        <v>60</v>
      </c>
      <c r="G485" s="12">
        <v>5.71</v>
      </c>
      <c r="H485" s="12">
        <v>7.28</v>
      </c>
      <c r="I485" s="13">
        <f t="shared" si="34"/>
        <v>342.6</v>
      </c>
      <c r="J485" s="13">
        <f t="shared" si="35"/>
        <v>436.8</v>
      </c>
    </row>
    <row r="486" spans="1:10" s="1" customFormat="1" ht="25.5" customHeight="1" x14ac:dyDescent="0.2">
      <c r="A486" s="11" t="s">
        <v>308</v>
      </c>
      <c r="B486" s="21">
        <v>44325</v>
      </c>
      <c r="C486" s="806" t="s">
        <v>867</v>
      </c>
      <c r="D486" s="807"/>
      <c r="E486" s="11" t="s">
        <v>81</v>
      </c>
      <c r="F486" s="12">
        <v>200</v>
      </c>
      <c r="G486" s="12">
        <v>9.8699999999999992</v>
      </c>
      <c r="H486" s="12">
        <v>12.59</v>
      </c>
      <c r="I486" s="13">
        <f t="shared" si="34"/>
        <v>1973.9999999999998</v>
      </c>
      <c r="J486" s="13">
        <f t="shared" si="35"/>
        <v>2518</v>
      </c>
    </row>
    <row r="487" spans="1:10" s="1" customFormat="1" ht="25.5" customHeight="1" x14ac:dyDescent="0.2">
      <c r="A487" s="10">
        <v>39272</v>
      </c>
      <c r="B487" s="34">
        <v>40319</v>
      </c>
      <c r="C487" s="806" t="s">
        <v>868</v>
      </c>
      <c r="D487" s="807"/>
      <c r="E487" s="11" t="s">
        <v>102</v>
      </c>
      <c r="F487" s="12">
        <v>180</v>
      </c>
      <c r="G487" s="12">
        <v>1.47</v>
      </c>
      <c r="H487" s="12">
        <v>1.87</v>
      </c>
      <c r="I487" s="13">
        <f t="shared" si="34"/>
        <v>264.60000000000002</v>
      </c>
      <c r="J487" s="13">
        <f t="shared" si="35"/>
        <v>336.6</v>
      </c>
    </row>
    <row r="488" spans="1:10" s="1" customFormat="1" ht="25.5" customHeight="1" x14ac:dyDescent="0.2">
      <c r="A488" s="11" t="s">
        <v>308</v>
      </c>
      <c r="B488" s="34">
        <v>40684</v>
      </c>
      <c r="C488" s="806" t="s">
        <v>869</v>
      </c>
      <c r="D488" s="807"/>
      <c r="E488" s="11" t="s">
        <v>102</v>
      </c>
      <c r="F488" s="12">
        <v>800</v>
      </c>
      <c r="G488" s="12">
        <v>1.1200000000000001</v>
      </c>
      <c r="H488" s="12">
        <v>1.43</v>
      </c>
      <c r="I488" s="13">
        <f t="shared" si="34"/>
        <v>896.00000000000011</v>
      </c>
      <c r="J488" s="13">
        <f t="shared" si="35"/>
        <v>1144</v>
      </c>
    </row>
    <row r="489" spans="1:10" s="1" customFormat="1" ht="25.5" customHeight="1" x14ac:dyDescent="0.2">
      <c r="A489" s="11" t="s">
        <v>308</v>
      </c>
      <c r="B489" s="34">
        <v>41050</v>
      </c>
      <c r="C489" s="806" t="s">
        <v>870</v>
      </c>
      <c r="D489" s="807"/>
      <c r="E489" s="11" t="s">
        <v>102</v>
      </c>
      <c r="F489" s="12">
        <v>120</v>
      </c>
      <c r="G489" s="12">
        <v>2.2400000000000002</v>
      </c>
      <c r="H489" s="12">
        <v>2.86</v>
      </c>
      <c r="I489" s="13">
        <f t="shared" si="34"/>
        <v>268.8</v>
      </c>
      <c r="J489" s="13">
        <f t="shared" si="35"/>
        <v>343.2</v>
      </c>
    </row>
    <row r="490" spans="1:10" s="1" customFormat="1" ht="25.5" customHeight="1" x14ac:dyDescent="0.2">
      <c r="A490" s="8"/>
      <c r="B490" s="803" t="s">
        <v>871</v>
      </c>
      <c r="C490" s="804"/>
      <c r="D490" s="804"/>
      <c r="E490" s="804"/>
      <c r="F490" s="804"/>
      <c r="G490" s="805"/>
      <c r="H490" s="8"/>
      <c r="I490" s="28">
        <f>SUM(I478:I489)</f>
        <v>12552.9</v>
      </c>
      <c r="J490" s="28">
        <f>SUM(J478:J489)</f>
        <v>16007.75</v>
      </c>
    </row>
    <row r="491" spans="1:10" s="1" customFormat="1" ht="25.5" customHeight="1" x14ac:dyDescent="0.2">
      <c r="A491" s="8"/>
      <c r="B491" s="9" t="s">
        <v>872</v>
      </c>
      <c r="C491" s="808" t="s">
        <v>873</v>
      </c>
      <c r="D491" s="809"/>
      <c r="E491" s="8"/>
      <c r="F491" s="8"/>
      <c r="G491" s="8"/>
      <c r="H491" s="8"/>
      <c r="I491" s="8"/>
      <c r="J491" s="8"/>
    </row>
    <row r="492" spans="1:10" s="1" customFormat="1" ht="25.5" customHeight="1" x14ac:dyDescent="0.2">
      <c r="A492" s="35"/>
      <c r="B492" s="47"/>
      <c r="C492" s="806" t="s">
        <v>874</v>
      </c>
      <c r="D492" s="807"/>
      <c r="E492" s="35"/>
      <c r="F492" s="35"/>
      <c r="G492" s="35"/>
      <c r="H492" s="35"/>
      <c r="I492" s="35"/>
      <c r="J492" s="35"/>
    </row>
    <row r="493" spans="1:10" s="1" customFormat="1" ht="25.5" customHeight="1" x14ac:dyDescent="0.2">
      <c r="A493" s="36">
        <v>1014</v>
      </c>
      <c r="B493" s="21">
        <v>44348</v>
      </c>
      <c r="C493" s="806" t="s">
        <v>875</v>
      </c>
      <c r="D493" s="807"/>
      <c r="E493" s="11" t="s">
        <v>81</v>
      </c>
      <c r="F493" s="13">
        <v>7200</v>
      </c>
      <c r="G493" s="12">
        <v>1.03</v>
      </c>
      <c r="H493" s="12">
        <v>1.31</v>
      </c>
      <c r="I493" s="13">
        <f>F493*G493</f>
        <v>7416</v>
      </c>
      <c r="J493" s="13">
        <f>F493*H493</f>
        <v>9432</v>
      </c>
    </row>
    <row r="494" spans="1:10" s="1" customFormat="1" ht="25.5" customHeight="1" x14ac:dyDescent="0.2">
      <c r="A494" s="36">
        <v>981</v>
      </c>
      <c r="B494" s="21">
        <v>44349</v>
      </c>
      <c r="C494" s="806" t="s">
        <v>876</v>
      </c>
      <c r="D494" s="807"/>
      <c r="E494" s="11" t="s">
        <v>81</v>
      </c>
      <c r="F494" s="12">
        <v>750</v>
      </c>
      <c r="G494" s="12">
        <v>1.84</v>
      </c>
      <c r="H494" s="12">
        <v>2.35</v>
      </c>
      <c r="I494" s="13">
        <f>F494*G494</f>
        <v>1380</v>
      </c>
      <c r="J494" s="13">
        <f>F494*H494</f>
        <v>1762.5</v>
      </c>
    </row>
    <row r="495" spans="1:10" s="1" customFormat="1" ht="25.5" customHeight="1" x14ac:dyDescent="0.2">
      <c r="A495" s="36">
        <v>982</v>
      </c>
      <c r="B495" s="21">
        <v>44350</v>
      </c>
      <c r="C495" s="806" t="s">
        <v>877</v>
      </c>
      <c r="D495" s="807"/>
      <c r="E495" s="11" t="s">
        <v>81</v>
      </c>
      <c r="F495" s="12">
        <v>300</v>
      </c>
      <c r="G495" s="12">
        <v>2.57</v>
      </c>
      <c r="H495" s="12">
        <v>3.28</v>
      </c>
      <c r="I495" s="13">
        <f>F495*G495</f>
        <v>771</v>
      </c>
      <c r="J495" s="13">
        <f>F495*H495</f>
        <v>983.99999999999989</v>
      </c>
    </row>
    <row r="496" spans="1:10" s="1" customFormat="1" ht="25.5" customHeight="1" x14ac:dyDescent="0.2">
      <c r="A496" s="35"/>
      <c r="B496" s="47"/>
      <c r="C496" s="806" t="s">
        <v>878</v>
      </c>
      <c r="D496" s="807"/>
      <c r="E496" s="35"/>
      <c r="F496" s="35"/>
      <c r="G496" s="35"/>
      <c r="H496" s="35"/>
      <c r="I496" s="35"/>
      <c r="J496" s="35"/>
    </row>
    <row r="497" spans="1:10" s="1" customFormat="1" ht="25.5" customHeight="1" x14ac:dyDescent="0.2">
      <c r="A497" s="36">
        <v>994</v>
      </c>
      <c r="B497" s="21">
        <v>44351</v>
      </c>
      <c r="C497" s="806" t="s">
        <v>877</v>
      </c>
      <c r="D497" s="807"/>
      <c r="E497" s="11" t="s">
        <v>81</v>
      </c>
      <c r="F497" s="12">
        <v>400</v>
      </c>
      <c r="G497" s="12">
        <v>3</v>
      </c>
      <c r="H497" s="12">
        <v>3.83</v>
      </c>
      <c r="I497" s="13">
        <f t="shared" ref="I497:I502" si="36">F497*G497</f>
        <v>1200</v>
      </c>
      <c r="J497" s="13">
        <f t="shared" ref="J497:J502" si="37">F497*H497</f>
        <v>1532</v>
      </c>
    </row>
    <row r="498" spans="1:10" s="1" customFormat="1" ht="25.5" customHeight="1" x14ac:dyDescent="0.2">
      <c r="A498" s="36">
        <v>1020</v>
      </c>
      <c r="B498" s="21">
        <v>44352</v>
      </c>
      <c r="C498" s="806" t="s">
        <v>879</v>
      </c>
      <c r="D498" s="807"/>
      <c r="E498" s="11" t="s">
        <v>81</v>
      </c>
      <c r="F498" s="12">
        <v>100</v>
      </c>
      <c r="G498" s="12">
        <v>4.8</v>
      </c>
      <c r="H498" s="12">
        <v>6.12</v>
      </c>
      <c r="I498" s="13">
        <f t="shared" si="36"/>
        <v>480</v>
      </c>
      <c r="J498" s="13">
        <f t="shared" si="37"/>
        <v>612</v>
      </c>
    </row>
    <row r="499" spans="1:10" s="1" customFormat="1" ht="25.5" customHeight="1" x14ac:dyDescent="0.2">
      <c r="A499" s="36">
        <v>995</v>
      </c>
      <c r="B499" s="21">
        <v>44353</v>
      </c>
      <c r="C499" s="806" t="s">
        <v>880</v>
      </c>
      <c r="D499" s="807"/>
      <c r="E499" s="11" t="s">
        <v>81</v>
      </c>
      <c r="F499" s="12">
        <v>500</v>
      </c>
      <c r="G499" s="12">
        <v>7.37</v>
      </c>
      <c r="H499" s="12">
        <v>9.4</v>
      </c>
      <c r="I499" s="13">
        <f t="shared" si="36"/>
        <v>3685</v>
      </c>
      <c r="J499" s="13">
        <f t="shared" si="37"/>
        <v>4700</v>
      </c>
    </row>
    <row r="500" spans="1:10" s="1" customFormat="1" ht="25.5" customHeight="1" x14ac:dyDescent="0.2">
      <c r="A500" s="36">
        <v>996</v>
      </c>
      <c r="B500" s="21">
        <v>44354</v>
      </c>
      <c r="C500" s="806" t="s">
        <v>881</v>
      </c>
      <c r="D500" s="807"/>
      <c r="E500" s="11" t="s">
        <v>81</v>
      </c>
      <c r="F500" s="12">
        <v>25</v>
      </c>
      <c r="G500" s="12">
        <v>11.21</v>
      </c>
      <c r="H500" s="12">
        <v>14.3</v>
      </c>
      <c r="I500" s="13">
        <f t="shared" si="36"/>
        <v>280.25</v>
      </c>
      <c r="J500" s="13">
        <f t="shared" si="37"/>
        <v>357.5</v>
      </c>
    </row>
    <row r="501" spans="1:10" s="1" customFormat="1" ht="25.5" customHeight="1" x14ac:dyDescent="0.2">
      <c r="A501" s="36">
        <v>1019</v>
      </c>
      <c r="B501" s="21">
        <v>44355</v>
      </c>
      <c r="C501" s="806" t="s">
        <v>882</v>
      </c>
      <c r="D501" s="807"/>
      <c r="E501" s="11" t="s">
        <v>81</v>
      </c>
      <c r="F501" s="12">
        <v>125</v>
      </c>
      <c r="G501" s="12">
        <v>15.46</v>
      </c>
      <c r="H501" s="12">
        <v>19.73</v>
      </c>
      <c r="I501" s="13">
        <f t="shared" si="36"/>
        <v>1932.5</v>
      </c>
      <c r="J501" s="13">
        <f t="shared" si="37"/>
        <v>2466.25</v>
      </c>
    </row>
    <row r="502" spans="1:10" s="1" customFormat="1" ht="25.5" customHeight="1" x14ac:dyDescent="0.2">
      <c r="A502" s="36">
        <v>1018</v>
      </c>
      <c r="B502" s="21">
        <v>44356</v>
      </c>
      <c r="C502" s="806" t="s">
        <v>883</v>
      </c>
      <c r="D502" s="807"/>
      <c r="E502" s="11" t="s">
        <v>81</v>
      </c>
      <c r="F502" s="12">
        <v>130</v>
      </c>
      <c r="G502" s="12">
        <v>22.04</v>
      </c>
      <c r="H502" s="12">
        <v>28.12</v>
      </c>
      <c r="I502" s="13">
        <f t="shared" si="36"/>
        <v>2865.2</v>
      </c>
      <c r="J502" s="13">
        <f t="shared" si="37"/>
        <v>3655.6</v>
      </c>
    </row>
    <row r="503" spans="1:10" s="1" customFormat="1" ht="25.5" customHeight="1" x14ac:dyDescent="0.2">
      <c r="A503" s="35"/>
      <c r="B503" s="47"/>
      <c r="C503" s="806" t="s">
        <v>884</v>
      </c>
      <c r="D503" s="807"/>
      <c r="E503" s="35"/>
      <c r="F503" s="35"/>
      <c r="G503" s="35"/>
      <c r="H503" s="35"/>
      <c r="I503" s="35"/>
      <c r="J503" s="35"/>
    </row>
    <row r="504" spans="1:10" s="1" customFormat="1" ht="25.5" customHeight="1" x14ac:dyDescent="0.2">
      <c r="A504" s="10">
        <v>39257</v>
      </c>
      <c r="B504" s="34">
        <v>40350</v>
      </c>
      <c r="C504" s="806" t="s">
        <v>885</v>
      </c>
      <c r="D504" s="807"/>
      <c r="E504" s="11" t="s">
        <v>81</v>
      </c>
      <c r="F504" s="12">
        <v>50</v>
      </c>
      <c r="G504" s="12">
        <v>2.81</v>
      </c>
      <c r="H504" s="12">
        <v>3.59</v>
      </c>
      <c r="I504" s="13">
        <f>F504*G504</f>
        <v>140.5</v>
      </c>
      <c r="J504" s="13">
        <f>F504*H504</f>
        <v>179.5</v>
      </c>
    </row>
    <row r="505" spans="1:10" s="1" customFormat="1" ht="25.5" customHeight="1" x14ac:dyDescent="0.2">
      <c r="A505" s="10">
        <v>39258</v>
      </c>
      <c r="B505" s="34">
        <v>40715</v>
      </c>
      <c r="C505" s="806" t="s">
        <v>886</v>
      </c>
      <c r="D505" s="807"/>
      <c r="E505" s="11" t="s">
        <v>81</v>
      </c>
      <c r="F505" s="12">
        <v>60</v>
      </c>
      <c r="G505" s="12">
        <v>4.17</v>
      </c>
      <c r="H505" s="12">
        <v>5.32</v>
      </c>
      <c r="I505" s="13">
        <f>F505*G505</f>
        <v>250.2</v>
      </c>
      <c r="J505" s="13">
        <f>F505*H505</f>
        <v>319.20000000000005</v>
      </c>
    </row>
    <row r="506" spans="1:10" s="1" customFormat="1" ht="25.5" customHeight="1" x14ac:dyDescent="0.2">
      <c r="A506" s="8"/>
      <c r="B506" s="803" t="s">
        <v>887</v>
      </c>
      <c r="C506" s="804"/>
      <c r="D506" s="804"/>
      <c r="E506" s="804"/>
      <c r="F506" s="804"/>
      <c r="G506" s="805"/>
      <c r="H506" s="8"/>
      <c r="I506" s="28">
        <f>SUM(I493:I505)</f>
        <v>20400.650000000001</v>
      </c>
      <c r="J506" s="28">
        <f>SUM(J493:J505)</f>
        <v>26000.55</v>
      </c>
    </row>
    <row r="507" spans="1:10" s="1" customFormat="1" ht="25.5" customHeight="1" x14ac:dyDescent="0.2">
      <c r="A507" s="8"/>
      <c r="B507" s="9" t="s">
        <v>888</v>
      </c>
      <c r="C507" s="808" t="s">
        <v>889</v>
      </c>
      <c r="D507" s="809"/>
      <c r="E507" s="8"/>
      <c r="F507" s="8"/>
      <c r="G507" s="8"/>
      <c r="H507" s="8"/>
      <c r="I507" s="8"/>
      <c r="J507" s="8"/>
    </row>
    <row r="508" spans="1:10" s="1" customFormat="1" ht="25.5" customHeight="1" x14ac:dyDescent="0.2">
      <c r="A508" s="10">
        <v>2574</v>
      </c>
      <c r="B508" s="21">
        <v>44378</v>
      </c>
      <c r="C508" s="806" t="s">
        <v>890</v>
      </c>
      <c r="D508" s="807"/>
      <c r="E508" s="11" t="s">
        <v>102</v>
      </c>
      <c r="F508" s="12">
        <v>8</v>
      </c>
      <c r="G508" s="12">
        <v>8.1999999999999993</v>
      </c>
      <c r="H508" s="12">
        <v>10.46</v>
      </c>
      <c r="I508" s="13">
        <f t="shared" ref="I508:I520" si="38">F508*G508</f>
        <v>65.599999999999994</v>
      </c>
      <c r="J508" s="13">
        <f t="shared" ref="J508:J520" si="39">F508*H508</f>
        <v>83.68</v>
      </c>
    </row>
    <row r="509" spans="1:10" s="1" customFormat="1" ht="25.5" customHeight="1" x14ac:dyDescent="0.2">
      <c r="A509" s="10">
        <v>2559</v>
      </c>
      <c r="B509" s="21">
        <v>44379</v>
      </c>
      <c r="C509" s="806" t="s">
        <v>891</v>
      </c>
      <c r="D509" s="807"/>
      <c r="E509" s="11" t="s">
        <v>102</v>
      </c>
      <c r="F509" s="12">
        <v>12</v>
      </c>
      <c r="G509" s="12">
        <v>8.5</v>
      </c>
      <c r="H509" s="12">
        <v>10.85</v>
      </c>
      <c r="I509" s="13">
        <f t="shared" si="38"/>
        <v>102</v>
      </c>
      <c r="J509" s="13">
        <f t="shared" si="39"/>
        <v>130.19999999999999</v>
      </c>
    </row>
    <row r="510" spans="1:10" s="1" customFormat="1" ht="25.5" customHeight="1" x14ac:dyDescent="0.2">
      <c r="A510" s="10">
        <v>2565</v>
      </c>
      <c r="B510" s="21">
        <v>44380</v>
      </c>
      <c r="C510" s="806" t="s">
        <v>892</v>
      </c>
      <c r="D510" s="807"/>
      <c r="E510" s="11" t="s">
        <v>102</v>
      </c>
      <c r="F510" s="12">
        <v>14</v>
      </c>
      <c r="G510" s="12">
        <v>6.88</v>
      </c>
      <c r="H510" s="12">
        <v>8.7799999999999994</v>
      </c>
      <c r="I510" s="13">
        <f t="shared" si="38"/>
        <v>96.32</v>
      </c>
      <c r="J510" s="13">
        <f t="shared" si="39"/>
        <v>122.91999999999999</v>
      </c>
    </row>
    <row r="511" spans="1:10" s="1" customFormat="1" ht="25.5" customHeight="1" x14ac:dyDescent="0.2">
      <c r="A511" s="10">
        <v>2580</v>
      </c>
      <c r="B511" s="21">
        <v>44381</v>
      </c>
      <c r="C511" s="806" t="s">
        <v>893</v>
      </c>
      <c r="D511" s="807"/>
      <c r="E511" s="11" t="s">
        <v>102</v>
      </c>
      <c r="F511" s="12">
        <v>3</v>
      </c>
      <c r="G511" s="12">
        <v>10.83</v>
      </c>
      <c r="H511" s="12">
        <v>13.82</v>
      </c>
      <c r="I511" s="13">
        <f t="shared" si="38"/>
        <v>32.49</v>
      </c>
      <c r="J511" s="13">
        <f t="shared" si="39"/>
        <v>41.46</v>
      </c>
    </row>
    <row r="512" spans="1:10" s="1" customFormat="1" ht="25.5" customHeight="1" x14ac:dyDescent="0.2">
      <c r="A512" s="10">
        <v>2593</v>
      </c>
      <c r="B512" s="21">
        <v>44382</v>
      </c>
      <c r="C512" s="806" t="s">
        <v>894</v>
      </c>
      <c r="D512" s="807"/>
      <c r="E512" s="11" t="s">
        <v>102</v>
      </c>
      <c r="F512" s="12">
        <v>5</v>
      </c>
      <c r="G512" s="12">
        <v>7.11</v>
      </c>
      <c r="H512" s="12">
        <v>9.07</v>
      </c>
      <c r="I512" s="13">
        <f t="shared" si="38"/>
        <v>35.550000000000004</v>
      </c>
      <c r="J512" s="13">
        <f t="shared" si="39"/>
        <v>45.35</v>
      </c>
    </row>
    <row r="513" spans="1:10" s="1" customFormat="1" ht="25.5" customHeight="1" x14ac:dyDescent="0.2">
      <c r="A513" s="10">
        <v>39346</v>
      </c>
      <c r="B513" s="21">
        <v>44383</v>
      </c>
      <c r="C513" s="806" t="s">
        <v>895</v>
      </c>
      <c r="D513" s="807"/>
      <c r="E513" s="11" t="s">
        <v>102</v>
      </c>
      <c r="F513" s="12">
        <v>8</v>
      </c>
      <c r="G513" s="12">
        <v>2.09</v>
      </c>
      <c r="H513" s="12">
        <v>2.67</v>
      </c>
      <c r="I513" s="13">
        <f t="shared" si="38"/>
        <v>16.72</v>
      </c>
      <c r="J513" s="13">
        <f t="shared" si="39"/>
        <v>21.36</v>
      </c>
    </row>
    <row r="514" spans="1:10" s="1" customFormat="1" ht="25.5" customHeight="1" x14ac:dyDescent="0.2">
      <c r="A514" s="10">
        <v>7543</v>
      </c>
      <c r="B514" s="21">
        <v>44384</v>
      </c>
      <c r="C514" s="806" t="s">
        <v>896</v>
      </c>
      <c r="D514" s="807"/>
      <c r="E514" s="11" t="s">
        <v>102</v>
      </c>
      <c r="F514" s="12">
        <v>14</v>
      </c>
      <c r="G514" s="12">
        <v>3.39</v>
      </c>
      <c r="H514" s="12">
        <v>4.33</v>
      </c>
      <c r="I514" s="13">
        <f t="shared" si="38"/>
        <v>47.46</v>
      </c>
      <c r="J514" s="13">
        <f t="shared" si="39"/>
        <v>60.620000000000005</v>
      </c>
    </row>
    <row r="515" spans="1:10" s="1" customFormat="1" ht="25.5" customHeight="1" x14ac:dyDescent="0.2">
      <c r="A515" s="10">
        <v>39351</v>
      </c>
      <c r="B515" s="21">
        <v>44385</v>
      </c>
      <c r="C515" s="806" t="s">
        <v>897</v>
      </c>
      <c r="D515" s="807"/>
      <c r="E515" s="11" t="s">
        <v>102</v>
      </c>
      <c r="F515" s="12">
        <v>20</v>
      </c>
      <c r="G515" s="12">
        <v>2.6</v>
      </c>
      <c r="H515" s="12">
        <v>3.32</v>
      </c>
      <c r="I515" s="13">
        <f t="shared" si="38"/>
        <v>52</v>
      </c>
      <c r="J515" s="13">
        <f t="shared" si="39"/>
        <v>66.399999999999991</v>
      </c>
    </row>
    <row r="516" spans="1:10" s="1" customFormat="1" ht="25.5" customHeight="1" x14ac:dyDescent="0.2">
      <c r="A516" s="11" t="s">
        <v>308</v>
      </c>
      <c r="B516" s="21">
        <v>44386</v>
      </c>
      <c r="C516" s="806" t="s">
        <v>898</v>
      </c>
      <c r="D516" s="807"/>
      <c r="E516" s="11" t="s">
        <v>102</v>
      </c>
      <c r="F516" s="12">
        <v>300</v>
      </c>
      <c r="G516" s="12">
        <v>4.9000000000000004</v>
      </c>
      <c r="H516" s="12">
        <v>6.25</v>
      </c>
      <c r="I516" s="13">
        <f t="shared" si="38"/>
        <v>1470</v>
      </c>
      <c r="J516" s="13">
        <f t="shared" si="39"/>
        <v>1875</v>
      </c>
    </row>
    <row r="517" spans="1:10" s="1" customFormat="1" ht="25.5" customHeight="1" x14ac:dyDescent="0.2">
      <c r="A517" s="11" t="s">
        <v>308</v>
      </c>
      <c r="B517" s="34">
        <v>40380</v>
      </c>
      <c r="C517" s="806" t="s">
        <v>899</v>
      </c>
      <c r="D517" s="807"/>
      <c r="E517" s="11" t="s">
        <v>102</v>
      </c>
      <c r="F517" s="12">
        <v>150</v>
      </c>
      <c r="G517" s="12">
        <v>9.0500000000000007</v>
      </c>
      <c r="H517" s="12">
        <v>11.55</v>
      </c>
      <c r="I517" s="13">
        <f t="shared" si="38"/>
        <v>1357.5</v>
      </c>
      <c r="J517" s="13">
        <f t="shared" si="39"/>
        <v>1732.5</v>
      </c>
    </row>
    <row r="518" spans="1:10" s="1" customFormat="1" ht="25.5" customHeight="1" x14ac:dyDescent="0.2">
      <c r="A518" s="10">
        <v>39771</v>
      </c>
      <c r="B518" s="34">
        <v>40745</v>
      </c>
      <c r="C518" s="806" t="s">
        <v>900</v>
      </c>
      <c r="D518" s="807"/>
      <c r="E518" s="11" t="s">
        <v>102</v>
      </c>
      <c r="F518" s="12">
        <v>3</v>
      </c>
      <c r="G518" s="12">
        <v>15.43</v>
      </c>
      <c r="H518" s="12">
        <v>19.690000000000001</v>
      </c>
      <c r="I518" s="13">
        <f t="shared" si="38"/>
        <v>46.29</v>
      </c>
      <c r="J518" s="13">
        <f t="shared" si="39"/>
        <v>59.070000000000007</v>
      </c>
    </row>
    <row r="519" spans="1:10" s="1" customFormat="1" ht="25.5" customHeight="1" x14ac:dyDescent="0.2">
      <c r="A519" s="11" t="s">
        <v>901</v>
      </c>
      <c r="B519" s="34">
        <v>41111</v>
      </c>
      <c r="C519" s="806" t="s">
        <v>902</v>
      </c>
      <c r="D519" s="807"/>
      <c r="E519" s="11" t="s">
        <v>102</v>
      </c>
      <c r="F519" s="12">
        <v>8</v>
      </c>
      <c r="G519" s="12">
        <v>80.319999999999993</v>
      </c>
      <c r="H519" s="12">
        <v>102.48</v>
      </c>
      <c r="I519" s="13">
        <f t="shared" si="38"/>
        <v>642.55999999999995</v>
      </c>
      <c r="J519" s="13">
        <f t="shared" si="39"/>
        <v>819.84</v>
      </c>
    </row>
    <row r="520" spans="1:10" s="1" customFormat="1" ht="25.5" customHeight="1" x14ac:dyDescent="0.2">
      <c r="A520" s="11" t="s">
        <v>696</v>
      </c>
      <c r="B520" s="34">
        <v>41476</v>
      </c>
      <c r="C520" s="806" t="s">
        <v>903</v>
      </c>
      <c r="D520" s="807"/>
      <c r="E520" s="11" t="s">
        <v>102</v>
      </c>
      <c r="F520" s="12">
        <v>8</v>
      </c>
      <c r="G520" s="12">
        <v>165.35</v>
      </c>
      <c r="H520" s="12">
        <v>210.97</v>
      </c>
      <c r="I520" s="13">
        <f t="shared" si="38"/>
        <v>1322.8</v>
      </c>
      <c r="J520" s="13">
        <f t="shared" si="39"/>
        <v>1687.76</v>
      </c>
    </row>
    <row r="521" spans="1:10" s="1" customFormat="1" ht="25.5" customHeight="1" x14ac:dyDescent="0.2">
      <c r="A521" s="8"/>
      <c r="B521" s="803" t="s">
        <v>904</v>
      </c>
      <c r="C521" s="804"/>
      <c r="D521" s="804"/>
      <c r="E521" s="804"/>
      <c r="F521" s="804"/>
      <c r="G521" s="805"/>
      <c r="H521" s="8"/>
      <c r="I521" s="28">
        <f>SUM(I508:I520)</f>
        <v>5287.29</v>
      </c>
      <c r="J521" s="28">
        <f>SUM(J508:J520)</f>
        <v>6746.16</v>
      </c>
    </row>
    <row r="522" spans="1:10" s="1" customFormat="1" ht="25.5" customHeight="1" x14ac:dyDescent="0.2">
      <c r="A522" s="8"/>
      <c r="B522" s="9" t="s">
        <v>905</v>
      </c>
      <c r="C522" s="808" t="s">
        <v>906</v>
      </c>
      <c r="D522" s="809"/>
      <c r="E522" s="8"/>
      <c r="F522" s="8"/>
      <c r="G522" s="8"/>
      <c r="H522" s="8"/>
      <c r="I522" s="8"/>
      <c r="J522" s="8"/>
    </row>
    <row r="523" spans="1:10" s="1" customFormat="1" ht="25.5" customHeight="1" x14ac:dyDescent="0.2">
      <c r="A523" s="11" t="s">
        <v>308</v>
      </c>
      <c r="B523" s="21">
        <v>44409</v>
      </c>
      <c r="C523" s="806" t="s">
        <v>907</v>
      </c>
      <c r="D523" s="807"/>
      <c r="E523" s="11" t="s">
        <v>102</v>
      </c>
      <c r="F523" s="12">
        <v>4</v>
      </c>
      <c r="G523" s="12">
        <v>53.79</v>
      </c>
      <c r="H523" s="12">
        <v>68.63</v>
      </c>
      <c r="I523" s="13">
        <f t="shared" ref="I523:I534" si="40">F523*G523</f>
        <v>215.16</v>
      </c>
      <c r="J523" s="13">
        <f t="shared" ref="J523:J534" si="41">F523*H523</f>
        <v>274.52</v>
      </c>
    </row>
    <row r="524" spans="1:10" s="1" customFormat="1" ht="25.5" customHeight="1" x14ac:dyDescent="0.2">
      <c r="A524" s="11" t="s">
        <v>308</v>
      </c>
      <c r="B524" s="21">
        <v>44410</v>
      </c>
      <c r="C524" s="806" t="s">
        <v>908</v>
      </c>
      <c r="D524" s="807"/>
      <c r="E524" s="11" t="s">
        <v>102</v>
      </c>
      <c r="F524" s="12">
        <v>1</v>
      </c>
      <c r="G524" s="12">
        <v>53.79</v>
      </c>
      <c r="H524" s="12">
        <v>68.63</v>
      </c>
      <c r="I524" s="13">
        <f t="shared" si="40"/>
        <v>53.79</v>
      </c>
      <c r="J524" s="13">
        <f t="shared" si="41"/>
        <v>68.63</v>
      </c>
    </row>
    <row r="525" spans="1:10" s="1" customFormat="1" ht="25.5" customHeight="1" x14ac:dyDescent="0.2">
      <c r="A525" s="11" t="s">
        <v>308</v>
      </c>
      <c r="B525" s="21">
        <v>44411</v>
      </c>
      <c r="C525" s="806" t="s">
        <v>909</v>
      </c>
      <c r="D525" s="807"/>
      <c r="E525" s="11" t="s">
        <v>102</v>
      </c>
      <c r="F525" s="12">
        <v>1</v>
      </c>
      <c r="G525" s="12">
        <v>115.99</v>
      </c>
      <c r="H525" s="12">
        <v>147.99</v>
      </c>
      <c r="I525" s="13">
        <f t="shared" si="40"/>
        <v>115.99</v>
      </c>
      <c r="J525" s="13">
        <f t="shared" si="41"/>
        <v>147.99</v>
      </c>
    </row>
    <row r="526" spans="1:10" s="1" customFormat="1" ht="25.5" customHeight="1" x14ac:dyDescent="0.2">
      <c r="A526" s="11" t="s">
        <v>308</v>
      </c>
      <c r="B526" s="21">
        <v>44412</v>
      </c>
      <c r="C526" s="806" t="s">
        <v>910</v>
      </c>
      <c r="D526" s="807"/>
      <c r="E526" s="11" t="s">
        <v>102</v>
      </c>
      <c r="F526" s="12">
        <v>3</v>
      </c>
      <c r="G526" s="12">
        <v>232.9</v>
      </c>
      <c r="H526" s="12">
        <v>297.16000000000003</v>
      </c>
      <c r="I526" s="13">
        <f t="shared" si="40"/>
        <v>698.7</v>
      </c>
      <c r="J526" s="13">
        <f t="shared" si="41"/>
        <v>891.48</v>
      </c>
    </row>
    <row r="527" spans="1:10" s="1" customFormat="1" ht="25.5" customHeight="1" x14ac:dyDescent="0.2">
      <c r="A527" s="11" t="s">
        <v>308</v>
      </c>
      <c r="B527" s="21">
        <v>44413</v>
      </c>
      <c r="C527" s="806" t="s">
        <v>911</v>
      </c>
      <c r="D527" s="807"/>
      <c r="E527" s="11" t="s">
        <v>102</v>
      </c>
      <c r="F527" s="12">
        <v>1</v>
      </c>
      <c r="G527" s="12">
        <v>120</v>
      </c>
      <c r="H527" s="12">
        <v>153.11000000000001</v>
      </c>
      <c r="I527" s="13">
        <f t="shared" si="40"/>
        <v>120</v>
      </c>
      <c r="J527" s="13">
        <f t="shared" si="41"/>
        <v>153.11000000000001</v>
      </c>
    </row>
    <row r="528" spans="1:10" s="1" customFormat="1" ht="25.5" customHeight="1" x14ac:dyDescent="0.2">
      <c r="A528" s="11" t="s">
        <v>308</v>
      </c>
      <c r="B528" s="21">
        <v>44414</v>
      </c>
      <c r="C528" s="806" t="s">
        <v>912</v>
      </c>
      <c r="D528" s="807"/>
      <c r="E528" s="11" t="s">
        <v>102</v>
      </c>
      <c r="F528" s="12">
        <v>1</v>
      </c>
      <c r="G528" s="12">
        <v>66.87</v>
      </c>
      <c r="H528" s="12">
        <v>85.32</v>
      </c>
      <c r="I528" s="13">
        <f t="shared" si="40"/>
        <v>66.87</v>
      </c>
      <c r="J528" s="13">
        <f t="shared" si="41"/>
        <v>85.32</v>
      </c>
    </row>
    <row r="529" spans="1:10" s="1" customFormat="1" ht="25.5" customHeight="1" x14ac:dyDescent="0.2">
      <c r="A529" s="11" t="s">
        <v>308</v>
      </c>
      <c r="B529" s="21">
        <v>44415</v>
      </c>
      <c r="C529" s="806" t="s">
        <v>913</v>
      </c>
      <c r="D529" s="807"/>
      <c r="E529" s="11" t="s">
        <v>102</v>
      </c>
      <c r="F529" s="12">
        <v>1</v>
      </c>
      <c r="G529" s="12">
        <v>89.11</v>
      </c>
      <c r="H529" s="12">
        <v>113.7</v>
      </c>
      <c r="I529" s="13">
        <f t="shared" si="40"/>
        <v>89.11</v>
      </c>
      <c r="J529" s="13">
        <f t="shared" si="41"/>
        <v>113.7</v>
      </c>
    </row>
    <row r="530" spans="1:10" s="1" customFormat="1" ht="25.5" customHeight="1" x14ac:dyDescent="0.2">
      <c r="A530" s="11" t="s">
        <v>308</v>
      </c>
      <c r="B530" s="21">
        <v>44416</v>
      </c>
      <c r="C530" s="806" t="s">
        <v>914</v>
      </c>
      <c r="D530" s="807"/>
      <c r="E530" s="11" t="s">
        <v>102</v>
      </c>
      <c r="F530" s="12">
        <v>1</v>
      </c>
      <c r="G530" s="12">
        <v>98.32</v>
      </c>
      <c r="H530" s="12">
        <v>125.45</v>
      </c>
      <c r="I530" s="13">
        <f t="shared" si="40"/>
        <v>98.32</v>
      </c>
      <c r="J530" s="13">
        <f t="shared" si="41"/>
        <v>125.45</v>
      </c>
    </row>
    <row r="531" spans="1:10" s="1" customFormat="1" ht="25.5" customHeight="1" x14ac:dyDescent="0.2">
      <c r="A531" s="11" t="s">
        <v>915</v>
      </c>
      <c r="B531" s="21">
        <v>44417</v>
      </c>
      <c r="C531" s="806" t="s">
        <v>916</v>
      </c>
      <c r="D531" s="807"/>
      <c r="E531" s="11" t="s">
        <v>102</v>
      </c>
      <c r="F531" s="12">
        <v>1</v>
      </c>
      <c r="G531" s="12">
        <v>81.760000000000005</v>
      </c>
      <c r="H531" s="12">
        <v>104.31</v>
      </c>
      <c r="I531" s="13">
        <f t="shared" si="40"/>
        <v>81.760000000000005</v>
      </c>
      <c r="J531" s="13">
        <f t="shared" si="41"/>
        <v>104.31</v>
      </c>
    </row>
    <row r="532" spans="1:10" s="1" customFormat="1" ht="25.5" customHeight="1" x14ac:dyDescent="0.2">
      <c r="A532" s="11" t="s">
        <v>917</v>
      </c>
      <c r="B532" s="34">
        <v>40411</v>
      </c>
      <c r="C532" s="806" t="s">
        <v>918</v>
      </c>
      <c r="D532" s="807"/>
      <c r="E532" s="11" t="s">
        <v>102</v>
      </c>
      <c r="F532" s="12">
        <v>1</v>
      </c>
      <c r="G532" s="12">
        <v>72.62</v>
      </c>
      <c r="H532" s="12">
        <v>92.66</v>
      </c>
      <c r="I532" s="13">
        <f t="shared" si="40"/>
        <v>72.62</v>
      </c>
      <c r="J532" s="13">
        <f t="shared" si="41"/>
        <v>92.66</v>
      </c>
    </row>
    <row r="533" spans="1:10" s="1" customFormat="1" ht="25.5" customHeight="1" x14ac:dyDescent="0.2">
      <c r="A533" s="11" t="s">
        <v>308</v>
      </c>
      <c r="B533" s="34">
        <v>40776</v>
      </c>
      <c r="C533" s="806" t="s">
        <v>919</v>
      </c>
      <c r="D533" s="807"/>
      <c r="E533" s="11" t="s">
        <v>102</v>
      </c>
      <c r="F533" s="12">
        <v>3</v>
      </c>
      <c r="G533" s="12">
        <v>17.100000000000001</v>
      </c>
      <c r="H533" s="12">
        <v>21.82</v>
      </c>
      <c r="I533" s="13">
        <f t="shared" si="40"/>
        <v>51.300000000000004</v>
      </c>
      <c r="J533" s="13">
        <f t="shared" si="41"/>
        <v>65.460000000000008</v>
      </c>
    </row>
    <row r="534" spans="1:10" s="1" customFormat="1" ht="25.5" customHeight="1" x14ac:dyDescent="0.2">
      <c r="A534" s="11" t="s">
        <v>308</v>
      </c>
      <c r="B534" s="34">
        <v>41142</v>
      </c>
      <c r="C534" s="806" t="s">
        <v>920</v>
      </c>
      <c r="D534" s="807"/>
      <c r="E534" s="11" t="s">
        <v>102</v>
      </c>
      <c r="F534" s="12">
        <v>2</v>
      </c>
      <c r="G534" s="12">
        <v>17.100000000000001</v>
      </c>
      <c r="H534" s="12">
        <v>21.82</v>
      </c>
      <c r="I534" s="13">
        <f t="shared" si="40"/>
        <v>34.200000000000003</v>
      </c>
      <c r="J534" s="13">
        <f t="shared" si="41"/>
        <v>43.64</v>
      </c>
    </row>
    <row r="535" spans="1:10" s="1" customFormat="1" ht="25.5" customHeight="1" x14ac:dyDescent="0.2">
      <c r="A535" s="8"/>
      <c r="B535" s="803" t="s">
        <v>921</v>
      </c>
      <c r="C535" s="804"/>
      <c r="D535" s="804"/>
      <c r="E535" s="804"/>
      <c r="F535" s="804"/>
      <c r="G535" s="805"/>
      <c r="H535" s="8"/>
      <c r="I535" s="28">
        <f>SUM(I523:I534)</f>
        <v>1697.8200000000002</v>
      </c>
      <c r="J535" s="28">
        <f>SUM(J523:J534)</f>
        <v>2166.27</v>
      </c>
    </row>
    <row r="536" spans="1:10" s="1" customFormat="1" ht="25.5" customHeight="1" x14ac:dyDescent="0.2">
      <c r="A536" s="8"/>
      <c r="B536" s="9" t="s">
        <v>922</v>
      </c>
      <c r="C536" s="808" t="s">
        <v>923</v>
      </c>
      <c r="D536" s="809"/>
      <c r="E536" s="8"/>
      <c r="F536" s="8"/>
      <c r="G536" s="8"/>
      <c r="H536" s="8"/>
      <c r="I536" s="8"/>
      <c r="J536" s="8"/>
    </row>
    <row r="537" spans="1:10" s="1" customFormat="1" ht="25.5" customHeight="1" x14ac:dyDescent="0.2">
      <c r="A537" s="10">
        <v>93655</v>
      </c>
      <c r="B537" s="21">
        <v>44440</v>
      </c>
      <c r="C537" s="806" t="s">
        <v>924</v>
      </c>
      <c r="D537" s="807"/>
      <c r="E537" s="11" t="s">
        <v>102</v>
      </c>
      <c r="F537" s="12">
        <v>41</v>
      </c>
      <c r="G537" s="12">
        <v>11.19</v>
      </c>
      <c r="H537" s="12">
        <v>14.28</v>
      </c>
      <c r="I537" s="13">
        <f t="shared" ref="I537:I552" si="42">F537*G537</f>
        <v>458.78999999999996</v>
      </c>
      <c r="J537" s="13">
        <f t="shared" ref="J537:J552" si="43">F537*H537</f>
        <v>585.48</v>
      </c>
    </row>
    <row r="538" spans="1:10" s="1" customFormat="1" ht="25.5" customHeight="1" x14ac:dyDescent="0.2">
      <c r="A538" s="10">
        <v>93656</v>
      </c>
      <c r="B538" s="21">
        <v>44441</v>
      </c>
      <c r="C538" s="806" t="s">
        <v>925</v>
      </c>
      <c r="D538" s="807"/>
      <c r="E538" s="11" t="s">
        <v>102</v>
      </c>
      <c r="F538" s="12">
        <v>25</v>
      </c>
      <c r="G538" s="12">
        <v>11.19</v>
      </c>
      <c r="H538" s="12">
        <v>14.28</v>
      </c>
      <c r="I538" s="13">
        <f t="shared" si="42"/>
        <v>279.75</v>
      </c>
      <c r="J538" s="13">
        <f t="shared" si="43"/>
        <v>357</v>
      </c>
    </row>
    <row r="539" spans="1:10" s="1" customFormat="1" ht="25.5" customHeight="1" x14ac:dyDescent="0.2">
      <c r="A539" s="10">
        <v>93667</v>
      </c>
      <c r="B539" s="21">
        <v>44442</v>
      </c>
      <c r="C539" s="806" t="s">
        <v>926</v>
      </c>
      <c r="D539" s="807"/>
      <c r="E539" s="11" t="s">
        <v>102</v>
      </c>
      <c r="F539" s="12">
        <v>1</v>
      </c>
      <c r="G539" s="12">
        <v>63.11</v>
      </c>
      <c r="H539" s="12">
        <v>80.52</v>
      </c>
      <c r="I539" s="13">
        <f t="shared" si="42"/>
        <v>63.11</v>
      </c>
      <c r="J539" s="13">
        <f t="shared" si="43"/>
        <v>80.52</v>
      </c>
    </row>
    <row r="540" spans="1:10" s="1" customFormat="1" ht="25.5" customHeight="1" x14ac:dyDescent="0.2">
      <c r="A540" s="10">
        <v>93669</v>
      </c>
      <c r="B540" s="21">
        <v>44443</v>
      </c>
      <c r="C540" s="806" t="s">
        <v>927</v>
      </c>
      <c r="D540" s="807"/>
      <c r="E540" s="11" t="s">
        <v>102</v>
      </c>
      <c r="F540" s="12">
        <v>2</v>
      </c>
      <c r="G540" s="12">
        <v>66.849999999999994</v>
      </c>
      <c r="H540" s="12">
        <v>85.29</v>
      </c>
      <c r="I540" s="13">
        <f t="shared" si="42"/>
        <v>133.69999999999999</v>
      </c>
      <c r="J540" s="13">
        <f t="shared" si="43"/>
        <v>170.58</v>
      </c>
    </row>
    <row r="541" spans="1:10" s="1" customFormat="1" ht="25.5" customHeight="1" x14ac:dyDescent="0.2">
      <c r="A541" s="10">
        <v>93671</v>
      </c>
      <c r="B541" s="21">
        <v>44444</v>
      </c>
      <c r="C541" s="806" t="s">
        <v>928</v>
      </c>
      <c r="D541" s="807"/>
      <c r="E541" s="11" t="s">
        <v>102</v>
      </c>
      <c r="F541" s="12">
        <v>3</v>
      </c>
      <c r="G541" s="12">
        <v>69.86</v>
      </c>
      <c r="H541" s="12">
        <v>89.13</v>
      </c>
      <c r="I541" s="13">
        <f t="shared" si="42"/>
        <v>209.57999999999998</v>
      </c>
      <c r="J541" s="13">
        <f t="shared" si="43"/>
        <v>267.39</v>
      </c>
    </row>
    <row r="542" spans="1:10" s="1" customFormat="1" ht="25.5" customHeight="1" x14ac:dyDescent="0.2">
      <c r="A542" s="10">
        <v>93673</v>
      </c>
      <c r="B542" s="21">
        <v>44445</v>
      </c>
      <c r="C542" s="806" t="s">
        <v>929</v>
      </c>
      <c r="D542" s="807"/>
      <c r="E542" s="11" t="s">
        <v>102</v>
      </c>
      <c r="F542" s="12">
        <v>1</v>
      </c>
      <c r="G542" s="12">
        <v>80.959999999999994</v>
      </c>
      <c r="H542" s="12">
        <v>103.3</v>
      </c>
      <c r="I542" s="13">
        <f t="shared" si="42"/>
        <v>80.959999999999994</v>
      </c>
      <c r="J542" s="13">
        <f t="shared" si="43"/>
        <v>103.3</v>
      </c>
    </row>
    <row r="543" spans="1:10" s="1" customFormat="1" ht="25.5" customHeight="1" x14ac:dyDescent="0.2">
      <c r="A543" s="11" t="s">
        <v>930</v>
      </c>
      <c r="B543" s="21">
        <v>44446</v>
      </c>
      <c r="C543" s="806" t="s">
        <v>931</v>
      </c>
      <c r="D543" s="807"/>
      <c r="E543" s="11" t="s">
        <v>102</v>
      </c>
      <c r="F543" s="12">
        <v>1</v>
      </c>
      <c r="G543" s="12">
        <v>84.91</v>
      </c>
      <c r="H543" s="12">
        <v>108.33</v>
      </c>
      <c r="I543" s="13">
        <f t="shared" si="42"/>
        <v>84.91</v>
      </c>
      <c r="J543" s="13">
        <f t="shared" si="43"/>
        <v>108.33</v>
      </c>
    </row>
    <row r="544" spans="1:10" s="1" customFormat="1" ht="25.5" customHeight="1" x14ac:dyDescent="0.2">
      <c r="A544" s="11" t="s">
        <v>932</v>
      </c>
      <c r="B544" s="21">
        <v>44447</v>
      </c>
      <c r="C544" s="806" t="s">
        <v>933</v>
      </c>
      <c r="D544" s="807"/>
      <c r="E544" s="11" t="s">
        <v>102</v>
      </c>
      <c r="F544" s="12">
        <v>1</v>
      </c>
      <c r="G544" s="12">
        <v>84.91</v>
      </c>
      <c r="H544" s="12">
        <v>108.33</v>
      </c>
      <c r="I544" s="13">
        <f t="shared" si="42"/>
        <v>84.91</v>
      </c>
      <c r="J544" s="13">
        <f t="shared" si="43"/>
        <v>108.33</v>
      </c>
    </row>
    <row r="545" spans="1:10" s="1" customFormat="1" ht="25.5" customHeight="1" x14ac:dyDescent="0.2">
      <c r="A545" s="11" t="s">
        <v>78</v>
      </c>
      <c r="B545" s="21">
        <v>44448</v>
      </c>
      <c r="C545" s="806" t="s">
        <v>934</v>
      </c>
      <c r="D545" s="807"/>
      <c r="E545" s="11" t="s">
        <v>102</v>
      </c>
      <c r="F545" s="12">
        <v>2</v>
      </c>
      <c r="G545" s="12">
        <v>72.77</v>
      </c>
      <c r="H545" s="12">
        <v>92.84</v>
      </c>
      <c r="I545" s="13">
        <f t="shared" si="42"/>
        <v>145.54</v>
      </c>
      <c r="J545" s="13">
        <f t="shared" si="43"/>
        <v>185.68</v>
      </c>
    </row>
    <row r="546" spans="1:10" s="1" customFormat="1" ht="25.5" customHeight="1" x14ac:dyDescent="0.2">
      <c r="A546" s="11" t="s">
        <v>78</v>
      </c>
      <c r="B546" s="34">
        <v>40442</v>
      </c>
      <c r="C546" s="806" t="s">
        <v>935</v>
      </c>
      <c r="D546" s="807"/>
      <c r="E546" s="11" t="s">
        <v>102</v>
      </c>
      <c r="F546" s="12">
        <v>1</v>
      </c>
      <c r="G546" s="12">
        <v>72.77</v>
      </c>
      <c r="H546" s="12">
        <v>92.84</v>
      </c>
      <c r="I546" s="13">
        <f t="shared" si="42"/>
        <v>72.77</v>
      </c>
      <c r="J546" s="13">
        <f t="shared" si="43"/>
        <v>92.84</v>
      </c>
    </row>
    <row r="547" spans="1:10" s="1" customFormat="1" ht="25.5" customHeight="1" x14ac:dyDescent="0.2">
      <c r="A547" s="11" t="s">
        <v>308</v>
      </c>
      <c r="B547" s="34">
        <v>40807</v>
      </c>
      <c r="C547" s="806" t="s">
        <v>936</v>
      </c>
      <c r="D547" s="807"/>
      <c r="E547" s="11" t="s">
        <v>102</v>
      </c>
      <c r="F547" s="12">
        <v>1</v>
      </c>
      <c r="G547" s="12">
        <v>750</v>
      </c>
      <c r="H547" s="12">
        <v>956.93</v>
      </c>
      <c r="I547" s="13">
        <f t="shared" si="42"/>
        <v>750</v>
      </c>
      <c r="J547" s="13">
        <f t="shared" si="43"/>
        <v>956.93</v>
      </c>
    </row>
    <row r="548" spans="1:10" s="1" customFormat="1" ht="25.5" customHeight="1" x14ac:dyDescent="0.2">
      <c r="A548" s="11" t="s">
        <v>937</v>
      </c>
      <c r="B548" s="34">
        <v>41173</v>
      </c>
      <c r="C548" s="806" t="s">
        <v>938</v>
      </c>
      <c r="D548" s="807"/>
      <c r="E548" s="11" t="s">
        <v>102</v>
      </c>
      <c r="F548" s="12">
        <v>1</v>
      </c>
      <c r="G548" s="12">
        <v>397.29</v>
      </c>
      <c r="H548" s="12">
        <v>506.9</v>
      </c>
      <c r="I548" s="13">
        <f t="shared" si="42"/>
        <v>397.29</v>
      </c>
      <c r="J548" s="13">
        <f t="shared" si="43"/>
        <v>506.9</v>
      </c>
    </row>
    <row r="549" spans="1:10" s="1" customFormat="1" ht="25.5" customHeight="1" x14ac:dyDescent="0.2">
      <c r="A549" s="11" t="s">
        <v>939</v>
      </c>
      <c r="B549" s="34">
        <v>41538</v>
      </c>
      <c r="C549" s="806" t="s">
        <v>940</v>
      </c>
      <c r="D549" s="807"/>
      <c r="E549" s="11" t="s">
        <v>102</v>
      </c>
      <c r="F549" s="12">
        <v>1</v>
      </c>
      <c r="G549" s="12">
        <v>762.97</v>
      </c>
      <c r="H549" s="12">
        <v>973.47</v>
      </c>
      <c r="I549" s="13">
        <f t="shared" si="42"/>
        <v>762.97</v>
      </c>
      <c r="J549" s="13">
        <f t="shared" si="43"/>
        <v>973.47</v>
      </c>
    </row>
    <row r="550" spans="1:10" s="1" customFormat="1" ht="25.5" customHeight="1" x14ac:dyDescent="0.2">
      <c r="A550" s="11" t="s">
        <v>78</v>
      </c>
      <c r="B550" s="34">
        <v>41903</v>
      </c>
      <c r="C550" s="806" t="s">
        <v>941</v>
      </c>
      <c r="D550" s="807"/>
      <c r="E550" s="11" t="s">
        <v>102</v>
      </c>
      <c r="F550" s="12">
        <v>57</v>
      </c>
      <c r="G550" s="12">
        <v>126.31</v>
      </c>
      <c r="H550" s="12">
        <v>161.15</v>
      </c>
      <c r="I550" s="13">
        <f t="shared" si="42"/>
        <v>7199.67</v>
      </c>
      <c r="J550" s="13">
        <f t="shared" si="43"/>
        <v>9185.5500000000011</v>
      </c>
    </row>
    <row r="551" spans="1:10" s="1" customFormat="1" ht="25.5" customHeight="1" x14ac:dyDescent="0.2">
      <c r="A551" s="11" t="s">
        <v>78</v>
      </c>
      <c r="B551" s="34">
        <v>42268</v>
      </c>
      <c r="C551" s="806" t="s">
        <v>942</v>
      </c>
      <c r="D551" s="807"/>
      <c r="E551" s="11" t="s">
        <v>102</v>
      </c>
      <c r="F551" s="12">
        <v>1</v>
      </c>
      <c r="G551" s="12">
        <v>157.28</v>
      </c>
      <c r="H551" s="12">
        <v>200.67</v>
      </c>
      <c r="I551" s="13">
        <f t="shared" si="42"/>
        <v>157.28</v>
      </c>
      <c r="J551" s="13">
        <f t="shared" si="43"/>
        <v>200.67</v>
      </c>
    </row>
    <row r="552" spans="1:10" s="1" customFormat="1" ht="25.5" customHeight="1" x14ac:dyDescent="0.2">
      <c r="A552" s="11" t="s">
        <v>943</v>
      </c>
      <c r="B552" s="34">
        <v>42634</v>
      </c>
      <c r="C552" s="806" t="s">
        <v>944</v>
      </c>
      <c r="D552" s="807"/>
      <c r="E552" s="11" t="s">
        <v>102</v>
      </c>
      <c r="F552" s="12">
        <v>4</v>
      </c>
      <c r="G552" s="12">
        <v>99.53</v>
      </c>
      <c r="H552" s="12">
        <v>126.99</v>
      </c>
      <c r="I552" s="13">
        <f t="shared" si="42"/>
        <v>398.12</v>
      </c>
      <c r="J552" s="13">
        <f t="shared" si="43"/>
        <v>507.96</v>
      </c>
    </row>
    <row r="553" spans="1:10" s="1" customFormat="1" ht="25.5" customHeight="1" x14ac:dyDescent="0.2">
      <c r="A553" s="8"/>
      <c r="B553" s="803" t="s">
        <v>945</v>
      </c>
      <c r="C553" s="804"/>
      <c r="D553" s="804"/>
      <c r="E553" s="804"/>
      <c r="F553" s="804"/>
      <c r="G553" s="805"/>
      <c r="H553" s="8"/>
      <c r="I553" s="28">
        <f>SUM(I537:I552)</f>
        <v>11279.350000000002</v>
      </c>
      <c r="J553" s="28">
        <f>SUM(J537:J552)</f>
        <v>14390.93</v>
      </c>
    </row>
    <row r="554" spans="1:10" s="1" customFormat="1" ht="25.5" customHeight="1" x14ac:dyDescent="0.2">
      <c r="A554" s="8"/>
      <c r="B554" s="9" t="s">
        <v>946</v>
      </c>
      <c r="C554" s="808" t="s">
        <v>947</v>
      </c>
      <c r="D554" s="820"/>
      <c r="E554" s="820"/>
      <c r="F554" s="820"/>
      <c r="G554" s="820"/>
      <c r="H554" s="820"/>
      <c r="I554" s="809"/>
      <c r="J554" s="8"/>
    </row>
    <row r="555" spans="1:10" s="1" customFormat="1" ht="25.5" customHeight="1" x14ac:dyDescent="0.2">
      <c r="A555" s="11" t="s">
        <v>948</v>
      </c>
      <c r="B555" s="25">
        <v>44470</v>
      </c>
      <c r="C555" s="806" t="s">
        <v>949</v>
      </c>
      <c r="D555" s="807"/>
      <c r="E555" s="11" t="s">
        <v>102</v>
      </c>
      <c r="F555" s="12">
        <v>116</v>
      </c>
      <c r="G555" s="12">
        <v>63.58</v>
      </c>
      <c r="H555" s="12">
        <v>81.12</v>
      </c>
      <c r="I555" s="13">
        <f t="shared" ref="I555:I561" si="44">F555*G555</f>
        <v>7375.28</v>
      </c>
      <c r="J555" s="13">
        <f t="shared" ref="J555:J561" si="45">F555*H555</f>
        <v>9409.92</v>
      </c>
    </row>
    <row r="556" spans="1:10" s="1" customFormat="1" ht="25.5" customHeight="1" x14ac:dyDescent="0.2">
      <c r="A556" s="11" t="s">
        <v>950</v>
      </c>
      <c r="B556" s="25">
        <v>44471</v>
      </c>
      <c r="C556" s="806" t="s">
        <v>951</v>
      </c>
      <c r="D556" s="807"/>
      <c r="E556" s="11" t="s">
        <v>102</v>
      </c>
      <c r="F556" s="12">
        <v>19</v>
      </c>
      <c r="G556" s="12">
        <v>102.79</v>
      </c>
      <c r="H556" s="12">
        <v>131.15</v>
      </c>
      <c r="I556" s="13">
        <f t="shared" si="44"/>
        <v>1953.0100000000002</v>
      </c>
      <c r="J556" s="13">
        <f t="shared" si="45"/>
        <v>2491.85</v>
      </c>
    </row>
    <row r="557" spans="1:10" s="1" customFormat="1" ht="25.5" customHeight="1" x14ac:dyDescent="0.2">
      <c r="A557" s="10">
        <v>38769</v>
      </c>
      <c r="B557" s="25">
        <v>44472</v>
      </c>
      <c r="C557" s="806" t="s">
        <v>952</v>
      </c>
      <c r="D557" s="807"/>
      <c r="E557" s="11" t="s">
        <v>102</v>
      </c>
      <c r="F557" s="12">
        <v>12</v>
      </c>
      <c r="G557" s="12">
        <v>22.83</v>
      </c>
      <c r="H557" s="12">
        <v>29.13</v>
      </c>
      <c r="I557" s="13">
        <f t="shared" si="44"/>
        <v>273.95999999999998</v>
      </c>
      <c r="J557" s="13">
        <f t="shared" si="45"/>
        <v>349.56</v>
      </c>
    </row>
    <row r="558" spans="1:10" s="1" customFormat="1" ht="25.5" customHeight="1" x14ac:dyDescent="0.2">
      <c r="A558" s="10">
        <v>38769</v>
      </c>
      <c r="B558" s="25">
        <v>44473</v>
      </c>
      <c r="C558" s="806" t="s">
        <v>953</v>
      </c>
      <c r="D558" s="807"/>
      <c r="E558" s="11" t="s">
        <v>102</v>
      </c>
      <c r="F558" s="12">
        <v>18</v>
      </c>
      <c r="G558" s="12">
        <v>22.83</v>
      </c>
      <c r="H558" s="12">
        <v>29.13</v>
      </c>
      <c r="I558" s="13">
        <f t="shared" si="44"/>
        <v>410.93999999999994</v>
      </c>
      <c r="J558" s="13">
        <f t="shared" si="45"/>
        <v>524.34</v>
      </c>
    </row>
    <row r="559" spans="1:10" s="1" customFormat="1" ht="25.5" customHeight="1" x14ac:dyDescent="0.2">
      <c r="A559" s="11" t="s">
        <v>954</v>
      </c>
      <c r="B559" s="25">
        <v>44474</v>
      </c>
      <c r="C559" s="806" t="s">
        <v>955</v>
      </c>
      <c r="D559" s="807"/>
      <c r="E559" s="11" t="s">
        <v>102</v>
      </c>
      <c r="F559" s="12">
        <v>2</v>
      </c>
      <c r="G559" s="13">
        <v>3877.9</v>
      </c>
      <c r="H559" s="13">
        <v>4947.82</v>
      </c>
      <c r="I559" s="13">
        <f t="shared" si="44"/>
        <v>7755.8</v>
      </c>
      <c r="J559" s="13">
        <f t="shared" si="45"/>
        <v>9895.64</v>
      </c>
    </row>
    <row r="560" spans="1:10" s="1" customFormat="1" ht="25.5" customHeight="1" x14ac:dyDescent="0.2">
      <c r="A560" s="11" t="s">
        <v>956</v>
      </c>
      <c r="B560" s="25">
        <v>44475</v>
      </c>
      <c r="C560" s="806" t="s">
        <v>957</v>
      </c>
      <c r="D560" s="807"/>
      <c r="E560" s="11" t="s">
        <v>102</v>
      </c>
      <c r="F560" s="12">
        <v>4</v>
      </c>
      <c r="G560" s="13">
        <v>2717.21</v>
      </c>
      <c r="H560" s="13">
        <v>3466.89</v>
      </c>
      <c r="I560" s="13">
        <f t="shared" si="44"/>
        <v>10868.84</v>
      </c>
      <c r="J560" s="13">
        <f t="shared" si="45"/>
        <v>13867.56</v>
      </c>
    </row>
    <row r="561" spans="1:10" s="1" customFormat="1" ht="25.5" customHeight="1" x14ac:dyDescent="0.2">
      <c r="A561" s="31" t="s">
        <v>308</v>
      </c>
      <c r="B561" s="37">
        <v>44476</v>
      </c>
      <c r="C561" s="806" t="s">
        <v>958</v>
      </c>
      <c r="D561" s="807"/>
      <c r="E561" s="31" t="s">
        <v>102</v>
      </c>
      <c r="F561" s="32">
        <v>5</v>
      </c>
      <c r="G561" s="32">
        <v>135.36000000000001</v>
      </c>
      <c r="H561" s="32">
        <v>172.71</v>
      </c>
      <c r="I561" s="13">
        <f t="shared" si="44"/>
        <v>676.80000000000007</v>
      </c>
      <c r="J561" s="13">
        <f t="shared" si="45"/>
        <v>863.55000000000007</v>
      </c>
    </row>
    <row r="562" spans="1:10" s="1" customFormat="1" ht="25.5" customHeight="1" x14ac:dyDescent="0.2">
      <c r="A562" s="8"/>
      <c r="B562" s="803" t="s">
        <v>959</v>
      </c>
      <c r="C562" s="804"/>
      <c r="D562" s="804"/>
      <c r="E562" s="804"/>
      <c r="F562" s="804"/>
      <c r="G562" s="805"/>
      <c r="H562" s="8"/>
      <c r="I562" s="28">
        <f>SUM(I555:I561)</f>
        <v>29314.63</v>
      </c>
      <c r="J562" s="28">
        <f>SUM(J555:J561)</f>
        <v>37402.42</v>
      </c>
    </row>
    <row r="563" spans="1:10" s="1" customFormat="1" ht="25.5" customHeight="1" x14ac:dyDescent="0.2">
      <c r="A563" s="8"/>
      <c r="B563" s="9" t="s">
        <v>960</v>
      </c>
      <c r="C563" s="808" t="s">
        <v>961</v>
      </c>
      <c r="D563" s="809"/>
      <c r="E563" s="8"/>
      <c r="F563" s="8"/>
      <c r="G563" s="8"/>
      <c r="H563" s="8"/>
      <c r="I563" s="8"/>
      <c r="J563" s="8"/>
    </row>
    <row r="564" spans="1:10" s="1" customFormat="1" ht="25.5" customHeight="1" x14ac:dyDescent="0.2">
      <c r="A564" s="10">
        <v>38112</v>
      </c>
      <c r="B564" s="25">
        <v>44501</v>
      </c>
      <c r="C564" s="806" t="s">
        <v>962</v>
      </c>
      <c r="D564" s="807"/>
      <c r="E564" s="11" t="s">
        <v>102</v>
      </c>
      <c r="F564" s="12">
        <v>1</v>
      </c>
      <c r="G564" s="12">
        <v>5.53</v>
      </c>
      <c r="H564" s="12">
        <v>7.06</v>
      </c>
      <c r="I564" s="13">
        <f t="shared" ref="I564:I576" si="46">F564*G564</f>
        <v>5.53</v>
      </c>
      <c r="J564" s="13">
        <f t="shared" ref="J564:J576" si="47">F564*H564</f>
        <v>7.06</v>
      </c>
    </row>
    <row r="565" spans="1:10" s="1" customFormat="1" ht="25.5" customHeight="1" x14ac:dyDescent="0.2">
      <c r="A565" s="10">
        <v>38112</v>
      </c>
      <c r="B565" s="25">
        <v>44502</v>
      </c>
      <c r="C565" s="806" t="s">
        <v>963</v>
      </c>
      <c r="D565" s="807"/>
      <c r="E565" s="11" t="s">
        <v>102</v>
      </c>
      <c r="F565" s="12">
        <v>49</v>
      </c>
      <c r="G565" s="12">
        <v>5.53</v>
      </c>
      <c r="H565" s="12">
        <v>7.06</v>
      </c>
      <c r="I565" s="13">
        <f t="shared" si="46"/>
        <v>270.97000000000003</v>
      </c>
      <c r="J565" s="13">
        <f t="shared" si="47"/>
        <v>345.94</v>
      </c>
    </row>
    <row r="566" spans="1:10" s="1" customFormat="1" ht="25.5" customHeight="1" x14ac:dyDescent="0.2">
      <c r="A566" s="10">
        <v>38079</v>
      </c>
      <c r="B566" s="25">
        <v>44503</v>
      </c>
      <c r="C566" s="806" t="s">
        <v>964</v>
      </c>
      <c r="D566" s="807"/>
      <c r="E566" s="11" t="s">
        <v>102</v>
      </c>
      <c r="F566" s="12">
        <v>2</v>
      </c>
      <c r="G566" s="12">
        <v>17.579999999999998</v>
      </c>
      <c r="H566" s="12">
        <v>22.43</v>
      </c>
      <c r="I566" s="13">
        <f t="shared" si="46"/>
        <v>35.159999999999997</v>
      </c>
      <c r="J566" s="13">
        <f t="shared" si="47"/>
        <v>44.86</v>
      </c>
    </row>
    <row r="567" spans="1:10" s="1" customFormat="1" ht="25.5" customHeight="1" x14ac:dyDescent="0.2">
      <c r="A567" s="10">
        <v>38071</v>
      </c>
      <c r="B567" s="25">
        <v>44504</v>
      </c>
      <c r="C567" s="806" t="s">
        <v>965</v>
      </c>
      <c r="D567" s="807"/>
      <c r="E567" s="11" t="s">
        <v>102</v>
      </c>
      <c r="F567" s="12">
        <v>5</v>
      </c>
      <c r="G567" s="12">
        <v>13.94</v>
      </c>
      <c r="H567" s="12">
        <v>17.79</v>
      </c>
      <c r="I567" s="13">
        <f t="shared" si="46"/>
        <v>69.7</v>
      </c>
      <c r="J567" s="13">
        <f t="shared" si="47"/>
        <v>88.949999999999989</v>
      </c>
    </row>
    <row r="568" spans="1:10" s="1" customFormat="1" ht="25.5" customHeight="1" x14ac:dyDescent="0.2">
      <c r="A568" s="10">
        <v>38070</v>
      </c>
      <c r="B568" s="25">
        <v>44505</v>
      </c>
      <c r="C568" s="806" t="s">
        <v>966</v>
      </c>
      <c r="D568" s="807"/>
      <c r="E568" s="11" t="s">
        <v>102</v>
      </c>
      <c r="F568" s="12">
        <v>2</v>
      </c>
      <c r="G568" s="12">
        <v>13.47</v>
      </c>
      <c r="H568" s="12">
        <v>17.190000000000001</v>
      </c>
      <c r="I568" s="13">
        <f t="shared" si="46"/>
        <v>26.94</v>
      </c>
      <c r="J568" s="13">
        <f t="shared" si="47"/>
        <v>34.380000000000003</v>
      </c>
    </row>
    <row r="569" spans="1:10" s="1" customFormat="1" ht="25.5" customHeight="1" x14ac:dyDescent="0.2">
      <c r="A569" s="10">
        <v>38070</v>
      </c>
      <c r="B569" s="25">
        <v>44506</v>
      </c>
      <c r="C569" s="806" t="s">
        <v>967</v>
      </c>
      <c r="D569" s="807"/>
      <c r="E569" s="11" t="s">
        <v>102</v>
      </c>
      <c r="F569" s="12">
        <v>18</v>
      </c>
      <c r="G569" s="12">
        <v>13.47</v>
      </c>
      <c r="H569" s="12">
        <v>17.190000000000001</v>
      </c>
      <c r="I569" s="13">
        <f t="shared" si="46"/>
        <v>242.46</v>
      </c>
      <c r="J569" s="13">
        <f t="shared" si="47"/>
        <v>309.42</v>
      </c>
    </row>
    <row r="570" spans="1:10" s="1" customFormat="1" ht="25.5" customHeight="1" x14ac:dyDescent="0.2">
      <c r="A570" s="10">
        <v>38074</v>
      </c>
      <c r="B570" s="25">
        <v>44507</v>
      </c>
      <c r="C570" s="806" t="s">
        <v>968</v>
      </c>
      <c r="D570" s="807"/>
      <c r="E570" s="11" t="s">
        <v>102</v>
      </c>
      <c r="F570" s="12">
        <v>2</v>
      </c>
      <c r="G570" s="12">
        <v>20.48</v>
      </c>
      <c r="H570" s="12">
        <v>26.13</v>
      </c>
      <c r="I570" s="13">
        <f t="shared" si="46"/>
        <v>40.96</v>
      </c>
      <c r="J570" s="13">
        <f t="shared" si="47"/>
        <v>52.26</v>
      </c>
    </row>
    <row r="571" spans="1:10" s="1" customFormat="1" ht="25.5" customHeight="1" x14ac:dyDescent="0.2">
      <c r="A571" s="11" t="s">
        <v>308</v>
      </c>
      <c r="B571" s="25">
        <v>44508</v>
      </c>
      <c r="C571" s="806" t="s">
        <v>969</v>
      </c>
      <c r="D571" s="807"/>
      <c r="E571" s="11" t="s">
        <v>102</v>
      </c>
      <c r="F571" s="12">
        <v>1</v>
      </c>
      <c r="G571" s="12">
        <v>3.9</v>
      </c>
      <c r="H571" s="12">
        <v>4.9800000000000004</v>
      </c>
      <c r="I571" s="13">
        <f t="shared" si="46"/>
        <v>3.9</v>
      </c>
      <c r="J571" s="13">
        <f t="shared" si="47"/>
        <v>4.9800000000000004</v>
      </c>
    </row>
    <row r="572" spans="1:10" s="1" customFormat="1" ht="25.5" customHeight="1" x14ac:dyDescent="0.2">
      <c r="A572" s="10">
        <v>38108</v>
      </c>
      <c r="B572" s="25">
        <v>44509</v>
      </c>
      <c r="C572" s="806" t="s">
        <v>970</v>
      </c>
      <c r="D572" s="807"/>
      <c r="E572" s="11" t="s">
        <v>102</v>
      </c>
      <c r="F572" s="12">
        <v>6</v>
      </c>
      <c r="G572" s="12">
        <v>38.54</v>
      </c>
      <c r="H572" s="12">
        <v>49.17</v>
      </c>
      <c r="I572" s="13">
        <f t="shared" si="46"/>
        <v>231.24</v>
      </c>
      <c r="J572" s="13">
        <f t="shared" si="47"/>
        <v>295.02</v>
      </c>
    </row>
    <row r="573" spans="1:10" s="1" customFormat="1" ht="25.5" customHeight="1" x14ac:dyDescent="0.2">
      <c r="A573" s="10">
        <v>38092</v>
      </c>
      <c r="B573" s="38">
        <v>40503</v>
      </c>
      <c r="C573" s="806" t="s">
        <v>971</v>
      </c>
      <c r="D573" s="807"/>
      <c r="E573" s="11" t="s">
        <v>102</v>
      </c>
      <c r="F573" s="12">
        <v>49</v>
      </c>
      <c r="G573" s="12">
        <v>1.85</v>
      </c>
      <c r="H573" s="12">
        <v>2.36</v>
      </c>
      <c r="I573" s="13">
        <f t="shared" si="46"/>
        <v>90.65</v>
      </c>
      <c r="J573" s="13">
        <f t="shared" si="47"/>
        <v>115.64</v>
      </c>
    </row>
    <row r="574" spans="1:10" s="1" customFormat="1" ht="25.5" customHeight="1" x14ac:dyDescent="0.2">
      <c r="A574" s="10">
        <v>38093</v>
      </c>
      <c r="B574" s="38">
        <v>40868</v>
      </c>
      <c r="C574" s="806" t="s">
        <v>972</v>
      </c>
      <c r="D574" s="807"/>
      <c r="E574" s="11" t="s">
        <v>102</v>
      </c>
      <c r="F574" s="12">
        <v>20</v>
      </c>
      <c r="G574" s="12">
        <v>1.91</v>
      </c>
      <c r="H574" s="12">
        <v>2.44</v>
      </c>
      <c r="I574" s="13">
        <f t="shared" si="46"/>
        <v>38.199999999999996</v>
      </c>
      <c r="J574" s="13">
        <f t="shared" si="47"/>
        <v>48.8</v>
      </c>
    </row>
    <row r="575" spans="1:10" s="1" customFormat="1" ht="25.5" customHeight="1" x14ac:dyDescent="0.2">
      <c r="A575" s="10">
        <v>38094</v>
      </c>
      <c r="B575" s="38">
        <v>41234</v>
      </c>
      <c r="C575" s="806" t="s">
        <v>973</v>
      </c>
      <c r="D575" s="807"/>
      <c r="E575" s="11" t="s">
        <v>102</v>
      </c>
      <c r="F575" s="12">
        <v>5</v>
      </c>
      <c r="G575" s="12">
        <v>2.34</v>
      </c>
      <c r="H575" s="12">
        <v>2.99</v>
      </c>
      <c r="I575" s="13">
        <f t="shared" si="46"/>
        <v>11.7</v>
      </c>
      <c r="J575" s="13">
        <f t="shared" si="47"/>
        <v>14.950000000000001</v>
      </c>
    </row>
    <row r="576" spans="1:10" s="1" customFormat="1" ht="25.5" customHeight="1" x14ac:dyDescent="0.2">
      <c r="A576" s="10">
        <v>38097</v>
      </c>
      <c r="B576" s="38">
        <v>41599</v>
      </c>
      <c r="C576" s="806" t="s">
        <v>974</v>
      </c>
      <c r="D576" s="807"/>
      <c r="E576" s="11" t="s">
        <v>102</v>
      </c>
      <c r="F576" s="12">
        <v>1</v>
      </c>
      <c r="G576" s="12">
        <v>4.76</v>
      </c>
      <c r="H576" s="12">
        <v>6.07</v>
      </c>
      <c r="I576" s="13">
        <f t="shared" si="46"/>
        <v>4.76</v>
      </c>
      <c r="J576" s="13">
        <f t="shared" si="47"/>
        <v>6.07</v>
      </c>
    </row>
    <row r="577" spans="1:10" s="1" customFormat="1" ht="25.5" customHeight="1" x14ac:dyDescent="0.2">
      <c r="A577" s="8"/>
      <c r="B577" s="803" t="s">
        <v>975</v>
      </c>
      <c r="C577" s="804"/>
      <c r="D577" s="804"/>
      <c r="E577" s="804"/>
      <c r="F577" s="804"/>
      <c r="G577" s="805"/>
      <c r="H577" s="8"/>
      <c r="I577" s="28">
        <f>SUM(I564:I576)</f>
        <v>1072.17</v>
      </c>
      <c r="J577" s="28">
        <f>SUM(J564:J576)</f>
        <v>1368.3300000000002</v>
      </c>
    </row>
    <row r="578" spans="1:10" s="1" customFormat="1" ht="25.5" customHeight="1" x14ac:dyDescent="0.2">
      <c r="A578" s="8"/>
      <c r="B578" s="9" t="s">
        <v>976</v>
      </c>
      <c r="C578" s="808" t="s">
        <v>977</v>
      </c>
      <c r="D578" s="820"/>
      <c r="E578" s="820"/>
      <c r="F578" s="820"/>
      <c r="G578" s="820"/>
      <c r="H578" s="820"/>
      <c r="I578" s="809"/>
      <c r="J578" s="8"/>
    </row>
    <row r="579" spans="1:10" s="1" customFormat="1" ht="25.5" customHeight="1" x14ac:dyDescent="0.2">
      <c r="A579" s="10">
        <v>38075</v>
      </c>
      <c r="B579" s="25">
        <v>44531</v>
      </c>
      <c r="C579" s="806" t="s">
        <v>978</v>
      </c>
      <c r="D579" s="807"/>
      <c r="E579" s="11" t="s">
        <v>102</v>
      </c>
      <c r="F579" s="12">
        <v>14</v>
      </c>
      <c r="G579" s="12">
        <v>12.82</v>
      </c>
      <c r="H579" s="12">
        <v>16.36</v>
      </c>
      <c r="I579" s="13">
        <f t="shared" ref="I579:I584" si="48">F579*G579</f>
        <v>179.48000000000002</v>
      </c>
      <c r="J579" s="13">
        <f t="shared" ref="J579:J584" si="49">F579*H579</f>
        <v>229.04</v>
      </c>
    </row>
    <row r="580" spans="1:10" s="1" customFormat="1" ht="25.5" customHeight="1" x14ac:dyDescent="0.2">
      <c r="A580" s="11" t="s">
        <v>308</v>
      </c>
      <c r="B580" s="25">
        <v>44532</v>
      </c>
      <c r="C580" s="806" t="s">
        <v>979</v>
      </c>
      <c r="D580" s="807"/>
      <c r="E580" s="11" t="s">
        <v>102</v>
      </c>
      <c r="F580" s="12">
        <v>7</v>
      </c>
      <c r="G580" s="12">
        <v>3.9</v>
      </c>
      <c r="H580" s="12">
        <v>4.9800000000000004</v>
      </c>
      <c r="I580" s="13">
        <f t="shared" si="48"/>
        <v>27.3</v>
      </c>
      <c r="J580" s="13">
        <f t="shared" si="49"/>
        <v>34.86</v>
      </c>
    </row>
    <row r="581" spans="1:10" s="1" customFormat="1" ht="25.5" customHeight="1" x14ac:dyDescent="0.2">
      <c r="A581" s="11" t="s">
        <v>980</v>
      </c>
      <c r="B581" s="25">
        <v>44533</v>
      </c>
      <c r="C581" s="806" t="s">
        <v>981</v>
      </c>
      <c r="D581" s="807"/>
      <c r="E581" s="11" t="s">
        <v>102</v>
      </c>
      <c r="F581" s="12">
        <v>191</v>
      </c>
      <c r="G581" s="12">
        <v>16.91</v>
      </c>
      <c r="H581" s="12">
        <v>21.58</v>
      </c>
      <c r="I581" s="13">
        <f t="shared" si="48"/>
        <v>3229.81</v>
      </c>
      <c r="J581" s="13">
        <f t="shared" si="49"/>
        <v>4121.78</v>
      </c>
    </row>
    <row r="582" spans="1:10" s="1" customFormat="1" ht="25.5" customHeight="1" x14ac:dyDescent="0.2">
      <c r="A582" s="11" t="s">
        <v>982</v>
      </c>
      <c r="B582" s="25">
        <v>44534</v>
      </c>
      <c r="C582" s="806" t="s">
        <v>983</v>
      </c>
      <c r="D582" s="807"/>
      <c r="E582" s="11" t="s">
        <v>102</v>
      </c>
      <c r="F582" s="12">
        <v>8</v>
      </c>
      <c r="G582" s="12">
        <v>36.520000000000003</v>
      </c>
      <c r="H582" s="12">
        <v>46.6</v>
      </c>
      <c r="I582" s="13">
        <f t="shared" si="48"/>
        <v>292.16000000000003</v>
      </c>
      <c r="J582" s="13">
        <f t="shared" si="49"/>
        <v>372.8</v>
      </c>
    </row>
    <row r="583" spans="1:10" s="1" customFormat="1" ht="25.5" customHeight="1" x14ac:dyDescent="0.2">
      <c r="A583" s="10">
        <v>38093</v>
      </c>
      <c r="B583" s="25">
        <v>44535</v>
      </c>
      <c r="C583" s="806" t="s">
        <v>984</v>
      </c>
      <c r="D583" s="807"/>
      <c r="E583" s="11" t="s">
        <v>102</v>
      </c>
      <c r="F583" s="12">
        <v>191</v>
      </c>
      <c r="G583" s="12">
        <v>1.91</v>
      </c>
      <c r="H583" s="12">
        <v>2.44</v>
      </c>
      <c r="I583" s="13">
        <f t="shared" si="48"/>
        <v>364.81</v>
      </c>
      <c r="J583" s="13">
        <f t="shared" si="49"/>
        <v>466.03999999999996</v>
      </c>
    </row>
    <row r="584" spans="1:10" s="1" customFormat="1" ht="25.5" customHeight="1" x14ac:dyDescent="0.2">
      <c r="A584" s="10">
        <v>38091</v>
      </c>
      <c r="B584" s="25">
        <v>44536</v>
      </c>
      <c r="C584" s="806" t="s">
        <v>985</v>
      </c>
      <c r="D584" s="807"/>
      <c r="E584" s="11" t="s">
        <v>102</v>
      </c>
      <c r="F584" s="12">
        <v>28</v>
      </c>
      <c r="G584" s="12">
        <v>1.95</v>
      </c>
      <c r="H584" s="12">
        <v>2.4900000000000002</v>
      </c>
      <c r="I584" s="13">
        <f t="shared" si="48"/>
        <v>54.6</v>
      </c>
      <c r="J584" s="13">
        <f t="shared" si="49"/>
        <v>69.72</v>
      </c>
    </row>
    <row r="585" spans="1:10" s="1" customFormat="1" ht="25.5" customHeight="1" x14ac:dyDescent="0.2">
      <c r="A585" s="8"/>
      <c r="B585" s="803" t="s">
        <v>986</v>
      </c>
      <c r="C585" s="804"/>
      <c r="D585" s="804"/>
      <c r="E585" s="804"/>
      <c r="F585" s="804"/>
      <c r="G585" s="805"/>
      <c r="H585" s="8"/>
      <c r="I585" s="28">
        <f>SUM(I579:I584)</f>
        <v>4148.16</v>
      </c>
      <c r="J585" s="28">
        <f>SUM(J579:J584)</f>
        <v>5294.24</v>
      </c>
    </row>
    <row r="586" spans="1:10" s="1" customFormat="1" ht="25.5" customHeight="1" x14ac:dyDescent="0.2">
      <c r="A586" s="8"/>
      <c r="B586" s="9" t="s">
        <v>987</v>
      </c>
      <c r="C586" s="808" t="s">
        <v>988</v>
      </c>
      <c r="D586" s="820"/>
      <c r="E586" s="820"/>
      <c r="F586" s="820"/>
      <c r="G586" s="820"/>
      <c r="H586" s="820"/>
      <c r="I586" s="809"/>
      <c r="J586" s="8"/>
    </row>
    <row r="587" spans="1:10" s="1" customFormat="1" ht="25.5" customHeight="1" x14ac:dyDescent="0.2">
      <c r="A587" s="11" t="s">
        <v>989</v>
      </c>
      <c r="B587" s="11" t="s">
        <v>990</v>
      </c>
      <c r="C587" s="806" t="s">
        <v>991</v>
      </c>
      <c r="D587" s="807"/>
      <c r="E587" s="11" t="s">
        <v>102</v>
      </c>
      <c r="F587" s="12">
        <v>64</v>
      </c>
      <c r="G587" s="12">
        <v>3.46</v>
      </c>
      <c r="H587" s="12">
        <v>4.41</v>
      </c>
      <c r="I587" s="13">
        <f t="shared" ref="I587:I592" si="50">F587*G587</f>
        <v>221.44</v>
      </c>
      <c r="J587" s="13">
        <f t="shared" ref="J587:J592" si="51">F587*H587</f>
        <v>282.24</v>
      </c>
    </row>
    <row r="588" spans="1:10" s="1" customFormat="1" ht="25.5" customHeight="1" x14ac:dyDescent="0.2">
      <c r="A588" s="10">
        <v>11950</v>
      </c>
      <c r="B588" s="11" t="s">
        <v>992</v>
      </c>
      <c r="C588" s="806" t="s">
        <v>993</v>
      </c>
      <c r="D588" s="807"/>
      <c r="E588" s="11" t="s">
        <v>102</v>
      </c>
      <c r="F588" s="13">
        <v>1200</v>
      </c>
      <c r="G588" s="12">
        <v>0.14000000000000001</v>
      </c>
      <c r="H588" s="12">
        <v>0.18</v>
      </c>
      <c r="I588" s="13">
        <f t="shared" si="50"/>
        <v>168.00000000000003</v>
      </c>
      <c r="J588" s="13">
        <f t="shared" si="51"/>
        <v>216</v>
      </c>
    </row>
    <row r="589" spans="1:10" s="1" customFormat="1" ht="25.5" customHeight="1" x14ac:dyDescent="0.2">
      <c r="A589" s="11" t="s">
        <v>308</v>
      </c>
      <c r="B589" s="11" t="s">
        <v>994</v>
      </c>
      <c r="C589" s="806" t="s">
        <v>995</v>
      </c>
      <c r="D589" s="807"/>
      <c r="E589" s="11" t="s">
        <v>102</v>
      </c>
      <c r="F589" s="12">
        <v>32</v>
      </c>
      <c r="G589" s="12">
        <v>4.9000000000000004</v>
      </c>
      <c r="H589" s="12">
        <v>6.25</v>
      </c>
      <c r="I589" s="13">
        <f t="shared" si="50"/>
        <v>156.80000000000001</v>
      </c>
      <c r="J589" s="13">
        <f t="shared" si="51"/>
        <v>200</v>
      </c>
    </row>
    <row r="590" spans="1:10" s="1" customFormat="1" ht="25.5" customHeight="1" x14ac:dyDescent="0.2">
      <c r="A590" s="11" t="s">
        <v>308</v>
      </c>
      <c r="B590" s="11" t="s">
        <v>996</v>
      </c>
      <c r="C590" s="806" t="s">
        <v>997</v>
      </c>
      <c r="D590" s="807"/>
      <c r="E590" s="11" t="s">
        <v>102</v>
      </c>
      <c r="F590" s="12">
        <v>32</v>
      </c>
      <c r="G590" s="12">
        <v>17</v>
      </c>
      <c r="H590" s="12">
        <v>21.69</v>
      </c>
      <c r="I590" s="13">
        <f t="shared" si="50"/>
        <v>544</v>
      </c>
      <c r="J590" s="13">
        <f t="shared" si="51"/>
        <v>694.08</v>
      </c>
    </row>
    <row r="591" spans="1:10" s="1" customFormat="1" ht="25.5" customHeight="1" x14ac:dyDescent="0.2">
      <c r="A591" s="10">
        <v>39997</v>
      </c>
      <c r="B591" s="11" t="s">
        <v>998</v>
      </c>
      <c r="C591" s="806" t="s">
        <v>999</v>
      </c>
      <c r="D591" s="807"/>
      <c r="E591" s="11" t="s">
        <v>102</v>
      </c>
      <c r="F591" s="12">
        <v>300</v>
      </c>
      <c r="G591" s="12">
        <v>0.14000000000000001</v>
      </c>
      <c r="H591" s="12">
        <v>0.18</v>
      </c>
      <c r="I591" s="13">
        <f t="shared" si="50"/>
        <v>42.000000000000007</v>
      </c>
      <c r="J591" s="13">
        <f t="shared" si="51"/>
        <v>54</v>
      </c>
    </row>
    <row r="592" spans="1:10" s="1" customFormat="1" ht="25.5" customHeight="1" x14ac:dyDescent="0.2">
      <c r="A592" s="10">
        <v>39996</v>
      </c>
      <c r="B592" s="11" t="s">
        <v>1000</v>
      </c>
      <c r="C592" s="806" t="s">
        <v>1001</v>
      </c>
      <c r="D592" s="807"/>
      <c r="E592" s="11" t="s">
        <v>81</v>
      </c>
      <c r="F592" s="12">
        <v>120</v>
      </c>
      <c r="G592" s="12">
        <v>2.35</v>
      </c>
      <c r="H592" s="12">
        <v>3</v>
      </c>
      <c r="I592" s="13">
        <f t="shared" si="50"/>
        <v>282</v>
      </c>
      <c r="J592" s="13">
        <f t="shared" si="51"/>
        <v>360</v>
      </c>
    </row>
    <row r="593" spans="1:10" s="1" customFormat="1" ht="25.5" customHeight="1" x14ac:dyDescent="0.2">
      <c r="A593" s="8"/>
      <c r="B593" s="803" t="s">
        <v>1002</v>
      </c>
      <c r="C593" s="804"/>
      <c r="D593" s="804"/>
      <c r="E593" s="804"/>
      <c r="F593" s="804"/>
      <c r="G593" s="805"/>
      <c r="H593" s="8"/>
      <c r="I593" s="28">
        <f>SUM(I587:I592)</f>
        <v>1414.24</v>
      </c>
      <c r="J593" s="28">
        <f>SUM(J587:J592)</f>
        <v>1806.3200000000002</v>
      </c>
    </row>
    <row r="594" spans="1:10" s="1" customFormat="1" ht="25.5" customHeight="1" x14ac:dyDescent="0.2">
      <c r="A594" s="8"/>
      <c r="B594" s="9" t="s">
        <v>1003</v>
      </c>
      <c r="C594" s="808" t="s">
        <v>1004</v>
      </c>
      <c r="D594" s="820"/>
      <c r="E594" s="820"/>
      <c r="F594" s="820"/>
      <c r="G594" s="820"/>
      <c r="H594" s="820"/>
      <c r="I594" s="809"/>
      <c r="J594" s="8"/>
    </row>
    <row r="595" spans="1:10" s="1" customFormat="1" ht="25.5" customHeight="1" x14ac:dyDescent="0.2">
      <c r="A595" s="8"/>
      <c r="B595" s="9" t="s">
        <v>1005</v>
      </c>
      <c r="C595" s="808" t="s">
        <v>1006</v>
      </c>
      <c r="D595" s="820"/>
      <c r="E595" s="820"/>
      <c r="F595" s="820"/>
      <c r="G595" s="820"/>
      <c r="H595" s="820"/>
      <c r="I595" s="809"/>
      <c r="J595" s="8"/>
    </row>
    <row r="596" spans="1:10" s="1" customFormat="1" ht="25.5" customHeight="1" x14ac:dyDescent="0.2">
      <c r="A596" s="10">
        <v>4274</v>
      </c>
      <c r="B596" s="11" t="s">
        <v>1007</v>
      </c>
      <c r="C596" s="806" t="s">
        <v>1008</v>
      </c>
      <c r="D596" s="807"/>
      <c r="E596" s="11" t="s">
        <v>1009</v>
      </c>
      <c r="F596" s="12">
        <v>1</v>
      </c>
      <c r="G596" s="12">
        <v>72.459999999999994</v>
      </c>
      <c r="H596" s="12">
        <v>92.45</v>
      </c>
      <c r="I596" s="13">
        <f>F596*G596</f>
        <v>72.459999999999994</v>
      </c>
      <c r="J596" s="13">
        <f>F596*H596</f>
        <v>92.45</v>
      </c>
    </row>
    <row r="597" spans="1:10" s="1" customFormat="1" ht="25.5" customHeight="1" x14ac:dyDescent="0.2">
      <c r="A597" s="36">
        <v>863</v>
      </c>
      <c r="B597" s="11" t="s">
        <v>1010</v>
      </c>
      <c r="C597" s="806" t="s">
        <v>1011</v>
      </c>
      <c r="D597" s="807"/>
      <c r="E597" s="11" t="s">
        <v>81</v>
      </c>
      <c r="F597" s="12">
        <v>600</v>
      </c>
      <c r="G597" s="12">
        <v>13.97</v>
      </c>
      <c r="H597" s="12">
        <v>17.82</v>
      </c>
      <c r="I597" s="13">
        <f>F597*G597</f>
        <v>8382</v>
      </c>
      <c r="J597" s="13">
        <f>F597*H597</f>
        <v>10692</v>
      </c>
    </row>
    <row r="598" spans="1:10" s="1" customFormat="1" ht="25.5" customHeight="1" x14ac:dyDescent="0.2">
      <c r="A598" s="11" t="s">
        <v>1012</v>
      </c>
      <c r="B598" s="11" t="s">
        <v>1013</v>
      </c>
      <c r="C598" s="806" t="s">
        <v>1014</v>
      </c>
      <c r="D598" s="807"/>
      <c r="E598" s="11" t="s">
        <v>1009</v>
      </c>
      <c r="F598" s="12">
        <v>12</v>
      </c>
      <c r="G598" s="12">
        <v>61.88</v>
      </c>
      <c r="H598" s="12">
        <v>78.959999999999994</v>
      </c>
      <c r="I598" s="13">
        <f>F598*G598</f>
        <v>742.56000000000006</v>
      </c>
      <c r="J598" s="13">
        <f>F598*H598</f>
        <v>947.52</v>
      </c>
    </row>
    <row r="599" spans="1:10" s="1" customFormat="1" ht="25.5" customHeight="1" x14ac:dyDescent="0.2">
      <c r="A599" s="8"/>
      <c r="B599" s="9" t="s">
        <v>1015</v>
      </c>
      <c r="C599" s="808" t="s">
        <v>1016</v>
      </c>
      <c r="D599" s="809"/>
      <c r="E599" s="8"/>
      <c r="F599" s="8"/>
      <c r="G599" s="8"/>
      <c r="H599" s="8"/>
      <c r="I599" s="8"/>
      <c r="J599" s="8"/>
    </row>
    <row r="600" spans="1:10" s="1" customFormat="1" ht="25.5" customHeight="1" x14ac:dyDescent="0.2">
      <c r="A600" s="11" t="s">
        <v>308</v>
      </c>
      <c r="B600" s="11" t="s">
        <v>1017</v>
      </c>
      <c r="C600" s="806" t="s">
        <v>1018</v>
      </c>
      <c r="D600" s="807"/>
      <c r="E600" s="11" t="s">
        <v>1009</v>
      </c>
      <c r="F600" s="12">
        <v>2</v>
      </c>
      <c r="G600" s="12">
        <v>4.3899999999999997</v>
      </c>
      <c r="H600" s="12">
        <v>5.6</v>
      </c>
      <c r="I600" s="13">
        <f>F600*G600</f>
        <v>8.7799999999999994</v>
      </c>
      <c r="J600" s="13">
        <f>F600*H600</f>
        <v>11.2</v>
      </c>
    </row>
    <row r="601" spans="1:10" s="1" customFormat="1" ht="25.5" customHeight="1" x14ac:dyDescent="0.2">
      <c r="A601" s="11" t="s">
        <v>1019</v>
      </c>
      <c r="B601" s="11" t="s">
        <v>1020</v>
      </c>
      <c r="C601" s="806" t="s">
        <v>1021</v>
      </c>
      <c r="D601" s="807"/>
      <c r="E601" s="11" t="s">
        <v>1009</v>
      </c>
      <c r="F601" s="12">
        <v>40</v>
      </c>
      <c r="G601" s="12">
        <v>5.64</v>
      </c>
      <c r="H601" s="12">
        <v>7.2</v>
      </c>
      <c r="I601" s="13">
        <f>F601*G601</f>
        <v>225.6</v>
      </c>
      <c r="J601" s="13">
        <f>F601*H601</f>
        <v>288</v>
      </c>
    </row>
    <row r="602" spans="1:10" s="1" customFormat="1" ht="25.5" customHeight="1" x14ac:dyDescent="0.2">
      <c r="A602" s="11" t="s">
        <v>308</v>
      </c>
      <c r="B602" s="11" t="s">
        <v>1022</v>
      </c>
      <c r="C602" s="806" t="s">
        <v>1023</v>
      </c>
      <c r="D602" s="807"/>
      <c r="E602" s="11" t="s">
        <v>1009</v>
      </c>
      <c r="F602" s="12">
        <v>76</v>
      </c>
      <c r="G602" s="12">
        <v>1.84</v>
      </c>
      <c r="H602" s="12">
        <v>2.34</v>
      </c>
      <c r="I602" s="13">
        <f>F602*G602</f>
        <v>139.84</v>
      </c>
      <c r="J602" s="13">
        <f>F602*H602</f>
        <v>177.83999999999997</v>
      </c>
    </row>
    <row r="603" spans="1:10" s="1" customFormat="1" ht="25.5" customHeight="1" x14ac:dyDescent="0.2">
      <c r="A603" s="11" t="s">
        <v>1024</v>
      </c>
      <c r="B603" s="11" t="s">
        <v>1025</v>
      </c>
      <c r="C603" s="806" t="s">
        <v>1026</v>
      </c>
      <c r="D603" s="807"/>
      <c r="E603" s="11" t="s">
        <v>1009</v>
      </c>
      <c r="F603" s="12">
        <v>130</v>
      </c>
      <c r="G603" s="12">
        <v>6.28</v>
      </c>
      <c r="H603" s="12">
        <v>8.02</v>
      </c>
      <c r="I603" s="13">
        <f>F603*G603</f>
        <v>816.4</v>
      </c>
      <c r="J603" s="13">
        <f>F603*H603</f>
        <v>1042.5999999999999</v>
      </c>
    </row>
    <row r="604" spans="1:10" s="1" customFormat="1" ht="25.5" customHeight="1" x14ac:dyDescent="0.2">
      <c r="A604" s="8"/>
      <c r="B604" s="9" t="s">
        <v>1027</v>
      </c>
      <c r="C604" s="808" t="s">
        <v>1028</v>
      </c>
      <c r="D604" s="809"/>
      <c r="E604" s="8"/>
      <c r="F604" s="8"/>
      <c r="G604" s="8"/>
      <c r="H604" s="8"/>
      <c r="I604" s="8"/>
      <c r="J604" s="8"/>
    </row>
    <row r="605" spans="1:10" s="1" customFormat="1" ht="25.5" customHeight="1" x14ac:dyDescent="0.2">
      <c r="A605" s="11" t="s">
        <v>1012</v>
      </c>
      <c r="B605" s="11" t="s">
        <v>1029</v>
      </c>
      <c r="C605" s="806" t="s">
        <v>1014</v>
      </c>
      <c r="D605" s="807"/>
      <c r="E605" s="11" t="s">
        <v>1009</v>
      </c>
      <c r="F605" s="12">
        <v>34</v>
      </c>
      <c r="G605" s="12">
        <v>61.88</v>
      </c>
      <c r="H605" s="12">
        <v>78.959999999999994</v>
      </c>
      <c r="I605" s="13">
        <f>F605*G605</f>
        <v>2103.92</v>
      </c>
      <c r="J605" s="13">
        <f>F605*H605</f>
        <v>2684.64</v>
      </c>
    </row>
    <row r="606" spans="1:10" s="1" customFormat="1" ht="25.5" customHeight="1" x14ac:dyDescent="0.2">
      <c r="A606" s="8"/>
      <c r="B606" s="9" t="s">
        <v>1030</v>
      </c>
      <c r="C606" s="808" t="s">
        <v>1031</v>
      </c>
      <c r="D606" s="809"/>
      <c r="E606" s="8"/>
      <c r="F606" s="8"/>
      <c r="G606" s="8"/>
      <c r="H606" s="8"/>
      <c r="I606" s="8"/>
      <c r="J606" s="8"/>
    </row>
    <row r="607" spans="1:10" s="1" customFormat="1" ht="25.5" customHeight="1" x14ac:dyDescent="0.2">
      <c r="A607" s="11" t="s">
        <v>1012</v>
      </c>
      <c r="B607" s="11" t="s">
        <v>1032</v>
      </c>
      <c r="C607" s="806" t="s">
        <v>1014</v>
      </c>
      <c r="D607" s="807"/>
      <c r="E607" s="11" t="s">
        <v>1009</v>
      </c>
      <c r="F607" s="12">
        <v>43</v>
      </c>
      <c r="G607" s="12">
        <v>61.88</v>
      </c>
      <c r="H607" s="12">
        <v>78.959999999999994</v>
      </c>
      <c r="I607" s="13">
        <f>F607*G607</f>
        <v>2660.84</v>
      </c>
      <c r="J607" s="13">
        <f>F607*H607</f>
        <v>3395.2799999999997</v>
      </c>
    </row>
    <row r="608" spans="1:10" s="1" customFormat="1" ht="25.5" customHeight="1" x14ac:dyDescent="0.2">
      <c r="A608" s="11" t="s">
        <v>1033</v>
      </c>
      <c r="B608" s="11" t="s">
        <v>1034</v>
      </c>
      <c r="C608" s="806" t="s">
        <v>1035</v>
      </c>
      <c r="D608" s="807"/>
      <c r="E608" s="11" t="s">
        <v>1009</v>
      </c>
      <c r="F608" s="12">
        <v>2</v>
      </c>
      <c r="G608" s="12">
        <v>25.37</v>
      </c>
      <c r="H608" s="12">
        <v>32.369999999999997</v>
      </c>
      <c r="I608" s="13">
        <f>F608*G608</f>
        <v>50.74</v>
      </c>
      <c r="J608" s="13">
        <f>F608*H608</f>
        <v>64.739999999999995</v>
      </c>
    </row>
    <row r="609" spans="1:11" s="1" customFormat="1" ht="25.5" customHeight="1" x14ac:dyDescent="0.2">
      <c r="A609" s="10">
        <v>72254</v>
      </c>
      <c r="B609" s="11" t="s">
        <v>1036</v>
      </c>
      <c r="C609" s="806" t="s">
        <v>1037</v>
      </c>
      <c r="D609" s="807"/>
      <c r="E609" s="11" t="s">
        <v>81</v>
      </c>
      <c r="F609" s="12">
        <v>75</v>
      </c>
      <c r="G609" s="12">
        <v>30.9</v>
      </c>
      <c r="H609" s="12">
        <v>39.43</v>
      </c>
      <c r="I609" s="13">
        <f>F609*G609</f>
        <v>2317.5</v>
      </c>
      <c r="J609" s="13">
        <f>F609*H609</f>
        <v>2957.25</v>
      </c>
    </row>
    <row r="610" spans="1:11" s="1" customFormat="1" ht="25.5" customHeight="1" x14ac:dyDescent="0.2">
      <c r="A610" s="8"/>
      <c r="B610" s="9" t="s">
        <v>1038</v>
      </c>
      <c r="C610" s="808" t="s">
        <v>1039</v>
      </c>
      <c r="D610" s="809"/>
      <c r="E610" s="8"/>
      <c r="F610" s="8"/>
      <c r="G610" s="8"/>
      <c r="H610" s="8"/>
      <c r="I610" s="8"/>
      <c r="J610" s="8"/>
    </row>
    <row r="611" spans="1:11" s="1" customFormat="1" ht="25.5" customHeight="1" x14ac:dyDescent="0.2">
      <c r="A611" s="11" t="s">
        <v>1040</v>
      </c>
      <c r="B611" s="11" t="s">
        <v>1041</v>
      </c>
      <c r="C611" s="806" t="s">
        <v>1042</v>
      </c>
      <c r="D611" s="807"/>
      <c r="E611" s="11" t="s">
        <v>1009</v>
      </c>
      <c r="F611" s="12">
        <v>2</v>
      </c>
      <c r="G611" s="12">
        <v>202.58</v>
      </c>
      <c r="H611" s="12">
        <v>258.47000000000003</v>
      </c>
      <c r="I611" s="13">
        <f>F611*G611</f>
        <v>405.16</v>
      </c>
      <c r="J611" s="13">
        <f>F611*H611</f>
        <v>516.94000000000005</v>
      </c>
    </row>
    <row r="612" spans="1:11" s="1" customFormat="1" ht="25.5" customHeight="1" x14ac:dyDescent="0.2">
      <c r="A612" s="8"/>
      <c r="B612" s="803" t="s">
        <v>1043</v>
      </c>
      <c r="C612" s="804"/>
      <c r="D612" s="804"/>
      <c r="E612" s="804"/>
      <c r="F612" s="804"/>
      <c r="G612" s="805"/>
      <c r="H612" s="8"/>
      <c r="I612" s="28">
        <f>SUM(I596:I611)</f>
        <v>17925.8</v>
      </c>
      <c r="J612" s="28">
        <f>SUM(J596:J611)</f>
        <v>22870.460000000003</v>
      </c>
    </row>
    <row r="613" spans="1:11" s="1" customFormat="1" ht="25.5" customHeight="1" x14ac:dyDescent="0.2">
      <c r="A613" s="8"/>
      <c r="B613" s="803" t="s">
        <v>1044</v>
      </c>
      <c r="C613" s="804"/>
      <c r="D613" s="804"/>
      <c r="E613" s="804"/>
      <c r="F613" s="804"/>
      <c r="G613" s="805"/>
      <c r="H613" s="8"/>
      <c r="I613" s="14">
        <f>SUM(I458,I462,I470,I475,I490,I506,I521,I535,I553,I562,I577,I585,I593,I612)-3.46</f>
        <v>112381.54000000001</v>
      </c>
      <c r="J613" s="15">
        <f>SUM(J458,J462,J470,J475,J490,J506,J521,J535,J553,J562,J577,J585,J593,J612)+30.4</f>
        <v>143387.61000000002</v>
      </c>
      <c r="K613" s="49"/>
    </row>
    <row r="614" spans="1:11" s="1" customFormat="1" ht="25.5" customHeight="1" x14ac:dyDescent="0.2">
      <c r="A614" s="8"/>
      <c r="B614" s="9" t="s">
        <v>1045</v>
      </c>
      <c r="C614" s="808" t="s">
        <v>1046</v>
      </c>
      <c r="D614" s="809"/>
      <c r="E614" s="8"/>
      <c r="F614" s="8"/>
      <c r="G614" s="8"/>
      <c r="H614" s="8"/>
      <c r="I614" s="8"/>
      <c r="J614" s="8"/>
    </row>
    <row r="615" spans="1:11" s="1" customFormat="1" ht="25.5" customHeight="1" x14ac:dyDescent="0.2">
      <c r="A615" s="8"/>
      <c r="B615" s="9" t="s">
        <v>1047</v>
      </c>
      <c r="C615" s="808" t="s">
        <v>1048</v>
      </c>
      <c r="D615" s="809"/>
      <c r="E615" s="8"/>
      <c r="F615" s="8"/>
      <c r="G615" s="8"/>
      <c r="H615" s="8"/>
      <c r="I615" s="8"/>
      <c r="J615" s="8"/>
    </row>
    <row r="616" spans="1:11" s="1" customFormat="1" ht="25.5" customHeight="1" x14ac:dyDescent="0.2">
      <c r="A616" s="10">
        <v>98302</v>
      </c>
      <c r="B616" s="21">
        <v>44562</v>
      </c>
      <c r="C616" s="806" t="s">
        <v>1049</v>
      </c>
      <c r="D616" s="807"/>
      <c r="E616" s="11" t="s">
        <v>102</v>
      </c>
      <c r="F616" s="12">
        <v>4</v>
      </c>
      <c r="G616" s="12">
        <v>683.89</v>
      </c>
      <c r="H616" s="12">
        <v>872.58</v>
      </c>
      <c r="I616" s="13">
        <f t="shared" ref="I616:I622" si="52">F616*G616</f>
        <v>2735.56</v>
      </c>
      <c r="J616" s="13">
        <f t="shared" ref="J616:J622" si="53">F616*H616</f>
        <v>3490.32</v>
      </c>
    </row>
    <row r="617" spans="1:11" s="1" customFormat="1" ht="25.5" customHeight="1" x14ac:dyDescent="0.2">
      <c r="A617" s="11" t="s">
        <v>308</v>
      </c>
      <c r="B617" s="21">
        <v>44563</v>
      </c>
      <c r="C617" s="806" t="s">
        <v>1050</v>
      </c>
      <c r="D617" s="807"/>
      <c r="E617" s="11" t="s">
        <v>102</v>
      </c>
      <c r="F617" s="12">
        <v>1</v>
      </c>
      <c r="G617" s="12">
        <v>159.38</v>
      </c>
      <c r="H617" s="12">
        <v>203.35</v>
      </c>
      <c r="I617" s="13">
        <f t="shared" si="52"/>
        <v>159.38</v>
      </c>
      <c r="J617" s="13">
        <f t="shared" si="53"/>
        <v>203.35</v>
      </c>
    </row>
    <row r="618" spans="1:11" s="1" customFormat="1" ht="25.5" customHeight="1" x14ac:dyDescent="0.2">
      <c r="A618" s="11" t="s">
        <v>1051</v>
      </c>
      <c r="B618" s="21">
        <v>44564</v>
      </c>
      <c r="C618" s="806" t="s">
        <v>1052</v>
      </c>
      <c r="D618" s="807"/>
      <c r="E618" s="11" t="s">
        <v>102</v>
      </c>
      <c r="F618" s="12">
        <v>6</v>
      </c>
      <c r="G618" s="12">
        <v>9.15</v>
      </c>
      <c r="H618" s="12">
        <v>11.68</v>
      </c>
      <c r="I618" s="13">
        <f t="shared" si="52"/>
        <v>54.900000000000006</v>
      </c>
      <c r="J618" s="13">
        <f t="shared" si="53"/>
        <v>70.08</v>
      </c>
    </row>
    <row r="619" spans="1:11" s="1" customFormat="1" ht="25.5" customHeight="1" x14ac:dyDescent="0.2">
      <c r="A619" s="11" t="s">
        <v>1051</v>
      </c>
      <c r="B619" s="21">
        <v>44565</v>
      </c>
      <c r="C619" s="806" t="s">
        <v>1053</v>
      </c>
      <c r="D619" s="807"/>
      <c r="E619" s="11" t="s">
        <v>102</v>
      </c>
      <c r="F619" s="12">
        <v>6</v>
      </c>
      <c r="G619" s="12">
        <v>9.15</v>
      </c>
      <c r="H619" s="12">
        <v>11.68</v>
      </c>
      <c r="I619" s="13">
        <f t="shared" si="52"/>
        <v>54.900000000000006</v>
      </c>
      <c r="J619" s="13">
        <f t="shared" si="53"/>
        <v>70.08</v>
      </c>
    </row>
    <row r="620" spans="1:11" s="1" customFormat="1" ht="25.5" customHeight="1" x14ac:dyDescent="0.2">
      <c r="A620" s="11" t="s">
        <v>308</v>
      </c>
      <c r="B620" s="21">
        <v>44566</v>
      </c>
      <c r="C620" s="806" t="s">
        <v>1054</v>
      </c>
      <c r="D620" s="807"/>
      <c r="E620" s="11" t="s">
        <v>102</v>
      </c>
      <c r="F620" s="12">
        <v>6</v>
      </c>
      <c r="G620" s="12">
        <v>84.99</v>
      </c>
      <c r="H620" s="12">
        <v>108.44</v>
      </c>
      <c r="I620" s="13">
        <f t="shared" si="52"/>
        <v>509.93999999999994</v>
      </c>
      <c r="J620" s="13">
        <f t="shared" si="53"/>
        <v>650.64</v>
      </c>
    </row>
    <row r="621" spans="1:11" s="1" customFormat="1" ht="25.5" customHeight="1" x14ac:dyDescent="0.2">
      <c r="A621" s="11" t="s">
        <v>1051</v>
      </c>
      <c r="B621" s="21">
        <v>44567</v>
      </c>
      <c r="C621" s="806" t="s">
        <v>1055</v>
      </c>
      <c r="D621" s="807"/>
      <c r="E621" s="11" t="s">
        <v>102</v>
      </c>
      <c r="F621" s="12">
        <v>2</v>
      </c>
      <c r="G621" s="12">
        <v>9.15</v>
      </c>
      <c r="H621" s="12">
        <v>11.68</v>
      </c>
      <c r="I621" s="13">
        <f t="shared" si="52"/>
        <v>18.3</v>
      </c>
      <c r="J621" s="13">
        <f t="shared" si="53"/>
        <v>23.36</v>
      </c>
    </row>
    <row r="622" spans="1:11" s="1" customFormat="1" ht="25.5" customHeight="1" x14ac:dyDescent="0.2">
      <c r="A622" s="11" t="s">
        <v>1051</v>
      </c>
      <c r="B622" s="21">
        <v>44568</v>
      </c>
      <c r="C622" s="806" t="s">
        <v>1056</v>
      </c>
      <c r="D622" s="807"/>
      <c r="E622" s="11" t="s">
        <v>102</v>
      </c>
      <c r="F622" s="12">
        <v>1</v>
      </c>
      <c r="G622" s="12">
        <v>9.15</v>
      </c>
      <c r="H622" s="12">
        <v>11.68</v>
      </c>
      <c r="I622" s="13">
        <f t="shared" si="52"/>
        <v>9.15</v>
      </c>
      <c r="J622" s="13">
        <f t="shared" si="53"/>
        <v>11.68</v>
      </c>
    </row>
    <row r="623" spans="1:11" s="1" customFormat="1" ht="25.5" customHeight="1" x14ac:dyDescent="0.2">
      <c r="A623" s="8"/>
      <c r="B623" s="9" t="s">
        <v>1057</v>
      </c>
      <c r="C623" s="808" t="s">
        <v>1058</v>
      </c>
      <c r="D623" s="809"/>
      <c r="E623" s="8"/>
      <c r="F623" s="8"/>
      <c r="G623" s="8"/>
      <c r="H623" s="8"/>
      <c r="I623" s="8"/>
      <c r="J623" s="8"/>
    </row>
    <row r="624" spans="1:11" s="1" customFormat="1" ht="25.5" customHeight="1" x14ac:dyDescent="0.2">
      <c r="A624" s="11" t="s">
        <v>308</v>
      </c>
      <c r="B624" s="21">
        <v>44593</v>
      </c>
      <c r="C624" s="806" t="s">
        <v>1059</v>
      </c>
      <c r="D624" s="807"/>
      <c r="E624" s="11" t="s">
        <v>81</v>
      </c>
      <c r="F624" s="12">
        <v>890</v>
      </c>
      <c r="G624" s="12">
        <v>2.84</v>
      </c>
      <c r="H624" s="12">
        <v>3.62</v>
      </c>
      <c r="I624" s="13">
        <f>F624*G624</f>
        <v>2527.6</v>
      </c>
      <c r="J624" s="13">
        <f>F624*H624</f>
        <v>3221.8</v>
      </c>
    </row>
    <row r="625" spans="1:10" s="1" customFormat="1" ht="25.5" customHeight="1" x14ac:dyDescent="0.2">
      <c r="A625" s="10">
        <v>98268</v>
      </c>
      <c r="B625" s="21">
        <v>44594</v>
      </c>
      <c r="C625" s="806" t="s">
        <v>1060</v>
      </c>
      <c r="D625" s="807"/>
      <c r="E625" s="11" t="s">
        <v>81</v>
      </c>
      <c r="F625" s="12">
        <v>8</v>
      </c>
      <c r="G625" s="12">
        <v>10.48</v>
      </c>
      <c r="H625" s="12">
        <v>13.37</v>
      </c>
      <c r="I625" s="13">
        <f>F625*G625</f>
        <v>83.84</v>
      </c>
      <c r="J625" s="13">
        <f>F625*H625</f>
        <v>106.96</v>
      </c>
    </row>
    <row r="626" spans="1:10" s="1" customFormat="1" ht="25.5" customHeight="1" x14ac:dyDescent="0.2">
      <c r="A626" s="8"/>
      <c r="B626" s="9" t="s">
        <v>1061</v>
      </c>
      <c r="C626" s="808" t="s">
        <v>1062</v>
      </c>
      <c r="D626" s="809"/>
      <c r="E626" s="8"/>
      <c r="F626" s="8"/>
      <c r="G626" s="8"/>
      <c r="H626" s="8"/>
      <c r="I626" s="8"/>
      <c r="J626" s="8"/>
    </row>
    <row r="627" spans="1:10" s="1" customFormat="1" ht="25.5" customHeight="1" x14ac:dyDescent="0.2">
      <c r="A627" s="10">
        <v>39606</v>
      </c>
      <c r="B627" s="21">
        <v>44621</v>
      </c>
      <c r="C627" s="806" t="s">
        <v>1063</v>
      </c>
      <c r="D627" s="807"/>
      <c r="E627" s="11" t="s">
        <v>102</v>
      </c>
      <c r="F627" s="12">
        <v>41</v>
      </c>
      <c r="G627" s="12">
        <v>24.43</v>
      </c>
      <c r="H627" s="12">
        <v>31.17</v>
      </c>
      <c r="I627" s="13">
        <f>F627*G627</f>
        <v>1001.63</v>
      </c>
      <c r="J627" s="13">
        <f>F627*H627</f>
        <v>1277.97</v>
      </c>
    </row>
    <row r="628" spans="1:10" s="1" customFormat="1" ht="25.5" customHeight="1" x14ac:dyDescent="0.2">
      <c r="A628" s="10">
        <v>39604</v>
      </c>
      <c r="B628" s="21">
        <v>44622</v>
      </c>
      <c r="C628" s="806" t="s">
        <v>1064</v>
      </c>
      <c r="D628" s="807"/>
      <c r="E628" s="11" t="s">
        <v>102</v>
      </c>
      <c r="F628" s="12">
        <v>48</v>
      </c>
      <c r="G628" s="12">
        <v>24.43</v>
      </c>
      <c r="H628" s="12">
        <v>31.17</v>
      </c>
      <c r="I628" s="13">
        <f>F628*G628</f>
        <v>1172.6399999999999</v>
      </c>
      <c r="J628" s="13">
        <f>F628*H628</f>
        <v>1496.16</v>
      </c>
    </row>
    <row r="629" spans="1:10" s="1" customFormat="1" ht="25.5" customHeight="1" x14ac:dyDescent="0.2">
      <c r="A629" s="11" t="s">
        <v>308</v>
      </c>
      <c r="B629" s="21">
        <v>44623</v>
      </c>
      <c r="C629" s="806" t="s">
        <v>1065</v>
      </c>
      <c r="D629" s="807"/>
      <c r="E629" s="11" t="s">
        <v>102</v>
      </c>
      <c r="F629" s="12">
        <v>35</v>
      </c>
      <c r="G629" s="12">
        <v>24.43</v>
      </c>
      <c r="H629" s="12">
        <v>31.17</v>
      </c>
      <c r="I629" s="13">
        <f>F629*G629</f>
        <v>855.05</v>
      </c>
      <c r="J629" s="13">
        <f>F629*H629</f>
        <v>1090.95</v>
      </c>
    </row>
    <row r="630" spans="1:10" s="1" customFormat="1" ht="25.5" customHeight="1" x14ac:dyDescent="0.2">
      <c r="A630" s="11" t="s">
        <v>308</v>
      </c>
      <c r="B630" s="21">
        <v>44624</v>
      </c>
      <c r="C630" s="806" t="s">
        <v>1066</v>
      </c>
      <c r="D630" s="807"/>
      <c r="E630" s="11" t="s">
        <v>102</v>
      </c>
      <c r="F630" s="12">
        <v>15</v>
      </c>
      <c r="G630" s="12">
        <v>24.43</v>
      </c>
      <c r="H630" s="12">
        <v>31.17</v>
      </c>
      <c r="I630" s="13">
        <f>F630*G630</f>
        <v>366.45</v>
      </c>
      <c r="J630" s="13">
        <f>F630*H630</f>
        <v>467.55</v>
      </c>
    </row>
    <row r="631" spans="1:10" s="1" customFormat="1" ht="25.5" customHeight="1" x14ac:dyDescent="0.2">
      <c r="A631" s="8"/>
      <c r="B631" s="9" t="s">
        <v>1067</v>
      </c>
      <c r="C631" s="808" t="s">
        <v>977</v>
      </c>
      <c r="D631" s="809"/>
      <c r="E631" s="8"/>
      <c r="F631" s="8"/>
      <c r="G631" s="8"/>
      <c r="H631" s="8"/>
      <c r="I631" s="8"/>
      <c r="J631" s="8"/>
    </row>
    <row r="632" spans="1:10" s="1" customFormat="1" ht="25.5" customHeight="1" x14ac:dyDescent="0.2">
      <c r="A632" s="11" t="s">
        <v>308</v>
      </c>
      <c r="B632" s="21">
        <v>44652</v>
      </c>
      <c r="C632" s="806" t="s">
        <v>1068</v>
      </c>
      <c r="D632" s="807"/>
      <c r="E632" s="11" t="s">
        <v>102</v>
      </c>
      <c r="F632" s="12">
        <v>41</v>
      </c>
      <c r="G632" s="12">
        <v>23.36</v>
      </c>
      <c r="H632" s="12">
        <v>29.81</v>
      </c>
      <c r="I632" s="13">
        <f>F632*G632</f>
        <v>957.76</v>
      </c>
      <c r="J632" s="13">
        <f>F632*H632</f>
        <v>1222.21</v>
      </c>
    </row>
    <row r="633" spans="1:10" s="1" customFormat="1" ht="25.5" customHeight="1" x14ac:dyDescent="0.2">
      <c r="A633" s="11" t="s">
        <v>308</v>
      </c>
      <c r="B633" s="21">
        <v>44653</v>
      </c>
      <c r="C633" s="806" t="s">
        <v>1069</v>
      </c>
      <c r="D633" s="807"/>
      <c r="E633" s="11" t="s">
        <v>102</v>
      </c>
      <c r="F633" s="12">
        <v>2</v>
      </c>
      <c r="G633" s="12">
        <v>3.6</v>
      </c>
      <c r="H633" s="12">
        <v>4.59</v>
      </c>
      <c r="I633" s="13">
        <f>F633*G633</f>
        <v>7.2</v>
      </c>
      <c r="J633" s="13">
        <f>F633*H633</f>
        <v>9.18</v>
      </c>
    </row>
    <row r="634" spans="1:10" s="1" customFormat="1" ht="25.5" customHeight="1" x14ac:dyDescent="0.2">
      <c r="A634" s="8"/>
      <c r="B634" s="9" t="s">
        <v>1070</v>
      </c>
      <c r="C634" s="808" t="s">
        <v>1071</v>
      </c>
      <c r="D634" s="809"/>
      <c r="E634" s="8"/>
      <c r="F634" s="8"/>
      <c r="G634" s="8"/>
      <c r="H634" s="8"/>
      <c r="I634" s="8"/>
      <c r="J634" s="8"/>
    </row>
    <row r="635" spans="1:10" s="1" customFormat="1" ht="25.5" customHeight="1" x14ac:dyDescent="0.2">
      <c r="A635" s="10">
        <v>2559</v>
      </c>
      <c r="B635" s="21">
        <v>44682</v>
      </c>
      <c r="C635" s="806" t="s">
        <v>1072</v>
      </c>
      <c r="D635" s="807"/>
      <c r="E635" s="11" t="s">
        <v>102</v>
      </c>
      <c r="F635" s="12">
        <v>2</v>
      </c>
      <c r="G635" s="12">
        <v>8.5</v>
      </c>
      <c r="H635" s="12">
        <v>10.85</v>
      </c>
      <c r="I635" s="13">
        <f t="shared" ref="I635:I642" si="54">F635*G635</f>
        <v>17</v>
      </c>
      <c r="J635" s="13">
        <f t="shared" ref="J635:J642" si="55">F635*H635</f>
        <v>21.7</v>
      </c>
    </row>
    <row r="636" spans="1:10" s="1" customFormat="1" ht="25.5" customHeight="1" x14ac:dyDescent="0.2">
      <c r="A636" s="11" t="s">
        <v>78</v>
      </c>
      <c r="B636" s="21">
        <v>44683</v>
      </c>
      <c r="C636" s="806" t="s">
        <v>1073</v>
      </c>
      <c r="D636" s="807"/>
      <c r="E636" s="11" t="s">
        <v>102</v>
      </c>
      <c r="F636" s="12">
        <v>1</v>
      </c>
      <c r="G636" s="12">
        <v>344.17</v>
      </c>
      <c r="H636" s="12">
        <v>439.13</v>
      </c>
      <c r="I636" s="13">
        <f t="shared" si="54"/>
        <v>344.17</v>
      </c>
      <c r="J636" s="13">
        <f t="shared" si="55"/>
        <v>439.13</v>
      </c>
    </row>
    <row r="637" spans="1:10" s="1" customFormat="1" ht="25.5" customHeight="1" x14ac:dyDescent="0.2">
      <c r="A637" s="11" t="s">
        <v>78</v>
      </c>
      <c r="B637" s="21">
        <v>44684</v>
      </c>
      <c r="C637" s="806" t="s">
        <v>1074</v>
      </c>
      <c r="D637" s="807"/>
      <c r="E637" s="11" t="s">
        <v>102</v>
      </c>
      <c r="F637" s="12">
        <v>2</v>
      </c>
      <c r="G637" s="12">
        <v>191.15</v>
      </c>
      <c r="H637" s="12">
        <v>243.89</v>
      </c>
      <c r="I637" s="13">
        <f t="shared" si="54"/>
        <v>382.3</v>
      </c>
      <c r="J637" s="13">
        <f t="shared" si="55"/>
        <v>487.78</v>
      </c>
    </row>
    <row r="638" spans="1:10" s="1" customFormat="1" ht="25.5" customHeight="1" x14ac:dyDescent="0.2">
      <c r="A638" s="11" t="s">
        <v>308</v>
      </c>
      <c r="B638" s="21">
        <v>44685</v>
      </c>
      <c r="C638" s="806" t="s">
        <v>1075</v>
      </c>
      <c r="D638" s="807"/>
      <c r="E638" s="11" t="s">
        <v>102</v>
      </c>
      <c r="F638" s="12">
        <v>1</v>
      </c>
      <c r="G638" s="12">
        <v>7.52</v>
      </c>
      <c r="H638" s="12">
        <v>9.59</v>
      </c>
      <c r="I638" s="13">
        <f t="shared" si="54"/>
        <v>7.52</v>
      </c>
      <c r="J638" s="13">
        <f t="shared" si="55"/>
        <v>9.59</v>
      </c>
    </row>
    <row r="639" spans="1:10" s="1" customFormat="1" ht="25.5" customHeight="1" x14ac:dyDescent="0.2">
      <c r="A639" s="11" t="s">
        <v>308</v>
      </c>
      <c r="B639" s="21">
        <v>44686</v>
      </c>
      <c r="C639" s="806" t="s">
        <v>1076</v>
      </c>
      <c r="D639" s="807"/>
      <c r="E639" s="11" t="s">
        <v>102</v>
      </c>
      <c r="F639" s="12">
        <v>13</v>
      </c>
      <c r="G639" s="12">
        <v>8.4</v>
      </c>
      <c r="H639" s="12">
        <v>10.72</v>
      </c>
      <c r="I639" s="13">
        <f t="shared" si="54"/>
        <v>109.2</v>
      </c>
      <c r="J639" s="13">
        <f t="shared" si="55"/>
        <v>139.36000000000001</v>
      </c>
    </row>
    <row r="640" spans="1:10" s="1" customFormat="1" ht="25.5" customHeight="1" x14ac:dyDescent="0.2">
      <c r="A640" s="11" t="s">
        <v>308</v>
      </c>
      <c r="B640" s="21">
        <v>44687</v>
      </c>
      <c r="C640" s="806" t="s">
        <v>1077</v>
      </c>
      <c r="D640" s="807"/>
      <c r="E640" s="11" t="s">
        <v>102</v>
      </c>
      <c r="F640" s="12">
        <v>1</v>
      </c>
      <c r="G640" s="12">
        <v>2.4900000000000002</v>
      </c>
      <c r="H640" s="12">
        <v>3.18</v>
      </c>
      <c r="I640" s="13">
        <f t="shared" si="54"/>
        <v>2.4900000000000002</v>
      </c>
      <c r="J640" s="13">
        <f t="shared" si="55"/>
        <v>3.18</v>
      </c>
    </row>
    <row r="641" spans="1:10" s="1" customFormat="1" ht="25.5" customHeight="1" x14ac:dyDescent="0.2">
      <c r="A641" s="11" t="s">
        <v>308</v>
      </c>
      <c r="B641" s="21">
        <v>44688</v>
      </c>
      <c r="C641" s="806" t="s">
        <v>1078</v>
      </c>
      <c r="D641" s="807"/>
      <c r="E641" s="11" t="s">
        <v>102</v>
      </c>
      <c r="F641" s="12">
        <v>1</v>
      </c>
      <c r="G641" s="12">
        <v>2.46</v>
      </c>
      <c r="H641" s="12">
        <v>3.14</v>
      </c>
      <c r="I641" s="13">
        <f t="shared" si="54"/>
        <v>2.46</v>
      </c>
      <c r="J641" s="13">
        <f t="shared" si="55"/>
        <v>3.14</v>
      </c>
    </row>
    <row r="642" spans="1:10" s="1" customFormat="1" ht="25.5" customHeight="1" x14ac:dyDescent="0.2">
      <c r="A642" s="11" t="s">
        <v>308</v>
      </c>
      <c r="B642" s="21">
        <v>44689</v>
      </c>
      <c r="C642" s="806" t="s">
        <v>1079</v>
      </c>
      <c r="D642" s="807"/>
      <c r="E642" s="11" t="s">
        <v>102</v>
      </c>
      <c r="F642" s="12">
        <v>14</v>
      </c>
      <c r="G642" s="12">
        <v>3.26</v>
      </c>
      <c r="H642" s="12">
        <v>4.16</v>
      </c>
      <c r="I642" s="13">
        <f t="shared" si="54"/>
        <v>45.64</v>
      </c>
      <c r="J642" s="13">
        <f t="shared" si="55"/>
        <v>58.24</v>
      </c>
    </row>
    <row r="643" spans="1:10" s="1" customFormat="1" ht="25.5" customHeight="1" x14ac:dyDescent="0.2">
      <c r="A643" s="8"/>
      <c r="B643" s="9" t="s">
        <v>1080</v>
      </c>
      <c r="C643" s="808" t="s">
        <v>856</v>
      </c>
      <c r="D643" s="809"/>
      <c r="E643" s="8"/>
      <c r="F643" s="8"/>
      <c r="G643" s="8"/>
      <c r="H643" s="8"/>
      <c r="I643" s="8"/>
      <c r="J643" s="8"/>
    </row>
    <row r="644" spans="1:10" s="1" customFormat="1" ht="25.5" customHeight="1" x14ac:dyDescent="0.2">
      <c r="A644" s="8"/>
      <c r="B644" s="46"/>
      <c r="C644" s="806" t="s">
        <v>1081</v>
      </c>
      <c r="D644" s="807"/>
      <c r="E644" s="8"/>
      <c r="F644" s="8"/>
      <c r="G644" s="8"/>
      <c r="H644" s="8"/>
      <c r="I644" s="8"/>
      <c r="J644" s="8"/>
    </row>
    <row r="645" spans="1:10" s="1" customFormat="1" ht="25.5" customHeight="1" x14ac:dyDescent="0.2">
      <c r="A645" s="11" t="s">
        <v>308</v>
      </c>
      <c r="B645" s="21">
        <v>44713</v>
      </c>
      <c r="C645" s="806" t="s">
        <v>1082</v>
      </c>
      <c r="D645" s="807"/>
      <c r="E645" s="11" t="s">
        <v>81</v>
      </c>
      <c r="F645" s="12">
        <v>1</v>
      </c>
      <c r="G645" s="12">
        <v>9.9499999999999993</v>
      </c>
      <c r="H645" s="12">
        <v>12.7</v>
      </c>
      <c r="I645" s="13">
        <f>F645*G645</f>
        <v>9.9499999999999993</v>
      </c>
      <c r="J645" s="13">
        <f>F645*H645</f>
        <v>12.7</v>
      </c>
    </row>
    <row r="646" spans="1:10" s="1" customFormat="1" ht="25.5" customHeight="1" x14ac:dyDescent="0.2">
      <c r="A646" s="11" t="s">
        <v>308</v>
      </c>
      <c r="B646" s="21">
        <v>44714</v>
      </c>
      <c r="C646" s="806" t="s">
        <v>1083</v>
      </c>
      <c r="D646" s="807"/>
      <c r="E646" s="11" t="s">
        <v>81</v>
      </c>
      <c r="F646" s="12">
        <v>70</v>
      </c>
      <c r="G646" s="12">
        <v>5.24</v>
      </c>
      <c r="H646" s="12">
        <v>6.69</v>
      </c>
      <c r="I646" s="13">
        <f>F646*G646</f>
        <v>366.8</v>
      </c>
      <c r="J646" s="13">
        <f>F646*H646</f>
        <v>468.3</v>
      </c>
    </row>
    <row r="647" spans="1:10" s="1" customFormat="1" ht="25.5" customHeight="1" x14ac:dyDescent="0.2">
      <c r="A647" s="8"/>
      <c r="B647" s="46"/>
      <c r="C647" s="806" t="s">
        <v>1084</v>
      </c>
      <c r="D647" s="807"/>
      <c r="E647" s="8"/>
      <c r="F647" s="8"/>
      <c r="G647" s="8"/>
      <c r="H647" s="8"/>
      <c r="I647" s="8"/>
      <c r="J647" s="8"/>
    </row>
    <row r="648" spans="1:10" s="1" customFormat="1" ht="25.5" customHeight="1" x14ac:dyDescent="0.2">
      <c r="A648" s="11" t="s">
        <v>308</v>
      </c>
      <c r="B648" s="21">
        <v>44715</v>
      </c>
      <c r="C648" s="806" t="s">
        <v>1083</v>
      </c>
      <c r="D648" s="807"/>
      <c r="E648" s="11" t="s">
        <v>81</v>
      </c>
      <c r="F648" s="12">
        <v>10</v>
      </c>
      <c r="G648" s="12">
        <v>12.83</v>
      </c>
      <c r="H648" s="12">
        <v>16.37</v>
      </c>
      <c r="I648" s="13">
        <f>F648*G648</f>
        <v>128.30000000000001</v>
      </c>
      <c r="J648" s="13">
        <f>F648*H648</f>
        <v>163.70000000000002</v>
      </c>
    </row>
    <row r="649" spans="1:10" s="1" customFormat="1" ht="25.5" customHeight="1" x14ac:dyDescent="0.2">
      <c r="A649" s="8"/>
      <c r="B649" s="46"/>
      <c r="C649" s="806" t="s">
        <v>1085</v>
      </c>
      <c r="D649" s="807"/>
      <c r="E649" s="8"/>
      <c r="F649" s="8"/>
      <c r="G649" s="8"/>
      <c r="H649" s="8"/>
      <c r="I649" s="8"/>
      <c r="J649" s="8"/>
    </row>
    <row r="650" spans="1:10" s="1" customFormat="1" ht="25.5" customHeight="1" x14ac:dyDescent="0.2">
      <c r="A650" s="11" t="s">
        <v>308</v>
      </c>
      <c r="B650" s="21">
        <v>44716</v>
      </c>
      <c r="C650" s="806" t="s">
        <v>1083</v>
      </c>
      <c r="D650" s="807"/>
      <c r="E650" s="11" t="s">
        <v>81</v>
      </c>
      <c r="F650" s="12">
        <v>45</v>
      </c>
      <c r="G650" s="12">
        <v>12.83</v>
      </c>
      <c r="H650" s="12">
        <v>16.37</v>
      </c>
      <c r="I650" s="13">
        <f>F650*G650</f>
        <v>577.35</v>
      </c>
      <c r="J650" s="13">
        <f>F650*H650</f>
        <v>736.65000000000009</v>
      </c>
    </row>
    <row r="651" spans="1:10" s="1" customFormat="1" ht="25.5" customHeight="1" x14ac:dyDescent="0.2">
      <c r="A651" s="8"/>
      <c r="B651" s="46"/>
      <c r="C651" s="806" t="s">
        <v>1086</v>
      </c>
      <c r="D651" s="807"/>
      <c r="E651" s="8"/>
      <c r="F651" s="8"/>
      <c r="G651" s="8"/>
      <c r="H651" s="8"/>
      <c r="I651" s="8"/>
      <c r="J651" s="8"/>
    </row>
    <row r="652" spans="1:10" s="1" customFormat="1" ht="25.5" customHeight="1" x14ac:dyDescent="0.2">
      <c r="A652" s="11" t="s">
        <v>308</v>
      </c>
      <c r="B652" s="21">
        <v>44717</v>
      </c>
      <c r="C652" s="806" t="s">
        <v>1087</v>
      </c>
      <c r="D652" s="807"/>
      <c r="E652" s="11" t="s">
        <v>81</v>
      </c>
      <c r="F652" s="12">
        <v>10</v>
      </c>
      <c r="G652" s="12">
        <v>6.65</v>
      </c>
      <c r="H652" s="12">
        <v>8.48</v>
      </c>
      <c r="I652" s="13">
        <f>F652*G652</f>
        <v>66.5</v>
      </c>
      <c r="J652" s="13">
        <f>F652*H652</f>
        <v>84.800000000000011</v>
      </c>
    </row>
    <row r="653" spans="1:10" s="1" customFormat="1" ht="25.5" customHeight="1" x14ac:dyDescent="0.2">
      <c r="A653" s="8"/>
      <c r="B653" s="46"/>
      <c r="C653" s="806" t="s">
        <v>1088</v>
      </c>
      <c r="D653" s="807"/>
      <c r="E653" s="8"/>
      <c r="F653" s="8"/>
      <c r="G653" s="8"/>
      <c r="H653" s="8"/>
      <c r="I653" s="8"/>
      <c r="J653" s="8"/>
    </row>
    <row r="654" spans="1:10" s="1" customFormat="1" ht="25.5" customHeight="1" x14ac:dyDescent="0.2">
      <c r="A654" s="11" t="s">
        <v>308</v>
      </c>
      <c r="B654" s="21">
        <v>44718</v>
      </c>
      <c r="C654" s="806" t="s">
        <v>1083</v>
      </c>
      <c r="D654" s="807"/>
      <c r="E654" s="11" t="s">
        <v>102</v>
      </c>
      <c r="F654" s="12">
        <v>75</v>
      </c>
      <c r="G654" s="12">
        <v>0.7</v>
      </c>
      <c r="H654" s="12">
        <v>0.89</v>
      </c>
      <c r="I654" s="13">
        <f t="shared" ref="I654:I659" si="56">F654*G654</f>
        <v>52.5</v>
      </c>
      <c r="J654" s="13">
        <f t="shared" ref="J654:J659" si="57">F654*H654</f>
        <v>66.75</v>
      </c>
    </row>
    <row r="655" spans="1:10" s="1" customFormat="1" ht="25.5" customHeight="1" x14ac:dyDescent="0.2">
      <c r="A655" s="11" t="s">
        <v>308</v>
      </c>
      <c r="B655" s="21">
        <v>44719</v>
      </c>
      <c r="C655" s="806" t="s">
        <v>1089</v>
      </c>
      <c r="D655" s="807"/>
      <c r="E655" s="11" t="s">
        <v>102</v>
      </c>
      <c r="F655" s="12">
        <v>75</v>
      </c>
      <c r="G655" s="12">
        <v>6.95</v>
      </c>
      <c r="H655" s="12">
        <v>8.8699999999999992</v>
      </c>
      <c r="I655" s="13">
        <f t="shared" si="56"/>
        <v>521.25</v>
      </c>
      <c r="J655" s="13">
        <f t="shared" si="57"/>
        <v>665.24999999999989</v>
      </c>
    </row>
    <row r="656" spans="1:10" s="1" customFormat="1" ht="25.5" customHeight="1" x14ac:dyDescent="0.2">
      <c r="A656" s="10">
        <v>4376</v>
      </c>
      <c r="B656" s="21">
        <v>44720</v>
      </c>
      <c r="C656" s="806" t="s">
        <v>1090</v>
      </c>
      <c r="D656" s="807"/>
      <c r="E656" s="11" t="s">
        <v>102</v>
      </c>
      <c r="F656" s="12">
        <v>75</v>
      </c>
      <c r="G656" s="12">
        <v>0.13</v>
      </c>
      <c r="H656" s="12">
        <v>0.17</v>
      </c>
      <c r="I656" s="13">
        <f t="shared" si="56"/>
        <v>9.75</v>
      </c>
      <c r="J656" s="13">
        <f t="shared" si="57"/>
        <v>12.750000000000002</v>
      </c>
    </row>
    <row r="657" spans="1:10" s="1" customFormat="1" ht="25.5" customHeight="1" x14ac:dyDescent="0.2">
      <c r="A657" s="11" t="s">
        <v>308</v>
      </c>
      <c r="B657" s="21">
        <v>44721</v>
      </c>
      <c r="C657" s="806" t="s">
        <v>1091</v>
      </c>
      <c r="D657" s="807"/>
      <c r="E657" s="11" t="s">
        <v>102</v>
      </c>
      <c r="F657" s="12">
        <v>75</v>
      </c>
      <c r="G657" s="12">
        <v>0.32</v>
      </c>
      <c r="H657" s="12">
        <v>0.41</v>
      </c>
      <c r="I657" s="13">
        <f t="shared" si="56"/>
        <v>24</v>
      </c>
      <c r="J657" s="13">
        <f t="shared" si="57"/>
        <v>30.749999999999996</v>
      </c>
    </row>
    <row r="658" spans="1:10" s="1" customFormat="1" ht="25.5" customHeight="1" x14ac:dyDescent="0.2">
      <c r="A658" s="11" t="s">
        <v>308</v>
      </c>
      <c r="B658" s="34">
        <v>40351</v>
      </c>
      <c r="C658" s="806" t="s">
        <v>1092</v>
      </c>
      <c r="D658" s="807"/>
      <c r="E658" s="11" t="s">
        <v>102</v>
      </c>
      <c r="F658" s="12">
        <v>75</v>
      </c>
      <c r="G658" s="12">
        <v>0.12</v>
      </c>
      <c r="H658" s="12">
        <v>0.15</v>
      </c>
      <c r="I658" s="13">
        <f t="shared" si="56"/>
        <v>9</v>
      </c>
      <c r="J658" s="13">
        <f t="shared" si="57"/>
        <v>11.25</v>
      </c>
    </row>
    <row r="659" spans="1:10" s="1" customFormat="1" ht="25.5" customHeight="1" x14ac:dyDescent="0.2">
      <c r="A659" s="11" t="s">
        <v>308</v>
      </c>
      <c r="B659" s="34">
        <v>40716</v>
      </c>
      <c r="C659" s="806" t="s">
        <v>1093</v>
      </c>
      <c r="D659" s="807"/>
      <c r="E659" s="11" t="s">
        <v>102</v>
      </c>
      <c r="F659" s="12">
        <v>100</v>
      </c>
      <c r="G659" s="12">
        <v>0.09</v>
      </c>
      <c r="H659" s="12">
        <v>0.11</v>
      </c>
      <c r="I659" s="13">
        <f t="shared" si="56"/>
        <v>9</v>
      </c>
      <c r="J659" s="13">
        <f t="shared" si="57"/>
        <v>11</v>
      </c>
    </row>
    <row r="660" spans="1:10" s="1" customFormat="1" ht="25.5" customHeight="1" x14ac:dyDescent="0.2">
      <c r="A660" s="8"/>
      <c r="B660" s="9" t="s">
        <v>1094</v>
      </c>
      <c r="C660" s="808" t="s">
        <v>1095</v>
      </c>
      <c r="D660" s="820"/>
      <c r="E660" s="820"/>
      <c r="F660" s="820"/>
      <c r="G660" s="820"/>
      <c r="H660" s="820"/>
      <c r="I660" s="809"/>
      <c r="J660" s="8"/>
    </row>
    <row r="661" spans="1:10" s="1" customFormat="1" ht="25.5" customHeight="1" x14ac:dyDescent="0.2">
      <c r="A661" s="11" t="s">
        <v>78</v>
      </c>
      <c r="B661" s="21">
        <v>44743</v>
      </c>
      <c r="C661" s="806" t="s">
        <v>1096</v>
      </c>
      <c r="D661" s="807"/>
      <c r="E661" s="11" t="s">
        <v>102</v>
      </c>
      <c r="F661" s="12">
        <v>12</v>
      </c>
      <c r="G661" s="12">
        <v>79.47</v>
      </c>
      <c r="H661" s="12">
        <v>101.4</v>
      </c>
      <c r="I661" s="13">
        <f t="shared" ref="I661:I675" si="58">F661*G661</f>
        <v>953.64</v>
      </c>
      <c r="J661" s="13">
        <f t="shared" ref="J661:J675" si="59">F661*H661</f>
        <v>1216.8000000000002</v>
      </c>
    </row>
    <row r="662" spans="1:10" s="1" customFormat="1" ht="25.5" customHeight="1" x14ac:dyDescent="0.2">
      <c r="A662" s="11" t="s">
        <v>308</v>
      </c>
      <c r="B662" s="21">
        <v>44744</v>
      </c>
      <c r="C662" s="806" t="s">
        <v>1097</v>
      </c>
      <c r="D662" s="807"/>
      <c r="E662" s="11" t="s">
        <v>102</v>
      </c>
      <c r="F662" s="12">
        <v>6</v>
      </c>
      <c r="G662" s="12">
        <v>20.45</v>
      </c>
      <c r="H662" s="12">
        <v>26.09</v>
      </c>
      <c r="I662" s="13">
        <f t="shared" si="58"/>
        <v>122.69999999999999</v>
      </c>
      <c r="J662" s="13">
        <f t="shared" si="59"/>
        <v>156.54</v>
      </c>
    </row>
    <row r="663" spans="1:10" s="1" customFormat="1" ht="25.5" customHeight="1" x14ac:dyDescent="0.2">
      <c r="A663" s="11" t="s">
        <v>308</v>
      </c>
      <c r="B663" s="21">
        <v>44745</v>
      </c>
      <c r="C663" s="806" t="s">
        <v>1098</v>
      </c>
      <c r="D663" s="807"/>
      <c r="E663" s="11" t="s">
        <v>102</v>
      </c>
      <c r="F663" s="12">
        <v>1</v>
      </c>
      <c r="G663" s="12">
        <v>33.450000000000003</v>
      </c>
      <c r="H663" s="12">
        <v>42.68</v>
      </c>
      <c r="I663" s="13">
        <f t="shared" si="58"/>
        <v>33.450000000000003</v>
      </c>
      <c r="J663" s="13">
        <f t="shared" si="59"/>
        <v>42.68</v>
      </c>
    </row>
    <row r="664" spans="1:10" s="1" customFormat="1" ht="25.5" customHeight="1" x14ac:dyDescent="0.2">
      <c r="A664" s="11" t="s">
        <v>308</v>
      </c>
      <c r="B664" s="21">
        <v>44746</v>
      </c>
      <c r="C664" s="806" t="s">
        <v>1099</v>
      </c>
      <c r="D664" s="807"/>
      <c r="E664" s="11" t="s">
        <v>102</v>
      </c>
      <c r="F664" s="12">
        <v>2</v>
      </c>
      <c r="G664" s="12">
        <v>23.95</v>
      </c>
      <c r="H664" s="12">
        <v>30.56</v>
      </c>
      <c r="I664" s="13">
        <f t="shared" si="58"/>
        <v>47.9</v>
      </c>
      <c r="J664" s="13">
        <f t="shared" si="59"/>
        <v>61.12</v>
      </c>
    </row>
    <row r="665" spans="1:10" s="1" customFormat="1" ht="25.5" customHeight="1" x14ac:dyDescent="0.2">
      <c r="A665" s="11" t="s">
        <v>308</v>
      </c>
      <c r="B665" s="21">
        <v>44747</v>
      </c>
      <c r="C665" s="806" t="s">
        <v>1100</v>
      </c>
      <c r="D665" s="807"/>
      <c r="E665" s="11" t="s">
        <v>102</v>
      </c>
      <c r="F665" s="12">
        <v>15</v>
      </c>
      <c r="G665" s="12">
        <v>8.93</v>
      </c>
      <c r="H665" s="12">
        <v>11.39</v>
      </c>
      <c r="I665" s="13">
        <f t="shared" si="58"/>
        <v>133.94999999999999</v>
      </c>
      <c r="J665" s="13">
        <f t="shared" si="59"/>
        <v>170.85000000000002</v>
      </c>
    </row>
    <row r="666" spans="1:10" s="1" customFormat="1" ht="25.5" customHeight="1" x14ac:dyDescent="0.2">
      <c r="A666" s="11" t="s">
        <v>308</v>
      </c>
      <c r="B666" s="21">
        <v>44748</v>
      </c>
      <c r="C666" s="806" t="s">
        <v>1101</v>
      </c>
      <c r="D666" s="807"/>
      <c r="E666" s="11" t="s">
        <v>102</v>
      </c>
      <c r="F666" s="12">
        <v>4</v>
      </c>
      <c r="G666" s="12">
        <v>8.1300000000000008</v>
      </c>
      <c r="H666" s="12">
        <v>10.37</v>
      </c>
      <c r="I666" s="13">
        <f t="shared" si="58"/>
        <v>32.520000000000003</v>
      </c>
      <c r="J666" s="13">
        <f t="shared" si="59"/>
        <v>41.48</v>
      </c>
    </row>
    <row r="667" spans="1:10" s="1" customFormat="1" ht="25.5" customHeight="1" x14ac:dyDescent="0.2">
      <c r="A667" s="10">
        <v>89563</v>
      </c>
      <c r="B667" s="21">
        <v>44749</v>
      </c>
      <c r="C667" s="806" t="s">
        <v>1102</v>
      </c>
      <c r="D667" s="807"/>
      <c r="E667" s="11" t="s">
        <v>102</v>
      </c>
      <c r="F667" s="12">
        <v>40</v>
      </c>
      <c r="G667" s="12">
        <v>14.21</v>
      </c>
      <c r="H667" s="12">
        <v>18.13</v>
      </c>
      <c r="I667" s="13">
        <f t="shared" si="58"/>
        <v>568.40000000000009</v>
      </c>
      <c r="J667" s="13">
        <f t="shared" si="59"/>
        <v>725.19999999999993</v>
      </c>
    </row>
    <row r="668" spans="1:10" s="1" customFormat="1" ht="25.5" customHeight="1" x14ac:dyDescent="0.2">
      <c r="A668" s="11" t="s">
        <v>308</v>
      </c>
      <c r="B668" s="21">
        <v>44750</v>
      </c>
      <c r="C668" s="806" t="s">
        <v>1103</v>
      </c>
      <c r="D668" s="807"/>
      <c r="E668" s="11" t="s">
        <v>102</v>
      </c>
      <c r="F668" s="12">
        <v>20</v>
      </c>
      <c r="G668" s="12">
        <v>33.74</v>
      </c>
      <c r="H668" s="12">
        <v>43.05</v>
      </c>
      <c r="I668" s="13">
        <f t="shared" si="58"/>
        <v>674.80000000000007</v>
      </c>
      <c r="J668" s="13">
        <f t="shared" si="59"/>
        <v>861</v>
      </c>
    </row>
    <row r="669" spans="1:10" s="1" customFormat="1" ht="25.5" customHeight="1" x14ac:dyDescent="0.2">
      <c r="A669" s="11" t="s">
        <v>308</v>
      </c>
      <c r="B669" s="21">
        <v>44751</v>
      </c>
      <c r="C669" s="806" t="s">
        <v>1104</v>
      </c>
      <c r="D669" s="807"/>
      <c r="E669" s="11" t="s">
        <v>102</v>
      </c>
      <c r="F669" s="12">
        <v>25</v>
      </c>
      <c r="G669" s="12">
        <v>0.17</v>
      </c>
      <c r="H669" s="12">
        <v>0.22</v>
      </c>
      <c r="I669" s="13">
        <f t="shared" si="58"/>
        <v>4.25</v>
      </c>
      <c r="J669" s="13">
        <f t="shared" si="59"/>
        <v>5.5</v>
      </c>
    </row>
    <row r="670" spans="1:10" s="1" customFormat="1" ht="25.5" customHeight="1" x14ac:dyDescent="0.2">
      <c r="A670" s="11" t="s">
        <v>308</v>
      </c>
      <c r="B670" s="34">
        <v>40381</v>
      </c>
      <c r="C670" s="806" t="s">
        <v>1105</v>
      </c>
      <c r="D670" s="807"/>
      <c r="E670" s="11" t="s">
        <v>102</v>
      </c>
      <c r="F670" s="12">
        <v>160</v>
      </c>
      <c r="G670" s="12">
        <v>0.19</v>
      </c>
      <c r="H670" s="12">
        <v>0.24</v>
      </c>
      <c r="I670" s="13">
        <f t="shared" si="58"/>
        <v>30.4</v>
      </c>
      <c r="J670" s="13">
        <f t="shared" si="59"/>
        <v>38.4</v>
      </c>
    </row>
    <row r="671" spans="1:10" s="1" customFormat="1" ht="25.5" customHeight="1" x14ac:dyDescent="0.2">
      <c r="A671" s="11" t="s">
        <v>308</v>
      </c>
      <c r="B671" s="34">
        <v>40746</v>
      </c>
      <c r="C671" s="806" t="s">
        <v>1106</v>
      </c>
      <c r="D671" s="807"/>
      <c r="E671" s="11" t="s">
        <v>102</v>
      </c>
      <c r="F671" s="12">
        <v>3</v>
      </c>
      <c r="G671" s="12">
        <v>1.69</v>
      </c>
      <c r="H671" s="12">
        <v>2.16</v>
      </c>
      <c r="I671" s="13">
        <f t="shared" si="58"/>
        <v>5.07</v>
      </c>
      <c r="J671" s="13">
        <f t="shared" si="59"/>
        <v>6.48</v>
      </c>
    </row>
    <row r="672" spans="1:10" s="1" customFormat="1" ht="25.5" customHeight="1" x14ac:dyDescent="0.2">
      <c r="A672" s="11" t="s">
        <v>308</v>
      </c>
      <c r="B672" s="34">
        <v>41112</v>
      </c>
      <c r="C672" s="806" t="s">
        <v>1107</v>
      </c>
      <c r="D672" s="807"/>
      <c r="E672" s="11" t="s">
        <v>102</v>
      </c>
      <c r="F672" s="12">
        <v>25</v>
      </c>
      <c r="G672" s="12">
        <v>1.54</v>
      </c>
      <c r="H672" s="12">
        <v>1.96</v>
      </c>
      <c r="I672" s="13">
        <f t="shared" si="58"/>
        <v>38.5</v>
      </c>
      <c r="J672" s="13">
        <f t="shared" si="59"/>
        <v>49</v>
      </c>
    </row>
    <row r="673" spans="1:10" s="1" customFormat="1" ht="25.5" customHeight="1" x14ac:dyDescent="0.2">
      <c r="A673" s="11" t="s">
        <v>308</v>
      </c>
      <c r="B673" s="34">
        <v>41477</v>
      </c>
      <c r="C673" s="806" t="s">
        <v>1108</v>
      </c>
      <c r="D673" s="807"/>
      <c r="E673" s="11" t="s">
        <v>102</v>
      </c>
      <c r="F673" s="12">
        <v>3</v>
      </c>
      <c r="G673" s="12">
        <v>12.98</v>
      </c>
      <c r="H673" s="12">
        <v>16.559999999999999</v>
      </c>
      <c r="I673" s="13">
        <f t="shared" si="58"/>
        <v>38.94</v>
      </c>
      <c r="J673" s="13">
        <f t="shared" si="59"/>
        <v>49.679999999999993</v>
      </c>
    </row>
    <row r="674" spans="1:10" s="1" customFormat="1" ht="25.5" customHeight="1" x14ac:dyDescent="0.2">
      <c r="A674" s="11" t="s">
        <v>308</v>
      </c>
      <c r="B674" s="34">
        <v>41842</v>
      </c>
      <c r="C674" s="806" t="s">
        <v>1109</v>
      </c>
      <c r="D674" s="807"/>
      <c r="E674" s="11" t="s">
        <v>102</v>
      </c>
      <c r="F674" s="12">
        <v>300</v>
      </c>
      <c r="G674" s="12">
        <v>0.09</v>
      </c>
      <c r="H674" s="12">
        <v>0.11</v>
      </c>
      <c r="I674" s="13">
        <f t="shared" si="58"/>
        <v>27</v>
      </c>
      <c r="J674" s="13">
        <f t="shared" si="59"/>
        <v>33</v>
      </c>
    </row>
    <row r="675" spans="1:10" s="1" customFormat="1" ht="25.5" customHeight="1" x14ac:dyDescent="0.2">
      <c r="A675" s="11" t="s">
        <v>308</v>
      </c>
      <c r="B675" s="34">
        <v>42207</v>
      </c>
      <c r="C675" s="806" t="s">
        <v>1110</v>
      </c>
      <c r="D675" s="807"/>
      <c r="E675" s="11" t="s">
        <v>102</v>
      </c>
      <c r="F675" s="12">
        <v>15</v>
      </c>
      <c r="G675" s="12">
        <v>12.18</v>
      </c>
      <c r="H675" s="12">
        <v>15.54</v>
      </c>
      <c r="I675" s="13">
        <f t="shared" si="58"/>
        <v>182.7</v>
      </c>
      <c r="J675" s="13">
        <f t="shared" si="59"/>
        <v>233.1</v>
      </c>
    </row>
    <row r="676" spans="1:10" s="1" customFormat="1" ht="25.5" customHeight="1" x14ac:dyDescent="0.2">
      <c r="A676" s="8"/>
      <c r="B676" s="11" t="s">
        <v>1111</v>
      </c>
      <c r="C676" s="808" t="s">
        <v>1112</v>
      </c>
      <c r="D676" s="809"/>
      <c r="E676" s="8"/>
      <c r="F676" s="8"/>
      <c r="G676" s="8"/>
      <c r="H676" s="8"/>
      <c r="I676" s="8"/>
      <c r="J676" s="8"/>
    </row>
    <row r="677" spans="1:10" s="1" customFormat="1" ht="25.5" customHeight="1" x14ac:dyDescent="0.2">
      <c r="A677" s="11" t="s">
        <v>308</v>
      </c>
      <c r="B677" s="21">
        <v>44774</v>
      </c>
      <c r="C677" s="806" t="s">
        <v>1113</v>
      </c>
      <c r="D677" s="807"/>
      <c r="E677" s="11" t="s">
        <v>102</v>
      </c>
      <c r="F677" s="12">
        <v>10</v>
      </c>
      <c r="G677" s="12">
        <v>26.9</v>
      </c>
      <c r="H677" s="12">
        <v>34.32</v>
      </c>
      <c r="I677" s="13">
        <f t="shared" ref="I677:I683" si="60">F677*G677</f>
        <v>269</v>
      </c>
      <c r="J677" s="13">
        <f t="shared" ref="J677:J683" si="61">F677*H677</f>
        <v>343.2</v>
      </c>
    </row>
    <row r="678" spans="1:10" s="1" customFormat="1" ht="25.5" customHeight="1" x14ac:dyDescent="0.2">
      <c r="A678" s="11" t="s">
        <v>308</v>
      </c>
      <c r="B678" s="21">
        <v>44775</v>
      </c>
      <c r="C678" s="806" t="s">
        <v>1114</v>
      </c>
      <c r="D678" s="807"/>
      <c r="E678" s="11" t="s">
        <v>102</v>
      </c>
      <c r="F678" s="12">
        <v>10</v>
      </c>
      <c r="G678" s="12">
        <v>15.67</v>
      </c>
      <c r="H678" s="12">
        <v>19.989999999999998</v>
      </c>
      <c r="I678" s="13">
        <f t="shared" si="60"/>
        <v>156.69999999999999</v>
      </c>
      <c r="J678" s="13">
        <f t="shared" si="61"/>
        <v>199.89999999999998</v>
      </c>
    </row>
    <row r="679" spans="1:10" s="1" customFormat="1" ht="25.5" customHeight="1" x14ac:dyDescent="0.2">
      <c r="A679" s="11" t="s">
        <v>308</v>
      </c>
      <c r="B679" s="21">
        <v>44776</v>
      </c>
      <c r="C679" s="806" t="s">
        <v>1115</v>
      </c>
      <c r="D679" s="807"/>
      <c r="E679" s="11" t="s">
        <v>102</v>
      </c>
      <c r="F679" s="12">
        <v>20</v>
      </c>
      <c r="G679" s="12">
        <v>5.57</v>
      </c>
      <c r="H679" s="12">
        <v>7.11</v>
      </c>
      <c r="I679" s="13">
        <f t="shared" si="60"/>
        <v>111.4</v>
      </c>
      <c r="J679" s="13">
        <f t="shared" si="61"/>
        <v>142.20000000000002</v>
      </c>
    </row>
    <row r="680" spans="1:10" s="1" customFormat="1" ht="25.5" customHeight="1" x14ac:dyDescent="0.2">
      <c r="A680" s="11" t="s">
        <v>308</v>
      </c>
      <c r="B680" s="21">
        <v>44777</v>
      </c>
      <c r="C680" s="806" t="s">
        <v>1116</v>
      </c>
      <c r="D680" s="807"/>
      <c r="E680" s="11" t="s">
        <v>102</v>
      </c>
      <c r="F680" s="12">
        <v>2</v>
      </c>
      <c r="G680" s="12">
        <v>7.1</v>
      </c>
      <c r="H680" s="12">
        <v>9.06</v>
      </c>
      <c r="I680" s="13">
        <f t="shared" si="60"/>
        <v>14.2</v>
      </c>
      <c r="J680" s="13">
        <f t="shared" si="61"/>
        <v>18.12</v>
      </c>
    </row>
    <row r="681" spans="1:10" s="1" customFormat="1" ht="25.5" customHeight="1" x14ac:dyDescent="0.2">
      <c r="A681" s="11" t="s">
        <v>308</v>
      </c>
      <c r="B681" s="21">
        <v>44778</v>
      </c>
      <c r="C681" s="806" t="s">
        <v>1117</v>
      </c>
      <c r="D681" s="807"/>
      <c r="E681" s="11" t="s">
        <v>102</v>
      </c>
      <c r="F681" s="12">
        <v>40</v>
      </c>
      <c r="G681" s="12">
        <v>1.72</v>
      </c>
      <c r="H681" s="12">
        <v>2.19</v>
      </c>
      <c r="I681" s="13">
        <f t="shared" si="60"/>
        <v>68.8</v>
      </c>
      <c r="J681" s="13">
        <f t="shared" si="61"/>
        <v>87.6</v>
      </c>
    </row>
    <row r="682" spans="1:10" s="1" customFormat="1" ht="25.5" customHeight="1" x14ac:dyDescent="0.2">
      <c r="A682" s="11" t="s">
        <v>308</v>
      </c>
      <c r="B682" s="21">
        <v>44779</v>
      </c>
      <c r="C682" s="806" t="s">
        <v>1118</v>
      </c>
      <c r="D682" s="807"/>
      <c r="E682" s="11" t="s">
        <v>102</v>
      </c>
      <c r="F682" s="12">
        <v>4</v>
      </c>
      <c r="G682" s="12">
        <v>2.33</v>
      </c>
      <c r="H682" s="12">
        <v>2.97</v>
      </c>
      <c r="I682" s="13">
        <f t="shared" si="60"/>
        <v>9.32</v>
      </c>
      <c r="J682" s="13">
        <f t="shared" si="61"/>
        <v>11.88</v>
      </c>
    </row>
    <row r="683" spans="1:10" s="1" customFormat="1" ht="25.5" customHeight="1" x14ac:dyDescent="0.2">
      <c r="A683" s="11" t="s">
        <v>308</v>
      </c>
      <c r="B683" s="21">
        <v>44780</v>
      </c>
      <c r="C683" s="806" t="s">
        <v>1119</v>
      </c>
      <c r="D683" s="807"/>
      <c r="E683" s="11" t="s">
        <v>102</v>
      </c>
      <c r="F683" s="12">
        <v>7</v>
      </c>
      <c r="G683" s="12">
        <v>4.74</v>
      </c>
      <c r="H683" s="12">
        <v>6.05</v>
      </c>
      <c r="I683" s="13">
        <f t="shared" si="60"/>
        <v>33.18</v>
      </c>
      <c r="J683" s="13">
        <f t="shared" si="61"/>
        <v>42.35</v>
      </c>
    </row>
    <row r="684" spans="1:10" s="1" customFormat="1" ht="25.5" customHeight="1" x14ac:dyDescent="0.2">
      <c r="A684" s="8"/>
      <c r="B684" s="11" t="s">
        <v>1120</v>
      </c>
      <c r="C684" s="808" t="s">
        <v>1121</v>
      </c>
      <c r="D684" s="809"/>
      <c r="E684" s="8"/>
      <c r="F684" s="8"/>
      <c r="G684" s="8"/>
      <c r="H684" s="8"/>
      <c r="I684" s="8"/>
      <c r="J684" s="8"/>
    </row>
    <row r="685" spans="1:10" s="1" customFormat="1" ht="25.5" customHeight="1" x14ac:dyDescent="0.2">
      <c r="A685" s="11" t="s">
        <v>308</v>
      </c>
      <c r="B685" s="21">
        <v>44805</v>
      </c>
      <c r="C685" s="806" t="s">
        <v>1122</v>
      </c>
      <c r="D685" s="807"/>
      <c r="E685" s="11" t="s">
        <v>102</v>
      </c>
      <c r="F685" s="12">
        <v>41</v>
      </c>
      <c r="G685" s="12">
        <v>11.01</v>
      </c>
      <c r="H685" s="12">
        <v>14.05</v>
      </c>
      <c r="I685" s="13">
        <f>F685*G685</f>
        <v>451.40999999999997</v>
      </c>
      <c r="J685" s="13">
        <f>F685*H685</f>
        <v>576.05000000000007</v>
      </c>
    </row>
    <row r="686" spans="1:10" s="1" customFormat="1" ht="25.5" customHeight="1" x14ac:dyDescent="0.2">
      <c r="A686" s="8"/>
      <c r="B686" s="803" t="s">
        <v>1123</v>
      </c>
      <c r="C686" s="804"/>
      <c r="D686" s="804"/>
      <c r="E686" s="804"/>
      <c r="F686" s="804"/>
      <c r="G686" s="805"/>
      <c r="H686" s="8"/>
      <c r="I686" s="14">
        <f>SUM(I661:I685,I616:I659)+0.05</f>
        <v>17207.759999999995</v>
      </c>
      <c r="J686" s="15">
        <f>SUM(J661:J685,J616:J659)-0.06</f>
        <v>21950.38</v>
      </c>
    </row>
    <row r="687" spans="1:10" s="1" customFormat="1" ht="25.5" customHeight="1" x14ac:dyDescent="0.2">
      <c r="A687" s="8"/>
      <c r="B687" s="9" t="s">
        <v>1124</v>
      </c>
      <c r="C687" s="808" t="s">
        <v>1125</v>
      </c>
      <c r="D687" s="809"/>
      <c r="E687" s="8"/>
      <c r="F687" s="8"/>
      <c r="G687" s="8"/>
      <c r="H687" s="8"/>
      <c r="I687" s="8"/>
      <c r="J687" s="8"/>
    </row>
    <row r="688" spans="1:10" s="1" customFormat="1" ht="25.5" customHeight="1" x14ac:dyDescent="0.2">
      <c r="A688" s="8"/>
      <c r="B688" s="9" t="s">
        <v>1126</v>
      </c>
      <c r="C688" s="808" t="s">
        <v>684</v>
      </c>
      <c r="D688" s="809"/>
      <c r="E688" s="8"/>
      <c r="F688" s="8"/>
      <c r="G688" s="8"/>
      <c r="H688" s="8"/>
      <c r="I688" s="8"/>
      <c r="J688" s="8"/>
    </row>
    <row r="689" spans="1:10" s="1" customFormat="1" ht="25.5" customHeight="1" x14ac:dyDescent="0.2">
      <c r="A689" s="11" t="s">
        <v>308</v>
      </c>
      <c r="B689" s="21">
        <v>44927</v>
      </c>
      <c r="C689" s="806" t="s">
        <v>1127</v>
      </c>
      <c r="D689" s="807"/>
      <c r="E689" s="11" t="s">
        <v>102</v>
      </c>
      <c r="F689" s="12">
        <v>1</v>
      </c>
      <c r="G689" s="12">
        <v>419.11</v>
      </c>
      <c r="H689" s="12">
        <v>534.74</v>
      </c>
      <c r="I689" s="13">
        <f>F689*G689</f>
        <v>419.11</v>
      </c>
      <c r="J689" s="13">
        <f>F689*H689</f>
        <v>534.74</v>
      </c>
    </row>
    <row r="690" spans="1:10" s="1" customFormat="1" ht="25.5" customHeight="1" x14ac:dyDescent="0.2">
      <c r="A690" s="11" t="s">
        <v>308</v>
      </c>
      <c r="B690" s="21">
        <v>44928</v>
      </c>
      <c r="C690" s="806" t="s">
        <v>1128</v>
      </c>
      <c r="D690" s="807"/>
      <c r="E690" s="11" t="s">
        <v>102</v>
      </c>
      <c r="F690" s="12">
        <v>1</v>
      </c>
      <c r="G690" s="12">
        <v>385</v>
      </c>
      <c r="H690" s="12">
        <v>491.22</v>
      </c>
      <c r="I690" s="13">
        <f>F690*G690</f>
        <v>385</v>
      </c>
      <c r="J690" s="13">
        <f>F690*H690</f>
        <v>491.22</v>
      </c>
    </row>
    <row r="691" spans="1:10" s="1" customFormat="1" ht="25.5" customHeight="1" x14ac:dyDescent="0.2">
      <c r="A691" s="11" t="s">
        <v>308</v>
      </c>
      <c r="B691" s="21">
        <v>44929</v>
      </c>
      <c r="C691" s="806" t="s">
        <v>1129</v>
      </c>
      <c r="D691" s="807"/>
      <c r="E691" s="11" t="s">
        <v>102</v>
      </c>
      <c r="F691" s="12">
        <v>1</v>
      </c>
      <c r="G691" s="12">
        <v>250</v>
      </c>
      <c r="H691" s="12">
        <v>318.98</v>
      </c>
      <c r="I691" s="13">
        <f>F691*G691</f>
        <v>250</v>
      </c>
      <c r="J691" s="13">
        <f>F691*H691</f>
        <v>318.98</v>
      </c>
    </row>
    <row r="692" spans="1:10" s="1" customFormat="1" ht="25.5" customHeight="1" x14ac:dyDescent="0.2">
      <c r="A692" s="8"/>
      <c r="B692" s="803" t="s">
        <v>1130</v>
      </c>
      <c r="C692" s="804"/>
      <c r="D692" s="804"/>
      <c r="E692" s="804"/>
      <c r="F692" s="804"/>
      <c r="G692" s="805"/>
      <c r="H692" s="8"/>
      <c r="I692" s="18">
        <f>SUM(I689:I691)</f>
        <v>1054.1100000000001</v>
      </c>
      <c r="J692" s="18">
        <f>SUM(J689:J691)</f>
        <v>1344.94</v>
      </c>
    </row>
    <row r="693" spans="1:10" s="1" customFormat="1" ht="25.5" customHeight="1" x14ac:dyDescent="0.2">
      <c r="A693" s="8"/>
      <c r="B693" s="9" t="s">
        <v>1131</v>
      </c>
      <c r="C693" s="808" t="s">
        <v>1132</v>
      </c>
      <c r="D693" s="809"/>
      <c r="E693" s="8"/>
      <c r="F693" s="8"/>
      <c r="G693" s="8"/>
      <c r="H693" s="8"/>
      <c r="I693" s="8"/>
      <c r="J693" s="8"/>
    </row>
    <row r="694" spans="1:10" s="1" customFormat="1" ht="25.5" customHeight="1" x14ac:dyDescent="0.2">
      <c r="A694" s="8"/>
      <c r="B694" s="23">
        <v>44958</v>
      </c>
      <c r="C694" s="808" t="s">
        <v>1133</v>
      </c>
      <c r="D694" s="809"/>
      <c r="E694" s="8"/>
      <c r="F694" s="8"/>
      <c r="G694" s="8"/>
      <c r="H694" s="8"/>
      <c r="I694" s="8"/>
      <c r="J694" s="8"/>
    </row>
    <row r="695" spans="1:10" s="1" customFormat="1" ht="25.5" customHeight="1" x14ac:dyDescent="0.2">
      <c r="A695" s="11" t="s">
        <v>308</v>
      </c>
      <c r="B695" s="11" t="s">
        <v>1134</v>
      </c>
      <c r="C695" s="806" t="s">
        <v>1175</v>
      </c>
      <c r="D695" s="807"/>
      <c r="E695" s="11" t="s">
        <v>35</v>
      </c>
      <c r="F695" s="12">
        <v>8</v>
      </c>
      <c r="G695" s="12">
        <v>15.25</v>
      </c>
      <c r="H695" s="12">
        <v>19.46</v>
      </c>
      <c r="I695" s="13">
        <f t="shared" ref="I695:I700" si="62">F695*G695</f>
        <v>122</v>
      </c>
      <c r="J695" s="13">
        <f t="shared" ref="J695:J700" si="63">F695*H695</f>
        <v>155.68</v>
      </c>
    </row>
    <row r="696" spans="1:10" s="1" customFormat="1" ht="25.5" customHeight="1" x14ac:dyDescent="0.2">
      <c r="A696" s="11" t="s">
        <v>308</v>
      </c>
      <c r="B696" s="11" t="s">
        <v>1135</v>
      </c>
      <c r="C696" s="806" t="s">
        <v>1176</v>
      </c>
      <c r="D696" s="807"/>
      <c r="E696" s="11" t="s">
        <v>35</v>
      </c>
      <c r="F696" s="12">
        <v>16</v>
      </c>
      <c r="G696" s="12">
        <v>21.01</v>
      </c>
      <c r="H696" s="12">
        <v>26.81</v>
      </c>
      <c r="I696" s="13">
        <f t="shared" si="62"/>
        <v>336.16</v>
      </c>
      <c r="J696" s="13">
        <f t="shared" si="63"/>
        <v>428.96</v>
      </c>
    </row>
    <row r="697" spans="1:10" s="1" customFormat="1" ht="25.5" customHeight="1" x14ac:dyDescent="0.2">
      <c r="A697" s="11" t="s">
        <v>308</v>
      </c>
      <c r="B697" s="11" t="s">
        <v>1136</v>
      </c>
      <c r="C697" s="806" t="s">
        <v>1137</v>
      </c>
      <c r="D697" s="807"/>
      <c r="E697" s="11" t="s">
        <v>102</v>
      </c>
      <c r="F697" s="12">
        <v>1</v>
      </c>
      <c r="G697" s="12">
        <v>64.55</v>
      </c>
      <c r="H697" s="12">
        <v>82.36</v>
      </c>
      <c r="I697" s="13">
        <f t="shared" si="62"/>
        <v>64.55</v>
      </c>
      <c r="J697" s="13">
        <f t="shared" si="63"/>
        <v>82.36</v>
      </c>
    </row>
    <row r="698" spans="1:10" s="1" customFormat="1" ht="25.5" customHeight="1" x14ac:dyDescent="0.2">
      <c r="A698" s="11" t="s">
        <v>308</v>
      </c>
      <c r="B698" s="11" t="s">
        <v>1138</v>
      </c>
      <c r="C698" s="806" t="s">
        <v>1139</v>
      </c>
      <c r="D698" s="807"/>
      <c r="E698" s="11" t="s">
        <v>102</v>
      </c>
      <c r="F698" s="12">
        <v>2</v>
      </c>
      <c r="G698" s="12">
        <v>46.92</v>
      </c>
      <c r="H698" s="12">
        <v>59.87</v>
      </c>
      <c r="I698" s="13">
        <f t="shared" si="62"/>
        <v>93.84</v>
      </c>
      <c r="J698" s="13">
        <f t="shared" si="63"/>
        <v>119.74</v>
      </c>
    </row>
    <row r="699" spans="1:10" s="1" customFormat="1" ht="25.5" customHeight="1" x14ac:dyDescent="0.2">
      <c r="A699" s="11" t="s">
        <v>308</v>
      </c>
      <c r="B699" s="11" t="s">
        <v>1140</v>
      </c>
      <c r="C699" s="806" t="s">
        <v>1141</v>
      </c>
      <c r="D699" s="807"/>
      <c r="E699" s="11" t="s">
        <v>102</v>
      </c>
      <c r="F699" s="12">
        <v>2</v>
      </c>
      <c r="G699" s="12">
        <v>63.34</v>
      </c>
      <c r="H699" s="12">
        <v>80.819999999999993</v>
      </c>
      <c r="I699" s="13">
        <f t="shared" si="62"/>
        <v>126.68</v>
      </c>
      <c r="J699" s="13">
        <f t="shared" si="63"/>
        <v>161.63999999999999</v>
      </c>
    </row>
    <row r="700" spans="1:10" s="1" customFormat="1" ht="25.5" customHeight="1" x14ac:dyDescent="0.2">
      <c r="A700" s="11" t="s">
        <v>308</v>
      </c>
      <c r="B700" s="11" t="s">
        <v>1142</v>
      </c>
      <c r="C700" s="806" t="s">
        <v>1143</v>
      </c>
      <c r="D700" s="807"/>
      <c r="E700" s="11" t="s">
        <v>102</v>
      </c>
      <c r="F700" s="12">
        <v>1</v>
      </c>
      <c r="G700" s="12">
        <v>112.15</v>
      </c>
      <c r="H700" s="12">
        <v>143.09</v>
      </c>
      <c r="I700" s="13">
        <f t="shared" si="62"/>
        <v>112.15</v>
      </c>
      <c r="J700" s="13">
        <f t="shared" si="63"/>
        <v>143.09</v>
      </c>
    </row>
    <row r="701" spans="1:10" s="1" customFormat="1" ht="25.5" customHeight="1" x14ac:dyDescent="0.2">
      <c r="A701" s="8"/>
      <c r="B701" s="23">
        <v>44959</v>
      </c>
      <c r="C701" s="808" t="s">
        <v>1144</v>
      </c>
      <c r="D701" s="809"/>
      <c r="E701" s="8"/>
      <c r="F701" s="8"/>
      <c r="G701" s="8"/>
      <c r="H701" s="8"/>
      <c r="I701" s="8"/>
      <c r="J701" s="12"/>
    </row>
    <row r="702" spans="1:10" s="1" customFormat="1" ht="25.5" customHeight="1" x14ac:dyDescent="0.2">
      <c r="A702" s="11" t="s">
        <v>308</v>
      </c>
      <c r="B702" s="11" t="s">
        <v>1145</v>
      </c>
      <c r="C702" s="806" t="s">
        <v>1146</v>
      </c>
      <c r="D702" s="807"/>
      <c r="E702" s="11" t="s">
        <v>102</v>
      </c>
      <c r="F702" s="12">
        <v>1</v>
      </c>
      <c r="G702" s="12">
        <v>649.99</v>
      </c>
      <c r="H702" s="12">
        <v>829.32</v>
      </c>
      <c r="I702" s="13">
        <f t="shared" ref="I702:I707" si="64">F702*G702</f>
        <v>649.99</v>
      </c>
      <c r="J702" s="13">
        <f t="shared" ref="J702:J707" si="65">F702*H702</f>
        <v>829.32</v>
      </c>
    </row>
    <row r="703" spans="1:10" s="1" customFormat="1" ht="25.5" customHeight="1" x14ac:dyDescent="0.2">
      <c r="A703" s="8"/>
      <c r="B703" s="23">
        <v>44960</v>
      </c>
      <c r="C703" s="808" t="s">
        <v>684</v>
      </c>
      <c r="D703" s="809"/>
      <c r="E703" s="8"/>
      <c r="F703" s="8"/>
      <c r="G703" s="8"/>
      <c r="H703" s="8"/>
      <c r="I703" s="13">
        <f t="shared" si="64"/>
        <v>0</v>
      </c>
      <c r="J703" s="13">
        <f t="shared" si="65"/>
        <v>0</v>
      </c>
    </row>
    <row r="704" spans="1:10" s="1" customFormat="1" ht="25.5" customHeight="1" x14ac:dyDescent="0.2">
      <c r="A704" s="11" t="s">
        <v>308</v>
      </c>
      <c r="B704" s="11" t="s">
        <v>1147</v>
      </c>
      <c r="C704" s="806" t="s">
        <v>1148</v>
      </c>
      <c r="D704" s="807"/>
      <c r="E704" s="11" t="s">
        <v>102</v>
      </c>
      <c r="F704" s="12">
        <v>3</v>
      </c>
      <c r="G704" s="12">
        <v>33.46</v>
      </c>
      <c r="H704" s="12">
        <v>42.69</v>
      </c>
      <c r="I704" s="13">
        <f t="shared" si="64"/>
        <v>100.38</v>
      </c>
      <c r="J704" s="13">
        <f t="shared" si="65"/>
        <v>128.07</v>
      </c>
    </row>
    <row r="705" spans="1:10" s="1" customFormat="1" ht="25.5" customHeight="1" x14ac:dyDescent="0.2">
      <c r="A705" s="11" t="s">
        <v>308</v>
      </c>
      <c r="B705" s="11" t="s">
        <v>1149</v>
      </c>
      <c r="C705" s="806" t="s">
        <v>1150</v>
      </c>
      <c r="D705" s="807"/>
      <c r="E705" s="11" t="s">
        <v>102</v>
      </c>
      <c r="F705" s="12">
        <v>3</v>
      </c>
      <c r="G705" s="12">
        <v>21.01</v>
      </c>
      <c r="H705" s="12">
        <v>26.81</v>
      </c>
      <c r="I705" s="13">
        <f t="shared" si="64"/>
        <v>63.03</v>
      </c>
      <c r="J705" s="13">
        <f t="shared" si="65"/>
        <v>80.429999999999993</v>
      </c>
    </row>
    <row r="706" spans="1:10" s="1" customFormat="1" ht="25.5" customHeight="1" x14ac:dyDescent="0.2">
      <c r="A706" s="11" t="s">
        <v>308</v>
      </c>
      <c r="B706" s="11" t="s">
        <v>1151</v>
      </c>
      <c r="C706" s="806" t="s">
        <v>1152</v>
      </c>
      <c r="D706" s="807"/>
      <c r="E706" s="11" t="s">
        <v>102</v>
      </c>
      <c r="F706" s="12">
        <v>2</v>
      </c>
      <c r="G706" s="12">
        <v>33.46</v>
      </c>
      <c r="H706" s="12">
        <v>42.69</v>
      </c>
      <c r="I706" s="13">
        <f t="shared" si="64"/>
        <v>66.92</v>
      </c>
      <c r="J706" s="13">
        <f t="shared" si="65"/>
        <v>85.38</v>
      </c>
    </row>
    <row r="707" spans="1:10" s="1" customFormat="1" ht="25.5" customHeight="1" x14ac:dyDescent="0.2">
      <c r="A707" s="11" t="s">
        <v>308</v>
      </c>
      <c r="B707" s="11" t="s">
        <v>1153</v>
      </c>
      <c r="C707" s="806" t="s">
        <v>1154</v>
      </c>
      <c r="D707" s="807"/>
      <c r="E707" s="11" t="s">
        <v>81</v>
      </c>
      <c r="F707" s="12">
        <v>3</v>
      </c>
      <c r="G707" s="12">
        <v>9.4</v>
      </c>
      <c r="H707" s="12">
        <v>11.99</v>
      </c>
      <c r="I707" s="13">
        <f t="shared" si="64"/>
        <v>28.200000000000003</v>
      </c>
      <c r="J707" s="13">
        <f t="shared" si="65"/>
        <v>35.97</v>
      </c>
    </row>
    <row r="708" spans="1:10" s="1" customFormat="1" ht="25.5" customHeight="1" x14ac:dyDescent="0.2">
      <c r="A708" s="8"/>
      <c r="B708" s="803" t="s">
        <v>1155</v>
      </c>
      <c r="C708" s="804"/>
      <c r="D708" s="804"/>
      <c r="E708" s="804"/>
      <c r="F708" s="804"/>
      <c r="G708" s="805"/>
      <c r="H708" s="8"/>
      <c r="I708" s="18">
        <f>SUM(I695:I707)</f>
        <v>1763.9</v>
      </c>
      <c r="J708" s="18">
        <f>SUM(J695:J707)</f>
        <v>2250.64</v>
      </c>
    </row>
    <row r="709" spans="1:10" s="1" customFormat="1" ht="25.5" customHeight="1" x14ac:dyDescent="0.2">
      <c r="A709" s="8"/>
      <c r="B709" s="803" t="s">
        <v>1156</v>
      </c>
      <c r="C709" s="804"/>
      <c r="D709" s="804"/>
      <c r="E709" s="804"/>
      <c r="F709" s="804"/>
      <c r="G709" s="805"/>
      <c r="H709" s="8"/>
      <c r="I709" s="14">
        <f>SUM(I692,I708)</f>
        <v>2818.01</v>
      </c>
      <c r="J709" s="15">
        <f>SUM(J692,J708)-0.08</f>
        <v>3595.5</v>
      </c>
    </row>
    <row r="710" spans="1:10" s="1" customFormat="1" ht="25.5" customHeight="1" x14ac:dyDescent="0.2">
      <c r="A710" s="8"/>
      <c r="B710" s="9" t="s">
        <v>1157</v>
      </c>
      <c r="C710" s="808" t="s">
        <v>1158</v>
      </c>
      <c r="D710" s="809"/>
      <c r="E710" s="8"/>
      <c r="F710" s="8"/>
      <c r="G710" s="8"/>
      <c r="H710" s="8"/>
      <c r="I710" s="8"/>
      <c r="J710" s="8"/>
    </row>
    <row r="711" spans="1:10" s="1" customFormat="1" ht="25.5" customHeight="1" x14ac:dyDescent="0.2">
      <c r="A711" s="8"/>
      <c r="B711" s="9" t="s">
        <v>1159</v>
      </c>
      <c r="C711" s="808" t="s">
        <v>1160</v>
      </c>
      <c r="D711" s="820"/>
      <c r="E711" s="820"/>
      <c r="F711" s="820"/>
      <c r="G711" s="820"/>
      <c r="H711" s="820"/>
      <c r="I711" s="809"/>
      <c r="J711" s="8"/>
    </row>
    <row r="712" spans="1:10" s="1" customFormat="1" ht="25.5" customHeight="1" x14ac:dyDescent="0.2">
      <c r="A712" s="8"/>
      <c r="B712" s="23">
        <v>45292</v>
      </c>
      <c r="C712" s="808" t="s">
        <v>626</v>
      </c>
      <c r="D712" s="820"/>
      <c r="E712" s="820"/>
      <c r="F712" s="820"/>
      <c r="G712" s="820"/>
      <c r="H712" s="820"/>
      <c r="I712" s="809"/>
      <c r="J712" s="8"/>
    </row>
    <row r="713" spans="1:10" s="1" customFormat="1" ht="25.5" customHeight="1" x14ac:dyDescent="0.2">
      <c r="A713" s="10">
        <v>92690</v>
      </c>
      <c r="B713" s="11" t="s">
        <v>1161</v>
      </c>
      <c r="C713" s="806" t="s">
        <v>1162</v>
      </c>
      <c r="D713" s="807"/>
      <c r="E713" s="11" t="s">
        <v>81</v>
      </c>
      <c r="F713" s="12">
        <v>18</v>
      </c>
      <c r="G713" s="12">
        <v>35.74</v>
      </c>
      <c r="H713" s="12">
        <v>45.6</v>
      </c>
      <c r="I713" s="13">
        <f>F713*G713</f>
        <v>643.32000000000005</v>
      </c>
      <c r="J713" s="13">
        <f>F713*H713</f>
        <v>820.80000000000007</v>
      </c>
    </row>
    <row r="714" spans="1:10" s="1" customFormat="1" ht="25.5" customHeight="1" x14ac:dyDescent="0.2">
      <c r="A714" s="10">
        <v>92689</v>
      </c>
      <c r="B714" s="11" t="s">
        <v>1163</v>
      </c>
      <c r="C714" s="806" t="s">
        <v>1164</v>
      </c>
      <c r="D714" s="807"/>
      <c r="E714" s="11" t="s">
        <v>81</v>
      </c>
      <c r="F714" s="12">
        <v>18</v>
      </c>
      <c r="G714" s="12">
        <v>24.41</v>
      </c>
      <c r="H714" s="12">
        <v>31.14</v>
      </c>
      <c r="I714" s="13">
        <f>F714*G714</f>
        <v>439.38</v>
      </c>
      <c r="J714" s="13">
        <f>F714*H714</f>
        <v>560.52</v>
      </c>
    </row>
    <row r="715" spans="1:10" s="1" customFormat="1" ht="25.5" customHeight="1" x14ac:dyDescent="0.2">
      <c r="A715" s="8"/>
      <c r="B715" s="23">
        <v>45293</v>
      </c>
      <c r="C715" s="808" t="s">
        <v>450</v>
      </c>
      <c r="D715" s="809"/>
      <c r="E715" s="8"/>
      <c r="F715" s="8"/>
      <c r="G715" s="8"/>
      <c r="H715" s="8"/>
      <c r="I715" s="8"/>
      <c r="J715" s="8"/>
    </row>
    <row r="716" spans="1:10" s="1" customFormat="1" ht="25.5" customHeight="1" x14ac:dyDescent="0.2">
      <c r="A716" s="11" t="s">
        <v>308</v>
      </c>
      <c r="B716" s="11" t="s">
        <v>1165</v>
      </c>
      <c r="C716" s="806" t="s">
        <v>1166</v>
      </c>
      <c r="D716" s="807"/>
      <c r="E716" s="11" t="s">
        <v>102</v>
      </c>
      <c r="F716" s="12">
        <v>2</v>
      </c>
      <c r="G716" s="12">
        <v>18.7</v>
      </c>
      <c r="H716" s="12">
        <v>23.86</v>
      </c>
      <c r="I716" s="13">
        <f>F716*G716</f>
        <v>37.4</v>
      </c>
      <c r="J716" s="13">
        <f>F716*H716</f>
        <v>47.72</v>
      </c>
    </row>
    <row r="717" spans="1:10" s="1" customFormat="1" ht="25.5" customHeight="1" x14ac:dyDescent="0.2">
      <c r="A717" s="8"/>
      <c r="B717" s="23">
        <v>45294</v>
      </c>
      <c r="C717" s="808" t="s">
        <v>750</v>
      </c>
      <c r="D717" s="809"/>
      <c r="E717" s="8"/>
      <c r="F717" s="8"/>
      <c r="G717" s="8"/>
      <c r="H717" s="8"/>
      <c r="I717" s="8"/>
      <c r="J717" s="8"/>
    </row>
    <row r="718" spans="1:10" s="1" customFormat="1" ht="25.5" customHeight="1" x14ac:dyDescent="0.2">
      <c r="A718" s="11" t="s">
        <v>308</v>
      </c>
      <c r="B718" s="11" t="s">
        <v>1167</v>
      </c>
      <c r="C718" s="806" t="s">
        <v>1168</v>
      </c>
      <c r="D718" s="807"/>
      <c r="E718" s="11" t="s">
        <v>102</v>
      </c>
      <c r="F718" s="12">
        <v>3</v>
      </c>
      <c r="G718" s="12">
        <v>14.45</v>
      </c>
      <c r="H718" s="12">
        <v>18.440000000000001</v>
      </c>
      <c r="I718" s="13">
        <f>F718*G718</f>
        <v>43.349999999999994</v>
      </c>
      <c r="J718" s="13">
        <f>F718*H718</f>
        <v>55.320000000000007</v>
      </c>
    </row>
    <row r="719" spans="1:10" s="1" customFormat="1" ht="25.5" customHeight="1" x14ac:dyDescent="0.2">
      <c r="A719" s="11" t="s">
        <v>308</v>
      </c>
      <c r="B719" s="11" t="s">
        <v>1169</v>
      </c>
      <c r="C719" s="806" t="s">
        <v>1170</v>
      </c>
      <c r="D719" s="807"/>
      <c r="E719" s="11" t="s">
        <v>102</v>
      </c>
      <c r="F719" s="12">
        <v>3</v>
      </c>
      <c r="G719" s="12">
        <v>11.87</v>
      </c>
      <c r="H719" s="12">
        <v>15.14</v>
      </c>
      <c r="I719" s="13">
        <f>F719*G719</f>
        <v>35.61</v>
      </c>
      <c r="J719" s="13">
        <f>F719*H719</f>
        <v>45.42</v>
      </c>
    </row>
    <row r="720" spans="1:10" s="1" customFormat="1" ht="25.5" customHeight="1" x14ac:dyDescent="0.2">
      <c r="A720" s="8"/>
      <c r="B720" s="23">
        <v>45295</v>
      </c>
      <c r="C720" s="808" t="s">
        <v>652</v>
      </c>
      <c r="D720" s="809"/>
      <c r="E720" s="8"/>
      <c r="F720" s="8"/>
      <c r="G720" s="8"/>
      <c r="H720" s="8"/>
      <c r="I720" s="8"/>
      <c r="J720" s="8"/>
    </row>
    <row r="721" spans="1:10" s="1" customFormat="1" ht="25.5" customHeight="1" x14ac:dyDescent="0.2">
      <c r="A721" s="11" t="s">
        <v>308</v>
      </c>
      <c r="B721" s="11" t="s">
        <v>1171</v>
      </c>
      <c r="C721" s="806" t="s">
        <v>1172</v>
      </c>
      <c r="D721" s="807"/>
      <c r="E721" s="11" t="s">
        <v>102</v>
      </c>
      <c r="F721" s="12">
        <v>8</v>
      </c>
      <c r="G721" s="12">
        <v>15.21</v>
      </c>
      <c r="H721" s="12">
        <v>19.41</v>
      </c>
      <c r="I721" s="13">
        <f>F721*G721</f>
        <v>121.68</v>
      </c>
      <c r="J721" s="13">
        <f>F721*H721</f>
        <v>155.28</v>
      </c>
    </row>
    <row r="722" spans="1:10" s="1" customFormat="1" ht="25.5" customHeight="1" x14ac:dyDescent="0.2">
      <c r="A722" s="11" t="s">
        <v>308</v>
      </c>
      <c r="B722" s="11" t="s">
        <v>1173</v>
      </c>
      <c r="C722" s="806" t="s">
        <v>1174</v>
      </c>
      <c r="D722" s="807"/>
      <c r="E722" s="11" t="s">
        <v>102</v>
      </c>
      <c r="F722" s="12">
        <v>2</v>
      </c>
      <c r="G722" s="12">
        <v>15.21</v>
      </c>
      <c r="H722" s="12">
        <v>19.41</v>
      </c>
      <c r="I722" s="13">
        <f>F722*G722</f>
        <v>30.42</v>
      </c>
      <c r="J722" s="13">
        <f>F722*H722</f>
        <v>38.82</v>
      </c>
    </row>
    <row r="723" spans="1:10" s="1" customFormat="1" ht="25.5" customHeight="1" x14ac:dyDescent="0.2">
      <c r="A723" s="8"/>
      <c r="B723" s="23">
        <v>45296</v>
      </c>
      <c r="C723" s="808" t="s">
        <v>1177</v>
      </c>
      <c r="D723" s="809"/>
      <c r="E723" s="8"/>
      <c r="F723" s="8"/>
      <c r="G723" s="8"/>
      <c r="H723" s="8"/>
      <c r="I723" s="8"/>
      <c r="J723" s="8"/>
    </row>
    <row r="724" spans="1:10" s="1" customFormat="1" ht="25.5" customHeight="1" x14ac:dyDescent="0.2">
      <c r="A724" s="22" t="s">
        <v>308</v>
      </c>
      <c r="B724" s="11" t="s">
        <v>1178</v>
      </c>
      <c r="C724" s="806" t="s">
        <v>1179</v>
      </c>
      <c r="D724" s="807"/>
      <c r="E724" s="11" t="s">
        <v>102</v>
      </c>
      <c r="F724" s="12">
        <v>2</v>
      </c>
      <c r="G724" s="12">
        <v>20.8</v>
      </c>
      <c r="H724" s="12">
        <v>26.54</v>
      </c>
      <c r="I724" s="13">
        <f>F724*G724</f>
        <v>41.6</v>
      </c>
      <c r="J724" s="13">
        <f>F724*H724</f>
        <v>53.08</v>
      </c>
    </row>
    <row r="725" spans="1:10" s="1" customFormat="1" ht="25.5" customHeight="1" x14ac:dyDescent="0.2">
      <c r="A725" s="8"/>
      <c r="B725" s="23">
        <v>45297</v>
      </c>
      <c r="C725" s="808" t="s">
        <v>473</v>
      </c>
      <c r="D725" s="809"/>
      <c r="E725" s="8"/>
      <c r="F725" s="8"/>
      <c r="G725" s="8"/>
      <c r="H725" s="8"/>
      <c r="I725" s="8"/>
      <c r="J725" s="8"/>
    </row>
    <row r="726" spans="1:10" s="1" customFormat="1" ht="25.5" customHeight="1" x14ac:dyDescent="0.2">
      <c r="A726" s="22" t="s">
        <v>308</v>
      </c>
      <c r="B726" s="11" t="s">
        <v>1180</v>
      </c>
      <c r="C726" s="806" t="s">
        <v>1181</v>
      </c>
      <c r="D726" s="807"/>
      <c r="E726" s="11" t="s">
        <v>102</v>
      </c>
      <c r="F726" s="12">
        <v>3</v>
      </c>
      <c r="G726" s="12">
        <v>79</v>
      </c>
      <c r="H726" s="12">
        <v>100.8</v>
      </c>
      <c r="I726" s="13">
        <f>F726*G726</f>
        <v>237</v>
      </c>
      <c r="J726" s="13">
        <f>F726*H726</f>
        <v>302.39999999999998</v>
      </c>
    </row>
    <row r="727" spans="1:10" s="1" customFormat="1" ht="25.5" customHeight="1" x14ac:dyDescent="0.2">
      <c r="A727" s="8"/>
      <c r="B727" s="23">
        <v>45298</v>
      </c>
      <c r="C727" s="808" t="s">
        <v>1182</v>
      </c>
      <c r="D727" s="809"/>
      <c r="E727" s="8"/>
      <c r="F727" s="8"/>
      <c r="G727" s="8"/>
      <c r="H727" s="8"/>
      <c r="I727" s="8"/>
      <c r="J727" s="8"/>
    </row>
    <row r="728" spans="1:10" s="1" customFormat="1" ht="25.5" customHeight="1" x14ac:dyDescent="0.2">
      <c r="A728" s="22" t="s">
        <v>308</v>
      </c>
      <c r="B728" s="11" t="s">
        <v>1183</v>
      </c>
      <c r="C728" s="806" t="s">
        <v>1184</v>
      </c>
      <c r="D728" s="807"/>
      <c r="E728" s="11" t="s">
        <v>102</v>
      </c>
      <c r="F728" s="12">
        <v>3</v>
      </c>
      <c r="G728" s="12">
        <v>18.899999999999999</v>
      </c>
      <c r="H728" s="12">
        <v>24.11</v>
      </c>
      <c r="I728" s="13">
        <f>F728*G728</f>
        <v>56.699999999999996</v>
      </c>
      <c r="J728" s="13">
        <f>F728*H728</f>
        <v>72.33</v>
      </c>
    </row>
    <row r="729" spans="1:10" s="1" customFormat="1" ht="25.5" customHeight="1" x14ac:dyDescent="0.2">
      <c r="A729" s="22" t="s">
        <v>308</v>
      </c>
      <c r="B729" s="11" t="s">
        <v>1185</v>
      </c>
      <c r="C729" s="806" t="s">
        <v>1186</v>
      </c>
      <c r="D729" s="807"/>
      <c r="E729" s="11" t="s">
        <v>102</v>
      </c>
      <c r="F729" s="12">
        <v>5</v>
      </c>
      <c r="G729" s="12">
        <v>15.9</v>
      </c>
      <c r="H729" s="12">
        <v>20.29</v>
      </c>
      <c r="I729" s="13">
        <f>F729*G729</f>
        <v>79.5</v>
      </c>
      <c r="J729" s="13">
        <f>F729*H729</f>
        <v>101.44999999999999</v>
      </c>
    </row>
    <row r="730" spans="1:10" s="1" customFormat="1" ht="25.5" customHeight="1" x14ac:dyDescent="0.2">
      <c r="A730" s="8"/>
      <c r="B730" s="23">
        <v>45299</v>
      </c>
      <c r="C730" s="808" t="s">
        <v>1187</v>
      </c>
      <c r="D730" s="809"/>
      <c r="E730" s="8"/>
      <c r="F730" s="8"/>
      <c r="G730" s="8"/>
      <c r="H730" s="8"/>
      <c r="I730" s="8"/>
      <c r="J730" s="8"/>
    </row>
    <row r="731" spans="1:10" s="1" customFormat="1" ht="25.5" customHeight="1" x14ac:dyDescent="0.2">
      <c r="A731" s="22" t="s">
        <v>308</v>
      </c>
      <c r="B731" s="11" t="s">
        <v>1188</v>
      </c>
      <c r="C731" s="806" t="s">
        <v>1189</v>
      </c>
      <c r="D731" s="807"/>
      <c r="E731" s="11" t="s">
        <v>102</v>
      </c>
      <c r="F731" s="12">
        <v>4</v>
      </c>
      <c r="G731" s="12">
        <v>96</v>
      </c>
      <c r="H731" s="12">
        <v>122.49</v>
      </c>
      <c r="I731" s="13">
        <f>F731*G731</f>
        <v>384</v>
      </c>
      <c r="J731" s="13">
        <f>F731*H731</f>
        <v>489.96</v>
      </c>
    </row>
    <row r="732" spans="1:10" s="1" customFormat="1" ht="25.5" customHeight="1" x14ac:dyDescent="0.2">
      <c r="A732" s="8"/>
      <c r="B732" s="23">
        <v>45300</v>
      </c>
      <c r="C732" s="808" t="s">
        <v>1190</v>
      </c>
      <c r="D732" s="809"/>
      <c r="E732" s="8"/>
      <c r="F732" s="8"/>
      <c r="G732" s="8"/>
      <c r="H732" s="8"/>
      <c r="I732" s="8"/>
      <c r="J732" s="8"/>
    </row>
    <row r="733" spans="1:10" s="1" customFormat="1" ht="25.5" customHeight="1" x14ac:dyDescent="0.2">
      <c r="A733" s="22" t="s">
        <v>308</v>
      </c>
      <c r="B733" s="11" t="s">
        <v>1191</v>
      </c>
      <c r="C733" s="806" t="s">
        <v>1192</v>
      </c>
      <c r="D733" s="807"/>
      <c r="E733" s="11" t="s">
        <v>102</v>
      </c>
      <c r="F733" s="12">
        <v>1</v>
      </c>
      <c r="G733" s="12">
        <v>28.29</v>
      </c>
      <c r="H733" s="12">
        <v>36.1</v>
      </c>
      <c r="I733" s="13">
        <f>F733*G733</f>
        <v>28.29</v>
      </c>
      <c r="J733" s="13">
        <f>F733*H733</f>
        <v>36.1</v>
      </c>
    </row>
    <row r="734" spans="1:10" s="1" customFormat="1" ht="25.5" customHeight="1" x14ac:dyDescent="0.2">
      <c r="A734" s="22" t="s">
        <v>308</v>
      </c>
      <c r="B734" s="11" t="s">
        <v>1193</v>
      </c>
      <c r="C734" s="806" t="s">
        <v>1194</v>
      </c>
      <c r="D734" s="807"/>
      <c r="E734" s="11" t="s">
        <v>102</v>
      </c>
      <c r="F734" s="12">
        <v>2</v>
      </c>
      <c r="G734" s="12">
        <v>21.93</v>
      </c>
      <c r="H734" s="12">
        <v>27.98</v>
      </c>
      <c r="I734" s="13">
        <f>F734*G734</f>
        <v>43.86</v>
      </c>
      <c r="J734" s="13">
        <f>F734*H734</f>
        <v>55.96</v>
      </c>
    </row>
    <row r="735" spans="1:10" s="1" customFormat="1" ht="25.5" customHeight="1" x14ac:dyDescent="0.2">
      <c r="A735" s="8"/>
      <c r="B735" s="9" t="s">
        <v>1195</v>
      </c>
      <c r="C735" s="808" t="s">
        <v>1196</v>
      </c>
      <c r="D735" s="809"/>
      <c r="E735" s="8"/>
      <c r="F735" s="8"/>
      <c r="G735" s="8"/>
      <c r="H735" s="8"/>
      <c r="I735" s="8"/>
      <c r="J735" s="8"/>
    </row>
    <row r="736" spans="1:10" s="1" customFormat="1" ht="25.5" customHeight="1" x14ac:dyDescent="0.2">
      <c r="A736" s="8"/>
      <c r="B736" s="23">
        <v>45323</v>
      </c>
      <c r="C736" s="808" t="s">
        <v>1197</v>
      </c>
      <c r="D736" s="809"/>
      <c r="E736" s="8"/>
      <c r="F736" s="8"/>
      <c r="G736" s="8"/>
      <c r="H736" s="8"/>
      <c r="I736" s="8"/>
      <c r="J736" s="8"/>
    </row>
    <row r="737" spans="1:10" s="1" customFormat="1" ht="25.5" customHeight="1" x14ac:dyDescent="0.2">
      <c r="A737" s="22" t="s">
        <v>308</v>
      </c>
      <c r="B737" s="11" t="s">
        <v>1198</v>
      </c>
      <c r="C737" s="806" t="s">
        <v>1199</v>
      </c>
      <c r="D737" s="807"/>
      <c r="E737" s="11" t="s">
        <v>102</v>
      </c>
      <c r="F737" s="12">
        <v>2</v>
      </c>
      <c r="G737" s="12">
        <v>14.99</v>
      </c>
      <c r="H737" s="12">
        <v>19.13</v>
      </c>
      <c r="I737" s="13">
        <f>F737*G737</f>
        <v>29.98</v>
      </c>
      <c r="J737" s="13">
        <f>F737*H737</f>
        <v>38.26</v>
      </c>
    </row>
    <row r="738" spans="1:10" s="1" customFormat="1" ht="25.5" customHeight="1" x14ac:dyDescent="0.2">
      <c r="A738" s="8"/>
      <c r="B738" s="23">
        <v>45324</v>
      </c>
      <c r="C738" s="808" t="s">
        <v>1200</v>
      </c>
      <c r="D738" s="809"/>
      <c r="E738" s="8"/>
      <c r="F738" s="8"/>
      <c r="G738" s="8"/>
      <c r="H738" s="8"/>
      <c r="I738" s="8"/>
      <c r="J738" s="8"/>
    </row>
    <row r="739" spans="1:10" s="1" customFormat="1" ht="25.5" customHeight="1" x14ac:dyDescent="0.2">
      <c r="A739" s="22" t="s">
        <v>308</v>
      </c>
      <c r="B739" s="11" t="s">
        <v>1201</v>
      </c>
      <c r="C739" s="806" t="s">
        <v>1202</v>
      </c>
      <c r="D739" s="807"/>
      <c r="E739" s="11" t="s">
        <v>102</v>
      </c>
      <c r="F739" s="12">
        <v>1</v>
      </c>
      <c r="G739" s="12">
        <v>180</v>
      </c>
      <c r="H739" s="12">
        <v>229.66</v>
      </c>
      <c r="I739" s="13">
        <f>F739*G739</f>
        <v>180</v>
      </c>
      <c r="J739" s="13">
        <f>F739*H739</f>
        <v>229.66</v>
      </c>
    </row>
    <row r="740" spans="1:10" s="1" customFormat="1" ht="25.5" customHeight="1" x14ac:dyDescent="0.2">
      <c r="A740" s="22" t="s">
        <v>308</v>
      </c>
      <c r="B740" s="11" t="s">
        <v>1203</v>
      </c>
      <c r="C740" s="806" t="s">
        <v>1204</v>
      </c>
      <c r="D740" s="807"/>
      <c r="E740" s="11" t="s">
        <v>102</v>
      </c>
      <c r="F740" s="12">
        <v>2</v>
      </c>
      <c r="G740" s="12">
        <v>49.9</v>
      </c>
      <c r="H740" s="12">
        <v>63.67</v>
      </c>
      <c r="I740" s="13">
        <f>F740*G740</f>
        <v>99.8</v>
      </c>
      <c r="J740" s="13">
        <f>F740*H740</f>
        <v>127.34</v>
      </c>
    </row>
    <row r="741" spans="1:10" s="1" customFormat="1" ht="25.5" customHeight="1" x14ac:dyDescent="0.2">
      <c r="A741" s="8"/>
      <c r="B741" s="23">
        <v>45325</v>
      </c>
      <c r="C741" s="808" t="s">
        <v>1205</v>
      </c>
      <c r="D741" s="809"/>
      <c r="E741" s="8"/>
      <c r="F741" s="8"/>
      <c r="G741" s="8"/>
      <c r="H741" s="8"/>
      <c r="I741" s="8"/>
      <c r="J741" s="8"/>
    </row>
    <row r="742" spans="1:10" s="1" customFormat="1" ht="25.5" customHeight="1" x14ac:dyDescent="0.2">
      <c r="A742" s="22" t="s">
        <v>308</v>
      </c>
      <c r="B742" s="11" t="s">
        <v>1206</v>
      </c>
      <c r="C742" s="806" t="s">
        <v>1207</v>
      </c>
      <c r="D742" s="807"/>
      <c r="E742" s="11" t="s">
        <v>102</v>
      </c>
      <c r="F742" s="12">
        <v>2</v>
      </c>
      <c r="G742" s="12">
        <v>49</v>
      </c>
      <c r="H742" s="12">
        <v>62.52</v>
      </c>
      <c r="I742" s="13">
        <f>F742*G742</f>
        <v>98</v>
      </c>
      <c r="J742" s="13">
        <f>F742*H742</f>
        <v>125.04</v>
      </c>
    </row>
    <row r="743" spans="1:10" s="1" customFormat="1" ht="25.5" customHeight="1" x14ac:dyDescent="0.2">
      <c r="A743" s="8"/>
      <c r="B743" s="23">
        <v>45325</v>
      </c>
      <c r="C743" s="808" t="s">
        <v>1208</v>
      </c>
      <c r="D743" s="809"/>
      <c r="E743" s="8"/>
      <c r="F743" s="8"/>
      <c r="G743" s="8"/>
      <c r="H743" s="8"/>
      <c r="I743" s="8"/>
      <c r="J743" s="8"/>
    </row>
    <row r="744" spans="1:10" s="1" customFormat="1" ht="25.5" customHeight="1" x14ac:dyDescent="0.2">
      <c r="A744" s="22" t="s">
        <v>308</v>
      </c>
      <c r="B744" s="11" t="s">
        <v>1206</v>
      </c>
      <c r="C744" s="806" t="s">
        <v>1209</v>
      </c>
      <c r="D744" s="807"/>
      <c r="E744" s="11" t="s">
        <v>102</v>
      </c>
      <c r="F744" s="12">
        <v>1</v>
      </c>
      <c r="G744" s="12">
        <v>26.89</v>
      </c>
      <c r="H744" s="12">
        <v>34.31</v>
      </c>
      <c r="I744" s="13">
        <f>F744*G744</f>
        <v>26.89</v>
      </c>
      <c r="J744" s="13">
        <f>F744*H744</f>
        <v>34.31</v>
      </c>
    </row>
    <row r="745" spans="1:10" s="1" customFormat="1" ht="25.5" customHeight="1" x14ac:dyDescent="0.2">
      <c r="A745" s="8"/>
      <c r="B745" s="23">
        <v>45326</v>
      </c>
      <c r="C745" s="808" t="s">
        <v>1210</v>
      </c>
      <c r="D745" s="809"/>
      <c r="E745" s="8"/>
      <c r="F745" s="8"/>
      <c r="G745" s="8"/>
      <c r="H745" s="8"/>
      <c r="I745" s="8"/>
      <c r="J745" s="8"/>
    </row>
    <row r="746" spans="1:10" s="1" customFormat="1" ht="25.5" customHeight="1" x14ac:dyDescent="0.2">
      <c r="A746" s="22" t="s">
        <v>308</v>
      </c>
      <c r="B746" s="11" t="s">
        <v>1211</v>
      </c>
      <c r="C746" s="806" t="s">
        <v>1212</v>
      </c>
      <c r="D746" s="807"/>
      <c r="E746" s="11" t="s">
        <v>102</v>
      </c>
      <c r="F746" s="12">
        <v>6</v>
      </c>
      <c r="G746" s="12">
        <v>0.17</v>
      </c>
      <c r="H746" s="12">
        <v>0.22</v>
      </c>
      <c r="I746" s="13">
        <f>F746*G746</f>
        <v>1.02</v>
      </c>
      <c r="J746" s="13">
        <f>F746*H746</f>
        <v>1.32</v>
      </c>
    </row>
    <row r="747" spans="1:10" s="1" customFormat="1" ht="25.5" customHeight="1" x14ac:dyDescent="0.2">
      <c r="A747" s="8"/>
      <c r="B747" s="803" t="s">
        <v>1213</v>
      </c>
      <c r="C747" s="804"/>
      <c r="D747" s="804"/>
      <c r="E747" s="804"/>
      <c r="F747" s="804"/>
      <c r="G747" s="805"/>
      <c r="H747" s="8"/>
      <c r="I747" s="14">
        <f>SUM(I713:I746)-0.05</f>
        <v>2657.75</v>
      </c>
      <c r="J747" s="15">
        <f>SUM(J713:J746)-0.07</f>
        <v>3391.02</v>
      </c>
    </row>
    <row r="748" spans="1:10" s="1" customFormat="1" ht="25.5" customHeight="1" x14ac:dyDescent="0.2">
      <c r="A748" s="8"/>
      <c r="B748" s="9" t="s">
        <v>1214</v>
      </c>
      <c r="C748" s="808" t="s">
        <v>1215</v>
      </c>
      <c r="D748" s="809"/>
      <c r="E748" s="8"/>
      <c r="F748" s="8"/>
      <c r="G748" s="8"/>
      <c r="H748" s="8"/>
      <c r="I748" s="8"/>
      <c r="J748" s="8"/>
    </row>
    <row r="749" spans="1:10" s="1" customFormat="1" ht="25.5" customHeight="1" x14ac:dyDescent="0.2">
      <c r="A749" s="8"/>
      <c r="B749" s="9" t="s">
        <v>1216</v>
      </c>
      <c r="C749" s="808" t="s">
        <v>1196</v>
      </c>
      <c r="D749" s="820"/>
      <c r="E749" s="820"/>
      <c r="F749" s="820"/>
      <c r="G749" s="820"/>
      <c r="H749" s="820"/>
      <c r="I749" s="809"/>
      <c r="J749" s="8"/>
    </row>
    <row r="750" spans="1:10" s="1" customFormat="1" ht="25.5" customHeight="1" x14ac:dyDescent="0.2">
      <c r="A750" s="27" t="s">
        <v>78</v>
      </c>
      <c r="B750" s="21">
        <v>45658</v>
      </c>
      <c r="C750" s="806" t="s">
        <v>1217</v>
      </c>
      <c r="D750" s="807"/>
      <c r="E750" s="11" t="s">
        <v>102</v>
      </c>
      <c r="F750" s="12">
        <v>8</v>
      </c>
      <c r="G750" s="12">
        <v>95.52</v>
      </c>
      <c r="H750" s="12">
        <v>121.87</v>
      </c>
      <c r="I750" s="13">
        <f t="shared" ref="I750:I762" si="66">F750*G750</f>
        <v>764.16</v>
      </c>
      <c r="J750" s="13">
        <f t="shared" ref="J750:J762" si="67">F750*H750</f>
        <v>974.96</v>
      </c>
    </row>
    <row r="751" spans="1:10" s="1" customFormat="1" ht="25.5" customHeight="1" x14ac:dyDescent="0.2">
      <c r="A751" s="22" t="s">
        <v>308</v>
      </c>
      <c r="B751" s="21">
        <v>45659</v>
      </c>
      <c r="C751" s="806" t="s">
        <v>1218</v>
      </c>
      <c r="D751" s="807"/>
      <c r="E751" s="11" t="s">
        <v>102</v>
      </c>
      <c r="F751" s="12">
        <v>8</v>
      </c>
      <c r="G751" s="12">
        <v>9.93</v>
      </c>
      <c r="H751" s="12">
        <v>12.67</v>
      </c>
      <c r="I751" s="13">
        <f t="shared" si="66"/>
        <v>79.44</v>
      </c>
      <c r="J751" s="13">
        <f t="shared" si="67"/>
        <v>101.36</v>
      </c>
    </row>
    <row r="752" spans="1:10" s="1" customFormat="1" ht="25.5" customHeight="1" x14ac:dyDescent="0.2">
      <c r="A752" s="22" t="s">
        <v>308</v>
      </c>
      <c r="B752" s="21">
        <v>45660</v>
      </c>
      <c r="C752" s="806" t="s">
        <v>1219</v>
      </c>
      <c r="D752" s="807"/>
      <c r="E752" s="11" t="s">
        <v>102</v>
      </c>
      <c r="F752" s="12">
        <v>2</v>
      </c>
      <c r="G752" s="12">
        <v>12.71</v>
      </c>
      <c r="H752" s="12">
        <v>16.22</v>
      </c>
      <c r="I752" s="13">
        <f t="shared" si="66"/>
        <v>25.42</v>
      </c>
      <c r="J752" s="13">
        <f t="shared" si="67"/>
        <v>32.44</v>
      </c>
    </row>
    <row r="753" spans="1:11" s="1" customFormat="1" ht="25.5" customHeight="1" x14ac:dyDescent="0.2">
      <c r="A753" s="22" t="s">
        <v>308</v>
      </c>
      <c r="B753" s="21">
        <v>45661</v>
      </c>
      <c r="C753" s="806" t="s">
        <v>1220</v>
      </c>
      <c r="D753" s="807"/>
      <c r="E753" s="11" t="s">
        <v>102</v>
      </c>
      <c r="F753" s="12">
        <v>5</v>
      </c>
      <c r="G753" s="12">
        <v>150</v>
      </c>
      <c r="H753" s="12">
        <v>191.39</v>
      </c>
      <c r="I753" s="13">
        <f t="shared" si="66"/>
        <v>750</v>
      </c>
      <c r="J753" s="13">
        <f t="shared" si="67"/>
        <v>956.94999999999993</v>
      </c>
    </row>
    <row r="754" spans="1:11" s="1" customFormat="1" ht="25.5" customHeight="1" x14ac:dyDescent="0.2">
      <c r="A754" s="22" t="s">
        <v>308</v>
      </c>
      <c r="B754" s="21">
        <v>45662</v>
      </c>
      <c r="C754" s="806" t="s">
        <v>1221</v>
      </c>
      <c r="D754" s="807"/>
      <c r="E754" s="11" t="s">
        <v>102</v>
      </c>
      <c r="F754" s="12">
        <v>38</v>
      </c>
      <c r="G754" s="12">
        <v>59.9</v>
      </c>
      <c r="H754" s="12">
        <v>76.430000000000007</v>
      </c>
      <c r="I754" s="13">
        <f t="shared" si="66"/>
        <v>2276.1999999999998</v>
      </c>
      <c r="J754" s="13">
        <f t="shared" si="67"/>
        <v>2904.34</v>
      </c>
    </row>
    <row r="755" spans="1:11" s="1" customFormat="1" ht="25.5" customHeight="1" x14ac:dyDescent="0.2">
      <c r="A755" s="22" t="s">
        <v>308</v>
      </c>
      <c r="B755" s="21">
        <v>45663</v>
      </c>
      <c r="C755" s="806" t="s">
        <v>1222</v>
      </c>
      <c r="D755" s="807"/>
      <c r="E755" s="11" t="s">
        <v>102</v>
      </c>
      <c r="F755" s="12">
        <v>2</v>
      </c>
      <c r="G755" s="12">
        <v>219</v>
      </c>
      <c r="H755" s="12">
        <v>279.42</v>
      </c>
      <c r="I755" s="13">
        <f t="shared" si="66"/>
        <v>438</v>
      </c>
      <c r="J755" s="13">
        <f t="shared" si="67"/>
        <v>558.84</v>
      </c>
    </row>
    <row r="756" spans="1:11" s="1" customFormat="1" ht="25.5" customHeight="1" x14ac:dyDescent="0.2">
      <c r="A756" s="22" t="s">
        <v>308</v>
      </c>
      <c r="B756" s="21">
        <v>45664</v>
      </c>
      <c r="C756" s="806" t="s">
        <v>1223</v>
      </c>
      <c r="D756" s="807"/>
      <c r="E756" s="11" t="s">
        <v>102</v>
      </c>
      <c r="F756" s="12">
        <v>9</v>
      </c>
      <c r="G756" s="12">
        <v>19.3</v>
      </c>
      <c r="H756" s="12">
        <v>24.62</v>
      </c>
      <c r="I756" s="13">
        <f t="shared" si="66"/>
        <v>173.70000000000002</v>
      </c>
      <c r="J756" s="13">
        <f t="shared" si="67"/>
        <v>221.58</v>
      </c>
    </row>
    <row r="757" spans="1:11" s="1" customFormat="1" ht="25.5" customHeight="1" x14ac:dyDescent="0.2">
      <c r="A757" s="22" t="s">
        <v>308</v>
      </c>
      <c r="B757" s="21">
        <v>45665</v>
      </c>
      <c r="C757" s="806" t="s">
        <v>1224</v>
      </c>
      <c r="D757" s="807"/>
      <c r="E757" s="11" t="s">
        <v>102</v>
      </c>
      <c r="F757" s="12">
        <v>8</v>
      </c>
      <c r="G757" s="12">
        <v>19.3</v>
      </c>
      <c r="H757" s="12">
        <v>24.62</v>
      </c>
      <c r="I757" s="13">
        <f t="shared" si="66"/>
        <v>154.4</v>
      </c>
      <c r="J757" s="13">
        <f t="shared" si="67"/>
        <v>196.96</v>
      </c>
    </row>
    <row r="758" spans="1:11" s="1" customFormat="1" ht="25.5" customHeight="1" x14ac:dyDescent="0.2">
      <c r="A758" s="22" t="s">
        <v>308</v>
      </c>
      <c r="B758" s="21">
        <v>45666</v>
      </c>
      <c r="C758" s="806" t="s">
        <v>1225</v>
      </c>
      <c r="D758" s="807"/>
      <c r="E758" s="11" t="s">
        <v>102</v>
      </c>
      <c r="F758" s="12">
        <v>8</v>
      </c>
      <c r="G758" s="12">
        <v>9.9</v>
      </c>
      <c r="H758" s="12">
        <v>12.63</v>
      </c>
      <c r="I758" s="13">
        <f t="shared" si="66"/>
        <v>79.2</v>
      </c>
      <c r="J758" s="13">
        <f t="shared" si="67"/>
        <v>101.04</v>
      </c>
    </row>
    <row r="759" spans="1:11" s="1" customFormat="1" ht="25.5" customHeight="1" x14ac:dyDescent="0.2">
      <c r="A759" s="22" t="s">
        <v>308</v>
      </c>
      <c r="B759" s="34">
        <v>40203</v>
      </c>
      <c r="C759" s="806" t="s">
        <v>1226</v>
      </c>
      <c r="D759" s="807"/>
      <c r="E759" s="11" t="s">
        <v>102</v>
      </c>
      <c r="F759" s="12">
        <v>1</v>
      </c>
      <c r="G759" s="12">
        <v>11.57</v>
      </c>
      <c r="H759" s="12">
        <v>14.76</v>
      </c>
      <c r="I759" s="13">
        <f t="shared" si="66"/>
        <v>11.57</v>
      </c>
      <c r="J759" s="13">
        <f t="shared" si="67"/>
        <v>14.76</v>
      </c>
    </row>
    <row r="760" spans="1:11" s="1" customFormat="1" ht="25.5" customHeight="1" x14ac:dyDescent="0.2">
      <c r="A760" s="19">
        <v>38061</v>
      </c>
      <c r="B760" s="34">
        <v>40568</v>
      </c>
      <c r="C760" s="806" t="s">
        <v>1227</v>
      </c>
      <c r="D760" s="807"/>
      <c r="E760" s="11" t="s">
        <v>102</v>
      </c>
      <c r="F760" s="12">
        <v>1</v>
      </c>
      <c r="G760" s="12">
        <v>39.15</v>
      </c>
      <c r="H760" s="12">
        <v>49.95</v>
      </c>
      <c r="I760" s="13">
        <f t="shared" si="66"/>
        <v>39.15</v>
      </c>
      <c r="J760" s="13">
        <f t="shared" si="67"/>
        <v>49.95</v>
      </c>
    </row>
    <row r="761" spans="1:11" s="1" customFormat="1" ht="25.5" customHeight="1" x14ac:dyDescent="0.2">
      <c r="A761" s="19">
        <v>38061</v>
      </c>
      <c r="B761" s="34">
        <v>40933</v>
      </c>
      <c r="C761" s="806" t="s">
        <v>1228</v>
      </c>
      <c r="D761" s="807"/>
      <c r="E761" s="11" t="s">
        <v>102</v>
      </c>
      <c r="F761" s="12">
        <v>1</v>
      </c>
      <c r="G761" s="12">
        <v>39.15</v>
      </c>
      <c r="H761" s="12">
        <v>49.95</v>
      </c>
      <c r="I761" s="13">
        <f t="shared" si="66"/>
        <v>39.15</v>
      </c>
      <c r="J761" s="13">
        <f t="shared" si="67"/>
        <v>49.95</v>
      </c>
    </row>
    <row r="762" spans="1:11" s="1" customFormat="1" ht="25.5" customHeight="1" x14ac:dyDescent="0.2">
      <c r="A762" s="19">
        <v>38061</v>
      </c>
      <c r="B762" s="34">
        <v>41299</v>
      </c>
      <c r="C762" s="806" t="s">
        <v>1229</v>
      </c>
      <c r="D762" s="807"/>
      <c r="E762" s="11" t="s">
        <v>102</v>
      </c>
      <c r="F762" s="12">
        <v>8</v>
      </c>
      <c r="G762" s="12">
        <v>39.15</v>
      </c>
      <c r="H762" s="12">
        <v>49.95</v>
      </c>
      <c r="I762" s="13">
        <f t="shared" si="66"/>
        <v>313.2</v>
      </c>
      <c r="J762" s="13">
        <f t="shared" si="67"/>
        <v>399.6</v>
      </c>
    </row>
    <row r="763" spans="1:11" s="1" customFormat="1" ht="25.5" customHeight="1" x14ac:dyDescent="0.2">
      <c r="A763" s="8"/>
      <c r="B763" s="803" t="s">
        <v>1230</v>
      </c>
      <c r="C763" s="804"/>
      <c r="D763" s="804"/>
      <c r="E763" s="804"/>
      <c r="F763" s="804"/>
      <c r="G763" s="805"/>
      <c r="H763" s="8"/>
      <c r="I763" s="14">
        <f>SUM(I750:I762)-0.02</f>
        <v>5143.569999999997</v>
      </c>
      <c r="J763" s="15">
        <f>SUM(J750:J762)-0.05</f>
        <v>6562.68</v>
      </c>
    </row>
    <row r="764" spans="1:11" s="1" customFormat="1" ht="25.5" customHeight="1" x14ac:dyDescent="0.2">
      <c r="A764" s="8"/>
      <c r="B764" s="821"/>
      <c r="C764" s="825"/>
      <c r="D764" s="825"/>
      <c r="E764" s="825"/>
      <c r="F764" s="825"/>
      <c r="G764" s="825"/>
      <c r="H764" s="825"/>
      <c r="I764" s="822"/>
      <c r="J764" s="8"/>
    </row>
    <row r="765" spans="1:11" s="1" customFormat="1" ht="25.5" customHeight="1" x14ac:dyDescent="0.2">
      <c r="A765" s="8"/>
      <c r="B765" s="9" t="s">
        <v>1231</v>
      </c>
      <c r="C765" s="808" t="s">
        <v>1232</v>
      </c>
      <c r="D765" s="809"/>
      <c r="E765" s="8"/>
      <c r="F765" s="8"/>
      <c r="G765" s="8"/>
      <c r="H765" s="8"/>
      <c r="I765" s="8"/>
      <c r="J765" s="8"/>
    </row>
    <row r="766" spans="1:11" s="1" customFormat="1" ht="25.5" customHeight="1" x14ac:dyDescent="0.2">
      <c r="A766" s="19">
        <v>9537</v>
      </c>
      <c r="B766" s="11" t="s">
        <v>1233</v>
      </c>
      <c r="C766" s="806" t="s">
        <v>1234</v>
      </c>
      <c r="D766" s="807"/>
      <c r="E766" s="11" t="s">
        <v>14</v>
      </c>
      <c r="F766" s="13">
        <v>1118.48</v>
      </c>
      <c r="G766" s="12">
        <v>1.89</v>
      </c>
      <c r="H766" s="12">
        <v>2.41</v>
      </c>
      <c r="I766" s="13">
        <f>F766*G766</f>
        <v>2113.9272000000001</v>
      </c>
      <c r="J766" s="13">
        <f>F766*H766</f>
        <v>2695.5368000000003</v>
      </c>
    </row>
    <row r="767" spans="1:11" s="1" customFormat="1" ht="25.5" customHeight="1" x14ac:dyDescent="0.2">
      <c r="A767" s="8"/>
      <c r="B767" s="803" t="s">
        <v>1235</v>
      </c>
      <c r="C767" s="804"/>
      <c r="D767" s="804"/>
      <c r="E767" s="804"/>
      <c r="F767" s="804"/>
      <c r="G767" s="805"/>
      <c r="H767" s="8"/>
      <c r="I767" s="14">
        <f>SUM(I766)</f>
        <v>2113.9272000000001</v>
      </c>
      <c r="J767" s="15">
        <f>SUM(J766)+1.62</f>
        <v>2697.1568000000002</v>
      </c>
      <c r="K767" s="49"/>
    </row>
    <row r="768" spans="1:11" s="1" customFormat="1" ht="25.5" customHeight="1" x14ac:dyDescent="0.2">
      <c r="A768" s="8"/>
      <c r="B768" s="821"/>
      <c r="C768" s="825"/>
      <c r="D768" s="825"/>
      <c r="E768" s="825"/>
      <c r="F768" s="825"/>
      <c r="G768" s="825"/>
      <c r="H768" s="825"/>
      <c r="I768" s="822"/>
      <c r="J768" s="8"/>
    </row>
    <row r="769" spans="1:10" s="1" customFormat="1" ht="25.5" customHeight="1" x14ac:dyDescent="0.2">
      <c r="A769" s="8"/>
      <c r="B769" s="9" t="s">
        <v>1236</v>
      </c>
      <c r="C769" s="808" t="s">
        <v>1237</v>
      </c>
      <c r="D769" s="809"/>
      <c r="E769" s="8"/>
      <c r="F769" s="8"/>
      <c r="G769" s="8"/>
      <c r="H769" s="8"/>
      <c r="I769" s="8"/>
      <c r="J769" s="8"/>
    </row>
    <row r="770" spans="1:10" s="1" customFormat="1" ht="25.5" customHeight="1" x14ac:dyDescent="0.2">
      <c r="A770" s="8"/>
      <c r="B770" s="9" t="s">
        <v>1238</v>
      </c>
      <c r="C770" s="808" t="s">
        <v>1239</v>
      </c>
      <c r="D770" s="809"/>
      <c r="E770" s="8"/>
      <c r="F770" s="8"/>
      <c r="G770" s="8"/>
      <c r="H770" s="8"/>
      <c r="I770" s="8"/>
      <c r="J770" s="8"/>
    </row>
    <row r="771" spans="1:10" s="1" customFormat="1" ht="25.5" customHeight="1" x14ac:dyDescent="0.2">
      <c r="A771" s="19">
        <v>96523</v>
      </c>
      <c r="B771" s="21">
        <v>46388</v>
      </c>
      <c r="C771" s="806" t="s">
        <v>1240</v>
      </c>
      <c r="D771" s="807"/>
      <c r="E771" s="11" t="s">
        <v>14</v>
      </c>
      <c r="F771" s="12">
        <v>43.47</v>
      </c>
      <c r="G771" s="12">
        <v>59.37</v>
      </c>
      <c r="H771" s="12">
        <v>75.75</v>
      </c>
      <c r="I771" s="13">
        <f t="shared" ref="I771:I783" si="68">F771*G771</f>
        <v>2580.8138999999996</v>
      </c>
      <c r="J771" s="13">
        <f t="shared" ref="J771:J783" si="69">F771*H771</f>
        <v>3292.8525</v>
      </c>
    </row>
    <row r="772" spans="1:10" s="1" customFormat="1" ht="25.5" customHeight="1" x14ac:dyDescent="0.2">
      <c r="A772" s="19">
        <v>96616</v>
      </c>
      <c r="B772" s="21">
        <v>46389</v>
      </c>
      <c r="C772" s="806" t="s">
        <v>1241</v>
      </c>
      <c r="D772" s="807"/>
      <c r="E772" s="16" t="s">
        <v>171</v>
      </c>
      <c r="F772" s="12">
        <v>2.0699999999999998</v>
      </c>
      <c r="G772" s="12">
        <v>395.1</v>
      </c>
      <c r="H772" s="12">
        <v>504.11</v>
      </c>
      <c r="I772" s="13">
        <f t="shared" si="68"/>
        <v>817.85699999999997</v>
      </c>
      <c r="J772" s="13">
        <f t="shared" si="69"/>
        <v>1043.5076999999999</v>
      </c>
    </row>
    <row r="773" spans="1:10" s="1" customFormat="1" ht="25.5" customHeight="1" x14ac:dyDescent="0.2">
      <c r="A773" s="19">
        <v>95592</v>
      </c>
      <c r="B773" s="21">
        <v>46390</v>
      </c>
      <c r="C773" s="806" t="s">
        <v>1242</v>
      </c>
      <c r="D773" s="807"/>
      <c r="E773" s="11" t="s">
        <v>35</v>
      </c>
      <c r="F773" s="13">
        <v>1051.68</v>
      </c>
      <c r="G773" s="12">
        <v>12.22</v>
      </c>
      <c r="H773" s="12">
        <v>15.59</v>
      </c>
      <c r="I773" s="13">
        <f t="shared" si="68"/>
        <v>12851.529600000002</v>
      </c>
      <c r="J773" s="13">
        <f t="shared" si="69"/>
        <v>16395.691200000001</v>
      </c>
    </row>
    <row r="774" spans="1:10" s="1" customFormat="1" ht="25.5" customHeight="1" x14ac:dyDescent="0.2">
      <c r="A774" s="19">
        <v>95585</v>
      </c>
      <c r="B774" s="21">
        <v>46391</v>
      </c>
      <c r="C774" s="806" t="s">
        <v>1243</v>
      </c>
      <c r="D774" s="807"/>
      <c r="E774" s="11" t="s">
        <v>35</v>
      </c>
      <c r="F774" s="12">
        <v>1956.11</v>
      </c>
      <c r="G774" s="12">
        <v>7.67</v>
      </c>
      <c r="H774" s="12">
        <v>9.7799999999999994</v>
      </c>
      <c r="I774" s="13">
        <f t="shared" si="68"/>
        <v>15003.3637</v>
      </c>
      <c r="J774" s="13">
        <f t="shared" si="69"/>
        <v>19130.755799999999</v>
      </c>
    </row>
    <row r="775" spans="1:10" s="1" customFormat="1" ht="25.5" customHeight="1" x14ac:dyDescent="0.2">
      <c r="A775" s="19">
        <v>94965</v>
      </c>
      <c r="B775" s="21">
        <v>46392</v>
      </c>
      <c r="C775" s="806" t="s">
        <v>1244</v>
      </c>
      <c r="D775" s="807"/>
      <c r="E775" s="16" t="s">
        <v>171</v>
      </c>
      <c r="F775" s="12">
        <v>26.73</v>
      </c>
      <c r="G775" s="12">
        <v>302.64</v>
      </c>
      <c r="H775" s="12">
        <v>386.14</v>
      </c>
      <c r="I775" s="13">
        <f t="shared" si="68"/>
        <v>8089.5671999999995</v>
      </c>
      <c r="J775" s="13">
        <f t="shared" si="69"/>
        <v>10321.522199999999</v>
      </c>
    </row>
    <row r="776" spans="1:10" s="1" customFormat="1" ht="25.5" customHeight="1" x14ac:dyDescent="0.2">
      <c r="A776" s="19">
        <v>92873</v>
      </c>
      <c r="B776" s="21">
        <v>46393</v>
      </c>
      <c r="C776" s="806" t="s">
        <v>1245</v>
      </c>
      <c r="D776" s="807"/>
      <c r="E776" s="16" t="s">
        <v>171</v>
      </c>
      <c r="F776" s="12">
        <v>26.73</v>
      </c>
      <c r="G776" s="12">
        <v>135.94</v>
      </c>
      <c r="H776" s="12">
        <v>173.44</v>
      </c>
      <c r="I776" s="13">
        <f t="shared" si="68"/>
        <v>3633.6761999999999</v>
      </c>
      <c r="J776" s="13">
        <f t="shared" si="69"/>
        <v>4636.0511999999999</v>
      </c>
    </row>
    <row r="777" spans="1:10" s="1" customFormat="1" ht="25.5" customHeight="1" x14ac:dyDescent="0.2">
      <c r="A777" s="19">
        <v>96995</v>
      </c>
      <c r="B777" s="21">
        <v>46394</v>
      </c>
      <c r="C777" s="806" t="s">
        <v>1246</v>
      </c>
      <c r="D777" s="807"/>
      <c r="E777" s="16" t="s">
        <v>171</v>
      </c>
      <c r="F777" s="39">
        <v>41.112499999999997</v>
      </c>
      <c r="G777" s="12">
        <v>29.88</v>
      </c>
      <c r="H777" s="12">
        <v>38.119999999999997</v>
      </c>
      <c r="I777" s="13">
        <f t="shared" si="68"/>
        <v>1228.4414999999999</v>
      </c>
      <c r="J777" s="13">
        <f t="shared" si="69"/>
        <v>1567.2084999999997</v>
      </c>
    </row>
    <row r="778" spans="1:10" s="1" customFormat="1" ht="25.5" customHeight="1" x14ac:dyDescent="0.2">
      <c r="A778" s="19">
        <v>68054</v>
      </c>
      <c r="B778" s="21">
        <v>46395</v>
      </c>
      <c r="C778" s="806" t="s">
        <v>1247</v>
      </c>
      <c r="D778" s="807"/>
      <c r="E778" s="11" t="s">
        <v>14</v>
      </c>
      <c r="F778" s="40">
        <v>15.5</v>
      </c>
      <c r="G778" s="12">
        <v>181.93</v>
      </c>
      <c r="H778" s="12">
        <v>232.12</v>
      </c>
      <c r="I778" s="13">
        <f t="shared" si="68"/>
        <v>2819.915</v>
      </c>
      <c r="J778" s="13">
        <f t="shared" si="69"/>
        <v>3597.86</v>
      </c>
    </row>
    <row r="779" spans="1:10" s="1" customFormat="1" ht="25.5" customHeight="1" x14ac:dyDescent="0.2">
      <c r="A779" s="41">
        <v>87478</v>
      </c>
      <c r="B779" s="30">
        <v>46396</v>
      </c>
      <c r="C779" s="806" t="s">
        <v>1248</v>
      </c>
      <c r="D779" s="807"/>
      <c r="E779" s="31" t="s">
        <v>14</v>
      </c>
      <c r="F779" s="32">
        <v>569.25</v>
      </c>
      <c r="G779" s="32">
        <v>30.11</v>
      </c>
      <c r="H779" s="32">
        <v>38.42</v>
      </c>
      <c r="I779" s="13">
        <f t="shared" si="68"/>
        <v>17140.1175</v>
      </c>
      <c r="J779" s="13">
        <f t="shared" si="69"/>
        <v>21870.585000000003</v>
      </c>
    </row>
    <row r="780" spans="1:10" s="1" customFormat="1" ht="25.5" customHeight="1" x14ac:dyDescent="0.2">
      <c r="A780" s="27" t="s">
        <v>1249</v>
      </c>
      <c r="B780" s="34">
        <v>40205</v>
      </c>
      <c r="C780" s="806" t="s">
        <v>1250</v>
      </c>
      <c r="D780" s="807"/>
      <c r="E780" s="11" t="s">
        <v>14</v>
      </c>
      <c r="F780" s="12">
        <v>65.25</v>
      </c>
      <c r="G780" s="12">
        <v>76.17</v>
      </c>
      <c r="H780" s="12">
        <v>97.18</v>
      </c>
      <c r="I780" s="13">
        <f t="shared" si="68"/>
        <v>4970.0924999999997</v>
      </c>
      <c r="J780" s="13">
        <f t="shared" si="69"/>
        <v>6340.9950000000008</v>
      </c>
    </row>
    <row r="781" spans="1:10" s="1" customFormat="1" ht="25.5" customHeight="1" x14ac:dyDescent="0.2">
      <c r="A781" s="19">
        <v>87878</v>
      </c>
      <c r="B781" s="34">
        <v>40570</v>
      </c>
      <c r="C781" s="806" t="s">
        <v>1251</v>
      </c>
      <c r="D781" s="807"/>
      <c r="E781" s="11" t="s">
        <v>14</v>
      </c>
      <c r="F781" s="40">
        <v>1138.5</v>
      </c>
      <c r="G781" s="12">
        <v>2.97</v>
      </c>
      <c r="H781" s="12">
        <v>3.79</v>
      </c>
      <c r="I781" s="13">
        <f t="shared" si="68"/>
        <v>3381.3450000000003</v>
      </c>
      <c r="J781" s="13">
        <f t="shared" si="69"/>
        <v>4314.915</v>
      </c>
    </row>
    <row r="782" spans="1:10" s="1" customFormat="1" ht="25.5" customHeight="1" x14ac:dyDescent="0.2">
      <c r="A782" s="27" t="s">
        <v>229</v>
      </c>
      <c r="B782" s="34">
        <v>40935</v>
      </c>
      <c r="C782" s="806" t="s">
        <v>1252</v>
      </c>
      <c r="D782" s="807"/>
      <c r="E782" s="11" t="s">
        <v>14</v>
      </c>
      <c r="F782" s="40">
        <v>1138.5</v>
      </c>
      <c r="G782" s="12">
        <v>21.63</v>
      </c>
      <c r="H782" s="12">
        <v>27.59</v>
      </c>
      <c r="I782" s="13">
        <f t="shared" si="68"/>
        <v>24625.754999999997</v>
      </c>
      <c r="J782" s="13">
        <f t="shared" si="69"/>
        <v>31411.215</v>
      </c>
    </row>
    <row r="783" spans="1:10" s="1" customFormat="1" ht="25.5" customHeight="1" x14ac:dyDescent="0.2">
      <c r="A783" s="19">
        <v>88489</v>
      </c>
      <c r="B783" s="34">
        <v>41301</v>
      </c>
      <c r="C783" s="806" t="s">
        <v>1253</v>
      </c>
      <c r="D783" s="807"/>
      <c r="E783" s="11" t="s">
        <v>14</v>
      </c>
      <c r="F783" s="42">
        <v>1269</v>
      </c>
      <c r="G783" s="12">
        <v>8.41</v>
      </c>
      <c r="H783" s="12">
        <v>10.73</v>
      </c>
      <c r="I783" s="13">
        <f t="shared" si="68"/>
        <v>10672.29</v>
      </c>
      <c r="J783" s="13">
        <f t="shared" si="69"/>
        <v>13616.37</v>
      </c>
    </row>
    <row r="784" spans="1:10" s="1" customFormat="1" ht="25.5" customHeight="1" x14ac:dyDescent="0.2">
      <c r="A784" s="8"/>
      <c r="B784" s="803" t="s">
        <v>1254</v>
      </c>
      <c r="C784" s="804"/>
      <c r="D784" s="804"/>
      <c r="E784" s="804"/>
      <c r="F784" s="804"/>
      <c r="G784" s="805"/>
      <c r="H784" s="8"/>
      <c r="I784" s="18">
        <f>SUM(I771:I783)</f>
        <v>107814.7641</v>
      </c>
      <c r="J784" s="18">
        <f>SUM(J771:J783)</f>
        <v>137539.52909999999</v>
      </c>
    </row>
    <row r="785" spans="1:11" s="1" customFormat="1" ht="25.5" customHeight="1" x14ac:dyDescent="0.2">
      <c r="A785" s="8"/>
      <c r="B785" s="9" t="s">
        <v>1255</v>
      </c>
      <c r="C785" s="808" t="s">
        <v>1256</v>
      </c>
      <c r="D785" s="809"/>
      <c r="E785" s="8"/>
      <c r="F785" s="8"/>
      <c r="G785" s="8"/>
      <c r="H785" s="8"/>
      <c r="I785" s="8"/>
      <c r="J785" s="8"/>
    </row>
    <row r="786" spans="1:11" s="1" customFormat="1" ht="25.5" customHeight="1" x14ac:dyDescent="0.2">
      <c r="A786" s="19">
        <v>92398</v>
      </c>
      <c r="B786" s="30">
        <v>46419</v>
      </c>
      <c r="C786" s="806" t="s">
        <v>1257</v>
      </c>
      <c r="D786" s="807"/>
      <c r="E786" s="31" t="s">
        <v>14</v>
      </c>
      <c r="F786" s="12">
        <v>664.55</v>
      </c>
      <c r="G786" s="12">
        <v>49.08</v>
      </c>
      <c r="H786" s="12">
        <v>62.62</v>
      </c>
      <c r="I786" s="13">
        <f>F786*G786</f>
        <v>32616.113999999998</v>
      </c>
      <c r="J786" s="13">
        <f>F786*H786</f>
        <v>41614.120999999992</v>
      </c>
    </row>
    <row r="787" spans="1:11" s="1" customFormat="1" ht="25.5" customHeight="1" x14ac:dyDescent="0.2">
      <c r="A787" s="41">
        <v>94273</v>
      </c>
      <c r="B787" s="30">
        <v>46420</v>
      </c>
      <c r="C787" s="806" t="s">
        <v>1258</v>
      </c>
      <c r="D787" s="807"/>
      <c r="E787" s="31" t="s">
        <v>81</v>
      </c>
      <c r="F787" s="32">
        <v>144.55000000000001</v>
      </c>
      <c r="G787" s="32">
        <v>31.42</v>
      </c>
      <c r="H787" s="32">
        <v>40.090000000000003</v>
      </c>
      <c r="I787" s="13">
        <f>F787*G787</f>
        <v>4541.7610000000004</v>
      </c>
      <c r="J787" s="13">
        <f>F787*H787</f>
        <v>5795.009500000001</v>
      </c>
    </row>
    <row r="788" spans="1:11" s="1" customFormat="1" ht="25.5" customHeight="1" x14ac:dyDescent="0.2">
      <c r="A788" s="8"/>
      <c r="B788" s="803" t="s">
        <v>1259</v>
      </c>
      <c r="C788" s="804"/>
      <c r="D788" s="804"/>
      <c r="E788" s="804"/>
      <c r="F788" s="804"/>
      <c r="G788" s="805"/>
      <c r="H788" s="8"/>
      <c r="I788" s="18">
        <f>SUM(I786:I787)</f>
        <v>37157.875</v>
      </c>
      <c r="J788" s="18">
        <f>SUM(J786:J787)</f>
        <v>47409.130499999992</v>
      </c>
    </row>
    <row r="789" spans="1:11" s="1" customFormat="1" ht="25.5" customHeight="1" x14ac:dyDescent="0.2">
      <c r="A789" s="8"/>
      <c r="B789" s="46"/>
      <c r="C789" s="821"/>
      <c r="D789" s="822"/>
      <c r="E789" s="8"/>
      <c r="F789" s="8"/>
      <c r="G789" s="8"/>
      <c r="H789" s="8"/>
      <c r="I789" s="8"/>
      <c r="J789" s="8"/>
    </row>
    <row r="790" spans="1:11" s="1" customFormat="1" ht="25.5" customHeight="1" x14ac:dyDescent="0.2">
      <c r="A790" s="8"/>
      <c r="B790" s="46"/>
      <c r="C790" s="821"/>
      <c r="D790" s="822"/>
      <c r="E790" s="8"/>
      <c r="F790" s="8"/>
      <c r="G790" s="8"/>
      <c r="H790" s="8"/>
      <c r="I790" s="8"/>
      <c r="J790" s="8"/>
    </row>
    <row r="791" spans="1:11" s="1" customFormat="1" ht="25.5" customHeight="1" x14ac:dyDescent="0.2">
      <c r="A791" s="8"/>
      <c r="B791" s="803" t="s">
        <v>1260</v>
      </c>
      <c r="C791" s="804"/>
      <c r="D791" s="804"/>
      <c r="E791" s="804"/>
      <c r="F791" s="804"/>
      <c r="G791" s="805"/>
      <c r="H791" s="8"/>
      <c r="I791" s="14">
        <f>SUM(I784,I788)-10.32</f>
        <v>144962.31909999999</v>
      </c>
      <c r="J791" s="15">
        <f>SUM(J784,J788)+8.77</f>
        <v>184957.42959999997</v>
      </c>
      <c r="K791" s="49"/>
    </row>
    <row r="792" spans="1:11" s="1" customFormat="1" ht="25.5" customHeight="1" x14ac:dyDescent="0.2">
      <c r="A792" s="35"/>
      <c r="B792" s="803" t="s">
        <v>1261</v>
      </c>
      <c r="C792" s="804"/>
      <c r="D792" s="804"/>
      <c r="E792" s="804"/>
      <c r="F792" s="804"/>
      <c r="G792" s="805"/>
      <c r="H792" s="35"/>
      <c r="I792" s="18">
        <v>1348442.32</v>
      </c>
      <c r="J792" s="18">
        <v>1720477.55</v>
      </c>
    </row>
    <row r="793" spans="1:11" s="1" customFormat="1" ht="25.5" customHeight="1" x14ac:dyDescent="0.2">
      <c r="A793" s="806" t="s">
        <v>0</v>
      </c>
      <c r="B793" s="810"/>
      <c r="C793" s="810"/>
      <c r="D793" s="807"/>
      <c r="E793" s="806" t="s">
        <v>1278</v>
      </c>
      <c r="F793" s="810"/>
      <c r="G793" s="810"/>
      <c r="H793" s="810"/>
      <c r="I793" s="810"/>
      <c r="J793" s="807"/>
    </row>
    <row r="794" spans="1:11" s="1" customFormat="1" ht="25.5" customHeight="1" x14ac:dyDescent="0.2">
      <c r="A794" s="811" t="s">
        <v>2</v>
      </c>
      <c r="B794" s="812"/>
      <c r="C794" s="813">
        <v>25080</v>
      </c>
      <c r="D794" s="814"/>
      <c r="E794" s="2" t="s">
        <v>3</v>
      </c>
      <c r="F794" s="815">
        <v>0.27589999999999998</v>
      </c>
      <c r="G794" s="816"/>
      <c r="H794" s="816"/>
      <c r="I794" s="816"/>
      <c r="J794" s="817"/>
    </row>
    <row r="795" spans="1:11" s="1" customFormat="1" ht="25.5" customHeight="1" x14ac:dyDescent="0.2">
      <c r="A795" s="3" t="s">
        <v>166</v>
      </c>
      <c r="B795" s="4" t="s">
        <v>4</v>
      </c>
      <c r="C795" s="818" t="s">
        <v>5</v>
      </c>
      <c r="D795" s="819"/>
      <c r="E795" s="5" t="s">
        <v>6</v>
      </c>
      <c r="F795" s="5" t="s">
        <v>7</v>
      </c>
      <c r="G795" s="7" t="s">
        <v>1279</v>
      </c>
      <c r="H795" s="7" t="s">
        <v>168</v>
      </c>
      <c r="I795" s="6" t="s">
        <v>169</v>
      </c>
      <c r="J795" s="6" t="s">
        <v>170</v>
      </c>
    </row>
    <row r="796" spans="1:11" s="1" customFormat="1" ht="25.5" customHeight="1" x14ac:dyDescent="0.2">
      <c r="A796" s="8"/>
      <c r="B796" s="9" t="s">
        <v>8</v>
      </c>
      <c r="C796" s="808" t="s">
        <v>9</v>
      </c>
      <c r="D796" s="809"/>
      <c r="E796" s="8"/>
      <c r="F796" s="8"/>
      <c r="G796" s="8"/>
      <c r="H796" s="8"/>
      <c r="I796" s="8"/>
      <c r="J796" s="8"/>
    </row>
    <row r="797" spans="1:11" s="1" customFormat="1" ht="25.5" customHeight="1" x14ac:dyDescent="0.2">
      <c r="A797" s="8"/>
      <c r="B797" s="9" t="s">
        <v>10</v>
      </c>
      <c r="C797" s="808" t="s">
        <v>11</v>
      </c>
      <c r="D797" s="809"/>
      <c r="E797" s="8"/>
      <c r="F797" s="8"/>
      <c r="G797" s="8"/>
      <c r="H797" s="8"/>
      <c r="I797" s="8"/>
      <c r="J797" s="8"/>
    </row>
    <row r="798" spans="1:11" s="1" customFormat="1" ht="25.5" customHeight="1" x14ac:dyDescent="0.2">
      <c r="A798" s="10">
        <v>93207</v>
      </c>
      <c r="B798" s="11" t="s">
        <v>12</v>
      </c>
      <c r="C798" s="806" t="s">
        <v>13</v>
      </c>
      <c r="D798" s="807"/>
      <c r="E798" s="11" t="s">
        <v>14</v>
      </c>
      <c r="F798" s="12">
        <v>25.41</v>
      </c>
      <c r="G798" s="12">
        <v>597.70000000000005</v>
      </c>
      <c r="H798" s="12">
        <v>762.6</v>
      </c>
      <c r="I798" s="13">
        <f>F798*G798</f>
        <v>15187.557000000001</v>
      </c>
      <c r="J798" s="13">
        <f>F798*H798</f>
        <v>19377.666000000001</v>
      </c>
    </row>
    <row r="799" spans="1:11" s="1" customFormat="1" ht="25.5" customHeight="1" x14ac:dyDescent="0.2">
      <c r="A799" s="11" t="s">
        <v>15</v>
      </c>
      <c r="B799" s="11" t="s">
        <v>16</v>
      </c>
      <c r="C799" s="806" t="s">
        <v>17</v>
      </c>
      <c r="D799" s="807"/>
      <c r="E799" s="11" t="s">
        <v>14</v>
      </c>
      <c r="F799" s="12">
        <v>3</v>
      </c>
      <c r="G799" s="12">
        <v>256.73</v>
      </c>
      <c r="H799" s="12">
        <v>327.57</v>
      </c>
      <c r="I799" s="13">
        <f>F799*G799</f>
        <v>770.19</v>
      </c>
      <c r="J799" s="13">
        <f>F799*H799</f>
        <v>982.71</v>
      </c>
    </row>
    <row r="800" spans="1:11" s="1" customFormat="1" ht="25.5" customHeight="1" x14ac:dyDescent="0.2">
      <c r="A800" s="10">
        <v>92235</v>
      </c>
      <c r="B800" s="11" t="s">
        <v>18</v>
      </c>
      <c r="C800" s="806" t="s">
        <v>19</v>
      </c>
      <c r="D800" s="807"/>
      <c r="E800" s="11" t="s">
        <v>14</v>
      </c>
      <c r="F800" s="12">
        <v>650</v>
      </c>
      <c r="G800" s="12">
        <v>49.62</v>
      </c>
      <c r="H800" s="12">
        <v>63.31</v>
      </c>
      <c r="I800" s="13">
        <f>F800*G800</f>
        <v>32253</v>
      </c>
      <c r="J800" s="13">
        <f>F800*H800</f>
        <v>41151.5</v>
      </c>
    </row>
    <row r="801" spans="1:11" s="1" customFormat="1" ht="25.5" customHeight="1" x14ac:dyDescent="0.2">
      <c r="A801" s="11" t="s">
        <v>20</v>
      </c>
      <c r="B801" s="11" t="s">
        <v>21</v>
      </c>
      <c r="C801" s="806" t="s">
        <v>22</v>
      </c>
      <c r="D801" s="807"/>
      <c r="E801" s="11" t="s">
        <v>23</v>
      </c>
      <c r="F801" s="12">
        <v>385.84</v>
      </c>
      <c r="G801" s="12">
        <v>5.2</v>
      </c>
      <c r="H801" s="12">
        <v>6.64</v>
      </c>
      <c r="I801" s="13">
        <f>F801*G801</f>
        <v>2006.3679999999999</v>
      </c>
      <c r="J801" s="13">
        <f>F801*H801</f>
        <v>2561.9775999999997</v>
      </c>
    </row>
    <row r="802" spans="1:11" s="1" customFormat="1" ht="25.5" customHeight="1" x14ac:dyDescent="0.2">
      <c r="A802" s="8"/>
      <c r="B802" s="803" t="s">
        <v>24</v>
      </c>
      <c r="C802" s="804"/>
      <c r="D802" s="804"/>
      <c r="E802" s="804"/>
      <c r="F802" s="804"/>
      <c r="G802" s="805"/>
      <c r="H802" s="8"/>
      <c r="I802" s="14">
        <f>SUM(I798:I801)-1.2</f>
        <v>50215.915000000008</v>
      </c>
      <c r="J802" s="15">
        <f>SUM(J798:J801)-3.35</f>
        <v>64070.503600000004</v>
      </c>
      <c r="K802" s="49"/>
    </row>
    <row r="803" spans="1:11" s="1" customFormat="1" ht="25.5" customHeight="1" x14ac:dyDescent="0.2">
      <c r="A803" s="8"/>
      <c r="B803" s="9" t="s">
        <v>25</v>
      </c>
      <c r="C803" s="808" t="s">
        <v>26</v>
      </c>
      <c r="D803" s="809"/>
      <c r="E803" s="8"/>
      <c r="F803" s="8"/>
      <c r="G803" s="8"/>
      <c r="H803" s="8"/>
      <c r="I803" s="8"/>
      <c r="J803" s="8"/>
    </row>
    <row r="804" spans="1:11" s="1" customFormat="1" ht="25.5" customHeight="1" x14ac:dyDescent="0.2">
      <c r="A804" s="8"/>
      <c r="B804" s="9" t="s">
        <v>27</v>
      </c>
      <c r="C804" s="808" t="s">
        <v>1262</v>
      </c>
      <c r="D804" s="809"/>
      <c r="E804" s="8"/>
      <c r="F804" s="8"/>
      <c r="G804" s="8"/>
      <c r="H804" s="8"/>
      <c r="I804" s="8"/>
      <c r="J804" s="8"/>
    </row>
    <row r="805" spans="1:11" s="1" customFormat="1" ht="25.5" customHeight="1" x14ac:dyDescent="0.2">
      <c r="A805" s="10">
        <v>94965</v>
      </c>
      <c r="B805" s="11" t="s">
        <v>29</v>
      </c>
      <c r="C805" s="806" t="s">
        <v>30</v>
      </c>
      <c r="D805" s="807"/>
      <c r="E805" s="16" t="s">
        <v>171</v>
      </c>
      <c r="F805" s="12">
        <v>7.82</v>
      </c>
      <c r="G805" s="12">
        <v>302.64</v>
      </c>
      <c r="H805" s="12">
        <v>386.14</v>
      </c>
      <c r="I805" s="13">
        <f>F805*G805</f>
        <v>2366.6448</v>
      </c>
      <c r="J805" s="13">
        <f>F805*H805</f>
        <v>3019.6147999999998</v>
      </c>
    </row>
    <row r="806" spans="1:11" s="1" customFormat="1" ht="25.5" customHeight="1" x14ac:dyDescent="0.2">
      <c r="A806" s="10">
        <v>92873</v>
      </c>
      <c r="B806" s="11" t="s">
        <v>31</v>
      </c>
      <c r="C806" s="806" t="s">
        <v>32</v>
      </c>
      <c r="D806" s="807"/>
      <c r="E806" s="16" t="s">
        <v>171</v>
      </c>
      <c r="F806" s="12">
        <v>7.82</v>
      </c>
      <c r="G806" s="12">
        <v>135.94</v>
      </c>
      <c r="H806" s="12">
        <v>173.44</v>
      </c>
      <c r="I806" s="13">
        <f>F806*G806</f>
        <v>1063.0508</v>
      </c>
      <c r="J806" s="13">
        <f>F806*H806</f>
        <v>1356.3008</v>
      </c>
    </row>
    <row r="807" spans="1:11" s="1" customFormat="1" ht="25.5" customHeight="1" x14ac:dyDescent="0.2">
      <c r="A807" s="10">
        <v>92762</v>
      </c>
      <c r="B807" s="11" t="s">
        <v>33</v>
      </c>
      <c r="C807" s="806" t="s">
        <v>34</v>
      </c>
      <c r="D807" s="807"/>
      <c r="E807" s="11" t="s">
        <v>35</v>
      </c>
      <c r="F807" s="12">
        <v>106.97</v>
      </c>
      <c r="G807" s="12">
        <v>5.86</v>
      </c>
      <c r="H807" s="12">
        <v>7.48</v>
      </c>
      <c r="I807" s="13">
        <f>F807*G807</f>
        <v>626.8442</v>
      </c>
      <c r="J807" s="13">
        <f>F807*H807</f>
        <v>800.13560000000007</v>
      </c>
    </row>
    <row r="808" spans="1:11" s="1" customFormat="1" ht="25.5" customHeight="1" x14ac:dyDescent="0.2">
      <c r="A808" s="10">
        <v>96523</v>
      </c>
      <c r="B808" s="11" t="s">
        <v>36</v>
      </c>
      <c r="C808" s="806" t="s">
        <v>37</v>
      </c>
      <c r="D808" s="807"/>
      <c r="E808" s="16" t="s">
        <v>171</v>
      </c>
      <c r="F808" s="12">
        <v>17.05</v>
      </c>
      <c r="G808" s="12">
        <v>59.37</v>
      </c>
      <c r="H808" s="12">
        <v>75.75</v>
      </c>
      <c r="I808" s="13">
        <f>F808*G808</f>
        <v>1012.2585</v>
      </c>
      <c r="J808" s="13">
        <f>F808*H808</f>
        <v>1291.5375000000001</v>
      </c>
    </row>
    <row r="809" spans="1:11" s="1" customFormat="1" ht="25.5" customHeight="1" x14ac:dyDescent="0.2">
      <c r="A809" s="8"/>
      <c r="B809" s="9" t="s">
        <v>1263</v>
      </c>
      <c r="C809" s="808" t="s">
        <v>28</v>
      </c>
      <c r="D809" s="809"/>
      <c r="E809" s="8"/>
      <c r="F809" s="8"/>
      <c r="G809" s="8"/>
      <c r="H809" s="8"/>
      <c r="I809" s="8"/>
      <c r="J809" s="8"/>
    </row>
    <row r="810" spans="1:11" s="1" customFormat="1" ht="25.5" customHeight="1" x14ac:dyDescent="0.2">
      <c r="A810" s="10">
        <v>94965</v>
      </c>
      <c r="B810" s="11" t="s">
        <v>1264</v>
      </c>
      <c r="C810" s="806" t="s">
        <v>30</v>
      </c>
      <c r="D810" s="807"/>
      <c r="E810" s="16" t="s">
        <v>171</v>
      </c>
      <c r="F810" s="12">
        <v>6.16</v>
      </c>
      <c r="G810" s="12">
        <v>302.64</v>
      </c>
      <c r="H810" s="12">
        <v>386.14</v>
      </c>
      <c r="I810" s="13">
        <f>F810*G810</f>
        <v>1864.2624000000001</v>
      </c>
      <c r="J810" s="13">
        <f>F810*H810</f>
        <v>2378.6224000000002</v>
      </c>
    </row>
    <row r="811" spans="1:11" s="1" customFormat="1" ht="25.5" customHeight="1" x14ac:dyDescent="0.2">
      <c r="A811" s="10">
        <v>92873</v>
      </c>
      <c r="B811" s="11" t="s">
        <v>1265</v>
      </c>
      <c r="C811" s="806" t="s">
        <v>32</v>
      </c>
      <c r="D811" s="807"/>
      <c r="E811" s="16" t="s">
        <v>171</v>
      </c>
      <c r="F811" s="12">
        <v>6.16</v>
      </c>
      <c r="G811" s="12">
        <v>135.94</v>
      </c>
      <c r="H811" s="12">
        <v>173.44</v>
      </c>
      <c r="I811" s="13">
        <f>F811*G811</f>
        <v>837.3904</v>
      </c>
      <c r="J811" s="13">
        <f>F811*H811</f>
        <v>1068.3904</v>
      </c>
    </row>
    <row r="812" spans="1:11" s="1" customFormat="1" ht="25.5" customHeight="1" x14ac:dyDescent="0.2">
      <c r="A812" s="10">
        <v>92762</v>
      </c>
      <c r="B812" s="11" t="s">
        <v>1266</v>
      </c>
      <c r="C812" s="806" t="s">
        <v>34</v>
      </c>
      <c r="D812" s="807"/>
      <c r="E812" s="11" t="s">
        <v>35</v>
      </c>
      <c r="F812" s="12">
        <v>296</v>
      </c>
      <c r="G812" s="12">
        <v>5.86</v>
      </c>
      <c r="H812" s="12">
        <v>7.48</v>
      </c>
      <c r="I812" s="13">
        <f>F812*G812</f>
        <v>1734.5600000000002</v>
      </c>
      <c r="J812" s="13">
        <f>F812*H812</f>
        <v>2214.08</v>
      </c>
    </row>
    <row r="813" spans="1:11" s="1" customFormat="1" ht="25.5" customHeight="1" x14ac:dyDescent="0.2">
      <c r="A813" s="10">
        <v>96523</v>
      </c>
      <c r="B813" s="11" t="s">
        <v>1267</v>
      </c>
      <c r="C813" s="806" t="s">
        <v>37</v>
      </c>
      <c r="D813" s="807"/>
      <c r="E813" s="16" t="s">
        <v>171</v>
      </c>
      <c r="F813" s="12">
        <v>88</v>
      </c>
      <c r="G813" s="12">
        <v>59.37</v>
      </c>
      <c r="H813" s="12">
        <v>75.75</v>
      </c>
      <c r="I813" s="13">
        <f>F813*G813</f>
        <v>5224.5599999999995</v>
      </c>
      <c r="J813" s="13">
        <f>F813*H813</f>
        <v>6666</v>
      </c>
    </row>
    <row r="814" spans="1:11" s="1" customFormat="1" ht="25.5" customHeight="1" x14ac:dyDescent="0.2">
      <c r="A814" s="8"/>
      <c r="B814" s="803" t="s">
        <v>38</v>
      </c>
      <c r="C814" s="804"/>
      <c r="D814" s="804"/>
      <c r="E814" s="804"/>
      <c r="F814" s="804"/>
      <c r="G814" s="805"/>
      <c r="H814" s="8"/>
      <c r="I814" s="14">
        <f>SUM(I805:I813)-0.1</f>
        <v>14729.471099999999</v>
      </c>
      <c r="J814" s="15">
        <f>SUM(J805:J813)-1.35</f>
        <v>18793.3315</v>
      </c>
      <c r="K814" s="49"/>
    </row>
    <row r="815" spans="1:11" s="1" customFormat="1" ht="25.5" customHeight="1" x14ac:dyDescent="0.2">
      <c r="A815" s="8"/>
      <c r="B815" s="9" t="s">
        <v>39</v>
      </c>
      <c r="C815" s="808" t="s">
        <v>40</v>
      </c>
      <c r="D815" s="809"/>
      <c r="E815" s="8"/>
      <c r="F815" s="8"/>
      <c r="G815" s="8"/>
      <c r="H815" s="8"/>
      <c r="I815" s="8"/>
      <c r="J815" s="8"/>
    </row>
    <row r="816" spans="1:11" s="1" customFormat="1" ht="25.5" customHeight="1" x14ac:dyDescent="0.2">
      <c r="A816" s="8"/>
      <c r="B816" s="9" t="s">
        <v>41</v>
      </c>
      <c r="C816" s="808" t="s">
        <v>42</v>
      </c>
      <c r="D816" s="809"/>
      <c r="E816" s="8"/>
      <c r="F816" s="8"/>
      <c r="G816" s="8"/>
      <c r="H816" s="8"/>
      <c r="I816" s="8"/>
      <c r="J816" s="8"/>
    </row>
    <row r="817" spans="1:10" s="1" customFormat="1" ht="25.5" customHeight="1" x14ac:dyDescent="0.2">
      <c r="A817" s="10">
        <v>92265</v>
      </c>
      <c r="B817" s="11" t="s">
        <v>43</v>
      </c>
      <c r="C817" s="806" t="s">
        <v>44</v>
      </c>
      <c r="D817" s="807"/>
      <c r="E817" s="11" t="s">
        <v>14</v>
      </c>
      <c r="F817" s="12">
        <v>142.72</v>
      </c>
      <c r="G817" s="12">
        <v>60.66</v>
      </c>
      <c r="H817" s="12">
        <v>77.400000000000006</v>
      </c>
      <c r="I817" s="13">
        <f>F817*G817</f>
        <v>8657.395199999999</v>
      </c>
      <c r="J817" s="13">
        <f>F817*H817</f>
        <v>11046.528</v>
      </c>
    </row>
    <row r="818" spans="1:10" s="1" customFormat="1" ht="25.5" customHeight="1" x14ac:dyDescent="0.2">
      <c r="A818" s="10">
        <v>92762</v>
      </c>
      <c r="B818" s="11" t="s">
        <v>45</v>
      </c>
      <c r="C818" s="806" t="s">
        <v>46</v>
      </c>
      <c r="D818" s="807"/>
      <c r="E818" s="11" t="s">
        <v>35</v>
      </c>
      <c r="F818" s="12">
        <v>884.82</v>
      </c>
      <c r="G818" s="12">
        <v>5.86</v>
      </c>
      <c r="H818" s="12">
        <v>7.48</v>
      </c>
      <c r="I818" s="13">
        <f>F818*G818</f>
        <v>5185.0452000000005</v>
      </c>
      <c r="J818" s="13">
        <f>F818*H818</f>
        <v>6618.4536000000007</v>
      </c>
    </row>
    <row r="819" spans="1:10" s="1" customFormat="1" ht="25.5" customHeight="1" x14ac:dyDescent="0.2">
      <c r="A819" s="10">
        <v>94965</v>
      </c>
      <c r="B819" s="11" t="s">
        <v>47</v>
      </c>
      <c r="C819" s="806" t="s">
        <v>30</v>
      </c>
      <c r="D819" s="807"/>
      <c r="E819" s="11" t="s">
        <v>48</v>
      </c>
      <c r="F819" s="12">
        <v>10.88</v>
      </c>
      <c r="G819" s="12">
        <v>302.64</v>
      </c>
      <c r="H819" s="12">
        <v>386.14</v>
      </c>
      <c r="I819" s="13">
        <f>F819*G819</f>
        <v>3292.7231999999999</v>
      </c>
      <c r="J819" s="13">
        <f>F819*H819</f>
        <v>4201.2031999999999</v>
      </c>
    </row>
    <row r="820" spans="1:10" s="1" customFormat="1" ht="25.5" customHeight="1" x14ac:dyDescent="0.2">
      <c r="A820" s="10">
        <v>92873</v>
      </c>
      <c r="B820" s="11" t="s">
        <v>49</v>
      </c>
      <c r="C820" s="806" t="s">
        <v>32</v>
      </c>
      <c r="D820" s="807"/>
      <c r="E820" s="11" t="s">
        <v>48</v>
      </c>
      <c r="F820" s="12">
        <v>10.88</v>
      </c>
      <c r="G820" s="12">
        <v>135.94</v>
      </c>
      <c r="H820" s="12">
        <v>173.44</v>
      </c>
      <c r="I820" s="13">
        <f>F820*G820</f>
        <v>1479.0272</v>
      </c>
      <c r="J820" s="13">
        <f>F820*H820</f>
        <v>1887.0272000000002</v>
      </c>
    </row>
    <row r="821" spans="1:10" s="1" customFormat="1" ht="25.5" customHeight="1" x14ac:dyDescent="0.2">
      <c r="A821" s="8"/>
      <c r="B821" s="9" t="s">
        <v>50</v>
      </c>
      <c r="C821" s="808" t="s">
        <v>51</v>
      </c>
      <c r="D821" s="809"/>
      <c r="E821" s="8"/>
      <c r="F821" s="8"/>
      <c r="G821" s="8"/>
      <c r="H821" s="8"/>
      <c r="I821" s="8"/>
      <c r="J821" s="8"/>
    </row>
    <row r="822" spans="1:10" s="1" customFormat="1" ht="25.5" customHeight="1" x14ac:dyDescent="0.2">
      <c r="A822" s="10">
        <v>92265</v>
      </c>
      <c r="B822" s="11" t="s">
        <v>52</v>
      </c>
      <c r="C822" s="806" t="s">
        <v>44</v>
      </c>
      <c r="D822" s="807"/>
      <c r="E822" s="11" t="s">
        <v>14</v>
      </c>
      <c r="F822" s="12">
        <v>721.28</v>
      </c>
      <c r="G822" s="12">
        <v>60.66</v>
      </c>
      <c r="H822" s="12">
        <v>77.400000000000006</v>
      </c>
      <c r="I822" s="13">
        <f>F822*G822</f>
        <v>43752.844799999999</v>
      </c>
      <c r="J822" s="13">
        <f>F822*H822</f>
        <v>55827.072</v>
      </c>
    </row>
    <row r="823" spans="1:10" s="1" customFormat="1" ht="25.5" customHeight="1" x14ac:dyDescent="0.2">
      <c r="A823" s="10">
        <v>92762</v>
      </c>
      <c r="B823" s="11" t="s">
        <v>53</v>
      </c>
      <c r="C823" s="806" t="s">
        <v>46</v>
      </c>
      <c r="D823" s="807"/>
      <c r="E823" s="11" t="s">
        <v>35</v>
      </c>
      <c r="F823" s="13">
        <v>2439.4499999999998</v>
      </c>
      <c r="G823" s="12">
        <v>5.86</v>
      </c>
      <c r="H823" s="12">
        <v>7.48</v>
      </c>
      <c r="I823" s="13">
        <f>F823*G823</f>
        <v>14295.177</v>
      </c>
      <c r="J823" s="13">
        <f>F823*H823</f>
        <v>18247.085999999999</v>
      </c>
    </row>
    <row r="824" spans="1:10" s="1" customFormat="1" ht="25.5" customHeight="1" x14ac:dyDescent="0.2">
      <c r="A824" s="10">
        <v>94965</v>
      </c>
      <c r="B824" s="11" t="s">
        <v>54</v>
      </c>
      <c r="C824" s="806" t="s">
        <v>30</v>
      </c>
      <c r="D824" s="807"/>
      <c r="E824" s="11" t="s">
        <v>48</v>
      </c>
      <c r="F824" s="12">
        <v>45.07</v>
      </c>
      <c r="G824" s="12">
        <v>302.64</v>
      </c>
      <c r="H824" s="12">
        <v>386.14</v>
      </c>
      <c r="I824" s="13">
        <f>F824*G824</f>
        <v>13639.9848</v>
      </c>
      <c r="J824" s="13">
        <f>F824*H824</f>
        <v>17403.3298</v>
      </c>
    </row>
    <row r="825" spans="1:10" s="1" customFormat="1" ht="25.5" customHeight="1" x14ac:dyDescent="0.2">
      <c r="A825" s="10">
        <v>92873</v>
      </c>
      <c r="B825" s="11" t="s">
        <v>55</v>
      </c>
      <c r="C825" s="806" t="s">
        <v>32</v>
      </c>
      <c r="D825" s="807"/>
      <c r="E825" s="11" t="s">
        <v>48</v>
      </c>
      <c r="F825" s="12">
        <v>45.07</v>
      </c>
      <c r="G825" s="12">
        <v>135.94</v>
      </c>
      <c r="H825" s="12">
        <v>173.44</v>
      </c>
      <c r="I825" s="13">
        <f>F825*G825</f>
        <v>6126.8158000000003</v>
      </c>
      <c r="J825" s="13">
        <f>F825*H825</f>
        <v>7816.9408000000003</v>
      </c>
    </row>
    <row r="826" spans="1:10" s="1" customFormat="1" ht="25.5" customHeight="1" x14ac:dyDescent="0.2">
      <c r="A826" s="8"/>
      <c r="B826" s="9" t="s">
        <v>56</v>
      </c>
      <c r="C826" s="808" t="s">
        <v>57</v>
      </c>
      <c r="D826" s="809"/>
      <c r="E826" s="8"/>
      <c r="F826" s="8"/>
      <c r="G826" s="8"/>
      <c r="H826" s="8"/>
      <c r="I826" s="8"/>
      <c r="J826" s="8"/>
    </row>
    <row r="827" spans="1:10" s="1" customFormat="1" ht="25.5" customHeight="1" x14ac:dyDescent="0.2">
      <c r="A827" s="11" t="s">
        <v>58</v>
      </c>
      <c r="B827" s="11" t="s">
        <v>59</v>
      </c>
      <c r="C827" s="806" t="s">
        <v>60</v>
      </c>
      <c r="D827" s="807"/>
      <c r="E827" s="11" t="s">
        <v>14</v>
      </c>
      <c r="F827" s="13">
        <v>1036</v>
      </c>
      <c r="G827" s="12">
        <v>62.75</v>
      </c>
      <c r="H827" s="12">
        <v>80.06</v>
      </c>
      <c r="I827" s="13">
        <f>F827*G827</f>
        <v>65009</v>
      </c>
      <c r="J827" s="13">
        <f>F827*H827</f>
        <v>82942.16</v>
      </c>
    </row>
    <row r="828" spans="1:10" s="1" customFormat="1" ht="25.5" customHeight="1" x14ac:dyDescent="0.2">
      <c r="A828" s="10">
        <v>92763</v>
      </c>
      <c r="B828" s="11" t="s">
        <v>61</v>
      </c>
      <c r="C828" s="806" t="s">
        <v>62</v>
      </c>
      <c r="D828" s="807"/>
      <c r="E828" s="11" t="s">
        <v>35</v>
      </c>
      <c r="F828" s="13">
        <v>3423</v>
      </c>
      <c r="G828" s="12">
        <v>5.22</v>
      </c>
      <c r="H828" s="12">
        <v>6.66</v>
      </c>
      <c r="I828" s="13">
        <f>F828*G828</f>
        <v>17868.059999999998</v>
      </c>
      <c r="J828" s="13">
        <f>F828*H828</f>
        <v>22797.18</v>
      </c>
    </row>
    <row r="829" spans="1:10" s="1" customFormat="1" ht="25.5" customHeight="1" x14ac:dyDescent="0.2">
      <c r="A829" s="10">
        <v>94965</v>
      </c>
      <c r="B829" s="11" t="s">
        <v>63</v>
      </c>
      <c r="C829" s="806" t="s">
        <v>30</v>
      </c>
      <c r="D829" s="807"/>
      <c r="E829" s="11" t="s">
        <v>48</v>
      </c>
      <c r="F829" s="12">
        <v>47.9</v>
      </c>
      <c r="G829" s="12">
        <v>302.64</v>
      </c>
      <c r="H829" s="12">
        <v>386.14</v>
      </c>
      <c r="I829" s="13">
        <f>F829*G829</f>
        <v>14496.455999999998</v>
      </c>
      <c r="J829" s="13">
        <f>F829*H829</f>
        <v>18496.106</v>
      </c>
    </row>
    <row r="830" spans="1:10" s="1" customFormat="1" ht="25.5" customHeight="1" x14ac:dyDescent="0.2">
      <c r="A830" s="10">
        <v>92873</v>
      </c>
      <c r="B830" s="11" t="s">
        <v>64</v>
      </c>
      <c r="C830" s="806" t="s">
        <v>32</v>
      </c>
      <c r="D830" s="807"/>
      <c r="E830" s="11" t="s">
        <v>48</v>
      </c>
      <c r="F830" s="12">
        <v>47.9</v>
      </c>
      <c r="G830" s="12">
        <v>135.94</v>
      </c>
      <c r="H830" s="12">
        <v>173.44</v>
      </c>
      <c r="I830" s="13">
        <f>F830*G830</f>
        <v>6511.5259999999998</v>
      </c>
      <c r="J830" s="13">
        <f>F830*H830</f>
        <v>8307.7759999999998</v>
      </c>
    </row>
    <row r="831" spans="1:10" s="1" customFormat="1" ht="25.5" customHeight="1" x14ac:dyDescent="0.2">
      <c r="A831" s="8"/>
      <c r="B831" s="9" t="s">
        <v>65</v>
      </c>
      <c r="C831" s="808" t="s">
        <v>66</v>
      </c>
      <c r="D831" s="809"/>
      <c r="E831" s="8"/>
      <c r="F831" s="8"/>
      <c r="G831" s="8"/>
      <c r="H831" s="8"/>
      <c r="I831" s="8"/>
      <c r="J831" s="8"/>
    </row>
    <row r="832" spans="1:10" s="1" customFormat="1" ht="25.5" customHeight="1" x14ac:dyDescent="0.2">
      <c r="A832" s="10">
        <v>92265</v>
      </c>
      <c r="B832" s="11" t="s">
        <v>67</v>
      </c>
      <c r="C832" s="806" t="s">
        <v>44</v>
      </c>
      <c r="D832" s="807"/>
      <c r="E832" s="11" t="s">
        <v>14</v>
      </c>
      <c r="F832" s="12">
        <v>370.9</v>
      </c>
      <c r="G832" s="12">
        <v>60.66</v>
      </c>
      <c r="H832" s="12">
        <v>77.400000000000006</v>
      </c>
      <c r="I832" s="13">
        <f>F832*G832</f>
        <v>22498.793999999998</v>
      </c>
      <c r="J832" s="13">
        <f>F832*H832</f>
        <v>28707.66</v>
      </c>
    </row>
    <row r="833" spans="1:11" s="1" customFormat="1" ht="25.5" customHeight="1" x14ac:dyDescent="0.2">
      <c r="A833" s="10">
        <v>92762</v>
      </c>
      <c r="B833" s="11" t="s">
        <v>68</v>
      </c>
      <c r="C833" s="806" t="s">
        <v>46</v>
      </c>
      <c r="D833" s="807"/>
      <c r="E833" s="11" t="s">
        <v>35</v>
      </c>
      <c r="F833" s="13">
        <v>6724.2</v>
      </c>
      <c r="G833" s="12">
        <v>5.86</v>
      </c>
      <c r="H833" s="12">
        <v>7.48</v>
      </c>
      <c r="I833" s="13">
        <f>F833*G833</f>
        <v>39403.811999999998</v>
      </c>
      <c r="J833" s="13">
        <f>F833*H833</f>
        <v>50297.016000000003</v>
      </c>
    </row>
    <row r="834" spans="1:11" s="1" customFormat="1" ht="25.5" customHeight="1" x14ac:dyDescent="0.2">
      <c r="A834" s="10">
        <v>94965</v>
      </c>
      <c r="B834" s="11" t="s">
        <v>69</v>
      </c>
      <c r="C834" s="806" t="s">
        <v>30</v>
      </c>
      <c r="D834" s="807"/>
      <c r="E834" s="11" t="s">
        <v>48</v>
      </c>
      <c r="F834" s="12">
        <v>35.9</v>
      </c>
      <c r="G834" s="12">
        <v>302.64</v>
      </c>
      <c r="H834" s="12">
        <v>386.14</v>
      </c>
      <c r="I834" s="13">
        <f>F834*G834</f>
        <v>10864.776</v>
      </c>
      <c r="J834" s="13">
        <f>F834*H834</f>
        <v>13862.425999999999</v>
      </c>
    </row>
    <row r="835" spans="1:11" s="1" customFormat="1" ht="25.5" customHeight="1" x14ac:dyDescent="0.2">
      <c r="A835" s="10">
        <v>92873</v>
      </c>
      <c r="B835" s="11" t="s">
        <v>70</v>
      </c>
      <c r="C835" s="806" t="s">
        <v>32</v>
      </c>
      <c r="D835" s="807"/>
      <c r="E835" s="11" t="s">
        <v>48</v>
      </c>
      <c r="F835" s="12">
        <v>35.9</v>
      </c>
      <c r="G835" s="12">
        <v>135.94</v>
      </c>
      <c r="H835" s="12">
        <v>173.44</v>
      </c>
      <c r="I835" s="13">
        <f>F835*G835</f>
        <v>4880.2460000000001</v>
      </c>
      <c r="J835" s="13">
        <f>F835*H835</f>
        <v>6226.4960000000001</v>
      </c>
    </row>
    <row r="836" spans="1:11" s="1" customFormat="1" ht="25.5" customHeight="1" x14ac:dyDescent="0.2">
      <c r="A836" s="8"/>
      <c r="B836" s="803" t="s">
        <v>71</v>
      </c>
      <c r="C836" s="804"/>
      <c r="D836" s="804"/>
      <c r="E836" s="804"/>
      <c r="F836" s="804"/>
      <c r="G836" s="805"/>
      <c r="H836" s="8"/>
      <c r="I836" s="14">
        <f>SUM(I817:I835)-13.12</f>
        <v>277948.56319999998</v>
      </c>
      <c r="J836" s="15">
        <f>SUM(J817:J835)-49.9</f>
        <v>354634.56059999997</v>
      </c>
      <c r="K836" s="49"/>
    </row>
    <row r="837" spans="1:11" s="1" customFormat="1" ht="25.5" customHeight="1" x14ac:dyDescent="0.2">
      <c r="A837" s="8"/>
      <c r="B837" s="9" t="s">
        <v>72</v>
      </c>
      <c r="C837" s="808" t="s">
        <v>73</v>
      </c>
      <c r="D837" s="809"/>
      <c r="E837" s="8"/>
      <c r="F837" s="8"/>
      <c r="G837" s="8"/>
      <c r="H837" s="8"/>
      <c r="I837" s="8"/>
      <c r="J837" s="8"/>
    </row>
    <row r="838" spans="1:11" s="1" customFormat="1" ht="25.5" customHeight="1" x14ac:dyDescent="0.2">
      <c r="A838" s="8"/>
      <c r="B838" s="11" t="s">
        <v>74</v>
      </c>
      <c r="C838" s="808" t="s">
        <v>75</v>
      </c>
      <c r="D838" s="809"/>
      <c r="E838" s="8"/>
      <c r="F838" s="8"/>
      <c r="G838" s="8"/>
      <c r="H838" s="8"/>
      <c r="I838" s="8"/>
      <c r="J838" s="8"/>
    </row>
    <row r="839" spans="1:11" s="1" customFormat="1" ht="25.5" customHeight="1" x14ac:dyDescent="0.2">
      <c r="A839" s="10">
        <v>87479</v>
      </c>
      <c r="B839" s="11" t="s">
        <v>76</v>
      </c>
      <c r="C839" s="806" t="s">
        <v>77</v>
      </c>
      <c r="D839" s="807"/>
      <c r="E839" s="11" t="s">
        <v>14</v>
      </c>
      <c r="F839" s="12">
        <v>153.47</v>
      </c>
      <c r="G839" s="12">
        <v>41.64</v>
      </c>
      <c r="H839" s="12">
        <v>53.13</v>
      </c>
      <c r="I839" s="13">
        <f t="shared" ref="I839:I845" si="70">F839*G839</f>
        <v>6390.4908000000005</v>
      </c>
      <c r="J839" s="13">
        <f t="shared" ref="J839:J845" si="71">F839*H839</f>
        <v>8153.8611000000001</v>
      </c>
    </row>
    <row r="840" spans="1:11" s="1" customFormat="1" ht="25.5" customHeight="1" x14ac:dyDescent="0.2">
      <c r="A840" s="11" t="s">
        <v>78</v>
      </c>
      <c r="B840" s="11" t="s">
        <v>79</v>
      </c>
      <c r="C840" s="806" t="s">
        <v>80</v>
      </c>
      <c r="D840" s="807"/>
      <c r="E840" s="11" t="s">
        <v>81</v>
      </c>
      <c r="F840" s="12">
        <v>32.5</v>
      </c>
      <c r="G840" s="12">
        <v>7.91</v>
      </c>
      <c r="H840" s="12">
        <v>10.09</v>
      </c>
      <c r="I840" s="13">
        <f t="shared" si="70"/>
        <v>257.07499999999999</v>
      </c>
      <c r="J840" s="13">
        <f t="shared" si="71"/>
        <v>327.92500000000001</v>
      </c>
    </row>
    <row r="841" spans="1:11" s="1" customFormat="1" ht="25.5" customHeight="1" x14ac:dyDescent="0.2">
      <c r="A841" s="11" t="s">
        <v>82</v>
      </c>
      <c r="B841" s="11" t="s">
        <v>83</v>
      </c>
      <c r="C841" s="806" t="s">
        <v>84</v>
      </c>
      <c r="D841" s="807"/>
      <c r="E841" s="11" t="s">
        <v>14</v>
      </c>
      <c r="F841" s="12">
        <v>27.15</v>
      </c>
      <c r="G841" s="12">
        <v>53.52</v>
      </c>
      <c r="H841" s="12">
        <v>68.290000000000006</v>
      </c>
      <c r="I841" s="13">
        <f t="shared" si="70"/>
        <v>1453.068</v>
      </c>
      <c r="J841" s="13">
        <f t="shared" si="71"/>
        <v>1854.0735</v>
      </c>
    </row>
    <row r="842" spans="1:11" s="1" customFormat="1" ht="25.5" customHeight="1" x14ac:dyDescent="0.2">
      <c r="A842" s="11" t="s">
        <v>85</v>
      </c>
      <c r="B842" s="11" t="s">
        <v>86</v>
      </c>
      <c r="C842" s="806" t="s">
        <v>87</v>
      </c>
      <c r="D842" s="807"/>
      <c r="E842" s="11" t="s">
        <v>14</v>
      </c>
      <c r="F842" s="12">
        <v>45.99</v>
      </c>
      <c r="G842" s="12">
        <v>203.72</v>
      </c>
      <c r="H842" s="12">
        <v>259.93</v>
      </c>
      <c r="I842" s="13">
        <f t="shared" si="70"/>
        <v>9369.0828000000001</v>
      </c>
      <c r="J842" s="13">
        <f t="shared" si="71"/>
        <v>11954.180700000001</v>
      </c>
    </row>
    <row r="843" spans="1:11" s="1" customFormat="1" ht="25.5" customHeight="1" x14ac:dyDescent="0.2">
      <c r="A843" s="11" t="s">
        <v>88</v>
      </c>
      <c r="B843" s="11" t="s">
        <v>89</v>
      </c>
      <c r="C843" s="806" t="s">
        <v>90</v>
      </c>
      <c r="D843" s="807"/>
      <c r="E843" s="11" t="s">
        <v>14</v>
      </c>
      <c r="F843" s="12">
        <v>52.74</v>
      </c>
      <c r="G843" s="12">
        <v>310.44</v>
      </c>
      <c r="H843" s="12">
        <v>396.09</v>
      </c>
      <c r="I843" s="13">
        <f t="shared" si="70"/>
        <v>16372.605600000001</v>
      </c>
      <c r="J843" s="13">
        <f t="shared" si="71"/>
        <v>20889.786599999999</v>
      </c>
    </row>
    <row r="844" spans="1:11" s="1" customFormat="1" ht="25.5" customHeight="1" x14ac:dyDescent="0.2">
      <c r="A844" s="10">
        <v>93187</v>
      </c>
      <c r="B844" s="11" t="s">
        <v>91</v>
      </c>
      <c r="C844" s="806" t="s">
        <v>92</v>
      </c>
      <c r="D844" s="807"/>
      <c r="E844" s="11" t="s">
        <v>81</v>
      </c>
      <c r="F844" s="12">
        <v>228</v>
      </c>
      <c r="G844" s="12">
        <v>52.6</v>
      </c>
      <c r="H844" s="12">
        <v>67.11</v>
      </c>
      <c r="I844" s="13">
        <f t="shared" si="70"/>
        <v>11992.800000000001</v>
      </c>
      <c r="J844" s="13">
        <f t="shared" si="71"/>
        <v>15301.08</v>
      </c>
    </row>
    <row r="845" spans="1:11" s="1" customFormat="1" ht="25.5" customHeight="1" x14ac:dyDescent="0.2">
      <c r="A845" s="10">
        <v>93197</v>
      </c>
      <c r="B845" s="11" t="s">
        <v>93</v>
      </c>
      <c r="C845" s="806" t="s">
        <v>94</v>
      </c>
      <c r="D845" s="807"/>
      <c r="E845" s="11" t="s">
        <v>81</v>
      </c>
      <c r="F845" s="12">
        <v>101.36</v>
      </c>
      <c r="G845" s="12">
        <v>49.48</v>
      </c>
      <c r="H845" s="12">
        <v>63.13</v>
      </c>
      <c r="I845" s="13">
        <f t="shared" si="70"/>
        <v>5015.2927999999993</v>
      </c>
      <c r="J845" s="13">
        <f t="shared" si="71"/>
        <v>6398.8568000000005</v>
      </c>
    </row>
    <row r="846" spans="1:11" s="1" customFormat="1" ht="25.5" customHeight="1" x14ac:dyDescent="0.2">
      <c r="A846" s="8"/>
      <c r="B846" s="803" t="s">
        <v>95</v>
      </c>
      <c r="C846" s="804"/>
      <c r="D846" s="804"/>
      <c r="E846" s="804"/>
      <c r="F846" s="804"/>
      <c r="G846" s="805"/>
      <c r="H846" s="8"/>
      <c r="I846" s="14">
        <f>SUM(I839:I845)-0.28</f>
        <v>50850.135000000009</v>
      </c>
      <c r="J846" s="15">
        <f>SUM(J839:J845)-0.07</f>
        <v>64879.693700000003</v>
      </c>
    </row>
    <row r="847" spans="1:11" s="1" customFormat="1" ht="25.5" customHeight="1" x14ac:dyDescent="0.2">
      <c r="A847" s="8"/>
      <c r="B847" s="9" t="s">
        <v>96</v>
      </c>
      <c r="C847" s="808" t="s">
        <v>97</v>
      </c>
      <c r="D847" s="809"/>
      <c r="E847" s="8"/>
      <c r="F847" s="8"/>
      <c r="G847" s="8"/>
      <c r="H847" s="8"/>
      <c r="I847" s="8"/>
      <c r="J847" s="8"/>
    </row>
    <row r="848" spans="1:11" s="1" customFormat="1" ht="25.5" customHeight="1" x14ac:dyDescent="0.2">
      <c r="A848" s="8"/>
      <c r="B848" s="11" t="s">
        <v>98</v>
      </c>
      <c r="C848" s="808" t="s">
        <v>99</v>
      </c>
      <c r="D848" s="809"/>
      <c r="E848" s="8"/>
      <c r="F848" s="8"/>
      <c r="G848" s="8"/>
      <c r="H848" s="8"/>
      <c r="I848" s="8"/>
      <c r="J848" s="8"/>
    </row>
    <row r="849" spans="1:10" s="1" customFormat="1" ht="25.5" customHeight="1" x14ac:dyDescent="0.2">
      <c r="A849" s="10">
        <v>90822</v>
      </c>
      <c r="B849" s="11" t="s">
        <v>100</v>
      </c>
      <c r="C849" s="806" t="s">
        <v>101</v>
      </c>
      <c r="D849" s="807"/>
      <c r="E849" s="11" t="s">
        <v>102</v>
      </c>
      <c r="F849" s="12">
        <v>14</v>
      </c>
      <c r="G849" s="12">
        <v>329.55</v>
      </c>
      <c r="H849" s="12">
        <v>420.47</v>
      </c>
      <c r="I849" s="13">
        <f t="shared" ref="I849:I855" si="72">F849*G849</f>
        <v>4613.7</v>
      </c>
      <c r="J849" s="13">
        <f t="shared" ref="J849:J855" si="73">F849*H849</f>
        <v>5886.58</v>
      </c>
    </row>
    <row r="850" spans="1:10" s="1" customFormat="1" ht="25.5" customHeight="1" x14ac:dyDescent="0.2">
      <c r="A850" s="11" t="s">
        <v>78</v>
      </c>
      <c r="B850" s="11" t="s">
        <v>103</v>
      </c>
      <c r="C850" s="806" t="s">
        <v>104</v>
      </c>
      <c r="D850" s="807"/>
      <c r="E850" s="11" t="s">
        <v>102</v>
      </c>
      <c r="F850" s="12">
        <v>4</v>
      </c>
      <c r="G850" s="12">
        <v>395.46</v>
      </c>
      <c r="H850" s="12">
        <v>504.57</v>
      </c>
      <c r="I850" s="13">
        <f t="shared" si="72"/>
        <v>1581.84</v>
      </c>
      <c r="J850" s="13">
        <f t="shared" si="73"/>
        <v>2018.28</v>
      </c>
    </row>
    <row r="851" spans="1:10" s="1" customFormat="1" ht="25.5" customHeight="1" x14ac:dyDescent="0.2">
      <c r="A851" s="11" t="s">
        <v>78</v>
      </c>
      <c r="B851" s="11" t="s">
        <v>105</v>
      </c>
      <c r="C851" s="806" t="s">
        <v>106</v>
      </c>
      <c r="D851" s="807"/>
      <c r="E851" s="11" t="s">
        <v>102</v>
      </c>
      <c r="F851" s="12">
        <v>14</v>
      </c>
      <c r="G851" s="12">
        <v>222.6</v>
      </c>
      <c r="H851" s="12">
        <v>284.02</v>
      </c>
      <c r="I851" s="13">
        <f t="shared" si="72"/>
        <v>3116.4</v>
      </c>
      <c r="J851" s="13">
        <f t="shared" si="73"/>
        <v>3976.2799999999997</v>
      </c>
    </row>
    <row r="852" spans="1:10" s="1" customFormat="1" ht="25.5" customHeight="1" x14ac:dyDescent="0.2">
      <c r="A852" s="11" t="s">
        <v>78</v>
      </c>
      <c r="B852" s="11" t="s">
        <v>107</v>
      </c>
      <c r="C852" s="806" t="s">
        <v>108</v>
      </c>
      <c r="D852" s="807"/>
      <c r="E852" s="11" t="s">
        <v>102</v>
      </c>
      <c r="F852" s="12">
        <v>6</v>
      </c>
      <c r="G852" s="12">
        <v>222.6</v>
      </c>
      <c r="H852" s="12">
        <v>284.02</v>
      </c>
      <c r="I852" s="13">
        <f t="shared" si="72"/>
        <v>1335.6</v>
      </c>
      <c r="J852" s="13">
        <f t="shared" si="73"/>
        <v>1704.12</v>
      </c>
    </row>
    <row r="853" spans="1:10" s="1" customFormat="1" ht="25.5" customHeight="1" x14ac:dyDescent="0.2">
      <c r="A853" s="10">
        <v>90820</v>
      </c>
      <c r="B853" s="11" t="s">
        <v>109</v>
      </c>
      <c r="C853" s="806" t="s">
        <v>110</v>
      </c>
      <c r="D853" s="807"/>
      <c r="E853" s="11" t="s">
        <v>102</v>
      </c>
      <c r="F853" s="12">
        <v>4</v>
      </c>
      <c r="G853" s="12">
        <v>308.93</v>
      </c>
      <c r="H853" s="12">
        <v>394.16</v>
      </c>
      <c r="I853" s="13">
        <f t="shared" si="72"/>
        <v>1235.72</v>
      </c>
      <c r="J853" s="13">
        <f t="shared" si="73"/>
        <v>1576.64</v>
      </c>
    </row>
    <row r="854" spans="1:10" s="1" customFormat="1" ht="25.5" customHeight="1" x14ac:dyDescent="0.2">
      <c r="A854" s="11" t="s">
        <v>78</v>
      </c>
      <c r="B854" s="11" t="s">
        <v>111</v>
      </c>
      <c r="C854" s="806" t="s">
        <v>112</v>
      </c>
      <c r="D854" s="807"/>
      <c r="E854" s="11" t="s">
        <v>102</v>
      </c>
      <c r="F854" s="12">
        <v>18</v>
      </c>
      <c r="G854" s="12">
        <v>378.98</v>
      </c>
      <c r="H854" s="12">
        <v>483.54</v>
      </c>
      <c r="I854" s="13">
        <f t="shared" si="72"/>
        <v>6821.64</v>
      </c>
      <c r="J854" s="13">
        <f t="shared" si="73"/>
        <v>8703.7200000000012</v>
      </c>
    </row>
    <row r="855" spans="1:10" s="1" customFormat="1" ht="25.5" customHeight="1" x14ac:dyDescent="0.2">
      <c r="A855" s="11" t="s">
        <v>78</v>
      </c>
      <c r="B855" s="11" t="s">
        <v>113</v>
      </c>
      <c r="C855" s="806" t="s">
        <v>114</v>
      </c>
      <c r="D855" s="807"/>
      <c r="E855" s="11" t="s">
        <v>102</v>
      </c>
      <c r="F855" s="12">
        <v>6</v>
      </c>
      <c r="G855" s="12">
        <v>421.82</v>
      </c>
      <c r="H855" s="12">
        <v>538.20000000000005</v>
      </c>
      <c r="I855" s="13">
        <f t="shared" si="72"/>
        <v>2530.92</v>
      </c>
      <c r="J855" s="13">
        <f t="shared" si="73"/>
        <v>3229.2000000000003</v>
      </c>
    </row>
    <row r="856" spans="1:10" s="1" customFormat="1" ht="25.5" customHeight="1" x14ac:dyDescent="0.2">
      <c r="A856" s="8"/>
      <c r="B856" s="803" t="s">
        <v>115</v>
      </c>
      <c r="C856" s="804"/>
      <c r="D856" s="804"/>
      <c r="E856" s="804"/>
      <c r="F856" s="804"/>
      <c r="G856" s="805"/>
      <c r="H856" s="8"/>
      <c r="I856" s="18">
        <f>SUM(I849:I855)</f>
        <v>21235.82</v>
      </c>
      <c r="J856" s="18">
        <f>SUM(J849:J855)</f>
        <v>27094.82</v>
      </c>
    </row>
    <row r="857" spans="1:10" s="1" customFormat="1" ht="25.5" customHeight="1" x14ac:dyDescent="0.2">
      <c r="A857" s="8"/>
      <c r="B857" s="9" t="s">
        <v>116</v>
      </c>
      <c r="C857" s="808" t="s">
        <v>117</v>
      </c>
      <c r="D857" s="820"/>
      <c r="E857" s="820"/>
      <c r="F857" s="820"/>
      <c r="G857" s="820"/>
      <c r="H857" s="820"/>
      <c r="I857" s="809"/>
      <c r="J857" s="8"/>
    </row>
    <row r="858" spans="1:10" s="1" customFormat="1" ht="25.5" customHeight="1" x14ac:dyDescent="0.2">
      <c r="A858" s="8"/>
      <c r="B858" s="9" t="s">
        <v>118</v>
      </c>
      <c r="C858" s="808" t="s">
        <v>119</v>
      </c>
      <c r="D858" s="809"/>
      <c r="E858" s="8"/>
      <c r="F858" s="8"/>
      <c r="G858" s="8"/>
      <c r="H858" s="8"/>
      <c r="I858" s="8"/>
      <c r="J858" s="8"/>
    </row>
    <row r="859" spans="1:10" s="1" customFormat="1" ht="25.5" customHeight="1" x14ac:dyDescent="0.2">
      <c r="A859" s="11" t="s">
        <v>120</v>
      </c>
      <c r="B859" s="11" t="s">
        <v>121</v>
      </c>
      <c r="C859" s="806" t="s">
        <v>122</v>
      </c>
      <c r="D859" s="807"/>
      <c r="E859" s="11" t="s">
        <v>102</v>
      </c>
      <c r="F859" s="12">
        <v>2</v>
      </c>
      <c r="G859" s="12">
        <v>329.82</v>
      </c>
      <c r="H859" s="12">
        <v>420.82</v>
      </c>
      <c r="I859" s="13">
        <f>F859*G859</f>
        <v>659.64</v>
      </c>
      <c r="J859" s="13">
        <f>F859*H859</f>
        <v>841.64</v>
      </c>
    </row>
    <row r="860" spans="1:10" s="1" customFormat="1" ht="25.5" customHeight="1" x14ac:dyDescent="0.2">
      <c r="A860" s="8"/>
      <c r="B860" s="9" t="s">
        <v>123</v>
      </c>
      <c r="C860" s="808" t="s">
        <v>124</v>
      </c>
      <c r="D860" s="809"/>
      <c r="E860" s="8"/>
      <c r="F860" s="8"/>
      <c r="G860" s="8"/>
      <c r="H860" s="8"/>
      <c r="I860" s="8"/>
      <c r="J860" s="8"/>
    </row>
    <row r="861" spans="1:10" s="1" customFormat="1" ht="25.5" customHeight="1" x14ac:dyDescent="0.2">
      <c r="A861" s="11" t="s">
        <v>78</v>
      </c>
      <c r="B861" s="11" t="s">
        <v>125</v>
      </c>
      <c r="C861" s="806" t="s">
        <v>126</v>
      </c>
      <c r="D861" s="807"/>
      <c r="E861" s="11" t="s">
        <v>102</v>
      </c>
      <c r="F861" s="12">
        <v>6</v>
      </c>
      <c r="G861" s="12">
        <v>179.33</v>
      </c>
      <c r="H861" s="12">
        <v>228.8</v>
      </c>
      <c r="I861" s="13">
        <f t="shared" ref="I861:I880" si="74">F861*G861</f>
        <v>1075.98</v>
      </c>
      <c r="J861" s="13">
        <f t="shared" ref="J861:J880" si="75">F861*H861</f>
        <v>1372.8000000000002</v>
      </c>
    </row>
    <row r="862" spans="1:10" s="1" customFormat="1" ht="25.5" customHeight="1" x14ac:dyDescent="0.2">
      <c r="A862" s="11" t="s">
        <v>78</v>
      </c>
      <c r="B862" s="11" t="s">
        <v>127</v>
      </c>
      <c r="C862" s="806" t="s">
        <v>128</v>
      </c>
      <c r="D862" s="807"/>
      <c r="E862" s="11" t="s">
        <v>102</v>
      </c>
      <c r="F862" s="12">
        <v>15</v>
      </c>
      <c r="G862" s="12">
        <v>268.98</v>
      </c>
      <c r="H862" s="12">
        <v>343.2</v>
      </c>
      <c r="I862" s="13">
        <f t="shared" si="74"/>
        <v>4034.7000000000003</v>
      </c>
      <c r="J862" s="13">
        <f t="shared" si="75"/>
        <v>5148</v>
      </c>
    </row>
    <row r="863" spans="1:10" s="1" customFormat="1" ht="25.5" customHeight="1" x14ac:dyDescent="0.2">
      <c r="A863" s="11" t="s">
        <v>78</v>
      </c>
      <c r="B863" s="11" t="s">
        <v>129</v>
      </c>
      <c r="C863" s="806" t="s">
        <v>130</v>
      </c>
      <c r="D863" s="807"/>
      <c r="E863" s="11" t="s">
        <v>102</v>
      </c>
      <c r="F863" s="12">
        <v>2</v>
      </c>
      <c r="G863" s="12">
        <v>134.49</v>
      </c>
      <c r="H863" s="12">
        <v>171.59</v>
      </c>
      <c r="I863" s="13">
        <f t="shared" si="74"/>
        <v>268.98</v>
      </c>
      <c r="J863" s="13">
        <f t="shared" si="75"/>
        <v>343.18</v>
      </c>
    </row>
    <row r="864" spans="1:10" s="1" customFormat="1" ht="25.5" customHeight="1" x14ac:dyDescent="0.2">
      <c r="A864" s="11" t="s">
        <v>78</v>
      </c>
      <c r="B864" s="11" t="s">
        <v>131</v>
      </c>
      <c r="C864" s="806" t="s">
        <v>132</v>
      </c>
      <c r="D864" s="807"/>
      <c r="E864" s="11" t="s">
        <v>102</v>
      </c>
      <c r="F864" s="12">
        <v>10</v>
      </c>
      <c r="G864" s="12">
        <v>313.92</v>
      </c>
      <c r="H864" s="12">
        <v>400.53</v>
      </c>
      <c r="I864" s="13">
        <f t="shared" si="74"/>
        <v>3139.2000000000003</v>
      </c>
      <c r="J864" s="13">
        <f t="shared" si="75"/>
        <v>4005.2999999999997</v>
      </c>
    </row>
    <row r="865" spans="1:10" s="1" customFormat="1" ht="25.5" customHeight="1" x14ac:dyDescent="0.2">
      <c r="A865" s="11" t="s">
        <v>78</v>
      </c>
      <c r="B865" s="11" t="s">
        <v>133</v>
      </c>
      <c r="C865" s="806" t="s">
        <v>134</v>
      </c>
      <c r="D865" s="807"/>
      <c r="E865" s="11" t="s">
        <v>102</v>
      </c>
      <c r="F865" s="12">
        <v>8</v>
      </c>
      <c r="G865" s="12">
        <v>627.62</v>
      </c>
      <c r="H865" s="12">
        <v>800.79</v>
      </c>
      <c r="I865" s="13">
        <f t="shared" si="74"/>
        <v>5020.96</v>
      </c>
      <c r="J865" s="13">
        <f t="shared" si="75"/>
        <v>6406.32</v>
      </c>
    </row>
    <row r="866" spans="1:10" s="1" customFormat="1" ht="25.5" customHeight="1" x14ac:dyDescent="0.2">
      <c r="A866" s="11" t="s">
        <v>78</v>
      </c>
      <c r="B866" s="11" t="s">
        <v>135</v>
      </c>
      <c r="C866" s="806" t="s">
        <v>136</v>
      </c>
      <c r="D866" s="807"/>
      <c r="E866" s="11" t="s">
        <v>102</v>
      </c>
      <c r="F866" s="12">
        <v>2</v>
      </c>
      <c r="G866" s="12">
        <v>358.64</v>
      </c>
      <c r="H866" s="12">
        <v>457.59</v>
      </c>
      <c r="I866" s="13">
        <f t="shared" si="74"/>
        <v>717.28</v>
      </c>
      <c r="J866" s="13">
        <f t="shared" si="75"/>
        <v>915.18</v>
      </c>
    </row>
    <row r="867" spans="1:10" s="1" customFormat="1" ht="25.5" customHeight="1" x14ac:dyDescent="0.2">
      <c r="A867" s="11" t="s">
        <v>78</v>
      </c>
      <c r="B867" s="11" t="s">
        <v>137</v>
      </c>
      <c r="C867" s="806" t="s">
        <v>138</v>
      </c>
      <c r="D867" s="807"/>
      <c r="E867" s="11" t="s">
        <v>102</v>
      </c>
      <c r="F867" s="12">
        <v>2</v>
      </c>
      <c r="G867" s="12">
        <v>448.3</v>
      </c>
      <c r="H867" s="12">
        <v>571.98</v>
      </c>
      <c r="I867" s="13">
        <f t="shared" si="74"/>
        <v>896.6</v>
      </c>
      <c r="J867" s="13">
        <f t="shared" si="75"/>
        <v>1143.96</v>
      </c>
    </row>
    <row r="868" spans="1:10" s="1" customFormat="1" ht="25.5" customHeight="1" x14ac:dyDescent="0.2">
      <c r="A868" s="11" t="s">
        <v>78</v>
      </c>
      <c r="B868" s="11" t="s">
        <v>139</v>
      </c>
      <c r="C868" s="806" t="s">
        <v>140</v>
      </c>
      <c r="D868" s="807"/>
      <c r="E868" s="11" t="s">
        <v>102</v>
      </c>
      <c r="F868" s="12">
        <v>14</v>
      </c>
      <c r="G868" s="12">
        <v>124.52</v>
      </c>
      <c r="H868" s="12">
        <v>158.88</v>
      </c>
      <c r="I868" s="13">
        <f t="shared" si="74"/>
        <v>1743.28</v>
      </c>
      <c r="J868" s="13">
        <f t="shared" si="75"/>
        <v>2224.3199999999997</v>
      </c>
    </row>
    <row r="869" spans="1:10" s="1" customFormat="1" ht="25.5" customHeight="1" x14ac:dyDescent="0.2">
      <c r="A869" s="11" t="s">
        <v>78</v>
      </c>
      <c r="B869" s="11" t="s">
        <v>141</v>
      </c>
      <c r="C869" s="806" t="s">
        <v>142</v>
      </c>
      <c r="D869" s="807"/>
      <c r="E869" s="11" t="s">
        <v>102</v>
      </c>
      <c r="F869" s="12">
        <v>1</v>
      </c>
      <c r="G869" s="12">
        <v>390.13</v>
      </c>
      <c r="H869" s="12">
        <v>497.77</v>
      </c>
      <c r="I869" s="13">
        <f t="shared" si="74"/>
        <v>390.13</v>
      </c>
      <c r="J869" s="13">
        <f t="shared" si="75"/>
        <v>497.77</v>
      </c>
    </row>
    <row r="870" spans="1:10" s="1" customFormat="1" ht="25.5" customHeight="1" x14ac:dyDescent="0.2">
      <c r="A870" s="11" t="s">
        <v>78</v>
      </c>
      <c r="B870" s="11" t="s">
        <v>143</v>
      </c>
      <c r="C870" s="806" t="s">
        <v>144</v>
      </c>
      <c r="D870" s="807"/>
      <c r="E870" s="11" t="s">
        <v>102</v>
      </c>
      <c r="F870" s="12">
        <v>1</v>
      </c>
      <c r="G870" s="12">
        <v>975.33</v>
      </c>
      <c r="H870" s="13">
        <v>1244.42</v>
      </c>
      <c r="I870" s="13">
        <f t="shared" si="74"/>
        <v>975.33</v>
      </c>
      <c r="J870" s="13">
        <f t="shared" si="75"/>
        <v>1244.42</v>
      </c>
    </row>
    <row r="871" spans="1:10" s="1" customFormat="1" ht="25.5" customHeight="1" x14ac:dyDescent="0.2">
      <c r="A871" s="11" t="s">
        <v>78</v>
      </c>
      <c r="B871" s="11" t="s">
        <v>145</v>
      </c>
      <c r="C871" s="806" t="s">
        <v>146</v>
      </c>
      <c r="D871" s="807"/>
      <c r="E871" s="11" t="s">
        <v>102</v>
      </c>
      <c r="F871" s="12">
        <v>2</v>
      </c>
      <c r="G871" s="12">
        <v>585.20000000000005</v>
      </c>
      <c r="H871" s="12">
        <v>746.65</v>
      </c>
      <c r="I871" s="13">
        <f t="shared" si="74"/>
        <v>1170.4000000000001</v>
      </c>
      <c r="J871" s="13">
        <f t="shared" si="75"/>
        <v>1493.3</v>
      </c>
    </row>
    <row r="872" spans="1:10" s="1" customFormat="1" ht="25.5" customHeight="1" x14ac:dyDescent="0.2">
      <c r="A872" s="11" t="s">
        <v>78</v>
      </c>
      <c r="B872" s="11" t="s">
        <v>147</v>
      </c>
      <c r="C872" s="806" t="s">
        <v>148</v>
      </c>
      <c r="D872" s="807"/>
      <c r="E872" s="11" t="s">
        <v>102</v>
      </c>
      <c r="F872" s="12">
        <v>1</v>
      </c>
      <c r="G872" s="12">
        <v>877.8</v>
      </c>
      <c r="H872" s="13">
        <v>1119.98</v>
      </c>
      <c r="I872" s="13">
        <f t="shared" si="74"/>
        <v>877.8</v>
      </c>
      <c r="J872" s="13">
        <f t="shared" si="75"/>
        <v>1119.98</v>
      </c>
    </row>
    <row r="873" spans="1:10" s="1" customFormat="1" ht="25.5" customHeight="1" x14ac:dyDescent="0.2">
      <c r="A873" s="11" t="s">
        <v>78</v>
      </c>
      <c r="B873" s="11" t="s">
        <v>149</v>
      </c>
      <c r="C873" s="806" t="s">
        <v>150</v>
      </c>
      <c r="D873" s="807"/>
      <c r="E873" s="11" t="s">
        <v>102</v>
      </c>
      <c r="F873" s="12">
        <v>1</v>
      </c>
      <c r="G873" s="13">
        <v>1170.4100000000001</v>
      </c>
      <c r="H873" s="13">
        <v>1493.32</v>
      </c>
      <c r="I873" s="13">
        <f t="shared" si="74"/>
        <v>1170.4100000000001</v>
      </c>
      <c r="J873" s="13">
        <f t="shared" si="75"/>
        <v>1493.32</v>
      </c>
    </row>
    <row r="874" spans="1:10" s="1" customFormat="1" ht="25.5" customHeight="1" x14ac:dyDescent="0.2">
      <c r="A874" s="11" t="s">
        <v>78</v>
      </c>
      <c r="B874" s="11" t="s">
        <v>151</v>
      </c>
      <c r="C874" s="806" t="s">
        <v>152</v>
      </c>
      <c r="D874" s="807"/>
      <c r="E874" s="11" t="s">
        <v>102</v>
      </c>
      <c r="F874" s="12">
        <v>2</v>
      </c>
      <c r="G874" s="13">
        <v>1560.54</v>
      </c>
      <c r="H874" s="13">
        <v>1991.09</v>
      </c>
      <c r="I874" s="13">
        <f t="shared" si="74"/>
        <v>3121.08</v>
      </c>
      <c r="J874" s="13">
        <f t="shared" si="75"/>
        <v>3982.18</v>
      </c>
    </row>
    <row r="875" spans="1:10" s="1" customFormat="1" ht="25.5" customHeight="1" x14ac:dyDescent="0.2">
      <c r="A875" s="11" t="s">
        <v>78</v>
      </c>
      <c r="B875" s="11" t="s">
        <v>153</v>
      </c>
      <c r="C875" s="806" t="s">
        <v>154</v>
      </c>
      <c r="D875" s="807"/>
      <c r="E875" s="11" t="s">
        <v>102</v>
      </c>
      <c r="F875" s="12">
        <v>2</v>
      </c>
      <c r="G875" s="13">
        <v>1950.67</v>
      </c>
      <c r="H875" s="13">
        <v>2488.86</v>
      </c>
      <c r="I875" s="13">
        <f t="shared" si="74"/>
        <v>3901.34</v>
      </c>
      <c r="J875" s="13">
        <f t="shared" si="75"/>
        <v>4977.72</v>
      </c>
    </row>
    <row r="876" spans="1:10" s="1" customFormat="1" ht="25.5" customHeight="1" x14ac:dyDescent="0.2">
      <c r="A876" s="11" t="s">
        <v>78</v>
      </c>
      <c r="B876" s="11" t="s">
        <v>155</v>
      </c>
      <c r="C876" s="806" t="s">
        <v>156</v>
      </c>
      <c r="D876" s="807"/>
      <c r="E876" s="11" t="s">
        <v>102</v>
      </c>
      <c r="F876" s="12">
        <v>5</v>
      </c>
      <c r="G876" s="13">
        <v>2340.81</v>
      </c>
      <c r="H876" s="13">
        <v>2986.64</v>
      </c>
      <c r="I876" s="13">
        <f t="shared" si="74"/>
        <v>11704.05</v>
      </c>
      <c r="J876" s="13">
        <f t="shared" si="75"/>
        <v>14933.199999999999</v>
      </c>
    </row>
    <row r="877" spans="1:10" s="1" customFormat="1" ht="25.5" customHeight="1" x14ac:dyDescent="0.2">
      <c r="A877" s="11" t="s">
        <v>78</v>
      </c>
      <c r="B877" s="11" t="s">
        <v>157</v>
      </c>
      <c r="C877" s="806" t="s">
        <v>158</v>
      </c>
      <c r="D877" s="807"/>
      <c r="E877" s="11" t="s">
        <v>102</v>
      </c>
      <c r="F877" s="12">
        <v>4</v>
      </c>
      <c r="G877" s="13">
        <v>3121.08</v>
      </c>
      <c r="H877" s="13">
        <v>3982.19</v>
      </c>
      <c r="I877" s="13">
        <f t="shared" si="74"/>
        <v>12484.32</v>
      </c>
      <c r="J877" s="13">
        <f t="shared" si="75"/>
        <v>15928.76</v>
      </c>
    </row>
    <row r="878" spans="1:10" s="1" customFormat="1" ht="25.5" customHeight="1" x14ac:dyDescent="0.2">
      <c r="A878" s="11" t="s">
        <v>78</v>
      </c>
      <c r="B878" s="11" t="s">
        <v>159</v>
      </c>
      <c r="C878" s="806" t="s">
        <v>160</v>
      </c>
      <c r="D878" s="807"/>
      <c r="E878" s="11" t="s">
        <v>102</v>
      </c>
      <c r="F878" s="12">
        <v>1</v>
      </c>
      <c r="G878" s="13">
        <v>1137.9000000000001</v>
      </c>
      <c r="H878" s="13">
        <v>1451.84</v>
      </c>
      <c r="I878" s="13">
        <f t="shared" si="74"/>
        <v>1137.9000000000001</v>
      </c>
      <c r="J878" s="13">
        <f t="shared" si="75"/>
        <v>1451.84</v>
      </c>
    </row>
    <row r="879" spans="1:10" s="1" customFormat="1" ht="25.5" customHeight="1" x14ac:dyDescent="0.2">
      <c r="A879" s="11" t="s">
        <v>161</v>
      </c>
      <c r="B879" s="11" t="s">
        <v>162</v>
      </c>
      <c r="C879" s="806" t="s">
        <v>163</v>
      </c>
      <c r="D879" s="807"/>
      <c r="E879" s="11" t="s">
        <v>14</v>
      </c>
      <c r="F879" s="12">
        <v>10.26</v>
      </c>
      <c r="G879" s="12">
        <v>18.63</v>
      </c>
      <c r="H879" s="12">
        <v>23.77</v>
      </c>
      <c r="I879" s="13">
        <f t="shared" si="74"/>
        <v>191.1438</v>
      </c>
      <c r="J879" s="13">
        <f t="shared" si="75"/>
        <v>243.8802</v>
      </c>
    </row>
    <row r="880" spans="1:10" s="1" customFormat="1" ht="25.5" customHeight="1" x14ac:dyDescent="0.2">
      <c r="A880" s="11" t="s">
        <v>120</v>
      </c>
      <c r="B880" s="11" t="s">
        <v>164</v>
      </c>
      <c r="C880" s="806" t="s">
        <v>165</v>
      </c>
      <c r="D880" s="807"/>
      <c r="E880" s="11" t="s">
        <v>102</v>
      </c>
      <c r="F880" s="12">
        <v>9</v>
      </c>
      <c r="G880" s="12">
        <v>582.46</v>
      </c>
      <c r="H880" s="12">
        <v>743.16</v>
      </c>
      <c r="I880" s="13">
        <f t="shared" si="74"/>
        <v>5242.1400000000003</v>
      </c>
      <c r="J880" s="13">
        <f t="shared" si="75"/>
        <v>6688.44</v>
      </c>
    </row>
    <row r="881" spans="1:10" s="1" customFormat="1" ht="25.5" customHeight="1" x14ac:dyDescent="0.2">
      <c r="A881" s="8"/>
      <c r="B881" s="9" t="s">
        <v>172</v>
      </c>
      <c r="C881" s="808" t="s">
        <v>173</v>
      </c>
      <c r="D881" s="809"/>
      <c r="E881" s="8"/>
      <c r="F881" s="8"/>
      <c r="G881" s="8"/>
      <c r="H881" s="8"/>
      <c r="I881" s="8"/>
      <c r="J881" s="8"/>
    </row>
    <row r="882" spans="1:10" s="1" customFormat="1" ht="25.5" customHeight="1" x14ac:dyDescent="0.2">
      <c r="A882" s="10">
        <v>68054</v>
      </c>
      <c r="B882" s="11" t="s">
        <v>174</v>
      </c>
      <c r="C882" s="806" t="s">
        <v>175</v>
      </c>
      <c r="D882" s="807"/>
      <c r="E882" s="11" t="s">
        <v>102</v>
      </c>
      <c r="F882" s="12">
        <v>5</v>
      </c>
      <c r="G882" s="12">
        <v>180.11</v>
      </c>
      <c r="H882" s="12">
        <v>229.8</v>
      </c>
      <c r="I882" s="13">
        <f>F882*G882</f>
        <v>900.55000000000007</v>
      </c>
      <c r="J882" s="13">
        <f>F882*H882</f>
        <v>1149</v>
      </c>
    </row>
    <row r="883" spans="1:10" s="1" customFormat="1" ht="25.5" customHeight="1" x14ac:dyDescent="0.2">
      <c r="A883" s="10">
        <v>68054</v>
      </c>
      <c r="B883" s="11" t="s">
        <v>176</v>
      </c>
      <c r="C883" s="806" t="s">
        <v>177</v>
      </c>
      <c r="D883" s="807"/>
      <c r="E883" s="11" t="s">
        <v>102</v>
      </c>
      <c r="F883" s="12">
        <v>1</v>
      </c>
      <c r="G883" s="12">
        <v>327.47000000000003</v>
      </c>
      <c r="H883" s="12">
        <v>417.81</v>
      </c>
      <c r="I883" s="13">
        <f>F883*G883</f>
        <v>327.47000000000003</v>
      </c>
      <c r="J883" s="13">
        <f>F883*H883</f>
        <v>417.81</v>
      </c>
    </row>
    <row r="884" spans="1:10" s="1" customFormat="1" ht="25.5" customHeight="1" x14ac:dyDescent="0.2">
      <c r="A884" s="11" t="s">
        <v>178</v>
      </c>
      <c r="B884" s="11" t="s">
        <v>179</v>
      </c>
      <c r="C884" s="806" t="s">
        <v>180</v>
      </c>
      <c r="D884" s="807"/>
      <c r="E884" s="11" t="s">
        <v>14</v>
      </c>
      <c r="F884" s="12">
        <v>12.6</v>
      </c>
      <c r="G884" s="12">
        <v>381.87</v>
      </c>
      <c r="H884" s="12">
        <v>487.23</v>
      </c>
      <c r="I884" s="13">
        <f>F884*G884</f>
        <v>4811.5619999999999</v>
      </c>
      <c r="J884" s="13">
        <f>F884*H884</f>
        <v>6139.098</v>
      </c>
    </row>
    <row r="885" spans="1:10" s="1" customFormat="1" ht="25.5" customHeight="1" x14ac:dyDescent="0.2">
      <c r="A885" s="8"/>
      <c r="B885" s="803" t="s">
        <v>181</v>
      </c>
      <c r="C885" s="804"/>
      <c r="D885" s="804"/>
      <c r="E885" s="804"/>
      <c r="F885" s="804"/>
      <c r="G885" s="805"/>
      <c r="H885" s="8"/>
      <c r="I885" s="18">
        <f>SUM(I859:I884)</f>
        <v>65962.245800000004</v>
      </c>
      <c r="J885" s="18">
        <f>SUM(J859:J884)</f>
        <v>84161.418199999986</v>
      </c>
    </row>
    <row r="886" spans="1:10" s="1" customFormat="1" ht="25.5" customHeight="1" x14ac:dyDescent="0.2">
      <c r="A886" s="8"/>
      <c r="B886" s="46"/>
      <c r="C886" s="803" t="s">
        <v>182</v>
      </c>
      <c r="D886" s="804"/>
      <c r="E886" s="804"/>
      <c r="F886" s="804"/>
      <c r="G886" s="805"/>
      <c r="H886" s="8"/>
      <c r="I886" s="14">
        <f>SUM(I856,I885)+0.09</f>
        <v>87198.155800000008</v>
      </c>
      <c r="J886" s="15">
        <f>SUM(J885,J856)-0.1</f>
        <v>111256.13819999999</v>
      </c>
    </row>
    <row r="887" spans="1:10" s="1" customFormat="1" ht="25.5" customHeight="1" x14ac:dyDescent="0.2">
      <c r="A887" s="8"/>
      <c r="B887" s="9" t="s">
        <v>183</v>
      </c>
      <c r="C887" s="808" t="s">
        <v>184</v>
      </c>
      <c r="D887" s="820"/>
      <c r="E887" s="820"/>
      <c r="F887" s="820"/>
      <c r="G887" s="820"/>
      <c r="H887" s="820"/>
      <c r="I887" s="809"/>
      <c r="J887" s="8"/>
    </row>
    <row r="888" spans="1:10" s="1" customFormat="1" ht="25.5" customHeight="1" x14ac:dyDescent="0.2">
      <c r="A888" s="11" t="s">
        <v>185</v>
      </c>
      <c r="B888" s="11" t="s">
        <v>186</v>
      </c>
      <c r="C888" s="806" t="s">
        <v>187</v>
      </c>
      <c r="D888" s="807"/>
      <c r="E888" s="11" t="s">
        <v>14</v>
      </c>
      <c r="F888" s="12">
        <v>13.8</v>
      </c>
      <c r="G888" s="12">
        <v>319.5</v>
      </c>
      <c r="H888" s="12">
        <v>407.65</v>
      </c>
      <c r="I888" s="13">
        <f>F888*G888</f>
        <v>4409.1000000000004</v>
      </c>
      <c r="J888" s="13">
        <f>F888*H888</f>
        <v>5625.57</v>
      </c>
    </row>
    <row r="889" spans="1:10" s="1" customFormat="1" ht="25.5" customHeight="1" x14ac:dyDescent="0.2">
      <c r="A889" s="10">
        <v>85005</v>
      </c>
      <c r="B889" s="11" t="s">
        <v>188</v>
      </c>
      <c r="C889" s="806" t="s">
        <v>189</v>
      </c>
      <c r="D889" s="807"/>
      <c r="E889" s="11" t="s">
        <v>14</v>
      </c>
      <c r="F889" s="12">
        <v>7</v>
      </c>
      <c r="G889" s="12">
        <v>347.14</v>
      </c>
      <c r="H889" s="12">
        <v>442.91</v>
      </c>
      <c r="I889" s="13">
        <f>F889*G889</f>
        <v>2429.98</v>
      </c>
      <c r="J889" s="13">
        <f>F889*H889</f>
        <v>3100.3700000000003</v>
      </c>
    </row>
    <row r="890" spans="1:10" s="1" customFormat="1" ht="25.5" customHeight="1" x14ac:dyDescent="0.2">
      <c r="A890" s="8"/>
      <c r="B890" s="803" t="s">
        <v>190</v>
      </c>
      <c r="C890" s="804"/>
      <c r="D890" s="804"/>
      <c r="E890" s="804"/>
      <c r="F890" s="804"/>
      <c r="G890" s="805"/>
      <c r="H890" s="8"/>
      <c r="I890" s="14">
        <f>SUM(I888:I889)-0.01</f>
        <v>6839.07</v>
      </c>
      <c r="J890" s="15">
        <f>SUM(J888:J889)+0.03</f>
        <v>8725.9700000000012</v>
      </c>
    </row>
    <row r="891" spans="1:10" s="1" customFormat="1" ht="25.5" customHeight="1" x14ac:dyDescent="0.2">
      <c r="A891" s="8"/>
      <c r="B891" s="9" t="s">
        <v>191</v>
      </c>
      <c r="C891" s="808" t="s">
        <v>192</v>
      </c>
      <c r="D891" s="820"/>
      <c r="E891" s="820"/>
      <c r="F891" s="820"/>
      <c r="G891" s="820"/>
      <c r="H891" s="820"/>
      <c r="I891" s="809"/>
      <c r="J891" s="8"/>
    </row>
    <row r="892" spans="1:10" s="1" customFormat="1" ht="25.5" customHeight="1" x14ac:dyDescent="0.2">
      <c r="A892" s="10">
        <v>92539</v>
      </c>
      <c r="B892" s="11" t="s">
        <v>193</v>
      </c>
      <c r="C892" s="806" t="s">
        <v>194</v>
      </c>
      <c r="D892" s="807"/>
      <c r="E892" s="11" t="s">
        <v>14</v>
      </c>
      <c r="F892" s="13">
        <v>1271.78</v>
      </c>
      <c r="G892" s="12">
        <v>52.1</v>
      </c>
      <c r="H892" s="12">
        <v>66.48</v>
      </c>
      <c r="I892" s="13">
        <f t="shared" ref="I892:I897" si="76">F892*G892</f>
        <v>66259.737999999998</v>
      </c>
      <c r="J892" s="13">
        <f t="shared" ref="J892:J897" si="77">F892*H892</f>
        <v>84547.934399999998</v>
      </c>
    </row>
    <row r="893" spans="1:10" s="1" customFormat="1" ht="25.5" customHeight="1" x14ac:dyDescent="0.2">
      <c r="A893" s="10">
        <v>94195</v>
      </c>
      <c r="B893" s="11" t="s">
        <v>195</v>
      </c>
      <c r="C893" s="806" t="s">
        <v>196</v>
      </c>
      <c r="D893" s="807"/>
      <c r="E893" s="11" t="s">
        <v>14</v>
      </c>
      <c r="F893" s="13">
        <v>1264.78</v>
      </c>
      <c r="G893" s="12">
        <v>15.24</v>
      </c>
      <c r="H893" s="12">
        <v>19.440000000000001</v>
      </c>
      <c r="I893" s="13">
        <f t="shared" si="76"/>
        <v>19275.247200000002</v>
      </c>
      <c r="J893" s="13">
        <f t="shared" si="77"/>
        <v>24587.323200000003</v>
      </c>
    </row>
    <row r="894" spans="1:10" s="1" customFormat="1" ht="25.5" customHeight="1" x14ac:dyDescent="0.2">
      <c r="A894" s="10">
        <v>94444</v>
      </c>
      <c r="B894" s="11" t="s">
        <v>197</v>
      </c>
      <c r="C894" s="806" t="s">
        <v>198</v>
      </c>
      <c r="D894" s="807"/>
      <c r="E894" s="11" t="s">
        <v>14</v>
      </c>
      <c r="F894" s="12">
        <v>7</v>
      </c>
      <c r="G894" s="12">
        <v>584.54999999999995</v>
      </c>
      <c r="H894" s="12">
        <v>745.83</v>
      </c>
      <c r="I894" s="13">
        <f t="shared" si="76"/>
        <v>4091.8499999999995</v>
      </c>
      <c r="J894" s="13">
        <f t="shared" si="77"/>
        <v>5220.8100000000004</v>
      </c>
    </row>
    <row r="895" spans="1:10" s="1" customFormat="1" ht="25.5" customHeight="1" x14ac:dyDescent="0.2">
      <c r="A895" s="10">
        <v>94219</v>
      </c>
      <c r="B895" s="11" t="s">
        <v>199</v>
      </c>
      <c r="C895" s="806" t="s">
        <v>200</v>
      </c>
      <c r="D895" s="807"/>
      <c r="E895" s="11" t="s">
        <v>81</v>
      </c>
      <c r="F895" s="12">
        <v>154.99</v>
      </c>
      <c r="G895" s="12">
        <v>18.86</v>
      </c>
      <c r="H895" s="12">
        <v>24.07</v>
      </c>
      <c r="I895" s="13">
        <f t="shared" si="76"/>
        <v>2923.1114000000002</v>
      </c>
      <c r="J895" s="13">
        <f t="shared" si="77"/>
        <v>3730.6093000000001</v>
      </c>
    </row>
    <row r="896" spans="1:10" s="1" customFormat="1" ht="25.5" customHeight="1" x14ac:dyDescent="0.2">
      <c r="A896" s="10">
        <v>94228</v>
      </c>
      <c r="B896" s="11" t="s">
        <v>201</v>
      </c>
      <c r="C896" s="806" t="s">
        <v>202</v>
      </c>
      <c r="D896" s="807"/>
      <c r="E896" s="11" t="s">
        <v>81</v>
      </c>
      <c r="F896" s="12">
        <v>2.5</v>
      </c>
      <c r="G896" s="12">
        <v>42.78</v>
      </c>
      <c r="H896" s="12">
        <v>54.58</v>
      </c>
      <c r="I896" s="13">
        <f t="shared" si="76"/>
        <v>106.95</v>
      </c>
      <c r="J896" s="13">
        <f t="shared" si="77"/>
        <v>136.44999999999999</v>
      </c>
    </row>
    <row r="897" spans="1:11" s="1" customFormat="1" ht="25.5" customHeight="1" x14ac:dyDescent="0.2">
      <c r="A897" s="11" t="s">
        <v>203</v>
      </c>
      <c r="B897" s="11" t="s">
        <v>204</v>
      </c>
      <c r="C897" s="806" t="s">
        <v>205</v>
      </c>
      <c r="D897" s="807"/>
      <c r="E897" s="11" t="s">
        <v>81</v>
      </c>
      <c r="F897" s="12">
        <v>107</v>
      </c>
      <c r="G897" s="12">
        <v>20.81</v>
      </c>
      <c r="H897" s="12">
        <v>26.55</v>
      </c>
      <c r="I897" s="13">
        <f t="shared" si="76"/>
        <v>2226.67</v>
      </c>
      <c r="J897" s="13">
        <f t="shared" si="77"/>
        <v>2840.85</v>
      </c>
    </row>
    <row r="898" spans="1:11" s="1" customFormat="1" ht="25.5" customHeight="1" x14ac:dyDescent="0.2">
      <c r="A898" s="8"/>
      <c r="B898" s="803" t="s">
        <v>206</v>
      </c>
      <c r="C898" s="804"/>
      <c r="D898" s="804"/>
      <c r="E898" s="804"/>
      <c r="F898" s="804"/>
      <c r="G898" s="805"/>
      <c r="H898" s="8"/>
      <c r="I898" s="14">
        <f>SUM(I892:I897)-2.13</f>
        <v>94881.436599999986</v>
      </c>
      <c r="J898" s="15">
        <f>SUM(J892:J897)-4.75</f>
        <v>121059.22689999999</v>
      </c>
      <c r="K898" s="49"/>
    </row>
    <row r="899" spans="1:11" s="1" customFormat="1" ht="25.5" customHeight="1" x14ac:dyDescent="0.2">
      <c r="A899" s="8"/>
      <c r="B899" s="9" t="s">
        <v>207</v>
      </c>
      <c r="C899" s="808" t="s">
        <v>208</v>
      </c>
      <c r="D899" s="820"/>
      <c r="E899" s="820"/>
      <c r="F899" s="820"/>
      <c r="G899" s="820"/>
      <c r="H899" s="820"/>
      <c r="I899" s="809"/>
      <c r="J899" s="8"/>
    </row>
    <row r="900" spans="1:11" s="1" customFormat="1" ht="25.5" customHeight="1" x14ac:dyDescent="0.2">
      <c r="A900" s="11" t="s">
        <v>212</v>
      </c>
      <c r="B900" s="11" t="s">
        <v>210</v>
      </c>
      <c r="C900" s="806" t="s">
        <v>214</v>
      </c>
      <c r="D900" s="807"/>
      <c r="E900" s="11" t="s">
        <v>14</v>
      </c>
      <c r="F900" s="12">
        <v>77</v>
      </c>
      <c r="G900" s="12">
        <v>29.51</v>
      </c>
      <c r="H900" s="12">
        <v>37.65</v>
      </c>
      <c r="I900" s="13">
        <f>F900*G900</f>
        <v>2272.27</v>
      </c>
      <c r="J900" s="13">
        <f>F900*H900</f>
        <v>2899.0499999999997</v>
      </c>
    </row>
    <row r="901" spans="1:11" s="1" customFormat="1" ht="25.5" customHeight="1" x14ac:dyDescent="0.2">
      <c r="A901" s="11" t="s">
        <v>215</v>
      </c>
      <c r="B901" s="11" t="s">
        <v>213</v>
      </c>
      <c r="C901" s="806" t="s">
        <v>217</v>
      </c>
      <c r="D901" s="807"/>
      <c r="E901" s="11" t="s">
        <v>14</v>
      </c>
      <c r="F901" s="12">
        <v>105</v>
      </c>
      <c r="G901" s="12">
        <v>14.07</v>
      </c>
      <c r="H901" s="12">
        <v>17.95</v>
      </c>
      <c r="I901" s="13">
        <f>F901*G901</f>
        <v>1477.3500000000001</v>
      </c>
      <c r="J901" s="13">
        <f>F901*H901</f>
        <v>1884.75</v>
      </c>
    </row>
    <row r="902" spans="1:11" s="1" customFormat="1" ht="25.5" customHeight="1" x14ac:dyDescent="0.2">
      <c r="A902" s="11" t="s">
        <v>215</v>
      </c>
      <c r="B902" s="11" t="s">
        <v>216</v>
      </c>
      <c r="C902" s="806" t="s">
        <v>219</v>
      </c>
      <c r="D902" s="807"/>
      <c r="E902" s="11" t="s">
        <v>14</v>
      </c>
      <c r="F902" s="12">
        <v>221.45</v>
      </c>
      <c r="G902" s="12">
        <v>14.07</v>
      </c>
      <c r="H902" s="12">
        <v>17.95</v>
      </c>
      <c r="I902" s="13">
        <f>F902*G902</f>
        <v>3115.8015</v>
      </c>
      <c r="J902" s="13">
        <f>F902*H902</f>
        <v>3975.0274999999997</v>
      </c>
    </row>
    <row r="903" spans="1:11" s="1" customFormat="1" ht="25.5" customHeight="1" x14ac:dyDescent="0.2">
      <c r="A903" s="8"/>
      <c r="B903" s="803" t="s">
        <v>220</v>
      </c>
      <c r="C903" s="804"/>
      <c r="D903" s="804"/>
      <c r="E903" s="804"/>
      <c r="F903" s="804"/>
      <c r="G903" s="805"/>
      <c r="H903" s="8"/>
      <c r="I903" s="14">
        <f>SUM(I900:I902)-0.9</f>
        <v>6864.5215000000007</v>
      </c>
      <c r="J903" s="15">
        <f>SUM(J900:J902)-0.39</f>
        <v>8758.4375</v>
      </c>
      <c r="K903" s="49"/>
    </row>
    <row r="904" spans="1:11" s="1" customFormat="1" ht="25.5" customHeight="1" x14ac:dyDescent="0.2">
      <c r="A904" s="8"/>
      <c r="B904" s="9" t="s">
        <v>221</v>
      </c>
      <c r="C904" s="808" t="s">
        <v>222</v>
      </c>
      <c r="D904" s="820"/>
      <c r="E904" s="820"/>
      <c r="F904" s="820"/>
      <c r="G904" s="820"/>
      <c r="H904" s="820"/>
      <c r="I904" s="809"/>
      <c r="J904" s="8"/>
    </row>
    <row r="905" spans="1:11" s="1" customFormat="1" ht="25.5" customHeight="1" x14ac:dyDescent="0.2">
      <c r="A905" s="8"/>
      <c r="B905" s="9" t="s">
        <v>223</v>
      </c>
      <c r="C905" s="808" t="s">
        <v>224</v>
      </c>
      <c r="D905" s="820"/>
      <c r="E905" s="820"/>
      <c r="F905" s="820"/>
      <c r="G905" s="820"/>
      <c r="H905" s="820"/>
      <c r="I905" s="809"/>
      <c r="J905" s="8"/>
    </row>
    <row r="906" spans="1:11" s="1" customFormat="1" ht="25.5" customHeight="1" x14ac:dyDescent="0.2">
      <c r="A906" s="8"/>
      <c r="B906" s="9" t="s">
        <v>225</v>
      </c>
      <c r="C906" s="808" t="s">
        <v>226</v>
      </c>
      <c r="D906" s="809"/>
      <c r="E906" s="8"/>
      <c r="F906" s="8"/>
      <c r="G906" s="8"/>
      <c r="H906" s="8"/>
      <c r="I906" s="8"/>
      <c r="J906" s="8"/>
    </row>
    <row r="907" spans="1:11" s="1" customFormat="1" ht="25.5" customHeight="1" x14ac:dyDescent="0.2">
      <c r="A907" s="10">
        <v>87775</v>
      </c>
      <c r="B907" s="11" t="s">
        <v>227</v>
      </c>
      <c r="C907" s="806" t="s">
        <v>228</v>
      </c>
      <c r="D907" s="807"/>
      <c r="E907" s="11" t="s">
        <v>14</v>
      </c>
      <c r="F907" s="12">
        <v>239.8</v>
      </c>
      <c r="G907" s="12">
        <v>37.78</v>
      </c>
      <c r="H907" s="12">
        <v>48.21</v>
      </c>
      <c r="I907" s="13">
        <f>F907*G907</f>
        <v>9059.6440000000002</v>
      </c>
      <c r="J907" s="13">
        <f>F907*H907</f>
        <v>11560.758000000002</v>
      </c>
    </row>
    <row r="908" spans="1:11" s="1" customFormat="1" ht="25.5" customHeight="1" x14ac:dyDescent="0.2">
      <c r="A908" s="11" t="s">
        <v>229</v>
      </c>
      <c r="B908" s="11" t="s">
        <v>230</v>
      </c>
      <c r="C908" s="806" t="s">
        <v>231</v>
      </c>
      <c r="D908" s="807"/>
      <c r="E908" s="11" t="s">
        <v>14</v>
      </c>
      <c r="F908" s="12">
        <v>242.72</v>
      </c>
      <c r="G908" s="12">
        <v>21.63</v>
      </c>
      <c r="H908" s="12">
        <v>27.59</v>
      </c>
      <c r="I908" s="13">
        <f>F908*G908</f>
        <v>5250.0335999999998</v>
      </c>
      <c r="J908" s="13">
        <f>F908*H908</f>
        <v>6696.6448</v>
      </c>
    </row>
    <row r="909" spans="1:11" s="1" customFormat="1" ht="25.5" customHeight="1" x14ac:dyDescent="0.2">
      <c r="A909" s="10">
        <v>87265</v>
      </c>
      <c r="B909" s="11" t="s">
        <v>232</v>
      </c>
      <c r="C909" s="806" t="s">
        <v>233</v>
      </c>
      <c r="D909" s="807"/>
      <c r="E909" s="11" t="s">
        <v>14</v>
      </c>
      <c r="F909" s="12">
        <v>959.21</v>
      </c>
      <c r="G909" s="12">
        <v>31.09</v>
      </c>
      <c r="H909" s="12">
        <v>39.659999999999997</v>
      </c>
      <c r="I909" s="13">
        <f>F909*G909</f>
        <v>29821.838900000002</v>
      </c>
      <c r="J909" s="13">
        <f>F909*H909</f>
        <v>38042.268599999996</v>
      </c>
    </row>
    <row r="910" spans="1:11" s="1" customFormat="1" ht="25.5" customHeight="1" x14ac:dyDescent="0.2">
      <c r="A910" s="8"/>
      <c r="B910" s="9" t="s">
        <v>234</v>
      </c>
      <c r="C910" s="808" t="s">
        <v>235</v>
      </c>
      <c r="D910" s="809"/>
      <c r="E910" s="8"/>
      <c r="F910" s="8"/>
      <c r="G910" s="8"/>
      <c r="H910" s="8"/>
      <c r="I910" s="8"/>
      <c r="J910" s="8"/>
    </row>
    <row r="911" spans="1:11" s="1" customFormat="1" ht="25.5" customHeight="1" x14ac:dyDescent="0.2">
      <c r="A911" s="11" t="s">
        <v>236</v>
      </c>
      <c r="B911" s="11" t="s">
        <v>237</v>
      </c>
      <c r="C911" s="806" t="s">
        <v>231</v>
      </c>
      <c r="D911" s="807"/>
      <c r="E911" s="11" t="s">
        <v>14</v>
      </c>
      <c r="F911" s="12">
        <v>724.74</v>
      </c>
      <c r="G911" s="12">
        <v>22.03</v>
      </c>
      <c r="H911" s="12">
        <v>28.11</v>
      </c>
      <c r="I911" s="13">
        <f>F911*G911</f>
        <v>15966.022200000001</v>
      </c>
      <c r="J911" s="13">
        <f>F911*H911</f>
        <v>20372.4414</v>
      </c>
    </row>
    <row r="912" spans="1:11" s="1" customFormat="1" ht="25.5" customHeight="1" x14ac:dyDescent="0.2">
      <c r="A912" s="8"/>
      <c r="B912" s="803" t="s">
        <v>238</v>
      </c>
      <c r="C912" s="804"/>
      <c r="D912" s="804"/>
      <c r="E912" s="804"/>
      <c r="F912" s="804"/>
      <c r="G912" s="805"/>
      <c r="H912" s="8"/>
      <c r="I912" s="18">
        <f>SUM(I907:I911)</f>
        <v>60097.538699999997</v>
      </c>
      <c r="J912" s="18">
        <f>SUM(J907:J911)</f>
        <v>76672.112800000003</v>
      </c>
    </row>
    <row r="913" spans="1:10" s="1" customFormat="1" ht="25.5" customHeight="1" x14ac:dyDescent="0.2">
      <c r="A913" s="8"/>
      <c r="B913" s="9" t="s">
        <v>239</v>
      </c>
      <c r="C913" s="808" t="s">
        <v>240</v>
      </c>
      <c r="D913" s="820"/>
      <c r="E913" s="820"/>
      <c r="F913" s="820"/>
      <c r="G913" s="820"/>
      <c r="H913" s="820"/>
      <c r="I913" s="809"/>
      <c r="J913" s="8"/>
    </row>
    <row r="914" spans="1:10" s="1" customFormat="1" ht="25.5" customHeight="1" x14ac:dyDescent="0.2">
      <c r="A914" s="8"/>
      <c r="B914" s="9" t="s">
        <v>241</v>
      </c>
      <c r="C914" s="808" t="s">
        <v>242</v>
      </c>
      <c r="D914" s="809"/>
      <c r="E914" s="8"/>
      <c r="F914" s="8"/>
      <c r="G914" s="8"/>
      <c r="H914" s="8"/>
      <c r="I914" s="8"/>
      <c r="J914" s="8"/>
    </row>
    <row r="915" spans="1:10" s="1" customFormat="1" ht="25.5" customHeight="1" x14ac:dyDescent="0.2">
      <c r="A915" s="10">
        <v>87905</v>
      </c>
      <c r="B915" s="11" t="s">
        <v>243</v>
      </c>
      <c r="C915" s="806" t="s">
        <v>244</v>
      </c>
      <c r="D915" s="807"/>
      <c r="E915" s="11" t="s">
        <v>14</v>
      </c>
      <c r="F915" s="12">
        <v>414.73</v>
      </c>
      <c r="G915" s="12">
        <v>5.81</v>
      </c>
      <c r="H915" s="12">
        <v>7.41</v>
      </c>
      <c r="I915" s="13">
        <f>F915*G915</f>
        <v>2409.5812999999998</v>
      </c>
      <c r="J915" s="13">
        <f>F915*H915</f>
        <v>3073.1493</v>
      </c>
    </row>
    <row r="916" spans="1:10" s="1" customFormat="1" ht="25.5" customHeight="1" x14ac:dyDescent="0.2">
      <c r="A916" s="10">
        <v>87775</v>
      </c>
      <c r="B916" s="11" t="s">
        <v>245</v>
      </c>
      <c r="C916" s="806" t="s">
        <v>228</v>
      </c>
      <c r="D916" s="807"/>
      <c r="E916" s="11" t="s">
        <v>14</v>
      </c>
      <c r="F916" s="12">
        <v>184.11</v>
      </c>
      <c r="G916" s="12">
        <v>37.78</v>
      </c>
      <c r="H916" s="12">
        <v>48.21</v>
      </c>
      <c r="I916" s="13">
        <f>F916*G916</f>
        <v>6955.6758000000009</v>
      </c>
      <c r="J916" s="13">
        <f>F916*H916</f>
        <v>8875.9431000000004</v>
      </c>
    </row>
    <row r="917" spans="1:10" s="1" customFormat="1" ht="25.5" customHeight="1" x14ac:dyDescent="0.2">
      <c r="A917" s="11" t="s">
        <v>229</v>
      </c>
      <c r="B917" s="11" t="s">
        <v>246</v>
      </c>
      <c r="C917" s="806" t="s">
        <v>231</v>
      </c>
      <c r="D917" s="807"/>
      <c r="E917" s="11" t="s">
        <v>14</v>
      </c>
      <c r="F917" s="12">
        <v>230.62</v>
      </c>
      <c r="G917" s="12">
        <v>21.63</v>
      </c>
      <c r="H917" s="12">
        <v>27.59</v>
      </c>
      <c r="I917" s="13">
        <f>F917*G917</f>
        <v>4988.3105999999998</v>
      </c>
      <c r="J917" s="13">
        <f>F917*H917</f>
        <v>6362.8058000000001</v>
      </c>
    </row>
    <row r="918" spans="1:10" s="1" customFormat="1" ht="25.5" customHeight="1" x14ac:dyDescent="0.2">
      <c r="A918" s="11" t="s">
        <v>247</v>
      </c>
      <c r="B918" s="11" t="s">
        <v>248</v>
      </c>
      <c r="C918" s="806" t="s">
        <v>249</v>
      </c>
      <c r="D918" s="807"/>
      <c r="E918" s="11" t="s">
        <v>14</v>
      </c>
      <c r="F918" s="12">
        <v>460.27</v>
      </c>
      <c r="G918" s="12">
        <v>38.770000000000003</v>
      </c>
      <c r="H918" s="12">
        <v>49.47</v>
      </c>
      <c r="I918" s="13">
        <f>F918*G918</f>
        <v>17844.6679</v>
      </c>
      <c r="J918" s="13">
        <f>F918*H918</f>
        <v>22769.5569</v>
      </c>
    </row>
    <row r="919" spans="1:10" s="1" customFormat="1" ht="25.5" customHeight="1" x14ac:dyDescent="0.2">
      <c r="A919" s="8"/>
      <c r="B919" s="803" t="s">
        <v>250</v>
      </c>
      <c r="C919" s="804"/>
      <c r="D919" s="804"/>
      <c r="E919" s="804"/>
      <c r="F919" s="804"/>
      <c r="G919" s="805"/>
      <c r="H919" s="8"/>
      <c r="I919" s="18">
        <f>SUM(I915:I918)</f>
        <v>32198.2356</v>
      </c>
      <c r="J919" s="18">
        <f>SUM(J915:J918)</f>
        <v>41081.455100000006</v>
      </c>
    </row>
    <row r="920" spans="1:10" s="1" customFormat="1" ht="25.5" customHeight="1" x14ac:dyDescent="0.2">
      <c r="A920" s="8"/>
      <c r="B920" s="803" t="s">
        <v>251</v>
      </c>
      <c r="C920" s="804"/>
      <c r="D920" s="804"/>
      <c r="E920" s="804"/>
      <c r="F920" s="804"/>
      <c r="G920" s="805"/>
      <c r="H920" s="8"/>
      <c r="I920" s="14">
        <f>SUM(I912,I919)-4.08</f>
        <v>92291.694299999988</v>
      </c>
      <c r="J920" s="15">
        <f>SUM(J919,J912)+1.4</f>
        <v>117754.9679</v>
      </c>
    </row>
    <row r="921" spans="1:10" s="1" customFormat="1" ht="25.5" customHeight="1" x14ac:dyDescent="0.2">
      <c r="A921" s="8"/>
      <c r="B921" s="9" t="s">
        <v>252</v>
      </c>
      <c r="C921" s="808" t="s">
        <v>253</v>
      </c>
      <c r="D921" s="820"/>
      <c r="E921" s="820"/>
      <c r="F921" s="820"/>
      <c r="G921" s="820"/>
      <c r="H921" s="820"/>
      <c r="I921" s="809"/>
      <c r="J921" s="8"/>
    </row>
    <row r="922" spans="1:10" s="1" customFormat="1" ht="25.5" customHeight="1" x14ac:dyDescent="0.2">
      <c r="A922" s="10">
        <v>98572</v>
      </c>
      <c r="B922" s="11" t="s">
        <v>254</v>
      </c>
      <c r="C922" s="806" t="s">
        <v>255</v>
      </c>
      <c r="D922" s="807"/>
      <c r="E922" s="11" t="s">
        <v>14</v>
      </c>
      <c r="F922" s="13">
        <v>1707</v>
      </c>
      <c r="G922" s="12">
        <v>29.86</v>
      </c>
      <c r="H922" s="12">
        <v>38.1</v>
      </c>
      <c r="I922" s="13">
        <f t="shared" ref="I922:I928" si="78">F922*G922</f>
        <v>50971.02</v>
      </c>
      <c r="J922" s="13">
        <f t="shared" ref="J922:J928" si="79">F922*H922</f>
        <v>65036.700000000004</v>
      </c>
    </row>
    <row r="923" spans="1:10" s="1" customFormat="1" ht="25.5" customHeight="1" x14ac:dyDescent="0.2">
      <c r="A923" s="10">
        <v>98560</v>
      </c>
      <c r="B923" s="11" t="s">
        <v>256</v>
      </c>
      <c r="C923" s="806" t="s">
        <v>257</v>
      </c>
      <c r="D923" s="807"/>
      <c r="E923" s="11" t="s">
        <v>14</v>
      </c>
      <c r="F923" s="13">
        <v>1304.0999999999999</v>
      </c>
      <c r="G923" s="12">
        <v>32.090000000000003</v>
      </c>
      <c r="H923" s="12">
        <v>40.94</v>
      </c>
      <c r="I923" s="13">
        <f t="shared" si="78"/>
        <v>41848.569000000003</v>
      </c>
      <c r="J923" s="13">
        <f t="shared" si="79"/>
        <v>53389.853999999992</v>
      </c>
    </row>
    <row r="924" spans="1:10" s="1" customFormat="1" ht="25.5" customHeight="1" x14ac:dyDescent="0.2">
      <c r="A924" s="10">
        <v>92391</v>
      </c>
      <c r="B924" s="11" t="s">
        <v>258</v>
      </c>
      <c r="C924" s="806" t="s">
        <v>259</v>
      </c>
      <c r="D924" s="807"/>
      <c r="E924" s="11" t="s">
        <v>14</v>
      </c>
      <c r="F924" s="12">
        <v>224</v>
      </c>
      <c r="G924" s="12">
        <v>46.88</v>
      </c>
      <c r="H924" s="12">
        <v>59.82</v>
      </c>
      <c r="I924" s="13">
        <f t="shared" si="78"/>
        <v>10501.12</v>
      </c>
      <c r="J924" s="13">
        <f t="shared" si="79"/>
        <v>13399.68</v>
      </c>
    </row>
    <row r="925" spans="1:10" s="1" customFormat="1" ht="25.5" customHeight="1" x14ac:dyDescent="0.2">
      <c r="A925" s="11" t="s">
        <v>260</v>
      </c>
      <c r="B925" s="11" t="s">
        <v>261</v>
      </c>
      <c r="C925" s="806" t="s">
        <v>262</v>
      </c>
      <c r="D925" s="807"/>
      <c r="E925" s="11" t="s">
        <v>14</v>
      </c>
      <c r="F925" s="12">
        <v>36</v>
      </c>
      <c r="G925" s="12">
        <v>31.2</v>
      </c>
      <c r="H925" s="12">
        <v>39.81</v>
      </c>
      <c r="I925" s="13">
        <f t="shared" si="78"/>
        <v>1123.2</v>
      </c>
      <c r="J925" s="13">
        <f t="shared" si="79"/>
        <v>1433.16</v>
      </c>
    </row>
    <row r="926" spans="1:10" s="1" customFormat="1" ht="25.5" customHeight="1" x14ac:dyDescent="0.2">
      <c r="A926" s="10">
        <v>88477</v>
      </c>
      <c r="B926" s="11" t="s">
        <v>265</v>
      </c>
      <c r="C926" s="806" t="s">
        <v>264</v>
      </c>
      <c r="D926" s="807"/>
      <c r="E926" s="11" t="s">
        <v>14</v>
      </c>
      <c r="F926" s="12">
        <v>470</v>
      </c>
      <c r="G926" s="12">
        <v>19.170000000000002</v>
      </c>
      <c r="H926" s="12">
        <v>24.46</v>
      </c>
      <c r="I926" s="13">
        <f t="shared" si="78"/>
        <v>9009.9000000000015</v>
      </c>
      <c r="J926" s="13">
        <f t="shared" si="79"/>
        <v>11496.2</v>
      </c>
    </row>
    <row r="927" spans="1:10" s="1" customFormat="1" ht="25.5" customHeight="1" x14ac:dyDescent="0.2">
      <c r="A927" s="10">
        <v>84191</v>
      </c>
      <c r="B927" s="11" t="s">
        <v>268</v>
      </c>
      <c r="C927" s="806" t="s">
        <v>266</v>
      </c>
      <c r="D927" s="807"/>
      <c r="E927" s="11" t="s">
        <v>14</v>
      </c>
      <c r="F927" s="12">
        <v>885</v>
      </c>
      <c r="G927" s="12">
        <v>98.11</v>
      </c>
      <c r="H927" s="12">
        <v>125.18</v>
      </c>
      <c r="I927" s="13">
        <f t="shared" si="78"/>
        <v>86827.35</v>
      </c>
      <c r="J927" s="13">
        <f t="shared" si="79"/>
        <v>110784.3</v>
      </c>
    </row>
    <row r="928" spans="1:10" s="1" customFormat="1" ht="25.5" customHeight="1" x14ac:dyDescent="0.2">
      <c r="A928" s="11" t="s">
        <v>267</v>
      </c>
      <c r="B928" s="11" t="s">
        <v>1268</v>
      </c>
      <c r="C928" s="806" t="s">
        <v>269</v>
      </c>
      <c r="D928" s="807"/>
      <c r="E928" s="11" t="s">
        <v>81</v>
      </c>
      <c r="F928" s="12">
        <v>77</v>
      </c>
      <c r="G928" s="12">
        <v>174.65</v>
      </c>
      <c r="H928" s="12">
        <v>222.84</v>
      </c>
      <c r="I928" s="13">
        <f t="shared" si="78"/>
        <v>13448.050000000001</v>
      </c>
      <c r="J928" s="13">
        <f t="shared" si="79"/>
        <v>17158.68</v>
      </c>
    </row>
    <row r="929" spans="1:11" s="1" customFormat="1" ht="25.5" customHeight="1" x14ac:dyDescent="0.2">
      <c r="A929" s="8"/>
      <c r="B929" s="803" t="s">
        <v>270</v>
      </c>
      <c r="C929" s="804"/>
      <c r="D929" s="804"/>
      <c r="E929" s="804"/>
      <c r="F929" s="804"/>
      <c r="G929" s="805"/>
      <c r="H929" s="8"/>
      <c r="I929" s="14">
        <f>SUM(I922:I928)-3.35</f>
        <v>213725.859</v>
      </c>
      <c r="J929" s="15">
        <f>SUM(J922:J928)-5.75</f>
        <v>272692.82400000002</v>
      </c>
      <c r="K929" s="49"/>
    </row>
    <row r="930" spans="1:11" s="1" customFormat="1" ht="25.5" customHeight="1" x14ac:dyDescent="0.2">
      <c r="A930" s="8"/>
      <c r="B930" s="9" t="s">
        <v>271</v>
      </c>
      <c r="C930" s="808" t="s">
        <v>272</v>
      </c>
      <c r="D930" s="820"/>
      <c r="E930" s="820"/>
      <c r="F930" s="820"/>
      <c r="G930" s="820"/>
      <c r="H930" s="820"/>
      <c r="I930" s="809"/>
      <c r="J930" s="8"/>
    </row>
    <row r="931" spans="1:11" s="1" customFormat="1" ht="25.5" customHeight="1" x14ac:dyDescent="0.2">
      <c r="A931" s="11" t="s">
        <v>273</v>
      </c>
      <c r="B931" s="11" t="s">
        <v>274</v>
      </c>
      <c r="C931" s="806" t="s">
        <v>275</v>
      </c>
      <c r="D931" s="807"/>
      <c r="E931" s="11" t="s">
        <v>81</v>
      </c>
      <c r="F931" s="12">
        <v>32.799999999999997</v>
      </c>
      <c r="G931" s="12">
        <v>33.909999999999997</v>
      </c>
      <c r="H931" s="12">
        <v>43.27</v>
      </c>
      <c r="I931" s="13">
        <f>F931*G931</f>
        <v>1112.2479999999998</v>
      </c>
      <c r="J931" s="13">
        <f>F931*H931</f>
        <v>1419.2560000000001</v>
      </c>
    </row>
    <row r="932" spans="1:11" s="1" customFormat="1" ht="25.5" customHeight="1" x14ac:dyDescent="0.2">
      <c r="A932" s="10">
        <v>96467</v>
      </c>
      <c r="B932" s="11" t="s">
        <v>276</v>
      </c>
      <c r="C932" s="806" t="s">
        <v>277</v>
      </c>
      <c r="D932" s="807"/>
      <c r="E932" s="11" t="s">
        <v>81</v>
      </c>
      <c r="F932" s="12">
        <v>648</v>
      </c>
      <c r="G932" s="12">
        <v>4.1100000000000003</v>
      </c>
      <c r="H932" s="12">
        <v>5.25</v>
      </c>
      <c r="I932" s="13">
        <f>F932*G932</f>
        <v>2663.28</v>
      </c>
      <c r="J932" s="13">
        <f>F932*H932</f>
        <v>3402</v>
      </c>
    </row>
    <row r="933" spans="1:11" s="1" customFormat="1" ht="25.5" customHeight="1" x14ac:dyDescent="0.2">
      <c r="A933" s="11" t="s">
        <v>78</v>
      </c>
      <c r="B933" s="11" t="s">
        <v>278</v>
      </c>
      <c r="C933" s="806" t="s">
        <v>279</v>
      </c>
      <c r="D933" s="807"/>
      <c r="E933" s="11" t="s">
        <v>81</v>
      </c>
      <c r="F933" s="12">
        <v>100</v>
      </c>
      <c r="G933" s="12">
        <v>9.81</v>
      </c>
      <c r="H933" s="12">
        <v>12.52</v>
      </c>
      <c r="I933" s="13">
        <f>F933*G933</f>
        <v>981</v>
      </c>
      <c r="J933" s="13">
        <f>F933*H933</f>
        <v>1252</v>
      </c>
    </row>
    <row r="934" spans="1:11" s="1" customFormat="1" ht="25.5" customHeight="1" x14ac:dyDescent="0.2">
      <c r="A934" s="11" t="s">
        <v>280</v>
      </c>
      <c r="B934" s="11" t="s">
        <v>281</v>
      </c>
      <c r="C934" s="806" t="s">
        <v>282</v>
      </c>
      <c r="D934" s="807"/>
      <c r="E934" s="11" t="s">
        <v>81</v>
      </c>
      <c r="F934" s="12">
        <v>548</v>
      </c>
      <c r="G934" s="12">
        <v>12.72</v>
      </c>
      <c r="H934" s="12">
        <v>16.23</v>
      </c>
      <c r="I934" s="13">
        <f>F934*G934</f>
        <v>6970.56</v>
      </c>
      <c r="J934" s="13">
        <f>F934*H934</f>
        <v>8894.0400000000009</v>
      </c>
    </row>
    <row r="935" spans="1:11" s="1" customFormat="1" ht="25.5" customHeight="1" x14ac:dyDescent="0.2">
      <c r="A935" s="8"/>
      <c r="B935" s="803" t="s">
        <v>283</v>
      </c>
      <c r="C935" s="804"/>
      <c r="D935" s="804"/>
      <c r="E935" s="804"/>
      <c r="F935" s="804"/>
      <c r="G935" s="805"/>
      <c r="H935" s="8"/>
      <c r="I935" s="14">
        <f>SUM(I931:I934)+0.36</f>
        <v>11727.448</v>
      </c>
      <c r="J935" s="15">
        <f>SUM(J931:J934)-4.24</f>
        <v>14963.056000000002</v>
      </c>
      <c r="K935" s="49"/>
    </row>
    <row r="936" spans="1:11" s="1" customFormat="1" ht="25.5" customHeight="1" x14ac:dyDescent="0.2">
      <c r="A936" s="8"/>
      <c r="B936" s="9" t="s">
        <v>284</v>
      </c>
      <c r="C936" s="808" t="s">
        <v>285</v>
      </c>
      <c r="D936" s="820"/>
      <c r="E936" s="820"/>
      <c r="F936" s="820"/>
      <c r="G936" s="820"/>
      <c r="H936" s="820"/>
      <c r="I936" s="809"/>
      <c r="J936" s="8"/>
    </row>
    <row r="937" spans="1:11" s="1" customFormat="1" ht="25.5" customHeight="1" x14ac:dyDescent="0.2">
      <c r="A937" s="8"/>
      <c r="B937" s="20">
        <v>12.1</v>
      </c>
      <c r="C937" s="808" t="s">
        <v>286</v>
      </c>
      <c r="D937" s="809"/>
      <c r="E937" s="8"/>
      <c r="F937" s="8"/>
      <c r="G937" s="8"/>
      <c r="H937" s="8"/>
      <c r="I937" s="8"/>
      <c r="J937" s="8"/>
    </row>
    <row r="938" spans="1:11" s="1" customFormat="1" ht="25.5" customHeight="1" x14ac:dyDescent="0.2">
      <c r="A938" s="10">
        <v>88489</v>
      </c>
      <c r="B938" s="21">
        <v>40909</v>
      </c>
      <c r="C938" s="806" t="s">
        <v>287</v>
      </c>
      <c r="D938" s="807"/>
      <c r="E938" s="11" t="s">
        <v>14</v>
      </c>
      <c r="F938" s="12">
        <v>638.78</v>
      </c>
      <c r="G938" s="12">
        <v>8.41</v>
      </c>
      <c r="H938" s="12">
        <v>10.73</v>
      </c>
      <c r="I938" s="13">
        <f>F938*G938</f>
        <v>5372.1397999999999</v>
      </c>
      <c r="J938" s="13">
        <f>F938*H938</f>
        <v>6854.1094000000003</v>
      </c>
    </row>
    <row r="939" spans="1:11" s="1" customFormat="1" ht="25.5" customHeight="1" x14ac:dyDescent="0.2">
      <c r="A939" s="10">
        <v>88497</v>
      </c>
      <c r="B939" s="21">
        <v>40910</v>
      </c>
      <c r="C939" s="806" t="s">
        <v>288</v>
      </c>
      <c r="D939" s="807"/>
      <c r="E939" s="11" t="s">
        <v>14</v>
      </c>
      <c r="F939" s="12">
        <v>638.78</v>
      </c>
      <c r="G939" s="12">
        <v>9.49</v>
      </c>
      <c r="H939" s="12">
        <v>12.1</v>
      </c>
      <c r="I939" s="13">
        <f>F939*G939</f>
        <v>6062.0221999999994</v>
      </c>
      <c r="J939" s="13">
        <f>F939*H939</f>
        <v>7729.2379999999994</v>
      </c>
    </row>
    <row r="940" spans="1:11" s="1" customFormat="1" ht="25.5" customHeight="1" x14ac:dyDescent="0.2">
      <c r="A940" s="10">
        <v>88487</v>
      </c>
      <c r="B940" s="21">
        <v>40911</v>
      </c>
      <c r="C940" s="806" t="s">
        <v>289</v>
      </c>
      <c r="D940" s="807"/>
      <c r="E940" s="11" t="s">
        <v>14</v>
      </c>
      <c r="F940" s="12">
        <v>77.3</v>
      </c>
      <c r="G940" s="12">
        <v>6.56</v>
      </c>
      <c r="H940" s="12">
        <v>8.3699999999999992</v>
      </c>
      <c r="I940" s="13">
        <f>F940*G940</f>
        <v>507.08799999999997</v>
      </c>
      <c r="J940" s="13">
        <f>F940*H940</f>
        <v>647.00099999999986</v>
      </c>
    </row>
    <row r="941" spans="1:11" s="1" customFormat="1" ht="25.5" customHeight="1" x14ac:dyDescent="0.2">
      <c r="A941" s="8"/>
      <c r="B941" s="9" t="s">
        <v>290</v>
      </c>
      <c r="C941" s="808" t="s">
        <v>291</v>
      </c>
      <c r="D941" s="820"/>
      <c r="E941" s="820"/>
      <c r="F941" s="820"/>
      <c r="G941" s="809"/>
      <c r="H941" s="8"/>
      <c r="I941" s="8"/>
      <c r="J941" s="8"/>
    </row>
    <row r="942" spans="1:11" s="1" customFormat="1" ht="25.5" customHeight="1" x14ac:dyDescent="0.2">
      <c r="A942" s="10">
        <v>88489</v>
      </c>
      <c r="B942" s="21">
        <v>40940</v>
      </c>
      <c r="C942" s="806" t="s">
        <v>287</v>
      </c>
      <c r="D942" s="807"/>
      <c r="E942" s="11" t="s">
        <v>14</v>
      </c>
      <c r="F942" s="12">
        <v>606.17999999999995</v>
      </c>
      <c r="G942" s="12">
        <v>8.41</v>
      </c>
      <c r="H942" s="12">
        <v>10.73</v>
      </c>
      <c r="I942" s="13">
        <f>F942*G942</f>
        <v>5097.9737999999998</v>
      </c>
      <c r="J942" s="13">
        <f>F942*H942</f>
        <v>6504.3113999999996</v>
      </c>
    </row>
    <row r="943" spans="1:11" s="1" customFormat="1" ht="25.5" customHeight="1" x14ac:dyDescent="0.2">
      <c r="A943" s="8"/>
      <c r="B943" s="9" t="s">
        <v>292</v>
      </c>
      <c r="C943" s="808" t="s">
        <v>235</v>
      </c>
      <c r="D943" s="820"/>
      <c r="E943" s="820"/>
      <c r="F943" s="820"/>
      <c r="G943" s="809"/>
      <c r="H943" s="8"/>
      <c r="I943" s="8"/>
      <c r="J943" s="8"/>
    </row>
    <row r="944" spans="1:11" s="1" customFormat="1" ht="25.5" customHeight="1" x14ac:dyDescent="0.2">
      <c r="A944" s="10">
        <v>88487</v>
      </c>
      <c r="B944" s="11" t="s">
        <v>293</v>
      </c>
      <c r="C944" s="806" t="s">
        <v>289</v>
      </c>
      <c r="D944" s="807"/>
      <c r="E944" s="11" t="s">
        <v>14</v>
      </c>
      <c r="F944" s="12">
        <v>732.68</v>
      </c>
      <c r="G944" s="12">
        <v>6.56</v>
      </c>
      <c r="H944" s="12">
        <v>8.3699999999999992</v>
      </c>
      <c r="I944" s="13">
        <f>F944*G944</f>
        <v>4806.380799999999</v>
      </c>
      <c r="J944" s="13">
        <f>F944*H944</f>
        <v>6132.5315999999993</v>
      </c>
    </row>
    <row r="945" spans="1:10" s="1" customFormat="1" ht="25.5" customHeight="1" x14ac:dyDescent="0.2">
      <c r="A945" s="10">
        <v>88497</v>
      </c>
      <c r="B945" s="11" t="s">
        <v>294</v>
      </c>
      <c r="C945" s="806" t="s">
        <v>288</v>
      </c>
      <c r="D945" s="807"/>
      <c r="E945" s="11" t="s">
        <v>14</v>
      </c>
      <c r="F945" s="12">
        <v>732.68</v>
      </c>
      <c r="G945" s="12">
        <v>9.49</v>
      </c>
      <c r="H945" s="12">
        <v>12.1</v>
      </c>
      <c r="I945" s="13">
        <f>F945*G945</f>
        <v>6953.1331999999993</v>
      </c>
      <c r="J945" s="13">
        <f>F945*H945</f>
        <v>8865.4279999999999</v>
      </c>
    </row>
    <row r="946" spans="1:10" s="1" customFormat="1" ht="25.5" customHeight="1" x14ac:dyDescent="0.2">
      <c r="A946" s="8"/>
      <c r="B946" s="9" t="s">
        <v>295</v>
      </c>
      <c r="C946" s="808" t="s">
        <v>296</v>
      </c>
      <c r="D946" s="820"/>
      <c r="E946" s="820"/>
      <c r="F946" s="820"/>
      <c r="G946" s="809"/>
      <c r="H946" s="8"/>
      <c r="I946" s="8"/>
      <c r="J946" s="8"/>
    </row>
    <row r="947" spans="1:10" s="1" customFormat="1" ht="25.5" customHeight="1" x14ac:dyDescent="0.2">
      <c r="A947" s="11" t="s">
        <v>297</v>
      </c>
      <c r="B947" s="21">
        <v>41000</v>
      </c>
      <c r="C947" s="806" t="s">
        <v>298</v>
      </c>
      <c r="D947" s="807"/>
      <c r="E947" s="11" t="s">
        <v>14</v>
      </c>
      <c r="F947" s="12">
        <v>257.60000000000002</v>
      </c>
      <c r="G947" s="12">
        <v>13.87</v>
      </c>
      <c r="H947" s="12">
        <v>17.7</v>
      </c>
      <c r="I947" s="13">
        <f>F947*G947</f>
        <v>3572.9120000000003</v>
      </c>
      <c r="J947" s="13">
        <f>F947*H947</f>
        <v>4559.5200000000004</v>
      </c>
    </row>
    <row r="948" spans="1:10" s="1" customFormat="1" ht="25.5" customHeight="1" x14ac:dyDescent="0.2">
      <c r="A948" s="10">
        <v>40905</v>
      </c>
      <c r="B948" s="21">
        <v>41001</v>
      </c>
      <c r="C948" s="806" t="s">
        <v>299</v>
      </c>
      <c r="D948" s="807"/>
      <c r="E948" s="11" t="s">
        <v>14</v>
      </c>
      <c r="F948" s="12">
        <v>54.8</v>
      </c>
      <c r="G948" s="12">
        <v>16.510000000000002</v>
      </c>
      <c r="H948" s="12">
        <v>21.06</v>
      </c>
      <c r="I948" s="13">
        <f>F948*G948</f>
        <v>904.74800000000005</v>
      </c>
      <c r="J948" s="13">
        <f>F948*H948</f>
        <v>1154.088</v>
      </c>
    </row>
    <row r="949" spans="1:10" s="1" customFormat="1" ht="25.5" customHeight="1" x14ac:dyDescent="0.2">
      <c r="A949" s="11" t="s">
        <v>300</v>
      </c>
      <c r="B949" s="21">
        <v>41002</v>
      </c>
      <c r="C949" s="806" t="s">
        <v>301</v>
      </c>
      <c r="D949" s="807"/>
      <c r="E949" s="11" t="s">
        <v>14</v>
      </c>
      <c r="F949" s="12">
        <v>170.5</v>
      </c>
      <c r="G949" s="12">
        <v>20.6</v>
      </c>
      <c r="H949" s="12">
        <v>26.28</v>
      </c>
      <c r="I949" s="13">
        <f>F949*G949</f>
        <v>3512.3</v>
      </c>
      <c r="J949" s="13">
        <f>F949*H949</f>
        <v>4480.74</v>
      </c>
    </row>
    <row r="950" spans="1:10" s="1" customFormat="1" ht="25.5" customHeight="1" x14ac:dyDescent="0.2">
      <c r="A950" s="8"/>
      <c r="B950" s="826" t="s">
        <v>302</v>
      </c>
      <c r="C950" s="827"/>
      <c r="D950" s="827"/>
      <c r="E950" s="827"/>
      <c r="F950" s="827"/>
      <c r="G950" s="827"/>
      <c r="H950" s="828"/>
      <c r="I950" s="14">
        <f>SUM(I938:I949)</f>
        <v>36788.697800000002</v>
      </c>
      <c r="J950" s="15">
        <f>SUM(J938:J949)-1.02</f>
        <v>46925.947400000005</v>
      </c>
    </row>
    <row r="951" spans="1:10" s="1" customFormat="1" ht="25.5" customHeight="1" x14ac:dyDescent="0.2">
      <c r="A951" s="8"/>
      <c r="B951" s="9" t="s">
        <v>303</v>
      </c>
      <c r="C951" s="808" t="s">
        <v>304</v>
      </c>
      <c r="D951" s="820"/>
      <c r="E951" s="820"/>
      <c r="F951" s="820"/>
      <c r="G951" s="820"/>
      <c r="H951" s="820"/>
      <c r="I951" s="809"/>
      <c r="J951" s="8"/>
    </row>
    <row r="952" spans="1:10" s="1" customFormat="1" ht="25.5" customHeight="1" x14ac:dyDescent="0.2">
      <c r="A952" s="11" t="s">
        <v>305</v>
      </c>
      <c r="B952" s="11" t="s">
        <v>306</v>
      </c>
      <c r="C952" s="806" t="s">
        <v>307</v>
      </c>
      <c r="D952" s="807"/>
      <c r="E952" s="11" t="s">
        <v>14</v>
      </c>
      <c r="F952" s="12">
        <v>43.5</v>
      </c>
      <c r="G952" s="12">
        <v>224.11</v>
      </c>
      <c r="H952" s="12">
        <v>285.94</v>
      </c>
      <c r="I952" s="13">
        <f t="shared" ref="I952:I972" si="80">F952*G952</f>
        <v>9748.7849999999999</v>
      </c>
      <c r="J952" s="13">
        <f t="shared" ref="J952:J972" si="81">F952*H952</f>
        <v>12438.39</v>
      </c>
    </row>
    <row r="953" spans="1:10" s="1" customFormat="1" ht="25.5" customHeight="1" x14ac:dyDescent="0.2">
      <c r="A953" s="11" t="s">
        <v>308</v>
      </c>
      <c r="B953" s="11" t="s">
        <v>309</v>
      </c>
      <c r="C953" s="806" t="s">
        <v>310</v>
      </c>
      <c r="D953" s="807"/>
      <c r="E953" s="11" t="s">
        <v>14</v>
      </c>
      <c r="F953" s="12">
        <v>10.5</v>
      </c>
      <c r="G953" s="12">
        <v>312.5</v>
      </c>
      <c r="H953" s="12">
        <v>398.72</v>
      </c>
      <c r="I953" s="13">
        <f t="shared" si="80"/>
        <v>3281.25</v>
      </c>
      <c r="J953" s="13">
        <f t="shared" si="81"/>
        <v>4186.5600000000004</v>
      </c>
    </row>
    <row r="954" spans="1:10" s="1" customFormat="1" ht="25.5" customHeight="1" x14ac:dyDescent="0.2">
      <c r="A954" s="11" t="s">
        <v>78</v>
      </c>
      <c r="B954" s="11" t="s">
        <v>311</v>
      </c>
      <c r="C954" s="806" t="s">
        <v>312</v>
      </c>
      <c r="D954" s="807"/>
      <c r="E954" s="11" t="s">
        <v>14</v>
      </c>
      <c r="F954" s="12">
        <v>53</v>
      </c>
      <c r="G954" s="12">
        <v>323.14</v>
      </c>
      <c r="H954" s="12">
        <v>412.29</v>
      </c>
      <c r="I954" s="13">
        <f t="shared" si="80"/>
        <v>17126.419999999998</v>
      </c>
      <c r="J954" s="13">
        <f t="shared" si="81"/>
        <v>21851.370000000003</v>
      </c>
    </row>
    <row r="955" spans="1:10" s="1" customFormat="1" ht="25.5" customHeight="1" x14ac:dyDescent="0.2">
      <c r="A955" s="11" t="s">
        <v>305</v>
      </c>
      <c r="B955" s="11" t="s">
        <v>313</v>
      </c>
      <c r="C955" s="806" t="s">
        <v>314</v>
      </c>
      <c r="D955" s="807"/>
      <c r="E955" s="11" t="s">
        <v>14</v>
      </c>
      <c r="F955" s="12">
        <v>35.700000000000003</v>
      </c>
      <c r="G955" s="12">
        <v>224.11</v>
      </c>
      <c r="H955" s="12">
        <v>285.94</v>
      </c>
      <c r="I955" s="13">
        <f t="shared" si="80"/>
        <v>8000.7270000000008</v>
      </c>
      <c r="J955" s="13">
        <f t="shared" si="81"/>
        <v>10208.058000000001</v>
      </c>
    </row>
    <row r="956" spans="1:10" s="1" customFormat="1" ht="25.5" customHeight="1" x14ac:dyDescent="0.2">
      <c r="A956" s="10">
        <v>20231</v>
      </c>
      <c r="B956" s="11" t="s">
        <v>315</v>
      </c>
      <c r="C956" s="806" t="s">
        <v>316</v>
      </c>
      <c r="D956" s="807"/>
      <c r="E956" s="11" t="s">
        <v>81</v>
      </c>
      <c r="F956" s="12">
        <v>65.8</v>
      </c>
      <c r="G956" s="12">
        <v>33.93</v>
      </c>
      <c r="H956" s="12">
        <v>43.29</v>
      </c>
      <c r="I956" s="13">
        <f t="shared" si="80"/>
        <v>2232.5940000000001</v>
      </c>
      <c r="J956" s="13">
        <f t="shared" si="81"/>
        <v>2848.482</v>
      </c>
    </row>
    <row r="957" spans="1:10" s="1" customFormat="1" ht="25.5" customHeight="1" x14ac:dyDescent="0.2">
      <c r="A957" s="10">
        <v>20231</v>
      </c>
      <c r="B957" s="11" t="s">
        <v>317</v>
      </c>
      <c r="C957" s="806" t="s">
        <v>318</v>
      </c>
      <c r="D957" s="807"/>
      <c r="E957" s="11" t="s">
        <v>81</v>
      </c>
      <c r="F957" s="12">
        <v>99.5</v>
      </c>
      <c r="G957" s="12">
        <v>33.93</v>
      </c>
      <c r="H957" s="12">
        <v>43.29</v>
      </c>
      <c r="I957" s="13">
        <f t="shared" si="80"/>
        <v>3376.0349999999999</v>
      </c>
      <c r="J957" s="13">
        <f t="shared" si="81"/>
        <v>4307.3549999999996</v>
      </c>
    </row>
    <row r="958" spans="1:10" s="1" customFormat="1" ht="25.5" customHeight="1" x14ac:dyDescent="0.2">
      <c r="A958" s="10">
        <v>20231</v>
      </c>
      <c r="B958" s="11" t="s">
        <v>319</v>
      </c>
      <c r="C958" s="806" t="s">
        <v>320</v>
      </c>
      <c r="D958" s="807"/>
      <c r="E958" s="11" t="s">
        <v>81</v>
      </c>
      <c r="F958" s="12">
        <v>130.80000000000001</v>
      </c>
      <c r="G958" s="12">
        <v>33.93</v>
      </c>
      <c r="H958" s="12">
        <v>43.29</v>
      </c>
      <c r="I958" s="13">
        <f t="shared" si="80"/>
        <v>4438.0440000000008</v>
      </c>
      <c r="J958" s="13">
        <f t="shared" si="81"/>
        <v>5662.3320000000003</v>
      </c>
    </row>
    <row r="959" spans="1:10" s="1" customFormat="1" ht="25.5" customHeight="1" x14ac:dyDescent="0.2">
      <c r="A959" s="10">
        <v>20231</v>
      </c>
      <c r="B959" s="11" t="s">
        <v>321</v>
      </c>
      <c r="C959" s="806" t="s">
        <v>322</v>
      </c>
      <c r="D959" s="807"/>
      <c r="E959" s="11" t="s">
        <v>81</v>
      </c>
      <c r="F959" s="12">
        <v>90.4</v>
      </c>
      <c r="G959" s="12">
        <v>33.93</v>
      </c>
      <c r="H959" s="12">
        <v>43.29</v>
      </c>
      <c r="I959" s="13">
        <f t="shared" si="80"/>
        <v>3067.2720000000004</v>
      </c>
      <c r="J959" s="13">
        <f t="shared" si="81"/>
        <v>3913.4160000000002</v>
      </c>
    </row>
    <row r="960" spans="1:10" s="1" customFormat="1" ht="25.5" customHeight="1" x14ac:dyDescent="0.2">
      <c r="A960" s="10">
        <v>20231</v>
      </c>
      <c r="B960" s="11" t="s">
        <v>323</v>
      </c>
      <c r="C960" s="806" t="s">
        <v>324</v>
      </c>
      <c r="D960" s="807"/>
      <c r="E960" s="11" t="s">
        <v>81</v>
      </c>
      <c r="F960" s="12">
        <v>19.2</v>
      </c>
      <c r="G960" s="12">
        <v>33.93</v>
      </c>
      <c r="H960" s="12">
        <v>43.29</v>
      </c>
      <c r="I960" s="13">
        <f t="shared" si="80"/>
        <v>651.45600000000002</v>
      </c>
      <c r="J960" s="13">
        <f t="shared" si="81"/>
        <v>831.16800000000001</v>
      </c>
    </row>
    <row r="961" spans="1:11" s="1" customFormat="1" ht="25.5" customHeight="1" x14ac:dyDescent="0.2">
      <c r="A961" s="11" t="s">
        <v>308</v>
      </c>
      <c r="B961" s="11" t="s">
        <v>325</v>
      </c>
      <c r="C961" s="806" t="s">
        <v>326</v>
      </c>
      <c r="D961" s="807"/>
      <c r="E961" s="11" t="s">
        <v>102</v>
      </c>
      <c r="F961" s="12">
        <v>2</v>
      </c>
      <c r="G961" s="12">
        <v>58.84</v>
      </c>
      <c r="H961" s="12">
        <v>75.069999999999993</v>
      </c>
      <c r="I961" s="13">
        <f t="shared" si="80"/>
        <v>117.68</v>
      </c>
      <c r="J961" s="13">
        <f t="shared" si="81"/>
        <v>150.13999999999999</v>
      </c>
    </row>
    <row r="962" spans="1:11" s="1" customFormat="1" ht="25.5" customHeight="1" x14ac:dyDescent="0.2">
      <c r="A962" s="10">
        <v>84862</v>
      </c>
      <c r="B962" s="11" t="s">
        <v>327</v>
      </c>
      <c r="C962" s="806" t="s">
        <v>328</v>
      </c>
      <c r="D962" s="807"/>
      <c r="E962" s="11" t="s">
        <v>81</v>
      </c>
      <c r="F962" s="12">
        <v>10.9</v>
      </c>
      <c r="G962" s="12">
        <v>190.09</v>
      </c>
      <c r="H962" s="12">
        <v>242.53</v>
      </c>
      <c r="I962" s="13">
        <f t="shared" si="80"/>
        <v>2071.9810000000002</v>
      </c>
      <c r="J962" s="13">
        <f t="shared" si="81"/>
        <v>2643.5770000000002</v>
      </c>
    </row>
    <row r="963" spans="1:11" s="1" customFormat="1" ht="25.5" customHeight="1" x14ac:dyDescent="0.2">
      <c r="A963" s="11" t="s">
        <v>329</v>
      </c>
      <c r="B963" s="11" t="s">
        <v>330</v>
      </c>
      <c r="C963" s="806" t="s">
        <v>331</v>
      </c>
      <c r="D963" s="807"/>
      <c r="E963" s="11" t="s">
        <v>81</v>
      </c>
      <c r="F963" s="12">
        <v>11.79</v>
      </c>
      <c r="G963" s="12">
        <v>222.14</v>
      </c>
      <c r="H963" s="12">
        <v>283.43</v>
      </c>
      <c r="I963" s="13">
        <f t="shared" si="80"/>
        <v>2619.0305999999996</v>
      </c>
      <c r="J963" s="13">
        <f t="shared" si="81"/>
        <v>3341.6396999999997</v>
      </c>
    </row>
    <row r="964" spans="1:11" s="1" customFormat="1" ht="25.5" customHeight="1" x14ac:dyDescent="0.2">
      <c r="A964" s="11" t="s">
        <v>78</v>
      </c>
      <c r="B964" s="11" t="s">
        <v>332</v>
      </c>
      <c r="C964" s="806" t="s">
        <v>333</v>
      </c>
      <c r="D964" s="807"/>
      <c r="E964" s="11" t="s">
        <v>102</v>
      </c>
      <c r="F964" s="12">
        <v>1</v>
      </c>
      <c r="G964" s="12">
        <v>474.97</v>
      </c>
      <c r="H964" s="12">
        <v>606.01</v>
      </c>
      <c r="I964" s="13">
        <f t="shared" si="80"/>
        <v>474.97</v>
      </c>
      <c r="J964" s="13">
        <f t="shared" si="81"/>
        <v>606.01</v>
      </c>
    </row>
    <row r="965" spans="1:11" s="1" customFormat="1" ht="25.5" customHeight="1" x14ac:dyDescent="0.2">
      <c r="A965" s="11" t="s">
        <v>308</v>
      </c>
      <c r="B965" s="11" t="s">
        <v>334</v>
      </c>
      <c r="C965" s="806" t="s">
        <v>335</v>
      </c>
      <c r="D965" s="807"/>
      <c r="E965" s="11" t="s">
        <v>336</v>
      </c>
      <c r="F965" s="12">
        <v>2</v>
      </c>
      <c r="G965" s="12">
        <v>891.52</v>
      </c>
      <c r="H965" s="13">
        <v>1137.49</v>
      </c>
      <c r="I965" s="13">
        <f t="shared" si="80"/>
        <v>1783.04</v>
      </c>
      <c r="J965" s="13">
        <f t="shared" si="81"/>
        <v>2274.98</v>
      </c>
    </row>
    <row r="966" spans="1:11" s="1" customFormat="1" ht="25.5" customHeight="1" x14ac:dyDescent="0.2">
      <c r="A966" s="11" t="s">
        <v>308</v>
      </c>
      <c r="B966" s="11" t="s">
        <v>337</v>
      </c>
      <c r="C966" s="806" t="s">
        <v>338</v>
      </c>
      <c r="D966" s="807"/>
      <c r="E966" s="11" t="s">
        <v>102</v>
      </c>
      <c r="F966" s="12">
        <v>8</v>
      </c>
      <c r="G966" s="12">
        <v>179</v>
      </c>
      <c r="H966" s="12">
        <v>228.39</v>
      </c>
      <c r="I966" s="13">
        <f t="shared" si="80"/>
        <v>1432</v>
      </c>
      <c r="J966" s="13">
        <f t="shared" si="81"/>
        <v>1827.12</v>
      </c>
    </row>
    <row r="967" spans="1:11" s="1" customFormat="1" ht="25.5" customHeight="1" x14ac:dyDescent="0.2">
      <c r="A967" s="11" t="s">
        <v>308</v>
      </c>
      <c r="B967" s="11" t="s">
        <v>339</v>
      </c>
      <c r="C967" s="806" t="s">
        <v>340</v>
      </c>
      <c r="D967" s="807"/>
      <c r="E967" s="11" t="s">
        <v>336</v>
      </c>
      <c r="F967" s="12">
        <v>2</v>
      </c>
      <c r="G967" s="12">
        <v>144</v>
      </c>
      <c r="H967" s="12">
        <v>183.73</v>
      </c>
      <c r="I967" s="13">
        <f t="shared" si="80"/>
        <v>288</v>
      </c>
      <c r="J967" s="13">
        <f t="shared" si="81"/>
        <v>367.46</v>
      </c>
    </row>
    <row r="968" spans="1:11" s="1" customFormat="1" ht="25.5" customHeight="1" x14ac:dyDescent="0.2">
      <c r="A968" s="11" t="s">
        <v>78</v>
      </c>
      <c r="B968" s="11" t="s">
        <v>341</v>
      </c>
      <c r="C968" s="806" t="s">
        <v>342</v>
      </c>
      <c r="D968" s="807"/>
      <c r="E968" s="11" t="s">
        <v>81</v>
      </c>
      <c r="F968" s="12">
        <v>2.85</v>
      </c>
      <c r="G968" s="12">
        <v>201.25</v>
      </c>
      <c r="H968" s="12">
        <v>256.77</v>
      </c>
      <c r="I968" s="13">
        <f t="shared" si="80"/>
        <v>573.5625</v>
      </c>
      <c r="J968" s="13">
        <f t="shared" si="81"/>
        <v>731.79449999999997</v>
      </c>
    </row>
    <row r="969" spans="1:11" s="1" customFormat="1" ht="25.5" customHeight="1" x14ac:dyDescent="0.2">
      <c r="A969" s="11" t="s">
        <v>78</v>
      </c>
      <c r="B969" s="11" t="s">
        <v>343</v>
      </c>
      <c r="C969" s="806" t="s">
        <v>344</v>
      </c>
      <c r="D969" s="807"/>
      <c r="E969" s="11" t="s">
        <v>81</v>
      </c>
      <c r="F969" s="12">
        <v>9.1999999999999993</v>
      </c>
      <c r="G969" s="12">
        <v>356.72</v>
      </c>
      <c r="H969" s="12">
        <v>455.13</v>
      </c>
      <c r="I969" s="13">
        <f t="shared" si="80"/>
        <v>3281.8240000000001</v>
      </c>
      <c r="J969" s="13">
        <f t="shared" si="81"/>
        <v>4187.1959999999999</v>
      </c>
    </row>
    <row r="970" spans="1:11" s="1" customFormat="1" ht="25.5" customHeight="1" x14ac:dyDescent="0.2">
      <c r="A970" s="11" t="s">
        <v>345</v>
      </c>
      <c r="B970" s="11" t="s">
        <v>346</v>
      </c>
      <c r="C970" s="806" t="s">
        <v>347</v>
      </c>
      <c r="D970" s="807"/>
      <c r="E970" s="11" t="s">
        <v>102</v>
      </c>
      <c r="F970" s="12">
        <v>3</v>
      </c>
      <c r="G970" s="13">
        <v>2030.45</v>
      </c>
      <c r="H970" s="13">
        <v>2590.64</v>
      </c>
      <c r="I970" s="13">
        <f t="shared" si="80"/>
        <v>6091.35</v>
      </c>
      <c r="J970" s="13">
        <f t="shared" si="81"/>
        <v>7771.92</v>
      </c>
    </row>
    <row r="971" spans="1:11" s="1" customFormat="1" ht="25.5" customHeight="1" x14ac:dyDescent="0.2">
      <c r="A971" s="11" t="s">
        <v>308</v>
      </c>
      <c r="B971" s="11" t="s">
        <v>348</v>
      </c>
      <c r="C971" s="806" t="s">
        <v>349</v>
      </c>
      <c r="D971" s="807"/>
      <c r="E971" s="11" t="s">
        <v>102</v>
      </c>
      <c r="F971" s="12">
        <v>2</v>
      </c>
      <c r="G971" s="12">
        <v>415</v>
      </c>
      <c r="H971" s="12">
        <v>529.5</v>
      </c>
      <c r="I971" s="13">
        <f t="shared" si="80"/>
        <v>830</v>
      </c>
      <c r="J971" s="13">
        <f t="shared" si="81"/>
        <v>1059</v>
      </c>
    </row>
    <row r="972" spans="1:11" s="1" customFormat="1" ht="25.5" customHeight="1" x14ac:dyDescent="0.2">
      <c r="A972" s="11" t="s">
        <v>308</v>
      </c>
      <c r="B972" s="11" t="s">
        <v>350</v>
      </c>
      <c r="C972" s="806" t="s">
        <v>351</v>
      </c>
      <c r="D972" s="807"/>
      <c r="E972" s="11" t="s">
        <v>102</v>
      </c>
      <c r="F972" s="12">
        <v>1</v>
      </c>
      <c r="G972" s="12">
        <v>63.04</v>
      </c>
      <c r="H972" s="12">
        <v>80.430000000000007</v>
      </c>
      <c r="I972" s="13">
        <f t="shared" si="80"/>
        <v>63.04</v>
      </c>
      <c r="J972" s="13">
        <f t="shared" si="81"/>
        <v>80.430000000000007</v>
      </c>
    </row>
    <row r="973" spans="1:11" s="1" customFormat="1" ht="25.5" customHeight="1" x14ac:dyDescent="0.2">
      <c r="A973" s="8"/>
      <c r="B973" s="826" t="s">
        <v>352</v>
      </c>
      <c r="C973" s="827"/>
      <c r="D973" s="827"/>
      <c r="E973" s="827"/>
      <c r="F973" s="827"/>
      <c r="G973" s="827"/>
      <c r="H973" s="828"/>
      <c r="I973" s="14">
        <f>SUM(I952:I972)-0.39</f>
        <v>71548.671099999992</v>
      </c>
      <c r="J973" s="15">
        <f>SUM(J952:J972)+0.54</f>
        <v>91288.93819999999</v>
      </c>
      <c r="K973" s="49"/>
    </row>
    <row r="974" spans="1:11" s="1" customFormat="1" ht="25.5" customHeight="1" x14ac:dyDescent="0.2">
      <c r="A974" s="8"/>
      <c r="B974" s="9" t="s">
        <v>353</v>
      </c>
      <c r="C974" s="808" t="s">
        <v>354</v>
      </c>
      <c r="D974" s="809"/>
      <c r="E974" s="8"/>
      <c r="F974" s="8"/>
      <c r="G974" s="8"/>
      <c r="H974" s="8"/>
      <c r="I974" s="8"/>
      <c r="J974" s="8"/>
    </row>
    <row r="975" spans="1:11" s="1" customFormat="1" ht="25.5" customHeight="1" x14ac:dyDescent="0.2">
      <c r="A975" s="8"/>
      <c r="B975" s="9" t="s">
        <v>355</v>
      </c>
      <c r="C975" s="808" t="s">
        <v>356</v>
      </c>
      <c r="D975" s="809"/>
      <c r="E975" s="8"/>
      <c r="F975" s="8"/>
      <c r="G975" s="8"/>
      <c r="H975" s="8"/>
      <c r="I975" s="8"/>
      <c r="J975" s="8"/>
    </row>
    <row r="976" spans="1:11" s="1" customFormat="1" ht="25.5" customHeight="1" x14ac:dyDescent="0.2">
      <c r="A976" s="8"/>
      <c r="B976" s="23">
        <v>41640</v>
      </c>
      <c r="C976" s="808" t="s">
        <v>357</v>
      </c>
      <c r="D976" s="809"/>
      <c r="E976" s="8"/>
      <c r="F976" s="8"/>
      <c r="G976" s="8"/>
      <c r="H976" s="8"/>
      <c r="I976" s="8"/>
      <c r="J976" s="8"/>
    </row>
    <row r="977" spans="1:10" s="1" customFormat="1" ht="25.5" customHeight="1" x14ac:dyDescent="0.2">
      <c r="A977" s="11" t="s">
        <v>358</v>
      </c>
      <c r="B977" s="11" t="s">
        <v>359</v>
      </c>
      <c r="C977" s="806" t="s">
        <v>360</v>
      </c>
      <c r="D977" s="807"/>
      <c r="E977" s="11" t="s">
        <v>81</v>
      </c>
      <c r="F977" s="12">
        <v>172</v>
      </c>
      <c r="G977" s="12">
        <v>11.27</v>
      </c>
      <c r="H977" s="12">
        <v>14.38</v>
      </c>
      <c r="I977" s="13">
        <f>F977*G977</f>
        <v>1938.4399999999998</v>
      </c>
      <c r="J977" s="13">
        <f>F977*H977</f>
        <v>2473.36</v>
      </c>
    </row>
    <row r="978" spans="1:10" s="1" customFormat="1" ht="25.5" customHeight="1" x14ac:dyDescent="0.2">
      <c r="A978" s="11" t="s">
        <v>361</v>
      </c>
      <c r="B978" s="11" t="s">
        <v>362</v>
      </c>
      <c r="C978" s="806" t="s">
        <v>363</v>
      </c>
      <c r="D978" s="807"/>
      <c r="E978" s="11" t="s">
        <v>81</v>
      </c>
      <c r="F978" s="12">
        <v>169</v>
      </c>
      <c r="G978" s="12">
        <v>11.89</v>
      </c>
      <c r="H978" s="12">
        <v>15.17</v>
      </c>
      <c r="I978" s="13">
        <f>F978*G978</f>
        <v>2009.41</v>
      </c>
      <c r="J978" s="13">
        <f>F978*H978</f>
        <v>2563.73</v>
      </c>
    </row>
    <row r="979" spans="1:10" s="1" customFormat="1" ht="25.5" customHeight="1" x14ac:dyDescent="0.2">
      <c r="A979" s="11" t="s">
        <v>364</v>
      </c>
      <c r="B979" s="11" t="s">
        <v>365</v>
      </c>
      <c r="C979" s="806" t="s">
        <v>366</v>
      </c>
      <c r="D979" s="807"/>
      <c r="E979" s="11" t="s">
        <v>81</v>
      </c>
      <c r="F979" s="12">
        <v>66</v>
      </c>
      <c r="G979" s="12">
        <v>28.56</v>
      </c>
      <c r="H979" s="12">
        <v>36.44</v>
      </c>
      <c r="I979" s="13">
        <f>F979*G979</f>
        <v>1884.9599999999998</v>
      </c>
      <c r="J979" s="13">
        <f>F979*H979</f>
        <v>2405.04</v>
      </c>
    </row>
    <row r="980" spans="1:10" s="1" customFormat="1" ht="25.5" customHeight="1" x14ac:dyDescent="0.2">
      <c r="A980" s="11" t="s">
        <v>367</v>
      </c>
      <c r="B980" s="11" t="s">
        <v>368</v>
      </c>
      <c r="C980" s="806" t="s">
        <v>369</v>
      </c>
      <c r="D980" s="807"/>
      <c r="E980" s="11" t="s">
        <v>81</v>
      </c>
      <c r="F980" s="12">
        <v>39</v>
      </c>
      <c r="G980" s="12">
        <v>35.53</v>
      </c>
      <c r="H980" s="12">
        <v>45.34</v>
      </c>
      <c r="I980" s="13">
        <f>F980*G980</f>
        <v>1385.67</v>
      </c>
      <c r="J980" s="13">
        <f>F980*H980</f>
        <v>1768.2600000000002</v>
      </c>
    </row>
    <row r="981" spans="1:10" s="1" customFormat="1" ht="25.5" customHeight="1" x14ac:dyDescent="0.2">
      <c r="A981" s="11" t="s">
        <v>370</v>
      </c>
      <c r="B981" s="11" t="s">
        <v>371</v>
      </c>
      <c r="C981" s="806" t="s">
        <v>372</v>
      </c>
      <c r="D981" s="807"/>
      <c r="E981" s="11" t="s">
        <v>81</v>
      </c>
      <c r="F981" s="12">
        <v>87</v>
      </c>
      <c r="G981" s="12">
        <v>47.11</v>
      </c>
      <c r="H981" s="12">
        <v>60.1</v>
      </c>
      <c r="I981" s="13">
        <f>F981*G981</f>
        <v>4098.57</v>
      </c>
      <c r="J981" s="13">
        <f>F981*H981</f>
        <v>5228.7</v>
      </c>
    </row>
    <row r="982" spans="1:10" s="1" customFormat="1" ht="25.5" customHeight="1" x14ac:dyDescent="0.2">
      <c r="A982" s="8"/>
      <c r="B982" s="23">
        <v>41641</v>
      </c>
      <c r="C982" s="808" t="s">
        <v>373</v>
      </c>
      <c r="D982" s="809"/>
      <c r="E982" s="8"/>
      <c r="F982" s="8"/>
      <c r="G982" s="8"/>
      <c r="H982" s="8"/>
      <c r="I982" s="8"/>
      <c r="J982" s="8"/>
    </row>
    <row r="983" spans="1:10" s="1" customFormat="1" ht="25.5" customHeight="1" x14ac:dyDescent="0.2">
      <c r="A983" s="10">
        <v>89383</v>
      </c>
      <c r="B983" s="11" t="s">
        <v>374</v>
      </c>
      <c r="C983" s="806" t="s">
        <v>375</v>
      </c>
      <c r="D983" s="807"/>
      <c r="E983" s="11" t="s">
        <v>102</v>
      </c>
      <c r="F983" s="12">
        <v>125</v>
      </c>
      <c r="G983" s="12">
        <v>5.09</v>
      </c>
      <c r="H983" s="12">
        <v>6.49</v>
      </c>
      <c r="I983" s="13">
        <f t="shared" ref="I983:I990" si="82">F983*G983</f>
        <v>636.25</v>
      </c>
      <c r="J983" s="13">
        <f t="shared" ref="J983:J990" si="83">F983*H983</f>
        <v>811.25</v>
      </c>
    </row>
    <row r="984" spans="1:10" s="1" customFormat="1" ht="25.5" customHeight="1" x14ac:dyDescent="0.2">
      <c r="A984" s="10">
        <v>89391</v>
      </c>
      <c r="B984" s="11" t="s">
        <v>376</v>
      </c>
      <c r="C984" s="806" t="s">
        <v>377</v>
      </c>
      <c r="D984" s="807"/>
      <c r="E984" s="11" t="s">
        <v>102</v>
      </c>
      <c r="F984" s="12">
        <v>30</v>
      </c>
      <c r="G984" s="12">
        <v>6.77</v>
      </c>
      <c r="H984" s="12">
        <v>8.64</v>
      </c>
      <c r="I984" s="13">
        <f t="shared" si="82"/>
        <v>203.1</v>
      </c>
      <c r="J984" s="13">
        <f t="shared" si="83"/>
        <v>259.20000000000005</v>
      </c>
    </row>
    <row r="985" spans="1:10" s="1" customFormat="1" ht="25.5" customHeight="1" x14ac:dyDescent="0.2">
      <c r="A985" s="10">
        <v>89595</v>
      </c>
      <c r="B985" s="11" t="s">
        <v>378</v>
      </c>
      <c r="C985" s="806" t="s">
        <v>379</v>
      </c>
      <c r="D985" s="807"/>
      <c r="E985" s="11" t="s">
        <v>102</v>
      </c>
      <c r="F985" s="12">
        <v>30</v>
      </c>
      <c r="G985" s="12">
        <v>10.76</v>
      </c>
      <c r="H985" s="12">
        <v>13.73</v>
      </c>
      <c r="I985" s="13">
        <f t="shared" si="82"/>
        <v>322.8</v>
      </c>
      <c r="J985" s="13">
        <f t="shared" si="83"/>
        <v>411.90000000000003</v>
      </c>
    </row>
    <row r="986" spans="1:10" s="1" customFormat="1" ht="25.5" customHeight="1" x14ac:dyDescent="0.2">
      <c r="A986" s="10">
        <v>94668</v>
      </c>
      <c r="B986" s="11" t="s">
        <v>380</v>
      </c>
      <c r="C986" s="806" t="s">
        <v>381</v>
      </c>
      <c r="D986" s="807"/>
      <c r="E986" s="11" t="s">
        <v>102</v>
      </c>
      <c r="F986" s="12">
        <v>11</v>
      </c>
      <c r="G986" s="12">
        <v>42.01</v>
      </c>
      <c r="H986" s="12">
        <v>53.6</v>
      </c>
      <c r="I986" s="13">
        <f t="shared" si="82"/>
        <v>462.10999999999996</v>
      </c>
      <c r="J986" s="13">
        <f t="shared" si="83"/>
        <v>589.6</v>
      </c>
    </row>
    <row r="987" spans="1:10" s="1" customFormat="1" ht="25.5" customHeight="1" x14ac:dyDescent="0.2">
      <c r="A987" s="10">
        <v>94708</v>
      </c>
      <c r="B987" s="11" t="s">
        <v>382</v>
      </c>
      <c r="C987" s="806" t="s">
        <v>383</v>
      </c>
      <c r="D987" s="807"/>
      <c r="E987" s="11" t="s">
        <v>102</v>
      </c>
      <c r="F987" s="12">
        <v>1</v>
      </c>
      <c r="G987" s="12">
        <v>19.79</v>
      </c>
      <c r="H987" s="12">
        <v>25.25</v>
      </c>
      <c r="I987" s="13">
        <f t="shared" si="82"/>
        <v>19.79</v>
      </c>
      <c r="J987" s="13">
        <f t="shared" si="83"/>
        <v>25.25</v>
      </c>
    </row>
    <row r="988" spans="1:10" s="1" customFormat="1" ht="25.5" customHeight="1" x14ac:dyDescent="0.2">
      <c r="A988" s="10">
        <v>94709</v>
      </c>
      <c r="B988" s="11" t="s">
        <v>384</v>
      </c>
      <c r="C988" s="806" t="s">
        <v>385</v>
      </c>
      <c r="D988" s="807"/>
      <c r="E988" s="11" t="s">
        <v>102</v>
      </c>
      <c r="F988" s="12">
        <v>1</v>
      </c>
      <c r="G988" s="12">
        <v>23.32</v>
      </c>
      <c r="H988" s="12">
        <v>29.75</v>
      </c>
      <c r="I988" s="13">
        <f t="shared" si="82"/>
        <v>23.32</v>
      </c>
      <c r="J988" s="13">
        <f t="shared" si="83"/>
        <v>29.75</v>
      </c>
    </row>
    <row r="989" spans="1:10" s="1" customFormat="1" ht="25.5" customHeight="1" x14ac:dyDescent="0.2">
      <c r="A989" s="10">
        <v>94711</v>
      </c>
      <c r="B989" s="11" t="s">
        <v>386</v>
      </c>
      <c r="C989" s="806" t="s">
        <v>387</v>
      </c>
      <c r="D989" s="807"/>
      <c r="E989" s="11" t="s">
        <v>102</v>
      </c>
      <c r="F989" s="12">
        <v>5</v>
      </c>
      <c r="G989" s="12">
        <v>40.08</v>
      </c>
      <c r="H989" s="12">
        <v>51.14</v>
      </c>
      <c r="I989" s="13">
        <f t="shared" si="82"/>
        <v>200.39999999999998</v>
      </c>
      <c r="J989" s="13">
        <f t="shared" si="83"/>
        <v>255.7</v>
      </c>
    </row>
    <row r="990" spans="1:10" s="1" customFormat="1" ht="25.5" customHeight="1" x14ac:dyDescent="0.2">
      <c r="A990" s="10">
        <v>94714</v>
      </c>
      <c r="B990" s="11" t="s">
        <v>388</v>
      </c>
      <c r="C990" s="806" t="s">
        <v>389</v>
      </c>
      <c r="D990" s="807"/>
      <c r="E990" s="11" t="s">
        <v>102</v>
      </c>
      <c r="F990" s="12">
        <v>1</v>
      </c>
      <c r="G990" s="12">
        <v>199.75</v>
      </c>
      <c r="H990" s="12">
        <v>254.86</v>
      </c>
      <c r="I990" s="13">
        <f t="shared" si="82"/>
        <v>199.75</v>
      </c>
      <c r="J990" s="13">
        <f t="shared" si="83"/>
        <v>254.86</v>
      </c>
    </row>
    <row r="991" spans="1:10" s="1" customFormat="1" ht="25.5" customHeight="1" x14ac:dyDescent="0.2">
      <c r="A991" s="8"/>
      <c r="B991" s="23">
        <v>41642</v>
      </c>
      <c r="C991" s="808" t="s">
        <v>390</v>
      </c>
      <c r="D991" s="809"/>
      <c r="E991" s="8"/>
      <c r="F991" s="8"/>
      <c r="G991" s="8"/>
      <c r="H991" s="8"/>
      <c r="I991" s="8"/>
      <c r="J991" s="8"/>
    </row>
    <row r="992" spans="1:10" s="1" customFormat="1" ht="25.5" customHeight="1" x14ac:dyDescent="0.2">
      <c r="A992" s="11" t="s">
        <v>391</v>
      </c>
      <c r="B992" s="11" t="s">
        <v>392</v>
      </c>
      <c r="C992" s="806" t="s">
        <v>393</v>
      </c>
      <c r="D992" s="807"/>
      <c r="E992" s="11" t="s">
        <v>102</v>
      </c>
      <c r="F992" s="12">
        <v>13</v>
      </c>
      <c r="G992" s="12">
        <v>3.37</v>
      </c>
      <c r="H992" s="12">
        <v>4.29</v>
      </c>
      <c r="I992" s="13">
        <f t="shared" ref="I992:I998" si="84">F992*G992</f>
        <v>43.81</v>
      </c>
      <c r="J992" s="13">
        <f t="shared" ref="J992:J998" si="85">F992*H992</f>
        <v>55.77</v>
      </c>
    </row>
    <row r="993" spans="1:10" s="1" customFormat="1" ht="25.5" customHeight="1" x14ac:dyDescent="0.2">
      <c r="A993" s="11" t="s">
        <v>394</v>
      </c>
      <c r="B993" s="11" t="s">
        <v>395</v>
      </c>
      <c r="C993" s="806" t="s">
        <v>396</v>
      </c>
      <c r="D993" s="807"/>
      <c r="E993" s="11" t="s">
        <v>102</v>
      </c>
      <c r="F993" s="12">
        <v>4</v>
      </c>
      <c r="G993" s="12">
        <v>10.220000000000001</v>
      </c>
      <c r="H993" s="12">
        <v>13.03</v>
      </c>
      <c r="I993" s="13">
        <f t="shared" si="84"/>
        <v>40.880000000000003</v>
      </c>
      <c r="J993" s="13">
        <f t="shared" si="85"/>
        <v>52.12</v>
      </c>
    </row>
    <row r="994" spans="1:10" s="1" customFormat="1" ht="25.5" customHeight="1" x14ac:dyDescent="0.2">
      <c r="A994" s="11" t="s">
        <v>397</v>
      </c>
      <c r="B994" s="11" t="s">
        <v>398</v>
      </c>
      <c r="C994" s="806" t="s">
        <v>399</v>
      </c>
      <c r="D994" s="807"/>
      <c r="E994" s="11" t="s">
        <v>102</v>
      </c>
      <c r="F994" s="12">
        <v>2</v>
      </c>
      <c r="G994" s="12">
        <v>10.91</v>
      </c>
      <c r="H994" s="12">
        <v>13.92</v>
      </c>
      <c r="I994" s="13">
        <f t="shared" si="84"/>
        <v>21.82</v>
      </c>
      <c r="J994" s="13">
        <f t="shared" si="85"/>
        <v>27.84</v>
      </c>
    </row>
    <row r="995" spans="1:10" s="1" customFormat="1" ht="25.5" customHeight="1" x14ac:dyDescent="0.2">
      <c r="A995" s="11" t="s">
        <v>400</v>
      </c>
      <c r="B995" s="11" t="s">
        <v>401</v>
      </c>
      <c r="C995" s="806" t="s">
        <v>402</v>
      </c>
      <c r="D995" s="807"/>
      <c r="E995" s="11" t="s">
        <v>102</v>
      </c>
      <c r="F995" s="12">
        <v>5</v>
      </c>
      <c r="G995" s="12">
        <v>13.18</v>
      </c>
      <c r="H995" s="12">
        <v>16.809999999999999</v>
      </c>
      <c r="I995" s="13">
        <f t="shared" si="84"/>
        <v>65.900000000000006</v>
      </c>
      <c r="J995" s="13">
        <f t="shared" si="85"/>
        <v>84.05</v>
      </c>
    </row>
    <row r="996" spans="1:10" s="1" customFormat="1" ht="25.5" customHeight="1" x14ac:dyDescent="0.2">
      <c r="A996" s="11" t="s">
        <v>403</v>
      </c>
      <c r="B996" s="11" t="s">
        <v>404</v>
      </c>
      <c r="C996" s="806" t="s">
        <v>405</v>
      </c>
      <c r="D996" s="807"/>
      <c r="E996" s="11" t="s">
        <v>102</v>
      </c>
      <c r="F996" s="12">
        <v>11</v>
      </c>
      <c r="G996" s="12">
        <v>12.73</v>
      </c>
      <c r="H996" s="12">
        <v>16.239999999999998</v>
      </c>
      <c r="I996" s="13">
        <f t="shared" si="84"/>
        <v>140.03</v>
      </c>
      <c r="J996" s="13">
        <f t="shared" si="85"/>
        <v>178.64</v>
      </c>
    </row>
    <row r="997" spans="1:10" s="1" customFormat="1" ht="25.5" customHeight="1" x14ac:dyDescent="0.2">
      <c r="A997" s="11" t="s">
        <v>406</v>
      </c>
      <c r="B997" s="11" t="s">
        <v>407</v>
      </c>
      <c r="C997" s="806" t="s">
        <v>408</v>
      </c>
      <c r="D997" s="807"/>
      <c r="E997" s="11" t="s">
        <v>102</v>
      </c>
      <c r="F997" s="12">
        <v>12</v>
      </c>
      <c r="G997" s="12">
        <v>8.5299999999999994</v>
      </c>
      <c r="H997" s="12">
        <v>10.89</v>
      </c>
      <c r="I997" s="13">
        <f t="shared" si="84"/>
        <v>102.35999999999999</v>
      </c>
      <c r="J997" s="13">
        <f t="shared" si="85"/>
        <v>130.68</v>
      </c>
    </row>
    <row r="998" spans="1:10" s="1" customFormat="1" ht="25.5" customHeight="1" x14ac:dyDescent="0.2">
      <c r="A998" s="11" t="s">
        <v>409</v>
      </c>
      <c r="B998" s="11" t="s">
        <v>410</v>
      </c>
      <c r="C998" s="806" t="s">
        <v>411</v>
      </c>
      <c r="D998" s="807"/>
      <c r="E998" s="11" t="s">
        <v>102</v>
      </c>
      <c r="F998" s="12">
        <v>6</v>
      </c>
      <c r="G998" s="12">
        <v>22.59</v>
      </c>
      <c r="H998" s="12">
        <v>28.82</v>
      </c>
      <c r="I998" s="13">
        <f t="shared" si="84"/>
        <v>135.54</v>
      </c>
      <c r="J998" s="13">
        <f t="shared" si="85"/>
        <v>172.92000000000002</v>
      </c>
    </row>
    <row r="999" spans="1:10" s="1" customFormat="1" ht="25.5" customHeight="1" x14ac:dyDescent="0.2">
      <c r="A999" s="8"/>
      <c r="B999" s="23">
        <v>41643</v>
      </c>
      <c r="C999" s="808" t="s">
        <v>412</v>
      </c>
      <c r="D999" s="809"/>
      <c r="E999" s="8"/>
      <c r="F999" s="8"/>
      <c r="G999" s="8"/>
      <c r="H999" s="8"/>
      <c r="I999" s="8"/>
      <c r="J999" s="8"/>
    </row>
    <row r="1000" spans="1:10" s="1" customFormat="1" ht="25.5" customHeight="1" x14ac:dyDescent="0.2">
      <c r="A1000" s="10">
        <v>89408</v>
      </c>
      <c r="B1000" s="11" t="s">
        <v>413</v>
      </c>
      <c r="C1000" s="806" t="s">
        <v>414</v>
      </c>
      <c r="D1000" s="807"/>
      <c r="E1000" s="11" t="s">
        <v>102</v>
      </c>
      <c r="F1000" s="12">
        <v>91</v>
      </c>
      <c r="G1000" s="12">
        <v>4.09</v>
      </c>
      <c r="H1000" s="12">
        <v>5.21</v>
      </c>
      <c r="I1000" s="13">
        <f t="shared" ref="I1000:I1010" si="86">F1000*G1000</f>
        <v>372.19</v>
      </c>
      <c r="J1000" s="13">
        <f t="shared" ref="J1000:J1010" si="87">F1000*H1000</f>
        <v>474.11</v>
      </c>
    </row>
    <row r="1001" spans="1:10" s="1" customFormat="1" ht="25.5" customHeight="1" x14ac:dyDescent="0.2">
      <c r="A1001" s="10">
        <v>89413</v>
      </c>
      <c r="B1001" s="11" t="s">
        <v>415</v>
      </c>
      <c r="C1001" s="806" t="s">
        <v>416</v>
      </c>
      <c r="D1001" s="807"/>
      <c r="E1001" s="11" t="s">
        <v>102</v>
      </c>
      <c r="F1001" s="12">
        <v>28</v>
      </c>
      <c r="G1001" s="12">
        <v>5.71</v>
      </c>
      <c r="H1001" s="12">
        <v>7.28</v>
      </c>
      <c r="I1001" s="13">
        <f t="shared" si="86"/>
        <v>159.88</v>
      </c>
      <c r="J1001" s="13">
        <f t="shared" si="87"/>
        <v>203.84</v>
      </c>
    </row>
    <row r="1002" spans="1:10" s="1" customFormat="1" ht="25.5" customHeight="1" x14ac:dyDescent="0.2">
      <c r="A1002" s="10">
        <v>89501</v>
      </c>
      <c r="B1002" s="11" t="s">
        <v>417</v>
      </c>
      <c r="C1002" s="806" t="s">
        <v>418</v>
      </c>
      <c r="D1002" s="807"/>
      <c r="E1002" s="11" t="s">
        <v>102</v>
      </c>
      <c r="F1002" s="12">
        <v>20</v>
      </c>
      <c r="G1002" s="12">
        <v>8.99</v>
      </c>
      <c r="H1002" s="12">
        <v>11.47</v>
      </c>
      <c r="I1002" s="13">
        <f t="shared" si="86"/>
        <v>179.8</v>
      </c>
      <c r="J1002" s="13">
        <f t="shared" si="87"/>
        <v>229.4</v>
      </c>
    </row>
    <row r="1003" spans="1:10" s="1" customFormat="1" ht="25.5" customHeight="1" x14ac:dyDescent="0.2">
      <c r="A1003" s="10">
        <v>89505</v>
      </c>
      <c r="B1003" s="11" t="s">
        <v>419</v>
      </c>
      <c r="C1003" s="806" t="s">
        <v>420</v>
      </c>
      <c r="D1003" s="807"/>
      <c r="E1003" s="11" t="s">
        <v>102</v>
      </c>
      <c r="F1003" s="12">
        <v>10</v>
      </c>
      <c r="G1003" s="12">
        <v>23.78</v>
      </c>
      <c r="H1003" s="12">
        <v>30.34</v>
      </c>
      <c r="I1003" s="13">
        <f t="shared" si="86"/>
        <v>237.8</v>
      </c>
      <c r="J1003" s="13">
        <f t="shared" si="87"/>
        <v>303.39999999999998</v>
      </c>
    </row>
    <row r="1004" spans="1:10" s="1" customFormat="1" ht="25.5" customHeight="1" x14ac:dyDescent="0.2">
      <c r="A1004" s="10">
        <v>89521</v>
      </c>
      <c r="B1004" s="11" t="s">
        <v>421</v>
      </c>
      <c r="C1004" s="806" t="s">
        <v>422</v>
      </c>
      <c r="D1004" s="807"/>
      <c r="E1004" s="11" t="s">
        <v>102</v>
      </c>
      <c r="F1004" s="12">
        <v>4</v>
      </c>
      <c r="G1004" s="12">
        <v>72.209999999999994</v>
      </c>
      <c r="H1004" s="12">
        <v>92.13</v>
      </c>
      <c r="I1004" s="13">
        <f t="shared" si="86"/>
        <v>288.83999999999997</v>
      </c>
      <c r="J1004" s="13">
        <f t="shared" si="87"/>
        <v>368.52</v>
      </c>
    </row>
    <row r="1005" spans="1:10" s="1" customFormat="1" ht="25.5" customHeight="1" x14ac:dyDescent="0.2">
      <c r="A1005" s="10">
        <v>89409</v>
      </c>
      <c r="B1005" s="11" t="s">
        <v>423</v>
      </c>
      <c r="C1005" s="806" t="s">
        <v>424</v>
      </c>
      <c r="D1005" s="807"/>
      <c r="E1005" s="11" t="s">
        <v>102</v>
      </c>
      <c r="F1005" s="12">
        <v>5</v>
      </c>
      <c r="G1005" s="12">
        <v>4.51</v>
      </c>
      <c r="H1005" s="12">
        <v>5.75</v>
      </c>
      <c r="I1005" s="13">
        <f t="shared" si="86"/>
        <v>22.549999999999997</v>
      </c>
      <c r="J1005" s="13">
        <f t="shared" si="87"/>
        <v>28.75</v>
      </c>
    </row>
    <row r="1006" spans="1:10" s="1" customFormat="1" ht="25.5" customHeight="1" x14ac:dyDescent="0.2">
      <c r="A1006" s="10">
        <v>89414</v>
      </c>
      <c r="B1006" s="11" t="s">
        <v>425</v>
      </c>
      <c r="C1006" s="806" t="s">
        <v>426</v>
      </c>
      <c r="D1006" s="807"/>
      <c r="E1006" s="11" t="s">
        <v>102</v>
      </c>
      <c r="F1006" s="12">
        <v>3</v>
      </c>
      <c r="G1006" s="12">
        <v>6.88</v>
      </c>
      <c r="H1006" s="12">
        <v>8.77</v>
      </c>
      <c r="I1006" s="13">
        <f t="shared" si="86"/>
        <v>20.64</v>
      </c>
      <c r="J1006" s="13">
        <f t="shared" si="87"/>
        <v>26.31</v>
      </c>
    </row>
    <row r="1007" spans="1:10" s="1" customFormat="1" ht="25.5" customHeight="1" x14ac:dyDescent="0.2">
      <c r="A1007" s="10">
        <v>89502</v>
      </c>
      <c r="B1007" s="11" t="s">
        <v>427</v>
      </c>
      <c r="C1007" s="806" t="s">
        <v>428</v>
      </c>
      <c r="D1007" s="807"/>
      <c r="E1007" s="11" t="s">
        <v>102</v>
      </c>
      <c r="F1007" s="12">
        <v>2</v>
      </c>
      <c r="G1007" s="12">
        <v>9.86</v>
      </c>
      <c r="H1007" s="12">
        <v>12.57</v>
      </c>
      <c r="I1007" s="13">
        <f t="shared" si="86"/>
        <v>19.72</v>
      </c>
      <c r="J1007" s="13">
        <f t="shared" si="87"/>
        <v>25.14</v>
      </c>
    </row>
    <row r="1008" spans="1:10" s="1" customFormat="1" ht="25.5" customHeight="1" x14ac:dyDescent="0.2">
      <c r="A1008" s="10">
        <v>89366</v>
      </c>
      <c r="B1008" s="11" t="s">
        <v>429</v>
      </c>
      <c r="C1008" s="806" t="s">
        <v>430</v>
      </c>
      <c r="D1008" s="807"/>
      <c r="E1008" s="11" t="s">
        <v>102</v>
      </c>
      <c r="F1008" s="12">
        <v>12</v>
      </c>
      <c r="G1008" s="12">
        <v>10.4</v>
      </c>
      <c r="H1008" s="12">
        <v>13.26</v>
      </c>
      <c r="I1008" s="13">
        <f t="shared" si="86"/>
        <v>124.80000000000001</v>
      </c>
      <c r="J1008" s="13">
        <f t="shared" si="87"/>
        <v>159.12</v>
      </c>
    </row>
    <row r="1009" spans="1:10" s="1" customFormat="1" ht="25.5" customHeight="1" x14ac:dyDescent="0.2">
      <c r="A1009" s="10">
        <v>90373</v>
      </c>
      <c r="B1009" s="11" t="s">
        <v>431</v>
      </c>
      <c r="C1009" s="806" t="s">
        <v>432</v>
      </c>
      <c r="D1009" s="807"/>
      <c r="E1009" s="11" t="s">
        <v>102</v>
      </c>
      <c r="F1009" s="12">
        <v>64</v>
      </c>
      <c r="G1009" s="12">
        <v>9.6</v>
      </c>
      <c r="H1009" s="12">
        <v>12.25</v>
      </c>
      <c r="I1009" s="13">
        <f t="shared" si="86"/>
        <v>614.4</v>
      </c>
      <c r="J1009" s="13">
        <f t="shared" si="87"/>
        <v>784</v>
      </c>
    </row>
    <row r="1010" spans="1:10" s="1" customFormat="1" ht="25.5" customHeight="1" x14ac:dyDescent="0.2">
      <c r="A1010" s="11" t="s">
        <v>433</v>
      </c>
      <c r="B1010" s="11" t="s">
        <v>434</v>
      </c>
      <c r="C1010" s="806" t="s">
        <v>435</v>
      </c>
      <c r="D1010" s="807"/>
      <c r="E1010" s="11" t="s">
        <v>102</v>
      </c>
      <c r="F1010" s="12">
        <v>13</v>
      </c>
      <c r="G1010" s="12">
        <v>7.38</v>
      </c>
      <c r="H1010" s="12">
        <v>9.42</v>
      </c>
      <c r="I1010" s="13">
        <f t="shared" si="86"/>
        <v>95.94</v>
      </c>
      <c r="J1010" s="13">
        <f t="shared" si="87"/>
        <v>122.46</v>
      </c>
    </row>
    <row r="1011" spans="1:10" s="1" customFormat="1" ht="25.5" customHeight="1" x14ac:dyDescent="0.2">
      <c r="A1011" s="8"/>
      <c r="B1011" s="23">
        <v>41644</v>
      </c>
      <c r="C1011" s="808" t="s">
        <v>436</v>
      </c>
      <c r="D1011" s="809"/>
      <c r="E1011" s="8"/>
      <c r="F1011" s="8"/>
      <c r="G1011" s="8"/>
      <c r="H1011" s="8"/>
      <c r="I1011" s="8"/>
      <c r="J1011" s="8"/>
    </row>
    <row r="1012" spans="1:10" s="1" customFormat="1" ht="25.5" customHeight="1" x14ac:dyDescent="0.2">
      <c r="A1012" s="10">
        <v>89424</v>
      </c>
      <c r="B1012" s="11" t="s">
        <v>437</v>
      </c>
      <c r="C1012" s="806" t="s">
        <v>438</v>
      </c>
      <c r="D1012" s="807"/>
      <c r="E1012" s="11" t="s">
        <v>102</v>
      </c>
      <c r="F1012" s="12">
        <v>12</v>
      </c>
      <c r="G1012" s="12">
        <v>3.06</v>
      </c>
      <c r="H1012" s="12">
        <v>3.9</v>
      </c>
      <c r="I1012" s="13">
        <f t="shared" ref="I1012:I1017" si="88">F1012*G1012</f>
        <v>36.72</v>
      </c>
      <c r="J1012" s="13">
        <f t="shared" ref="J1012:J1017" si="89">F1012*H1012</f>
        <v>46.8</v>
      </c>
    </row>
    <row r="1013" spans="1:10" s="1" customFormat="1" ht="25.5" customHeight="1" x14ac:dyDescent="0.2">
      <c r="A1013" s="10">
        <v>89431</v>
      </c>
      <c r="B1013" s="11" t="s">
        <v>439</v>
      </c>
      <c r="C1013" s="806" t="s">
        <v>440</v>
      </c>
      <c r="D1013" s="807"/>
      <c r="E1013" s="11" t="s">
        <v>102</v>
      </c>
      <c r="F1013" s="12">
        <v>12</v>
      </c>
      <c r="G1013" s="12">
        <v>4.18</v>
      </c>
      <c r="H1013" s="12">
        <v>5.33</v>
      </c>
      <c r="I1013" s="13">
        <f t="shared" si="88"/>
        <v>50.16</v>
      </c>
      <c r="J1013" s="13">
        <f t="shared" si="89"/>
        <v>63.96</v>
      </c>
    </row>
    <row r="1014" spans="1:10" s="1" customFormat="1" ht="25.5" customHeight="1" x14ac:dyDescent="0.2">
      <c r="A1014" s="10">
        <v>89575</v>
      </c>
      <c r="B1014" s="11" t="s">
        <v>441</v>
      </c>
      <c r="C1014" s="806" t="s">
        <v>442</v>
      </c>
      <c r="D1014" s="807"/>
      <c r="E1014" s="11" t="s">
        <v>102</v>
      </c>
      <c r="F1014" s="12">
        <v>7</v>
      </c>
      <c r="G1014" s="12">
        <v>6.7</v>
      </c>
      <c r="H1014" s="12">
        <v>8.5399999999999991</v>
      </c>
      <c r="I1014" s="13">
        <f t="shared" si="88"/>
        <v>46.9</v>
      </c>
      <c r="J1014" s="13">
        <f t="shared" si="89"/>
        <v>59.779999999999994</v>
      </c>
    </row>
    <row r="1015" spans="1:10" s="1" customFormat="1" ht="25.5" customHeight="1" x14ac:dyDescent="0.2">
      <c r="A1015" s="10">
        <v>89597</v>
      </c>
      <c r="B1015" s="11" t="s">
        <v>443</v>
      </c>
      <c r="C1015" s="806" t="s">
        <v>444</v>
      </c>
      <c r="D1015" s="807"/>
      <c r="E1015" s="11" t="s">
        <v>102</v>
      </c>
      <c r="F1015" s="12">
        <v>3</v>
      </c>
      <c r="G1015" s="12">
        <v>12.3</v>
      </c>
      <c r="H1015" s="12">
        <v>15.7</v>
      </c>
      <c r="I1015" s="13">
        <f t="shared" si="88"/>
        <v>36.900000000000006</v>
      </c>
      <c r="J1015" s="13">
        <f t="shared" si="89"/>
        <v>47.099999999999994</v>
      </c>
    </row>
    <row r="1016" spans="1:10" s="1" customFormat="1" ht="25.5" customHeight="1" x14ac:dyDescent="0.2">
      <c r="A1016" s="10">
        <v>89614</v>
      </c>
      <c r="B1016" s="11" t="s">
        <v>445</v>
      </c>
      <c r="C1016" s="806" t="s">
        <v>446</v>
      </c>
      <c r="D1016" s="807"/>
      <c r="E1016" s="11" t="s">
        <v>102</v>
      </c>
      <c r="F1016" s="12">
        <v>7</v>
      </c>
      <c r="G1016" s="12">
        <v>33.06</v>
      </c>
      <c r="H1016" s="12">
        <v>42.18</v>
      </c>
      <c r="I1016" s="13">
        <f t="shared" si="88"/>
        <v>231.42000000000002</v>
      </c>
      <c r="J1016" s="13">
        <f t="shared" si="89"/>
        <v>295.26</v>
      </c>
    </row>
    <row r="1017" spans="1:10" s="1" customFormat="1" ht="25.5" customHeight="1" x14ac:dyDescent="0.2">
      <c r="A1017" s="11" t="s">
        <v>447</v>
      </c>
      <c r="B1017" s="11" t="s">
        <v>448</v>
      </c>
      <c r="C1017" s="806" t="s">
        <v>449</v>
      </c>
      <c r="D1017" s="807"/>
      <c r="E1017" s="11" t="s">
        <v>102</v>
      </c>
      <c r="F1017" s="12">
        <v>8</v>
      </c>
      <c r="G1017" s="12">
        <v>4.53</v>
      </c>
      <c r="H1017" s="12">
        <v>5.78</v>
      </c>
      <c r="I1017" s="13">
        <f t="shared" si="88"/>
        <v>36.24</v>
      </c>
      <c r="J1017" s="13">
        <f t="shared" si="89"/>
        <v>46.24</v>
      </c>
    </row>
    <row r="1018" spans="1:10" s="1" customFormat="1" ht="25.5" customHeight="1" x14ac:dyDescent="0.2">
      <c r="A1018" s="8"/>
      <c r="B1018" s="23">
        <v>41645</v>
      </c>
      <c r="C1018" s="808" t="s">
        <v>450</v>
      </c>
      <c r="D1018" s="809"/>
      <c r="E1018" s="8"/>
      <c r="F1018" s="8"/>
      <c r="G1018" s="8"/>
      <c r="H1018" s="8"/>
      <c r="I1018" s="8"/>
      <c r="J1018" s="8"/>
    </row>
    <row r="1019" spans="1:10" s="1" customFormat="1" ht="25.5" customHeight="1" x14ac:dyDescent="0.2">
      <c r="A1019" s="10">
        <v>89440</v>
      </c>
      <c r="B1019" s="11" t="s">
        <v>451</v>
      </c>
      <c r="C1019" s="806" t="s">
        <v>452</v>
      </c>
      <c r="D1019" s="807"/>
      <c r="E1019" s="11" t="s">
        <v>102</v>
      </c>
      <c r="F1019" s="12">
        <v>17</v>
      </c>
      <c r="G1019" s="12">
        <v>5.76</v>
      </c>
      <c r="H1019" s="12">
        <v>7.35</v>
      </c>
      <c r="I1019" s="13">
        <f t="shared" ref="I1019:I1029" si="90">F1019*G1019</f>
        <v>97.92</v>
      </c>
      <c r="J1019" s="13">
        <f t="shared" ref="J1019:J1029" si="91">F1019*H1019</f>
        <v>124.94999999999999</v>
      </c>
    </row>
    <row r="1020" spans="1:10" s="1" customFormat="1" ht="25.5" customHeight="1" x14ac:dyDescent="0.2">
      <c r="A1020" s="10">
        <v>89443</v>
      </c>
      <c r="B1020" s="11" t="s">
        <v>453</v>
      </c>
      <c r="C1020" s="806" t="s">
        <v>454</v>
      </c>
      <c r="D1020" s="807"/>
      <c r="E1020" s="11" t="s">
        <v>102</v>
      </c>
      <c r="F1020" s="12">
        <v>13</v>
      </c>
      <c r="G1020" s="12">
        <v>8.1999999999999993</v>
      </c>
      <c r="H1020" s="12">
        <v>10.46</v>
      </c>
      <c r="I1020" s="13">
        <f t="shared" si="90"/>
        <v>106.6</v>
      </c>
      <c r="J1020" s="13">
        <f t="shared" si="91"/>
        <v>135.98000000000002</v>
      </c>
    </row>
    <row r="1021" spans="1:10" s="1" customFormat="1" ht="25.5" customHeight="1" x14ac:dyDescent="0.2">
      <c r="A1021" s="10">
        <v>89625</v>
      </c>
      <c r="B1021" s="11" t="s">
        <v>455</v>
      </c>
      <c r="C1021" s="806" t="s">
        <v>456</v>
      </c>
      <c r="D1021" s="807"/>
      <c r="E1021" s="11" t="s">
        <v>102</v>
      </c>
      <c r="F1021" s="12">
        <v>17</v>
      </c>
      <c r="G1021" s="12">
        <v>13.75</v>
      </c>
      <c r="H1021" s="12">
        <v>17.55</v>
      </c>
      <c r="I1021" s="13">
        <f t="shared" si="90"/>
        <v>233.75</v>
      </c>
      <c r="J1021" s="13">
        <f t="shared" si="91"/>
        <v>298.35000000000002</v>
      </c>
    </row>
    <row r="1022" spans="1:10" s="1" customFormat="1" ht="25.5" customHeight="1" x14ac:dyDescent="0.2">
      <c r="A1022" s="10">
        <v>89628</v>
      </c>
      <c r="B1022" s="11" t="s">
        <v>457</v>
      </c>
      <c r="C1022" s="806" t="s">
        <v>458</v>
      </c>
      <c r="D1022" s="807"/>
      <c r="E1022" s="11" t="s">
        <v>102</v>
      </c>
      <c r="F1022" s="12">
        <v>8</v>
      </c>
      <c r="G1022" s="12">
        <v>27.72</v>
      </c>
      <c r="H1022" s="12">
        <v>35.369999999999997</v>
      </c>
      <c r="I1022" s="13">
        <f t="shared" si="90"/>
        <v>221.76</v>
      </c>
      <c r="J1022" s="13">
        <f t="shared" si="91"/>
        <v>282.95999999999998</v>
      </c>
    </row>
    <row r="1023" spans="1:10" s="1" customFormat="1" ht="25.5" customHeight="1" x14ac:dyDescent="0.2">
      <c r="A1023" s="10">
        <v>89631</v>
      </c>
      <c r="B1023" s="11" t="s">
        <v>459</v>
      </c>
      <c r="C1023" s="806" t="s">
        <v>460</v>
      </c>
      <c r="D1023" s="807"/>
      <c r="E1023" s="11" t="s">
        <v>102</v>
      </c>
      <c r="F1023" s="12">
        <v>6</v>
      </c>
      <c r="G1023" s="12">
        <v>71.03</v>
      </c>
      <c r="H1023" s="12">
        <v>90.62</v>
      </c>
      <c r="I1023" s="13">
        <f t="shared" si="90"/>
        <v>426.18</v>
      </c>
      <c r="J1023" s="13">
        <f t="shared" si="91"/>
        <v>543.72</v>
      </c>
    </row>
    <row r="1024" spans="1:10" s="1" customFormat="1" ht="25.5" customHeight="1" x14ac:dyDescent="0.2">
      <c r="A1024" s="11" t="s">
        <v>78</v>
      </c>
      <c r="B1024" s="11" t="s">
        <v>461</v>
      </c>
      <c r="C1024" s="806" t="s">
        <v>462</v>
      </c>
      <c r="D1024" s="807"/>
      <c r="E1024" s="11" t="s">
        <v>102</v>
      </c>
      <c r="F1024" s="12">
        <v>13</v>
      </c>
      <c r="G1024" s="12">
        <v>12.99</v>
      </c>
      <c r="H1024" s="12">
        <v>16.57</v>
      </c>
      <c r="I1024" s="13">
        <f t="shared" si="90"/>
        <v>168.87</v>
      </c>
      <c r="J1024" s="13">
        <f t="shared" si="91"/>
        <v>215.41</v>
      </c>
    </row>
    <row r="1025" spans="1:10" s="1" customFormat="1" ht="25.5" customHeight="1" x14ac:dyDescent="0.2">
      <c r="A1025" s="11" t="s">
        <v>78</v>
      </c>
      <c r="B1025" s="11" t="s">
        <v>463</v>
      </c>
      <c r="C1025" s="806" t="s">
        <v>464</v>
      </c>
      <c r="D1025" s="807"/>
      <c r="E1025" s="11" t="s">
        <v>102</v>
      </c>
      <c r="F1025" s="12">
        <v>4</v>
      </c>
      <c r="G1025" s="12">
        <v>14.25</v>
      </c>
      <c r="H1025" s="12">
        <v>18.18</v>
      </c>
      <c r="I1025" s="13">
        <f t="shared" si="90"/>
        <v>57</v>
      </c>
      <c r="J1025" s="13">
        <f t="shared" si="91"/>
        <v>72.72</v>
      </c>
    </row>
    <row r="1026" spans="1:10" s="1" customFormat="1" ht="25.5" customHeight="1" x14ac:dyDescent="0.2">
      <c r="A1026" s="10">
        <v>89400</v>
      </c>
      <c r="B1026" s="11" t="s">
        <v>465</v>
      </c>
      <c r="C1026" s="806" t="s">
        <v>466</v>
      </c>
      <c r="D1026" s="807"/>
      <c r="E1026" s="11" t="s">
        <v>102</v>
      </c>
      <c r="F1026" s="12">
        <v>26</v>
      </c>
      <c r="G1026" s="12">
        <v>13.19</v>
      </c>
      <c r="H1026" s="12">
        <v>16.829999999999998</v>
      </c>
      <c r="I1026" s="13">
        <f t="shared" si="90"/>
        <v>342.94</v>
      </c>
      <c r="J1026" s="13">
        <f t="shared" si="91"/>
        <v>437.57999999999993</v>
      </c>
    </row>
    <row r="1027" spans="1:10" s="1" customFormat="1" ht="25.5" customHeight="1" x14ac:dyDescent="0.2">
      <c r="A1027" s="10">
        <v>89627</v>
      </c>
      <c r="B1027" s="11" t="s">
        <v>467</v>
      </c>
      <c r="C1027" s="806" t="s">
        <v>468</v>
      </c>
      <c r="D1027" s="807"/>
      <c r="E1027" s="11" t="s">
        <v>102</v>
      </c>
      <c r="F1027" s="12">
        <v>3</v>
      </c>
      <c r="G1027" s="12">
        <v>13.53</v>
      </c>
      <c r="H1027" s="12">
        <v>17.260000000000002</v>
      </c>
      <c r="I1027" s="13">
        <f t="shared" si="90"/>
        <v>40.589999999999996</v>
      </c>
      <c r="J1027" s="13">
        <f t="shared" si="91"/>
        <v>51.78</v>
      </c>
    </row>
    <row r="1028" spans="1:10" s="1" customFormat="1" ht="25.5" customHeight="1" x14ac:dyDescent="0.2">
      <c r="A1028" s="11" t="s">
        <v>78</v>
      </c>
      <c r="B1028" s="11" t="s">
        <v>469</v>
      </c>
      <c r="C1028" s="806" t="s">
        <v>470</v>
      </c>
      <c r="D1028" s="807"/>
      <c r="E1028" s="11" t="s">
        <v>102</v>
      </c>
      <c r="F1028" s="12">
        <v>2</v>
      </c>
      <c r="G1028" s="12">
        <v>26.32</v>
      </c>
      <c r="H1028" s="12">
        <v>33.58</v>
      </c>
      <c r="I1028" s="13">
        <f t="shared" si="90"/>
        <v>52.64</v>
      </c>
      <c r="J1028" s="13">
        <f t="shared" si="91"/>
        <v>67.16</v>
      </c>
    </row>
    <row r="1029" spans="1:10" s="1" customFormat="1" ht="25.5" customHeight="1" x14ac:dyDescent="0.2">
      <c r="A1029" s="10">
        <v>89632</v>
      </c>
      <c r="B1029" s="11" t="s">
        <v>471</v>
      </c>
      <c r="C1029" s="806" t="s">
        <v>472</v>
      </c>
      <c r="D1029" s="807"/>
      <c r="E1029" s="11" t="s">
        <v>102</v>
      </c>
      <c r="F1029" s="12">
        <v>14</v>
      </c>
      <c r="G1029" s="12">
        <v>61.2</v>
      </c>
      <c r="H1029" s="12">
        <v>78.09</v>
      </c>
      <c r="I1029" s="13">
        <f t="shared" si="90"/>
        <v>856.80000000000007</v>
      </c>
      <c r="J1029" s="13">
        <f t="shared" si="91"/>
        <v>1093.26</v>
      </c>
    </row>
    <row r="1030" spans="1:10" s="1" customFormat="1" ht="25.5" customHeight="1" x14ac:dyDescent="0.2">
      <c r="A1030" s="8"/>
      <c r="B1030" s="23">
        <v>41646</v>
      </c>
      <c r="C1030" s="808" t="s">
        <v>473</v>
      </c>
      <c r="D1030" s="809"/>
      <c r="E1030" s="8"/>
      <c r="F1030" s="8"/>
      <c r="G1030" s="8"/>
      <c r="H1030" s="8"/>
      <c r="I1030" s="8"/>
      <c r="J1030" s="8"/>
    </row>
    <row r="1031" spans="1:10" s="1" customFormat="1" ht="25.5" customHeight="1" x14ac:dyDescent="0.2">
      <c r="A1031" s="10">
        <v>89382</v>
      </c>
      <c r="B1031" s="11" t="s">
        <v>474</v>
      </c>
      <c r="C1031" s="806" t="s">
        <v>475</v>
      </c>
      <c r="D1031" s="807"/>
      <c r="E1031" s="11" t="s">
        <v>102</v>
      </c>
      <c r="F1031" s="12">
        <v>2</v>
      </c>
      <c r="G1031" s="12">
        <v>8.39</v>
      </c>
      <c r="H1031" s="12">
        <v>10.7</v>
      </c>
      <c r="I1031" s="13">
        <f>F1031*G1031</f>
        <v>16.78</v>
      </c>
      <c r="J1031" s="13">
        <f>F1031*H1031</f>
        <v>21.4</v>
      </c>
    </row>
    <row r="1032" spans="1:10" s="1" customFormat="1" ht="25.5" customHeight="1" x14ac:dyDescent="0.2">
      <c r="A1032" s="10">
        <v>89390</v>
      </c>
      <c r="B1032" s="11" t="s">
        <v>476</v>
      </c>
      <c r="C1032" s="806" t="s">
        <v>477</v>
      </c>
      <c r="D1032" s="807"/>
      <c r="E1032" s="11" t="s">
        <v>102</v>
      </c>
      <c r="F1032" s="12">
        <v>2</v>
      </c>
      <c r="G1032" s="12">
        <v>12.33</v>
      </c>
      <c r="H1032" s="12">
        <v>15.73</v>
      </c>
      <c r="I1032" s="13">
        <f>F1032*G1032</f>
        <v>24.66</v>
      </c>
      <c r="J1032" s="13">
        <f>F1032*H1032</f>
        <v>31.46</v>
      </c>
    </row>
    <row r="1033" spans="1:10" s="1" customFormat="1" ht="25.5" customHeight="1" x14ac:dyDescent="0.2">
      <c r="A1033" s="10">
        <v>89594</v>
      </c>
      <c r="B1033" s="11" t="s">
        <v>478</v>
      </c>
      <c r="C1033" s="806" t="s">
        <v>479</v>
      </c>
      <c r="D1033" s="807"/>
      <c r="E1033" s="11" t="s">
        <v>102</v>
      </c>
      <c r="F1033" s="12">
        <v>4</v>
      </c>
      <c r="G1033" s="12">
        <v>21.53</v>
      </c>
      <c r="H1033" s="12">
        <v>27.47</v>
      </c>
      <c r="I1033" s="13">
        <f>F1033*G1033</f>
        <v>86.12</v>
      </c>
      <c r="J1033" s="13">
        <f>F1033*H1033</f>
        <v>109.88</v>
      </c>
    </row>
    <row r="1034" spans="1:10" s="1" customFormat="1" ht="25.5" customHeight="1" x14ac:dyDescent="0.2">
      <c r="A1034" s="10">
        <v>89615</v>
      </c>
      <c r="B1034" s="11" t="s">
        <v>480</v>
      </c>
      <c r="C1034" s="806" t="s">
        <v>481</v>
      </c>
      <c r="D1034" s="807"/>
      <c r="E1034" s="11" t="s">
        <v>102</v>
      </c>
      <c r="F1034" s="12">
        <v>2</v>
      </c>
      <c r="G1034" s="12">
        <v>133.13999999999999</v>
      </c>
      <c r="H1034" s="12">
        <v>169.87</v>
      </c>
      <c r="I1034" s="13">
        <f>F1034*G1034</f>
        <v>266.27999999999997</v>
      </c>
      <c r="J1034" s="13">
        <f>F1034*H1034</f>
        <v>339.74</v>
      </c>
    </row>
    <row r="1035" spans="1:10" s="1" customFormat="1" ht="25.5" customHeight="1" x14ac:dyDescent="0.2">
      <c r="A1035" s="8"/>
      <c r="B1035" s="23">
        <v>41647</v>
      </c>
      <c r="C1035" s="808" t="s">
        <v>482</v>
      </c>
      <c r="D1035" s="809"/>
      <c r="E1035" s="8"/>
      <c r="F1035" s="8"/>
      <c r="G1035" s="8"/>
      <c r="H1035" s="8"/>
      <c r="I1035" s="8"/>
      <c r="J1035" s="8"/>
    </row>
    <row r="1036" spans="1:10" s="1" customFormat="1" ht="25.5" customHeight="1" x14ac:dyDescent="0.2">
      <c r="A1036" s="11" t="s">
        <v>483</v>
      </c>
      <c r="B1036" s="11" t="s">
        <v>484</v>
      </c>
      <c r="C1036" s="806" t="s">
        <v>485</v>
      </c>
      <c r="D1036" s="807"/>
      <c r="E1036" s="11" t="s">
        <v>102</v>
      </c>
      <c r="F1036" s="12">
        <v>74</v>
      </c>
      <c r="G1036" s="12">
        <v>1.81</v>
      </c>
      <c r="H1036" s="12">
        <v>2.31</v>
      </c>
      <c r="I1036" s="13">
        <f>F1036*G1036</f>
        <v>133.94</v>
      </c>
      <c r="J1036" s="13">
        <f>F1036*H1036</f>
        <v>170.94</v>
      </c>
    </row>
    <row r="1037" spans="1:10" s="1" customFormat="1" ht="25.5" customHeight="1" x14ac:dyDescent="0.2">
      <c r="A1037" s="11" t="s">
        <v>486</v>
      </c>
      <c r="B1037" s="11" t="s">
        <v>487</v>
      </c>
      <c r="C1037" s="806" t="s">
        <v>488</v>
      </c>
      <c r="D1037" s="807"/>
      <c r="E1037" s="11" t="s">
        <v>102</v>
      </c>
      <c r="F1037" s="12">
        <v>17</v>
      </c>
      <c r="G1037" s="12">
        <v>2.93</v>
      </c>
      <c r="H1037" s="12">
        <v>3.73</v>
      </c>
      <c r="I1037" s="13">
        <f>F1037*G1037</f>
        <v>49.81</v>
      </c>
      <c r="J1037" s="13">
        <f>F1037*H1037</f>
        <v>63.41</v>
      </c>
    </row>
    <row r="1038" spans="1:10" s="1" customFormat="1" ht="25.5" customHeight="1" x14ac:dyDescent="0.2">
      <c r="A1038" s="11" t="s">
        <v>78</v>
      </c>
      <c r="B1038" s="11" t="s">
        <v>489</v>
      </c>
      <c r="C1038" s="806" t="s">
        <v>490</v>
      </c>
      <c r="D1038" s="807"/>
      <c r="E1038" s="11" t="s">
        <v>102</v>
      </c>
      <c r="F1038" s="12">
        <v>23</v>
      </c>
      <c r="G1038" s="12">
        <v>4.1100000000000003</v>
      </c>
      <c r="H1038" s="12">
        <v>5.25</v>
      </c>
      <c r="I1038" s="13">
        <f>F1038*G1038</f>
        <v>94.53</v>
      </c>
      <c r="J1038" s="13">
        <f>F1038*H1038</f>
        <v>120.75</v>
      </c>
    </row>
    <row r="1039" spans="1:10" s="1" customFormat="1" ht="25.5" customHeight="1" x14ac:dyDescent="0.2">
      <c r="A1039" s="8"/>
      <c r="B1039" s="803" t="s">
        <v>491</v>
      </c>
      <c r="C1039" s="804"/>
      <c r="D1039" s="804"/>
      <c r="E1039" s="804"/>
      <c r="F1039" s="804"/>
      <c r="G1039" s="805"/>
      <c r="H1039" s="8"/>
      <c r="I1039" s="14">
        <f>SUM(I977:I1038)-1.65</f>
        <v>19785.32999999998</v>
      </c>
      <c r="J1039" s="15">
        <f>SUM(J977:J1038)-0.16</f>
        <v>25244.099999999995</v>
      </c>
    </row>
    <row r="1040" spans="1:10" s="1" customFormat="1" ht="25.5" customHeight="1" x14ac:dyDescent="0.2">
      <c r="A1040" s="8"/>
      <c r="B1040" s="9" t="s">
        <v>492</v>
      </c>
      <c r="C1040" s="808" t="s">
        <v>493</v>
      </c>
      <c r="D1040" s="809"/>
      <c r="E1040" s="8"/>
      <c r="F1040" s="8"/>
      <c r="G1040" s="8"/>
      <c r="H1040" s="8"/>
      <c r="I1040" s="8"/>
      <c r="J1040" s="8"/>
    </row>
    <row r="1041" spans="1:10" s="1" customFormat="1" ht="25.5" customHeight="1" x14ac:dyDescent="0.2">
      <c r="A1041" s="10">
        <v>86902</v>
      </c>
      <c r="B1041" s="11" t="s">
        <v>494</v>
      </c>
      <c r="C1041" s="806" t="s">
        <v>495</v>
      </c>
      <c r="D1041" s="807"/>
      <c r="E1041" s="11" t="s">
        <v>102</v>
      </c>
      <c r="F1041" s="12">
        <v>7</v>
      </c>
      <c r="G1041" s="12">
        <v>179.19</v>
      </c>
      <c r="H1041" s="12">
        <v>228.63</v>
      </c>
      <c r="I1041" s="13">
        <f t="shared" ref="I1041:I1094" si="92">F1041*G1041</f>
        <v>1254.33</v>
      </c>
      <c r="J1041" s="13">
        <f t="shared" ref="J1041:J1094" si="93">F1041*H1041</f>
        <v>1600.4099999999999</v>
      </c>
    </row>
    <row r="1042" spans="1:10" s="1" customFormat="1" ht="25.5" customHeight="1" x14ac:dyDescent="0.2">
      <c r="A1042" s="10">
        <v>86938</v>
      </c>
      <c r="B1042" s="11" t="s">
        <v>496</v>
      </c>
      <c r="C1042" s="806" t="s">
        <v>497</v>
      </c>
      <c r="D1042" s="807"/>
      <c r="E1042" s="11" t="s">
        <v>102</v>
      </c>
      <c r="F1042" s="12">
        <v>2</v>
      </c>
      <c r="G1042" s="12">
        <v>212.03</v>
      </c>
      <c r="H1042" s="12">
        <v>270.52999999999997</v>
      </c>
      <c r="I1042" s="13">
        <f t="shared" si="92"/>
        <v>424.06</v>
      </c>
      <c r="J1042" s="13">
        <f t="shared" si="93"/>
        <v>541.05999999999995</v>
      </c>
    </row>
    <row r="1043" spans="1:10" s="1" customFormat="1" ht="25.5" customHeight="1" x14ac:dyDescent="0.2">
      <c r="A1043" s="10">
        <v>86901</v>
      </c>
      <c r="B1043" s="11" t="s">
        <v>498</v>
      </c>
      <c r="C1043" s="806" t="s">
        <v>499</v>
      </c>
      <c r="D1043" s="807"/>
      <c r="E1043" s="11" t="s">
        <v>102</v>
      </c>
      <c r="F1043" s="12">
        <v>2</v>
      </c>
      <c r="G1043" s="12">
        <v>101.58</v>
      </c>
      <c r="H1043" s="12">
        <v>129.61000000000001</v>
      </c>
      <c r="I1043" s="13">
        <f t="shared" si="92"/>
        <v>203.16</v>
      </c>
      <c r="J1043" s="13">
        <f t="shared" si="93"/>
        <v>259.22000000000003</v>
      </c>
    </row>
    <row r="1044" spans="1:10" s="1" customFormat="1" ht="25.5" customHeight="1" x14ac:dyDescent="0.2">
      <c r="A1044" s="11" t="s">
        <v>78</v>
      </c>
      <c r="B1044" s="11" t="s">
        <v>500</v>
      </c>
      <c r="C1044" s="806" t="s">
        <v>501</v>
      </c>
      <c r="D1044" s="807"/>
      <c r="E1044" s="11" t="s">
        <v>102</v>
      </c>
      <c r="F1044" s="12">
        <v>2</v>
      </c>
      <c r="G1044" s="12">
        <v>412.2</v>
      </c>
      <c r="H1044" s="12">
        <v>525.92999999999995</v>
      </c>
      <c r="I1044" s="13">
        <f t="shared" si="92"/>
        <v>824.4</v>
      </c>
      <c r="J1044" s="13">
        <f t="shared" si="93"/>
        <v>1051.8599999999999</v>
      </c>
    </row>
    <row r="1045" spans="1:10" s="1" customFormat="1" ht="25.5" customHeight="1" x14ac:dyDescent="0.2">
      <c r="A1045" s="10">
        <v>72739</v>
      </c>
      <c r="B1045" s="11" t="s">
        <v>502</v>
      </c>
      <c r="C1045" s="806" t="s">
        <v>503</v>
      </c>
      <c r="D1045" s="807"/>
      <c r="E1045" s="11" t="s">
        <v>102</v>
      </c>
      <c r="F1045" s="12">
        <v>12</v>
      </c>
      <c r="G1045" s="12">
        <v>348.66</v>
      </c>
      <c r="H1045" s="12">
        <v>444.86</v>
      </c>
      <c r="I1045" s="13">
        <f t="shared" si="92"/>
        <v>4183.92</v>
      </c>
      <c r="J1045" s="13">
        <f t="shared" si="93"/>
        <v>5338.32</v>
      </c>
    </row>
    <row r="1046" spans="1:10" s="1" customFormat="1" ht="25.5" customHeight="1" x14ac:dyDescent="0.2">
      <c r="A1046" s="10">
        <v>95469</v>
      </c>
      <c r="B1046" s="11" t="s">
        <v>504</v>
      </c>
      <c r="C1046" s="806" t="s">
        <v>505</v>
      </c>
      <c r="D1046" s="807"/>
      <c r="E1046" s="11" t="s">
        <v>102</v>
      </c>
      <c r="F1046" s="12">
        <v>9</v>
      </c>
      <c r="G1046" s="12">
        <v>153.37</v>
      </c>
      <c r="H1046" s="12">
        <v>195.68</v>
      </c>
      <c r="I1046" s="13">
        <f t="shared" si="92"/>
        <v>1380.33</v>
      </c>
      <c r="J1046" s="13">
        <f t="shared" si="93"/>
        <v>1761.1200000000001</v>
      </c>
    </row>
    <row r="1047" spans="1:10" s="1" customFormat="1" ht="25.5" customHeight="1" x14ac:dyDescent="0.2">
      <c r="A1047" s="11" t="s">
        <v>78</v>
      </c>
      <c r="B1047" s="11" t="s">
        <v>506</v>
      </c>
      <c r="C1047" s="806" t="s">
        <v>507</v>
      </c>
      <c r="D1047" s="807"/>
      <c r="E1047" s="11" t="s">
        <v>102</v>
      </c>
      <c r="F1047" s="12">
        <v>2</v>
      </c>
      <c r="G1047" s="12">
        <v>62.01</v>
      </c>
      <c r="H1047" s="12">
        <v>79.12</v>
      </c>
      <c r="I1047" s="13">
        <f t="shared" si="92"/>
        <v>124.02</v>
      </c>
      <c r="J1047" s="13">
        <f t="shared" si="93"/>
        <v>158.24</v>
      </c>
    </row>
    <row r="1048" spans="1:10" s="1" customFormat="1" ht="25.5" customHeight="1" x14ac:dyDescent="0.2">
      <c r="A1048" s="11" t="s">
        <v>78</v>
      </c>
      <c r="B1048" s="11" t="s">
        <v>508</v>
      </c>
      <c r="C1048" s="806" t="s">
        <v>509</v>
      </c>
      <c r="D1048" s="807"/>
      <c r="E1048" s="11" t="s">
        <v>102</v>
      </c>
      <c r="F1048" s="12">
        <v>12</v>
      </c>
      <c r="G1048" s="12">
        <v>47.22</v>
      </c>
      <c r="H1048" s="12">
        <v>60.25</v>
      </c>
      <c r="I1048" s="13">
        <f t="shared" si="92"/>
        <v>566.64</v>
      </c>
      <c r="J1048" s="13">
        <f t="shared" si="93"/>
        <v>723</v>
      </c>
    </row>
    <row r="1049" spans="1:10" s="1" customFormat="1" ht="25.5" customHeight="1" x14ac:dyDescent="0.2">
      <c r="A1049" s="11" t="s">
        <v>510</v>
      </c>
      <c r="B1049" s="11" t="s">
        <v>511</v>
      </c>
      <c r="C1049" s="806" t="s">
        <v>512</v>
      </c>
      <c r="D1049" s="807"/>
      <c r="E1049" s="11" t="s">
        <v>102</v>
      </c>
      <c r="F1049" s="12">
        <v>9</v>
      </c>
      <c r="G1049" s="12">
        <v>30.39</v>
      </c>
      <c r="H1049" s="12">
        <v>38.78</v>
      </c>
      <c r="I1049" s="13">
        <f t="shared" si="92"/>
        <v>273.51</v>
      </c>
      <c r="J1049" s="13">
        <f t="shared" si="93"/>
        <v>349.02</v>
      </c>
    </row>
    <row r="1050" spans="1:10" s="1" customFormat="1" ht="25.5" customHeight="1" x14ac:dyDescent="0.2">
      <c r="A1050" s="11" t="s">
        <v>308</v>
      </c>
      <c r="B1050" s="11" t="s">
        <v>513</v>
      </c>
      <c r="C1050" s="806" t="s">
        <v>514</v>
      </c>
      <c r="D1050" s="807"/>
      <c r="E1050" s="11" t="s">
        <v>102</v>
      </c>
      <c r="F1050" s="12">
        <v>2</v>
      </c>
      <c r="G1050" s="12">
        <v>224.79</v>
      </c>
      <c r="H1050" s="12">
        <v>286.81</v>
      </c>
      <c r="I1050" s="13">
        <f t="shared" si="92"/>
        <v>449.58</v>
      </c>
      <c r="J1050" s="13">
        <f t="shared" si="93"/>
        <v>573.62</v>
      </c>
    </row>
    <row r="1051" spans="1:10" s="1" customFormat="1" ht="25.5" customHeight="1" x14ac:dyDescent="0.2">
      <c r="A1051" s="11" t="s">
        <v>308</v>
      </c>
      <c r="B1051" s="11" t="s">
        <v>515</v>
      </c>
      <c r="C1051" s="806" t="s">
        <v>516</v>
      </c>
      <c r="D1051" s="807"/>
      <c r="E1051" s="11" t="s">
        <v>102</v>
      </c>
      <c r="F1051" s="12">
        <v>8</v>
      </c>
      <c r="G1051" s="12">
        <v>170.36</v>
      </c>
      <c r="H1051" s="12">
        <v>217.36</v>
      </c>
      <c r="I1051" s="13">
        <f t="shared" si="92"/>
        <v>1362.88</v>
      </c>
      <c r="J1051" s="13">
        <f t="shared" si="93"/>
        <v>1738.88</v>
      </c>
    </row>
    <row r="1052" spans="1:10" s="1" customFormat="1" ht="25.5" customHeight="1" x14ac:dyDescent="0.2">
      <c r="A1052" s="11" t="s">
        <v>308</v>
      </c>
      <c r="B1052" s="11" t="s">
        <v>517</v>
      </c>
      <c r="C1052" s="806" t="s">
        <v>518</v>
      </c>
      <c r="D1052" s="807"/>
      <c r="E1052" s="11" t="s">
        <v>102</v>
      </c>
      <c r="F1052" s="12">
        <v>4</v>
      </c>
      <c r="G1052" s="12">
        <v>108</v>
      </c>
      <c r="H1052" s="12">
        <v>137.80000000000001</v>
      </c>
      <c r="I1052" s="13">
        <f t="shared" si="92"/>
        <v>432</v>
      </c>
      <c r="J1052" s="13">
        <f t="shared" si="93"/>
        <v>551.20000000000005</v>
      </c>
    </row>
    <row r="1053" spans="1:10" s="1" customFormat="1" ht="25.5" customHeight="1" x14ac:dyDescent="0.2">
      <c r="A1053" s="11" t="s">
        <v>308</v>
      </c>
      <c r="B1053" s="11" t="s">
        <v>519</v>
      </c>
      <c r="C1053" s="806" t="s">
        <v>520</v>
      </c>
      <c r="D1053" s="807"/>
      <c r="E1053" s="11" t="s">
        <v>102</v>
      </c>
      <c r="F1053" s="12">
        <v>1</v>
      </c>
      <c r="G1053" s="13">
        <v>1249</v>
      </c>
      <c r="H1053" s="13">
        <v>1593.6</v>
      </c>
      <c r="I1053" s="13">
        <f t="shared" si="92"/>
        <v>1249</v>
      </c>
      <c r="J1053" s="13">
        <f t="shared" si="93"/>
        <v>1593.6</v>
      </c>
    </row>
    <row r="1054" spans="1:10" s="1" customFormat="1" ht="25.5" customHeight="1" x14ac:dyDescent="0.2">
      <c r="A1054" s="10">
        <v>86909</v>
      </c>
      <c r="B1054" s="11" t="s">
        <v>521</v>
      </c>
      <c r="C1054" s="806" t="s">
        <v>522</v>
      </c>
      <c r="D1054" s="807"/>
      <c r="E1054" s="11" t="s">
        <v>102</v>
      </c>
      <c r="F1054" s="12">
        <v>7</v>
      </c>
      <c r="G1054" s="12">
        <v>74.2</v>
      </c>
      <c r="H1054" s="12">
        <v>94.67</v>
      </c>
      <c r="I1054" s="13">
        <f t="shared" si="92"/>
        <v>519.4</v>
      </c>
      <c r="J1054" s="13">
        <f t="shared" si="93"/>
        <v>662.69</v>
      </c>
    </row>
    <row r="1055" spans="1:10" s="1" customFormat="1" ht="25.5" customHeight="1" x14ac:dyDescent="0.2">
      <c r="A1055" s="10">
        <v>86911</v>
      </c>
      <c r="B1055" s="11" t="s">
        <v>523</v>
      </c>
      <c r="C1055" s="806" t="s">
        <v>524</v>
      </c>
      <c r="D1055" s="807"/>
      <c r="E1055" s="11" t="s">
        <v>102</v>
      </c>
      <c r="F1055" s="12">
        <v>14</v>
      </c>
      <c r="G1055" s="12">
        <v>31.64</v>
      </c>
      <c r="H1055" s="12">
        <v>40.369999999999997</v>
      </c>
      <c r="I1055" s="13">
        <f t="shared" si="92"/>
        <v>442.96000000000004</v>
      </c>
      <c r="J1055" s="13">
        <f t="shared" si="93"/>
        <v>565.17999999999995</v>
      </c>
    </row>
    <row r="1056" spans="1:10" s="1" customFormat="1" ht="25.5" customHeight="1" x14ac:dyDescent="0.2">
      <c r="A1056" s="10">
        <v>86915</v>
      </c>
      <c r="B1056" s="11" t="s">
        <v>525</v>
      </c>
      <c r="C1056" s="806" t="s">
        <v>526</v>
      </c>
      <c r="D1056" s="807"/>
      <c r="E1056" s="11" t="s">
        <v>102</v>
      </c>
      <c r="F1056" s="12">
        <v>5</v>
      </c>
      <c r="G1056" s="12">
        <v>62.36</v>
      </c>
      <c r="H1056" s="12">
        <v>79.569999999999993</v>
      </c>
      <c r="I1056" s="13">
        <f t="shared" si="92"/>
        <v>311.8</v>
      </c>
      <c r="J1056" s="13">
        <f t="shared" si="93"/>
        <v>397.84999999999997</v>
      </c>
    </row>
    <row r="1057" spans="1:10" s="1" customFormat="1" ht="25.5" customHeight="1" x14ac:dyDescent="0.2">
      <c r="A1057" s="11" t="s">
        <v>527</v>
      </c>
      <c r="B1057" s="11" t="s">
        <v>528</v>
      </c>
      <c r="C1057" s="806" t="s">
        <v>529</v>
      </c>
      <c r="D1057" s="807"/>
      <c r="E1057" s="11" t="s">
        <v>102</v>
      </c>
      <c r="F1057" s="12">
        <v>3</v>
      </c>
      <c r="G1057" s="12">
        <v>100.46</v>
      </c>
      <c r="H1057" s="12">
        <v>128.16999999999999</v>
      </c>
      <c r="I1057" s="13">
        <f t="shared" si="92"/>
        <v>301.38</v>
      </c>
      <c r="J1057" s="13">
        <f t="shared" si="93"/>
        <v>384.51</v>
      </c>
    </row>
    <row r="1058" spans="1:10" s="1" customFormat="1" ht="25.5" customHeight="1" x14ac:dyDescent="0.2">
      <c r="A1058" s="10">
        <v>86910</v>
      </c>
      <c r="B1058" s="11" t="s">
        <v>530</v>
      </c>
      <c r="C1058" s="806" t="s">
        <v>531</v>
      </c>
      <c r="D1058" s="807"/>
      <c r="E1058" s="11" t="s">
        <v>102</v>
      </c>
      <c r="F1058" s="12">
        <v>4</v>
      </c>
      <c r="G1058" s="12">
        <v>71</v>
      </c>
      <c r="H1058" s="12">
        <v>90.59</v>
      </c>
      <c r="I1058" s="13">
        <f t="shared" si="92"/>
        <v>284</v>
      </c>
      <c r="J1058" s="13">
        <f t="shared" si="93"/>
        <v>362.36</v>
      </c>
    </row>
    <row r="1059" spans="1:10" s="1" customFormat="1" ht="25.5" customHeight="1" x14ac:dyDescent="0.2">
      <c r="A1059" s="10">
        <v>86906</v>
      </c>
      <c r="B1059" s="11" t="s">
        <v>532</v>
      </c>
      <c r="C1059" s="806" t="s">
        <v>533</v>
      </c>
      <c r="D1059" s="807"/>
      <c r="E1059" s="11" t="s">
        <v>102</v>
      </c>
      <c r="F1059" s="12">
        <v>7</v>
      </c>
      <c r="G1059" s="12">
        <v>37.18</v>
      </c>
      <c r="H1059" s="12">
        <v>47.44</v>
      </c>
      <c r="I1059" s="13">
        <f t="shared" si="92"/>
        <v>260.26</v>
      </c>
      <c r="J1059" s="13">
        <f t="shared" si="93"/>
        <v>332.08</v>
      </c>
    </row>
    <row r="1060" spans="1:10" s="1" customFormat="1" ht="25.5" customHeight="1" x14ac:dyDescent="0.2">
      <c r="A1060" s="10">
        <v>86913</v>
      </c>
      <c r="B1060" s="11" t="s">
        <v>534</v>
      </c>
      <c r="C1060" s="806" t="s">
        <v>535</v>
      </c>
      <c r="D1060" s="807"/>
      <c r="E1060" s="11" t="s">
        <v>102</v>
      </c>
      <c r="F1060" s="12">
        <v>6</v>
      </c>
      <c r="G1060" s="12">
        <v>14.42</v>
      </c>
      <c r="H1060" s="12">
        <v>18.399999999999999</v>
      </c>
      <c r="I1060" s="13">
        <f t="shared" si="92"/>
        <v>86.52</v>
      </c>
      <c r="J1060" s="13">
        <f t="shared" si="93"/>
        <v>110.39999999999999</v>
      </c>
    </row>
    <row r="1061" spans="1:10" s="1" customFormat="1" ht="25.5" customHeight="1" x14ac:dyDescent="0.2">
      <c r="A1061" s="11" t="s">
        <v>536</v>
      </c>
      <c r="B1061" s="11" t="s">
        <v>537</v>
      </c>
      <c r="C1061" s="806" t="s">
        <v>538</v>
      </c>
      <c r="D1061" s="807"/>
      <c r="E1061" s="11" t="s">
        <v>102</v>
      </c>
      <c r="F1061" s="12">
        <v>11</v>
      </c>
      <c r="G1061" s="12">
        <v>22.57</v>
      </c>
      <c r="H1061" s="12">
        <v>28.8</v>
      </c>
      <c r="I1061" s="13">
        <f t="shared" si="92"/>
        <v>248.27</v>
      </c>
      <c r="J1061" s="13">
        <f t="shared" si="93"/>
        <v>316.8</v>
      </c>
    </row>
    <row r="1062" spans="1:10" s="1" customFormat="1" ht="25.5" customHeight="1" x14ac:dyDescent="0.2">
      <c r="A1062" s="10">
        <v>94796</v>
      </c>
      <c r="B1062" s="11" t="s">
        <v>539</v>
      </c>
      <c r="C1062" s="806" t="s">
        <v>540</v>
      </c>
      <c r="D1062" s="807"/>
      <c r="E1062" s="11" t="s">
        <v>102</v>
      </c>
      <c r="F1062" s="12">
        <v>1</v>
      </c>
      <c r="G1062" s="12">
        <v>26.75</v>
      </c>
      <c r="H1062" s="12">
        <v>34.130000000000003</v>
      </c>
      <c r="I1062" s="13">
        <f t="shared" si="92"/>
        <v>26.75</v>
      </c>
      <c r="J1062" s="13">
        <f t="shared" si="93"/>
        <v>34.130000000000003</v>
      </c>
    </row>
    <row r="1063" spans="1:10" s="1" customFormat="1" ht="25.5" customHeight="1" x14ac:dyDescent="0.2">
      <c r="A1063" s="10">
        <v>89985</v>
      </c>
      <c r="B1063" s="11" t="s">
        <v>541</v>
      </c>
      <c r="C1063" s="806" t="s">
        <v>542</v>
      </c>
      <c r="D1063" s="807"/>
      <c r="E1063" s="11" t="s">
        <v>102</v>
      </c>
      <c r="F1063" s="12">
        <v>19</v>
      </c>
      <c r="G1063" s="12">
        <v>61.1</v>
      </c>
      <c r="H1063" s="12">
        <v>77.959999999999994</v>
      </c>
      <c r="I1063" s="13">
        <f t="shared" si="92"/>
        <v>1160.9000000000001</v>
      </c>
      <c r="J1063" s="13">
        <f t="shared" si="93"/>
        <v>1481.2399999999998</v>
      </c>
    </row>
    <row r="1064" spans="1:10" s="1" customFormat="1" ht="25.5" customHeight="1" x14ac:dyDescent="0.2">
      <c r="A1064" s="10">
        <v>89351</v>
      </c>
      <c r="B1064" s="11" t="s">
        <v>543</v>
      </c>
      <c r="C1064" s="806" t="s">
        <v>544</v>
      </c>
      <c r="D1064" s="807"/>
      <c r="E1064" s="11" t="s">
        <v>102</v>
      </c>
      <c r="F1064" s="12">
        <v>5</v>
      </c>
      <c r="G1064" s="12">
        <v>24.75</v>
      </c>
      <c r="H1064" s="12">
        <v>31.58</v>
      </c>
      <c r="I1064" s="13">
        <f t="shared" si="92"/>
        <v>123.75</v>
      </c>
      <c r="J1064" s="13">
        <f t="shared" si="93"/>
        <v>157.89999999999998</v>
      </c>
    </row>
    <row r="1065" spans="1:10" s="1" customFormat="1" ht="25.5" customHeight="1" x14ac:dyDescent="0.2">
      <c r="A1065" s="11" t="s">
        <v>545</v>
      </c>
      <c r="B1065" s="11" t="s">
        <v>546</v>
      </c>
      <c r="C1065" s="806" t="s">
        <v>547</v>
      </c>
      <c r="D1065" s="807"/>
      <c r="E1065" s="11" t="s">
        <v>102</v>
      </c>
      <c r="F1065" s="12">
        <v>8</v>
      </c>
      <c r="G1065" s="12">
        <v>40.06</v>
      </c>
      <c r="H1065" s="12">
        <v>51.11</v>
      </c>
      <c r="I1065" s="13">
        <f t="shared" si="92"/>
        <v>320.48</v>
      </c>
      <c r="J1065" s="13">
        <f t="shared" si="93"/>
        <v>408.88</v>
      </c>
    </row>
    <row r="1066" spans="1:10" s="1" customFormat="1" ht="25.5" customHeight="1" x14ac:dyDescent="0.2">
      <c r="A1066" s="11" t="s">
        <v>548</v>
      </c>
      <c r="B1066" s="11" t="s">
        <v>549</v>
      </c>
      <c r="C1066" s="806" t="s">
        <v>550</v>
      </c>
      <c r="D1066" s="807"/>
      <c r="E1066" s="11" t="s">
        <v>102</v>
      </c>
      <c r="F1066" s="12">
        <v>6</v>
      </c>
      <c r="G1066" s="12">
        <v>71.88</v>
      </c>
      <c r="H1066" s="12">
        <v>91.72</v>
      </c>
      <c r="I1066" s="13">
        <f t="shared" si="92"/>
        <v>431.28</v>
      </c>
      <c r="J1066" s="13">
        <f t="shared" si="93"/>
        <v>550.31999999999994</v>
      </c>
    </row>
    <row r="1067" spans="1:10" s="1" customFormat="1" ht="25.5" customHeight="1" x14ac:dyDescent="0.2">
      <c r="A1067" s="11" t="s">
        <v>551</v>
      </c>
      <c r="B1067" s="11" t="s">
        <v>552</v>
      </c>
      <c r="C1067" s="806" t="s">
        <v>553</v>
      </c>
      <c r="D1067" s="807"/>
      <c r="E1067" s="11" t="s">
        <v>102</v>
      </c>
      <c r="F1067" s="12">
        <v>5</v>
      </c>
      <c r="G1067" s="12">
        <v>267.62</v>
      </c>
      <c r="H1067" s="12">
        <v>341.45</v>
      </c>
      <c r="I1067" s="13">
        <f t="shared" si="92"/>
        <v>1338.1</v>
      </c>
      <c r="J1067" s="13">
        <f t="shared" si="93"/>
        <v>1707.25</v>
      </c>
    </row>
    <row r="1068" spans="1:10" s="1" customFormat="1" ht="25.5" customHeight="1" x14ac:dyDescent="0.2">
      <c r="A1068" s="10">
        <v>89987</v>
      </c>
      <c r="B1068" s="11" t="s">
        <v>554</v>
      </c>
      <c r="C1068" s="806" t="s">
        <v>555</v>
      </c>
      <c r="D1068" s="807"/>
      <c r="E1068" s="11" t="s">
        <v>102</v>
      </c>
      <c r="F1068" s="12">
        <v>39</v>
      </c>
      <c r="G1068" s="12">
        <v>64.260000000000005</v>
      </c>
      <c r="H1068" s="12">
        <v>81.99</v>
      </c>
      <c r="I1068" s="13">
        <f t="shared" si="92"/>
        <v>2506.1400000000003</v>
      </c>
      <c r="J1068" s="13">
        <f t="shared" si="93"/>
        <v>3197.6099999999997</v>
      </c>
    </row>
    <row r="1069" spans="1:10" s="1" customFormat="1" ht="25.5" customHeight="1" x14ac:dyDescent="0.2">
      <c r="A1069" s="10">
        <v>94792</v>
      </c>
      <c r="B1069" s="11" t="s">
        <v>556</v>
      </c>
      <c r="C1069" s="806" t="s">
        <v>557</v>
      </c>
      <c r="D1069" s="807"/>
      <c r="E1069" s="11" t="s">
        <v>102</v>
      </c>
      <c r="F1069" s="12">
        <v>10</v>
      </c>
      <c r="G1069" s="12">
        <v>92.77</v>
      </c>
      <c r="H1069" s="12">
        <v>118.37</v>
      </c>
      <c r="I1069" s="13">
        <f t="shared" si="92"/>
        <v>927.69999999999993</v>
      </c>
      <c r="J1069" s="13">
        <f t="shared" si="93"/>
        <v>1183.7</v>
      </c>
    </row>
    <row r="1070" spans="1:10" s="1" customFormat="1" ht="25.5" customHeight="1" x14ac:dyDescent="0.2">
      <c r="A1070" s="10">
        <v>94794</v>
      </c>
      <c r="B1070" s="11" t="s">
        <v>558</v>
      </c>
      <c r="C1070" s="806" t="s">
        <v>559</v>
      </c>
      <c r="D1070" s="807"/>
      <c r="E1070" s="11" t="s">
        <v>102</v>
      </c>
      <c r="F1070" s="12">
        <v>12</v>
      </c>
      <c r="G1070" s="12">
        <v>124.23</v>
      </c>
      <c r="H1070" s="12">
        <v>158.5</v>
      </c>
      <c r="I1070" s="13">
        <f t="shared" si="92"/>
        <v>1490.76</v>
      </c>
      <c r="J1070" s="13">
        <f t="shared" si="93"/>
        <v>1902</v>
      </c>
    </row>
    <row r="1071" spans="1:10" s="1" customFormat="1" ht="25.5" customHeight="1" x14ac:dyDescent="0.2">
      <c r="A1071" s="11" t="s">
        <v>78</v>
      </c>
      <c r="B1071" s="11" t="s">
        <v>560</v>
      </c>
      <c r="C1071" s="806" t="s">
        <v>561</v>
      </c>
      <c r="D1071" s="807"/>
      <c r="E1071" s="11" t="s">
        <v>102</v>
      </c>
      <c r="F1071" s="12">
        <v>11</v>
      </c>
      <c r="G1071" s="12">
        <v>20.3</v>
      </c>
      <c r="H1071" s="12">
        <v>25.91</v>
      </c>
      <c r="I1071" s="13">
        <f t="shared" si="92"/>
        <v>223.3</v>
      </c>
      <c r="J1071" s="13">
        <f t="shared" si="93"/>
        <v>285.01</v>
      </c>
    </row>
    <row r="1072" spans="1:10" s="1" customFormat="1" ht="25.5" customHeight="1" x14ac:dyDescent="0.2">
      <c r="A1072" s="11" t="s">
        <v>78</v>
      </c>
      <c r="B1072" s="11" t="s">
        <v>562</v>
      </c>
      <c r="C1072" s="806" t="s">
        <v>563</v>
      </c>
      <c r="D1072" s="807"/>
      <c r="E1072" s="11" t="s">
        <v>102</v>
      </c>
      <c r="F1072" s="12">
        <v>7</v>
      </c>
      <c r="G1072" s="12">
        <v>25.99</v>
      </c>
      <c r="H1072" s="12">
        <v>33.159999999999997</v>
      </c>
      <c r="I1072" s="13">
        <f t="shared" si="92"/>
        <v>181.92999999999998</v>
      </c>
      <c r="J1072" s="13">
        <f t="shared" si="93"/>
        <v>232.11999999999998</v>
      </c>
    </row>
    <row r="1073" spans="1:10" s="1" customFormat="1" ht="25.5" customHeight="1" x14ac:dyDescent="0.2">
      <c r="A1073" s="10">
        <v>9535</v>
      </c>
      <c r="B1073" s="11" t="s">
        <v>564</v>
      </c>
      <c r="C1073" s="806" t="s">
        <v>565</v>
      </c>
      <c r="D1073" s="807"/>
      <c r="E1073" s="11" t="s">
        <v>102</v>
      </c>
      <c r="F1073" s="12">
        <v>12</v>
      </c>
      <c r="G1073" s="12">
        <v>56.12</v>
      </c>
      <c r="H1073" s="12">
        <v>71.599999999999994</v>
      </c>
      <c r="I1073" s="13">
        <f t="shared" si="92"/>
        <v>673.43999999999994</v>
      </c>
      <c r="J1073" s="13">
        <f t="shared" si="93"/>
        <v>859.19999999999993</v>
      </c>
    </row>
    <row r="1074" spans="1:10" s="1" customFormat="1" ht="25.5" customHeight="1" x14ac:dyDescent="0.2">
      <c r="A1074" s="11" t="s">
        <v>308</v>
      </c>
      <c r="B1074" s="11" t="s">
        <v>566</v>
      </c>
      <c r="C1074" s="806" t="s">
        <v>567</v>
      </c>
      <c r="D1074" s="807"/>
      <c r="E1074" s="11" t="s">
        <v>102</v>
      </c>
      <c r="F1074" s="12">
        <v>4</v>
      </c>
      <c r="G1074" s="12">
        <v>40.85</v>
      </c>
      <c r="H1074" s="12">
        <v>52.12</v>
      </c>
      <c r="I1074" s="13">
        <f t="shared" si="92"/>
        <v>163.4</v>
      </c>
      <c r="J1074" s="13">
        <f t="shared" si="93"/>
        <v>208.48</v>
      </c>
    </row>
    <row r="1075" spans="1:10" s="1" customFormat="1" ht="25.5" customHeight="1" x14ac:dyDescent="0.2">
      <c r="A1075" s="10">
        <v>9535</v>
      </c>
      <c r="B1075" s="11" t="s">
        <v>568</v>
      </c>
      <c r="C1075" s="806" t="s">
        <v>569</v>
      </c>
      <c r="D1075" s="807"/>
      <c r="E1075" s="11" t="s">
        <v>102</v>
      </c>
      <c r="F1075" s="12">
        <v>4</v>
      </c>
      <c r="G1075" s="12">
        <v>56.21</v>
      </c>
      <c r="H1075" s="12">
        <v>71.709999999999994</v>
      </c>
      <c r="I1075" s="13">
        <f t="shared" si="92"/>
        <v>224.84</v>
      </c>
      <c r="J1075" s="13">
        <f t="shared" si="93"/>
        <v>286.83999999999997</v>
      </c>
    </row>
    <row r="1076" spans="1:10" s="1" customFormat="1" ht="25.5" customHeight="1" x14ac:dyDescent="0.2">
      <c r="A1076" s="11" t="s">
        <v>78</v>
      </c>
      <c r="B1076" s="11" t="s">
        <v>570</v>
      </c>
      <c r="C1076" s="806" t="s">
        <v>571</v>
      </c>
      <c r="D1076" s="807"/>
      <c r="E1076" s="11" t="s">
        <v>102</v>
      </c>
      <c r="F1076" s="12">
        <v>5</v>
      </c>
      <c r="G1076" s="12">
        <v>132.01</v>
      </c>
      <c r="H1076" s="12">
        <v>168.43</v>
      </c>
      <c r="I1076" s="13">
        <f t="shared" si="92"/>
        <v>660.05</v>
      </c>
      <c r="J1076" s="13">
        <f t="shared" si="93"/>
        <v>842.15000000000009</v>
      </c>
    </row>
    <row r="1077" spans="1:10" s="1" customFormat="1" ht="25.5" customHeight="1" x14ac:dyDescent="0.2">
      <c r="A1077" s="10">
        <v>40729</v>
      </c>
      <c r="B1077" s="11" t="s">
        <v>572</v>
      </c>
      <c r="C1077" s="806" t="s">
        <v>573</v>
      </c>
      <c r="D1077" s="807"/>
      <c r="E1077" s="11" t="s">
        <v>102</v>
      </c>
      <c r="F1077" s="12">
        <v>23</v>
      </c>
      <c r="G1077" s="12">
        <v>218.15</v>
      </c>
      <c r="H1077" s="12">
        <v>278.33999999999997</v>
      </c>
      <c r="I1077" s="13">
        <f t="shared" si="92"/>
        <v>5017.45</v>
      </c>
      <c r="J1077" s="13">
        <f t="shared" si="93"/>
        <v>6401.82</v>
      </c>
    </row>
    <row r="1078" spans="1:10" s="1" customFormat="1" ht="25.5" customHeight="1" x14ac:dyDescent="0.2">
      <c r="A1078" s="11" t="s">
        <v>308</v>
      </c>
      <c r="B1078" s="11" t="s">
        <v>574</v>
      </c>
      <c r="C1078" s="806" t="s">
        <v>575</v>
      </c>
      <c r="D1078" s="807"/>
      <c r="E1078" s="11" t="s">
        <v>102</v>
      </c>
      <c r="F1078" s="12">
        <v>1</v>
      </c>
      <c r="G1078" s="13">
        <v>5800</v>
      </c>
      <c r="H1078" s="13">
        <v>7400.22</v>
      </c>
      <c r="I1078" s="13">
        <f t="shared" si="92"/>
        <v>5800</v>
      </c>
      <c r="J1078" s="13">
        <f t="shared" si="93"/>
        <v>7400.22</v>
      </c>
    </row>
    <row r="1079" spans="1:10" s="1" customFormat="1" ht="25.5" customHeight="1" x14ac:dyDescent="0.2">
      <c r="A1079" s="11" t="s">
        <v>308</v>
      </c>
      <c r="B1079" s="11" t="s">
        <v>576</v>
      </c>
      <c r="C1079" s="806" t="s">
        <v>577</v>
      </c>
      <c r="D1079" s="807"/>
      <c r="E1079" s="11" t="s">
        <v>102</v>
      </c>
      <c r="F1079" s="12">
        <v>23</v>
      </c>
      <c r="G1079" s="12">
        <v>7.69</v>
      </c>
      <c r="H1079" s="12">
        <v>9.81</v>
      </c>
      <c r="I1079" s="13">
        <f t="shared" si="92"/>
        <v>176.87</v>
      </c>
      <c r="J1079" s="13">
        <f t="shared" si="93"/>
        <v>225.63000000000002</v>
      </c>
    </row>
    <row r="1080" spans="1:10" s="1" customFormat="1" ht="25.5" customHeight="1" x14ac:dyDescent="0.2">
      <c r="A1080" s="11" t="s">
        <v>578</v>
      </c>
      <c r="B1080" s="11" t="s">
        <v>579</v>
      </c>
      <c r="C1080" s="806" t="s">
        <v>580</v>
      </c>
      <c r="D1080" s="807"/>
      <c r="E1080" s="11" t="s">
        <v>102</v>
      </c>
      <c r="F1080" s="12">
        <v>1</v>
      </c>
      <c r="G1080" s="12">
        <v>7.69</v>
      </c>
      <c r="H1080" s="12">
        <v>9.81</v>
      </c>
      <c r="I1080" s="13">
        <f t="shared" si="92"/>
        <v>7.69</v>
      </c>
      <c r="J1080" s="13">
        <f t="shared" si="93"/>
        <v>9.81</v>
      </c>
    </row>
    <row r="1081" spans="1:10" s="1" customFormat="1" ht="25.5" customHeight="1" x14ac:dyDescent="0.2">
      <c r="A1081" s="11" t="s">
        <v>581</v>
      </c>
      <c r="B1081" s="11" t="s">
        <v>582</v>
      </c>
      <c r="C1081" s="806" t="s">
        <v>583</v>
      </c>
      <c r="D1081" s="807"/>
      <c r="E1081" s="11" t="s">
        <v>102</v>
      </c>
      <c r="F1081" s="12">
        <v>1</v>
      </c>
      <c r="G1081" s="12">
        <v>44.58</v>
      </c>
      <c r="H1081" s="12">
        <v>56.88</v>
      </c>
      <c r="I1081" s="13">
        <f t="shared" si="92"/>
        <v>44.58</v>
      </c>
      <c r="J1081" s="13">
        <f t="shared" si="93"/>
        <v>56.88</v>
      </c>
    </row>
    <row r="1082" spans="1:10" s="1" customFormat="1" ht="25.5" customHeight="1" x14ac:dyDescent="0.2">
      <c r="A1082" s="11" t="s">
        <v>584</v>
      </c>
      <c r="B1082" s="11" t="s">
        <v>585</v>
      </c>
      <c r="C1082" s="806" t="s">
        <v>586</v>
      </c>
      <c r="D1082" s="807"/>
      <c r="E1082" s="11" t="s">
        <v>102</v>
      </c>
      <c r="F1082" s="12">
        <v>9</v>
      </c>
      <c r="G1082" s="12">
        <v>95.78</v>
      </c>
      <c r="H1082" s="12">
        <v>122.2</v>
      </c>
      <c r="I1082" s="13">
        <f t="shared" si="92"/>
        <v>862.02</v>
      </c>
      <c r="J1082" s="13">
        <f t="shared" si="93"/>
        <v>1099.8</v>
      </c>
    </row>
    <row r="1083" spans="1:10" s="1" customFormat="1" ht="25.5" customHeight="1" x14ac:dyDescent="0.2">
      <c r="A1083" s="11" t="s">
        <v>78</v>
      </c>
      <c r="B1083" s="11" t="s">
        <v>587</v>
      </c>
      <c r="C1083" s="806" t="s">
        <v>588</v>
      </c>
      <c r="D1083" s="807"/>
      <c r="E1083" s="11" t="s">
        <v>102</v>
      </c>
      <c r="F1083" s="12">
        <v>1</v>
      </c>
      <c r="G1083" s="13">
        <v>1067.05</v>
      </c>
      <c r="H1083" s="13">
        <v>1361.45</v>
      </c>
      <c r="I1083" s="13">
        <f t="shared" si="92"/>
        <v>1067.05</v>
      </c>
      <c r="J1083" s="13">
        <f t="shared" si="93"/>
        <v>1361.45</v>
      </c>
    </row>
    <row r="1084" spans="1:10" s="1" customFormat="1" ht="25.5" customHeight="1" x14ac:dyDescent="0.2">
      <c r="A1084" s="11" t="s">
        <v>308</v>
      </c>
      <c r="B1084" s="11" t="s">
        <v>589</v>
      </c>
      <c r="C1084" s="806" t="s">
        <v>590</v>
      </c>
      <c r="D1084" s="807"/>
      <c r="E1084" s="11" t="s">
        <v>102</v>
      </c>
      <c r="F1084" s="12">
        <v>9</v>
      </c>
      <c r="G1084" s="12">
        <v>49.99</v>
      </c>
      <c r="H1084" s="12">
        <v>63.78</v>
      </c>
      <c r="I1084" s="13">
        <f t="shared" si="92"/>
        <v>449.91</v>
      </c>
      <c r="J1084" s="13">
        <f t="shared" si="93"/>
        <v>574.02</v>
      </c>
    </row>
    <row r="1085" spans="1:10" s="1" customFormat="1" ht="25.5" customHeight="1" x14ac:dyDescent="0.2">
      <c r="A1085" s="11" t="s">
        <v>308</v>
      </c>
      <c r="B1085" s="11" t="s">
        <v>591</v>
      </c>
      <c r="C1085" s="806" t="s">
        <v>592</v>
      </c>
      <c r="D1085" s="807"/>
      <c r="E1085" s="11" t="s">
        <v>102</v>
      </c>
      <c r="F1085" s="12">
        <v>2</v>
      </c>
      <c r="G1085" s="12">
        <v>205.99</v>
      </c>
      <c r="H1085" s="12">
        <v>262.82</v>
      </c>
      <c r="I1085" s="13">
        <f t="shared" si="92"/>
        <v>411.98</v>
      </c>
      <c r="J1085" s="13">
        <f t="shared" si="93"/>
        <v>525.64</v>
      </c>
    </row>
    <row r="1086" spans="1:10" s="1" customFormat="1" ht="25.5" customHeight="1" x14ac:dyDescent="0.2">
      <c r="A1086" s="11" t="s">
        <v>308</v>
      </c>
      <c r="B1086" s="11" t="s">
        <v>593</v>
      </c>
      <c r="C1086" s="806" t="s">
        <v>594</v>
      </c>
      <c r="D1086" s="807"/>
      <c r="E1086" s="11" t="s">
        <v>102</v>
      </c>
      <c r="F1086" s="12">
        <v>6</v>
      </c>
      <c r="G1086" s="12">
        <v>0.17</v>
      </c>
      <c r="H1086" s="12">
        <v>0.22</v>
      </c>
      <c r="I1086" s="13">
        <f t="shared" si="92"/>
        <v>1.02</v>
      </c>
      <c r="J1086" s="13">
        <f t="shared" si="93"/>
        <v>1.32</v>
      </c>
    </row>
    <row r="1087" spans="1:10" s="1" customFormat="1" ht="25.5" customHeight="1" x14ac:dyDescent="0.2">
      <c r="A1087" s="11" t="s">
        <v>308</v>
      </c>
      <c r="B1087" s="11" t="s">
        <v>595</v>
      </c>
      <c r="C1087" s="806" t="s">
        <v>596</v>
      </c>
      <c r="D1087" s="807"/>
      <c r="E1087" s="11" t="s">
        <v>102</v>
      </c>
      <c r="F1087" s="12">
        <v>13</v>
      </c>
      <c r="G1087" s="12">
        <v>0.25</v>
      </c>
      <c r="H1087" s="12">
        <v>0.32</v>
      </c>
      <c r="I1087" s="13">
        <f t="shared" si="92"/>
        <v>3.25</v>
      </c>
      <c r="J1087" s="13">
        <f t="shared" si="93"/>
        <v>4.16</v>
      </c>
    </row>
    <row r="1088" spans="1:10" s="1" customFormat="1" ht="25.5" customHeight="1" x14ac:dyDescent="0.2">
      <c r="A1088" s="11" t="s">
        <v>308</v>
      </c>
      <c r="B1088" s="11" t="s">
        <v>597</v>
      </c>
      <c r="C1088" s="806" t="s">
        <v>598</v>
      </c>
      <c r="D1088" s="807"/>
      <c r="E1088" s="11" t="s">
        <v>102</v>
      </c>
      <c r="F1088" s="12">
        <v>13</v>
      </c>
      <c r="G1088" s="12">
        <v>0.54</v>
      </c>
      <c r="H1088" s="12">
        <v>0.69</v>
      </c>
      <c r="I1088" s="13">
        <f t="shared" si="92"/>
        <v>7.0200000000000005</v>
      </c>
      <c r="J1088" s="13">
        <f t="shared" si="93"/>
        <v>8.9699999999999989</v>
      </c>
    </row>
    <row r="1089" spans="1:10" s="1" customFormat="1" ht="25.5" customHeight="1" x14ac:dyDescent="0.2">
      <c r="A1089" s="11" t="s">
        <v>308</v>
      </c>
      <c r="B1089" s="11" t="s">
        <v>599</v>
      </c>
      <c r="C1089" s="806" t="s">
        <v>600</v>
      </c>
      <c r="D1089" s="807"/>
      <c r="E1089" s="11" t="s">
        <v>102</v>
      </c>
      <c r="F1089" s="12">
        <v>20</v>
      </c>
      <c r="G1089" s="12">
        <v>0.62</v>
      </c>
      <c r="H1089" s="12">
        <v>0.79</v>
      </c>
      <c r="I1089" s="13">
        <f t="shared" si="92"/>
        <v>12.4</v>
      </c>
      <c r="J1089" s="13">
        <f t="shared" si="93"/>
        <v>15.8</v>
      </c>
    </row>
    <row r="1090" spans="1:10" s="1" customFormat="1" ht="25.5" customHeight="1" x14ac:dyDescent="0.2">
      <c r="A1090" s="11" t="s">
        <v>308</v>
      </c>
      <c r="B1090" s="11" t="s">
        <v>601</v>
      </c>
      <c r="C1090" s="806" t="s">
        <v>602</v>
      </c>
      <c r="D1090" s="807"/>
      <c r="E1090" s="11" t="s">
        <v>102</v>
      </c>
      <c r="F1090" s="12">
        <v>8</v>
      </c>
      <c r="G1090" s="12">
        <v>1.95</v>
      </c>
      <c r="H1090" s="12">
        <v>2.4900000000000002</v>
      </c>
      <c r="I1090" s="13">
        <f t="shared" si="92"/>
        <v>15.6</v>
      </c>
      <c r="J1090" s="13">
        <f t="shared" si="93"/>
        <v>19.920000000000002</v>
      </c>
    </row>
    <row r="1091" spans="1:10" s="1" customFormat="1" ht="25.5" customHeight="1" x14ac:dyDescent="0.2">
      <c r="A1091" s="10">
        <v>95547</v>
      </c>
      <c r="B1091" s="11" t="s">
        <v>603</v>
      </c>
      <c r="C1091" s="806" t="s">
        <v>604</v>
      </c>
      <c r="D1091" s="807"/>
      <c r="E1091" s="11" t="s">
        <v>102</v>
      </c>
      <c r="F1091" s="12">
        <v>32</v>
      </c>
      <c r="G1091" s="12">
        <v>48.53</v>
      </c>
      <c r="H1091" s="12">
        <v>61.92</v>
      </c>
      <c r="I1091" s="13">
        <f t="shared" si="92"/>
        <v>1552.96</v>
      </c>
      <c r="J1091" s="13">
        <f t="shared" si="93"/>
        <v>1981.44</v>
      </c>
    </row>
    <row r="1092" spans="1:10" s="1" customFormat="1" ht="25.5" customHeight="1" x14ac:dyDescent="0.2">
      <c r="A1092" s="10">
        <v>95542</v>
      </c>
      <c r="B1092" s="11" t="s">
        <v>605</v>
      </c>
      <c r="C1092" s="806" t="s">
        <v>606</v>
      </c>
      <c r="D1092" s="807"/>
      <c r="E1092" s="11" t="s">
        <v>102</v>
      </c>
      <c r="F1092" s="12">
        <v>30</v>
      </c>
      <c r="G1092" s="12">
        <v>16.57</v>
      </c>
      <c r="H1092" s="12">
        <v>21.14</v>
      </c>
      <c r="I1092" s="13">
        <f t="shared" si="92"/>
        <v>497.1</v>
      </c>
      <c r="J1092" s="13">
        <f t="shared" si="93"/>
        <v>634.20000000000005</v>
      </c>
    </row>
    <row r="1093" spans="1:10" s="1" customFormat="1" ht="25.5" customHeight="1" x14ac:dyDescent="0.2">
      <c r="A1093" s="11" t="s">
        <v>607</v>
      </c>
      <c r="B1093" s="11" t="s">
        <v>608</v>
      </c>
      <c r="C1093" s="806" t="s">
        <v>609</v>
      </c>
      <c r="D1093" s="807"/>
      <c r="E1093" s="11" t="s">
        <v>102</v>
      </c>
      <c r="F1093" s="12">
        <v>23</v>
      </c>
      <c r="G1093" s="12">
        <v>37.58</v>
      </c>
      <c r="H1093" s="12">
        <v>47.94</v>
      </c>
      <c r="I1093" s="13">
        <f t="shared" si="92"/>
        <v>864.33999999999992</v>
      </c>
      <c r="J1093" s="13">
        <f t="shared" si="93"/>
        <v>1102.6199999999999</v>
      </c>
    </row>
    <row r="1094" spans="1:10" s="1" customFormat="1" ht="25.5" customHeight="1" x14ac:dyDescent="0.2">
      <c r="A1094" s="11" t="s">
        <v>610</v>
      </c>
      <c r="B1094" s="11" t="s">
        <v>611</v>
      </c>
      <c r="C1094" s="806" t="s">
        <v>612</v>
      </c>
      <c r="D1094" s="807"/>
      <c r="E1094" s="11" t="s">
        <v>102</v>
      </c>
      <c r="F1094" s="12">
        <v>17</v>
      </c>
      <c r="G1094" s="12">
        <v>30.88</v>
      </c>
      <c r="H1094" s="12">
        <v>39.4</v>
      </c>
      <c r="I1094" s="13">
        <f t="shared" si="92"/>
        <v>524.96</v>
      </c>
      <c r="J1094" s="13">
        <f t="shared" si="93"/>
        <v>669.8</v>
      </c>
    </row>
    <row r="1095" spans="1:10" s="1" customFormat="1" ht="25.5" customHeight="1" x14ac:dyDescent="0.2">
      <c r="A1095" s="8"/>
      <c r="B1095" s="803" t="s">
        <v>613</v>
      </c>
      <c r="C1095" s="804"/>
      <c r="D1095" s="804"/>
      <c r="E1095" s="804"/>
      <c r="F1095" s="804"/>
      <c r="G1095" s="805"/>
      <c r="H1095" s="8"/>
      <c r="I1095" s="14">
        <f>SUM(I1041:I1094)-0.18</f>
        <v>42951.259999999995</v>
      </c>
      <c r="J1095" s="15">
        <f>SUM(J1041:J1094)-0.23</f>
        <v>54801.520000000004</v>
      </c>
    </row>
    <row r="1096" spans="1:10" s="1" customFormat="1" ht="25.5" customHeight="1" x14ac:dyDescent="0.2">
      <c r="A1096" s="8"/>
      <c r="B1096" s="9" t="s">
        <v>614</v>
      </c>
      <c r="C1096" s="808" t="s">
        <v>615</v>
      </c>
      <c r="D1096" s="809"/>
      <c r="E1096" s="8"/>
      <c r="F1096" s="8"/>
      <c r="G1096" s="8"/>
      <c r="H1096" s="8"/>
      <c r="I1096" s="8"/>
      <c r="J1096" s="8"/>
    </row>
    <row r="1097" spans="1:10" s="1" customFormat="1" ht="25.5" customHeight="1" x14ac:dyDescent="0.2">
      <c r="A1097" s="11" t="s">
        <v>78</v>
      </c>
      <c r="B1097" s="11" t="s">
        <v>616</v>
      </c>
      <c r="C1097" s="806" t="s">
        <v>617</v>
      </c>
      <c r="D1097" s="807"/>
      <c r="E1097" s="11" t="s">
        <v>102</v>
      </c>
      <c r="F1097" s="12">
        <v>2</v>
      </c>
      <c r="G1097" s="13">
        <v>1100.49</v>
      </c>
      <c r="H1097" s="13">
        <v>1404.12</v>
      </c>
      <c r="I1097" s="13">
        <f>F1097*G1097</f>
        <v>2200.98</v>
      </c>
      <c r="J1097" s="13">
        <f>F1097*H1097</f>
        <v>2808.24</v>
      </c>
    </row>
    <row r="1098" spans="1:10" s="1" customFormat="1" ht="25.5" customHeight="1" x14ac:dyDescent="0.2">
      <c r="A1098" s="11" t="s">
        <v>308</v>
      </c>
      <c r="B1098" s="11" t="s">
        <v>618</v>
      </c>
      <c r="C1098" s="806" t="s">
        <v>619</v>
      </c>
      <c r="D1098" s="807"/>
      <c r="E1098" s="11" t="s">
        <v>102</v>
      </c>
      <c r="F1098" s="12">
        <v>1</v>
      </c>
      <c r="G1098" s="12">
        <v>33</v>
      </c>
      <c r="H1098" s="12">
        <v>42.1</v>
      </c>
      <c r="I1098" s="13">
        <f>F1098*G1098</f>
        <v>33</v>
      </c>
      <c r="J1098" s="13">
        <f>F1098*H1098</f>
        <v>42.1</v>
      </c>
    </row>
    <row r="1099" spans="1:10" s="1" customFormat="1" ht="25.5" customHeight="1" x14ac:dyDescent="0.2">
      <c r="A1099" s="11" t="s">
        <v>308</v>
      </c>
      <c r="B1099" s="11" t="s">
        <v>620</v>
      </c>
      <c r="C1099" s="806" t="s">
        <v>621</v>
      </c>
      <c r="D1099" s="807"/>
      <c r="E1099" s="11" t="s">
        <v>102</v>
      </c>
      <c r="F1099" s="12">
        <v>2</v>
      </c>
      <c r="G1099" s="12">
        <v>36.5</v>
      </c>
      <c r="H1099" s="12">
        <v>46.57</v>
      </c>
      <c r="I1099" s="13">
        <f>F1099*G1099</f>
        <v>73</v>
      </c>
      <c r="J1099" s="13">
        <f>F1099*H1099</f>
        <v>93.14</v>
      </c>
    </row>
    <row r="1100" spans="1:10" s="1" customFormat="1" ht="25.5" customHeight="1" x14ac:dyDescent="0.2">
      <c r="A1100" s="8"/>
      <c r="B1100" s="803" t="s">
        <v>622</v>
      </c>
      <c r="C1100" s="804"/>
      <c r="D1100" s="804"/>
      <c r="E1100" s="804"/>
      <c r="F1100" s="804"/>
      <c r="G1100" s="805"/>
      <c r="H1100" s="8"/>
      <c r="I1100" s="14">
        <f>SUM(I1097:I1099)+0.01</f>
        <v>2306.9900000000002</v>
      </c>
      <c r="J1100" s="15">
        <f>SUM(J1097:J1099)</f>
        <v>2943.4799999999996</v>
      </c>
    </row>
    <row r="1101" spans="1:10" s="1" customFormat="1" ht="25.5" customHeight="1" x14ac:dyDescent="0.2">
      <c r="A1101" s="8"/>
      <c r="B1101" s="9" t="s">
        <v>623</v>
      </c>
      <c r="C1101" s="808" t="s">
        <v>624</v>
      </c>
      <c r="D1101" s="809"/>
      <c r="E1101" s="8"/>
      <c r="F1101" s="8"/>
      <c r="G1101" s="8"/>
      <c r="H1101" s="8"/>
      <c r="I1101" s="8"/>
      <c r="J1101" s="8"/>
    </row>
    <row r="1102" spans="1:10" s="1" customFormat="1" ht="25.5" customHeight="1" x14ac:dyDescent="0.2">
      <c r="A1102" s="8"/>
      <c r="B1102" s="9" t="s">
        <v>625</v>
      </c>
      <c r="C1102" s="808" t="s">
        <v>626</v>
      </c>
      <c r="D1102" s="809"/>
      <c r="E1102" s="8"/>
      <c r="F1102" s="8"/>
      <c r="G1102" s="8"/>
      <c r="H1102" s="8"/>
      <c r="I1102" s="8"/>
      <c r="J1102" s="8"/>
    </row>
    <row r="1103" spans="1:10" s="1" customFormat="1" ht="25.5" customHeight="1" x14ac:dyDescent="0.2">
      <c r="A1103" s="10">
        <v>92688</v>
      </c>
      <c r="B1103" s="21">
        <v>42736</v>
      </c>
      <c r="C1103" s="806" t="s">
        <v>627</v>
      </c>
      <c r="D1103" s="807"/>
      <c r="E1103" s="11" t="s">
        <v>81</v>
      </c>
      <c r="F1103" s="12">
        <v>18</v>
      </c>
      <c r="G1103" s="12">
        <v>25.9</v>
      </c>
      <c r="H1103" s="12">
        <v>33.049999999999997</v>
      </c>
      <c r="I1103" s="13">
        <f>F1103*G1103</f>
        <v>466.2</v>
      </c>
      <c r="J1103" s="13">
        <f>F1103*H1103</f>
        <v>594.9</v>
      </c>
    </row>
    <row r="1104" spans="1:10" s="1" customFormat="1" ht="25.5" customHeight="1" x14ac:dyDescent="0.2">
      <c r="A1104" s="10">
        <v>97535</v>
      </c>
      <c r="B1104" s="21">
        <v>42737</v>
      </c>
      <c r="C1104" s="806" t="s">
        <v>628</v>
      </c>
      <c r="D1104" s="807"/>
      <c r="E1104" s="11" t="s">
        <v>81</v>
      </c>
      <c r="F1104" s="12">
        <v>24</v>
      </c>
      <c r="G1104" s="12">
        <v>32.049999999999997</v>
      </c>
      <c r="H1104" s="12">
        <v>40.89</v>
      </c>
      <c r="I1104" s="13">
        <f>F1104*G1104</f>
        <v>769.19999999999993</v>
      </c>
      <c r="J1104" s="13">
        <f>F1104*H1104</f>
        <v>981.36</v>
      </c>
    </row>
    <row r="1105" spans="1:10" s="1" customFormat="1" ht="25.5" customHeight="1" x14ac:dyDescent="0.2">
      <c r="A1105" s="10">
        <v>92653</v>
      </c>
      <c r="B1105" s="21">
        <v>42738</v>
      </c>
      <c r="C1105" s="806" t="s">
        <v>629</v>
      </c>
      <c r="D1105" s="807"/>
      <c r="E1105" s="11" t="s">
        <v>81</v>
      </c>
      <c r="F1105" s="12">
        <v>36</v>
      </c>
      <c r="G1105" s="12">
        <v>43.81</v>
      </c>
      <c r="H1105" s="12">
        <v>55.9</v>
      </c>
      <c r="I1105" s="13">
        <f>F1105*G1105</f>
        <v>1577.16</v>
      </c>
      <c r="J1105" s="13">
        <f>F1105*H1105</f>
        <v>2012.3999999999999</v>
      </c>
    </row>
    <row r="1106" spans="1:10" s="1" customFormat="1" ht="25.5" customHeight="1" x14ac:dyDescent="0.2">
      <c r="A1106" s="10">
        <v>92656</v>
      </c>
      <c r="B1106" s="21">
        <v>42739</v>
      </c>
      <c r="C1106" s="806" t="s">
        <v>630</v>
      </c>
      <c r="D1106" s="807"/>
      <c r="E1106" s="11" t="s">
        <v>81</v>
      </c>
      <c r="F1106" s="12">
        <v>12</v>
      </c>
      <c r="G1106" s="12">
        <v>79.11</v>
      </c>
      <c r="H1106" s="12">
        <v>100.94</v>
      </c>
      <c r="I1106" s="13">
        <f>F1106*G1106</f>
        <v>949.31999999999994</v>
      </c>
      <c r="J1106" s="13">
        <f>F1106*H1106</f>
        <v>1211.28</v>
      </c>
    </row>
    <row r="1107" spans="1:10" s="1" customFormat="1" ht="25.5" customHeight="1" x14ac:dyDescent="0.2">
      <c r="A1107" s="8"/>
      <c r="B1107" s="9" t="s">
        <v>631</v>
      </c>
      <c r="C1107" s="808" t="s">
        <v>632</v>
      </c>
      <c r="D1107" s="809"/>
      <c r="E1107" s="8"/>
      <c r="F1107" s="8"/>
      <c r="G1107" s="8"/>
      <c r="H1107" s="8"/>
      <c r="I1107" s="8"/>
      <c r="J1107" s="8"/>
    </row>
    <row r="1108" spans="1:10" s="1" customFormat="1" ht="25.5" customHeight="1" x14ac:dyDescent="0.2">
      <c r="A1108" s="10">
        <v>92939</v>
      </c>
      <c r="B1108" s="21">
        <v>42767</v>
      </c>
      <c r="C1108" s="806" t="s">
        <v>633</v>
      </c>
      <c r="D1108" s="807"/>
      <c r="E1108" s="11" t="s">
        <v>102</v>
      </c>
      <c r="F1108" s="12">
        <v>2</v>
      </c>
      <c r="G1108" s="12">
        <v>17.52</v>
      </c>
      <c r="H1108" s="12">
        <v>22.35</v>
      </c>
      <c r="I1108" s="13">
        <f>F1108*G1108</f>
        <v>35.04</v>
      </c>
      <c r="J1108" s="13">
        <f>F1108*H1108</f>
        <v>44.7</v>
      </c>
    </row>
    <row r="1109" spans="1:10" s="1" customFormat="1" ht="25.5" customHeight="1" x14ac:dyDescent="0.2">
      <c r="A1109" s="8"/>
      <c r="B1109" s="9" t="s">
        <v>634</v>
      </c>
      <c r="C1109" s="808" t="s">
        <v>635</v>
      </c>
      <c r="D1109" s="809"/>
      <c r="E1109" s="8"/>
      <c r="F1109" s="8"/>
      <c r="G1109" s="8"/>
      <c r="H1109" s="8"/>
      <c r="I1109" s="8"/>
      <c r="J1109" s="8"/>
    </row>
    <row r="1110" spans="1:10" s="1" customFormat="1" ht="25.5" customHeight="1" x14ac:dyDescent="0.2">
      <c r="A1110" s="10">
        <v>92701</v>
      </c>
      <c r="B1110" s="21">
        <v>42795</v>
      </c>
      <c r="C1110" s="806" t="s">
        <v>636</v>
      </c>
      <c r="D1110" s="807"/>
      <c r="E1110" s="11" t="s">
        <v>102</v>
      </c>
      <c r="F1110" s="12">
        <v>4</v>
      </c>
      <c r="G1110" s="12">
        <v>21.04</v>
      </c>
      <c r="H1110" s="12">
        <v>26.84</v>
      </c>
      <c r="I1110" s="13">
        <f>F1110*G1110</f>
        <v>84.16</v>
      </c>
      <c r="J1110" s="13">
        <f>F1110*H1110</f>
        <v>107.36</v>
      </c>
    </row>
    <row r="1111" spans="1:10" s="1" customFormat="1" ht="25.5" customHeight="1" x14ac:dyDescent="0.2">
      <c r="A1111" s="10">
        <v>92674</v>
      </c>
      <c r="B1111" s="21">
        <v>42796</v>
      </c>
      <c r="C1111" s="806" t="s">
        <v>637</v>
      </c>
      <c r="D1111" s="807"/>
      <c r="E1111" s="11" t="s">
        <v>102</v>
      </c>
      <c r="F1111" s="12">
        <v>4</v>
      </c>
      <c r="G1111" s="12">
        <v>34.25</v>
      </c>
      <c r="H1111" s="12">
        <v>43.7</v>
      </c>
      <c r="I1111" s="13">
        <f>F1111*G1111</f>
        <v>137</v>
      </c>
      <c r="J1111" s="13">
        <f>F1111*H1111</f>
        <v>174.8</v>
      </c>
    </row>
    <row r="1112" spans="1:10" s="1" customFormat="1" ht="25.5" customHeight="1" x14ac:dyDescent="0.2">
      <c r="A1112" s="10">
        <v>92703</v>
      </c>
      <c r="B1112" s="21">
        <v>42797</v>
      </c>
      <c r="C1112" s="806" t="s">
        <v>638</v>
      </c>
      <c r="D1112" s="807"/>
      <c r="E1112" s="11" t="s">
        <v>102</v>
      </c>
      <c r="F1112" s="12">
        <v>15</v>
      </c>
      <c r="G1112" s="12">
        <v>33.51</v>
      </c>
      <c r="H1112" s="12">
        <v>42.76</v>
      </c>
      <c r="I1112" s="13">
        <f>F1112*G1112</f>
        <v>502.65</v>
      </c>
      <c r="J1112" s="13">
        <f>F1112*H1112</f>
        <v>641.4</v>
      </c>
    </row>
    <row r="1113" spans="1:10" s="1" customFormat="1" ht="25.5" customHeight="1" x14ac:dyDescent="0.2">
      <c r="A1113" s="10">
        <v>92680</v>
      </c>
      <c r="B1113" s="21">
        <v>42798</v>
      </c>
      <c r="C1113" s="806" t="s">
        <v>639</v>
      </c>
      <c r="D1113" s="807"/>
      <c r="E1113" s="11" t="s">
        <v>102</v>
      </c>
      <c r="F1113" s="12">
        <v>8</v>
      </c>
      <c r="G1113" s="12">
        <v>87.03</v>
      </c>
      <c r="H1113" s="12">
        <v>111.04</v>
      </c>
      <c r="I1113" s="13">
        <f>F1113*G1113</f>
        <v>696.24</v>
      </c>
      <c r="J1113" s="13">
        <f>F1113*H1113</f>
        <v>888.32</v>
      </c>
    </row>
    <row r="1114" spans="1:10" s="1" customFormat="1" ht="25.5" customHeight="1" x14ac:dyDescent="0.2">
      <c r="A1114" s="8"/>
      <c r="B1114" s="9" t="s">
        <v>640</v>
      </c>
      <c r="C1114" s="808" t="s">
        <v>641</v>
      </c>
      <c r="D1114" s="809"/>
      <c r="E1114" s="8"/>
      <c r="F1114" s="8"/>
      <c r="G1114" s="8"/>
      <c r="H1114" s="8"/>
      <c r="I1114" s="8"/>
      <c r="J1114" s="8"/>
    </row>
    <row r="1115" spans="1:10" s="1" customFormat="1" ht="25.5" customHeight="1" x14ac:dyDescent="0.2">
      <c r="A1115" s="10">
        <v>92658</v>
      </c>
      <c r="B1115" s="21">
        <v>42826</v>
      </c>
      <c r="C1115" s="806" t="s">
        <v>642</v>
      </c>
      <c r="D1115" s="807"/>
      <c r="E1115" s="11" t="s">
        <v>102</v>
      </c>
      <c r="F1115" s="12">
        <v>1</v>
      </c>
      <c r="G1115" s="12">
        <v>17.47</v>
      </c>
      <c r="H1115" s="12">
        <v>22.29</v>
      </c>
      <c r="I1115" s="13">
        <f>F1115*G1115</f>
        <v>17.47</v>
      </c>
      <c r="J1115" s="13">
        <f>F1115*H1115</f>
        <v>22.29</v>
      </c>
    </row>
    <row r="1116" spans="1:10" s="1" customFormat="1" ht="25.5" customHeight="1" x14ac:dyDescent="0.2">
      <c r="A1116" s="10">
        <v>92662</v>
      </c>
      <c r="B1116" s="21">
        <v>42827</v>
      </c>
      <c r="C1116" s="806" t="s">
        <v>643</v>
      </c>
      <c r="D1116" s="807"/>
      <c r="E1116" s="11" t="s">
        <v>102</v>
      </c>
      <c r="F1116" s="12">
        <v>1</v>
      </c>
      <c r="G1116" s="12">
        <v>23.58</v>
      </c>
      <c r="H1116" s="12">
        <v>30.09</v>
      </c>
      <c r="I1116" s="13">
        <f>F1116*G1116</f>
        <v>23.58</v>
      </c>
      <c r="J1116" s="13">
        <f>F1116*H1116</f>
        <v>30.09</v>
      </c>
    </row>
    <row r="1117" spans="1:10" s="1" customFormat="1" ht="25.5" customHeight="1" x14ac:dyDescent="0.2">
      <c r="A1117" s="8"/>
      <c r="B1117" s="9" t="s">
        <v>644</v>
      </c>
      <c r="C1117" s="808" t="s">
        <v>450</v>
      </c>
      <c r="D1117" s="809"/>
      <c r="E1117" s="8"/>
      <c r="F1117" s="8"/>
      <c r="G1117" s="8"/>
      <c r="H1117" s="8"/>
      <c r="I1117" s="8"/>
      <c r="J1117" s="8"/>
    </row>
    <row r="1118" spans="1:10" s="1" customFormat="1" ht="25.5" customHeight="1" x14ac:dyDescent="0.2">
      <c r="A1118" s="10">
        <v>92683</v>
      </c>
      <c r="B1118" s="21">
        <v>42856</v>
      </c>
      <c r="C1118" s="806" t="s">
        <v>645</v>
      </c>
      <c r="D1118" s="807"/>
      <c r="E1118" s="11" t="s">
        <v>102</v>
      </c>
      <c r="F1118" s="12">
        <v>1</v>
      </c>
      <c r="G1118" s="12">
        <v>45.08</v>
      </c>
      <c r="H1118" s="12">
        <v>57.52</v>
      </c>
      <c r="I1118" s="13">
        <f>F1118*G1118</f>
        <v>45.08</v>
      </c>
      <c r="J1118" s="13">
        <f>F1118*H1118</f>
        <v>57.52</v>
      </c>
    </row>
    <row r="1119" spans="1:10" s="1" customFormat="1" ht="25.5" customHeight="1" x14ac:dyDescent="0.2">
      <c r="A1119" s="10">
        <v>92681</v>
      </c>
      <c r="B1119" s="21">
        <v>42857</v>
      </c>
      <c r="C1119" s="806" t="s">
        <v>646</v>
      </c>
      <c r="D1119" s="807"/>
      <c r="E1119" s="11" t="s">
        <v>102</v>
      </c>
      <c r="F1119" s="12">
        <v>2</v>
      </c>
      <c r="G1119" s="12">
        <v>32.270000000000003</v>
      </c>
      <c r="H1119" s="12">
        <v>41.17</v>
      </c>
      <c r="I1119" s="13">
        <f>F1119*G1119</f>
        <v>64.540000000000006</v>
      </c>
      <c r="J1119" s="13">
        <f>F1119*H1119</f>
        <v>82.34</v>
      </c>
    </row>
    <row r="1120" spans="1:10" s="1" customFormat="1" ht="25.5" customHeight="1" x14ac:dyDescent="0.2">
      <c r="A1120" s="11" t="s">
        <v>78</v>
      </c>
      <c r="B1120" s="21">
        <v>42858</v>
      </c>
      <c r="C1120" s="806" t="s">
        <v>647</v>
      </c>
      <c r="D1120" s="807"/>
      <c r="E1120" s="11" t="s">
        <v>102</v>
      </c>
      <c r="F1120" s="12">
        <v>1</v>
      </c>
      <c r="G1120" s="12">
        <v>32.92</v>
      </c>
      <c r="H1120" s="12">
        <v>42.01</v>
      </c>
      <c r="I1120" s="13">
        <f>F1120*G1120</f>
        <v>32.92</v>
      </c>
      <c r="J1120" s="13">
        <f>F1120*H1120</f>
        <v>42.01</v>
      </c>
    </row>
    <row r="1121" spans="1:10" s="1" customFormat="1" ht="25.5" customHeight="1" x14ac:dyDescent="0.2">
      <c r="A1121" s="8"/>
      <c r="B1121" s="9" t="s">
        <v>648</v>
      </c>
      <c r="C1121" s="808" t="s">
        <v>473</v>
      </c>
      <c r="D1121" s="809"/>
      <c r="E1121" s="8"/>
      <c r="F1121" s="8"/>
      <c r="G1121" s="8"/>
      <c r="H1121" s="8"/>
      <c r="I1121" s="8"/>
      <c r="J1121" s="8"/>
    </row>
    <row r="1122" spans="1:10" s="1" customFormat="1" ht="25.5" customHeight="1" x14ac:dyDescent="0.2">
      <c r="A1122" s="10">
        <v>92898</v>
      </c>
      <c r="B1122" s="21">
        <v>42887</v>
      </c>
      <c r="C1122" s="806" t="s">
        <v>649</v>
      </c>
      <c r="D1122" s="807"/>
      <c r="E1122" s="11" t="s">
        <v>102</v>
      </c>
      <c r="F1122" s="12">
        <v>4</v>
      </c>
      <c r="G1122" s="12">
        <v>27.29</v>
      </c>
      <c r="H1122" s="12">
        <v>34.82</v>
      </c>
      <c r="I1122" s="13">
        <f>F1122*G1122</f>
        <v>109.16</v>
      </c>
      <c r="J1122" s="13">
        <f>F1122*H1122</f>
        <v>139.28</v>
      </c>
    </row>
    <row r="1123" spans="1:10" s="1" customFormat="1" ht="25.5" customHeight="1" x14ac:dyDescent="0.2">
      <c r="A1123" s="10">
        <v>92900</v>
      </c>
      <c r="B1123" s="21">
        <v>42888</v>
      </c>
      <c r="C1123" s="806" t="s">
        <v>650</v>
      </c>
      <c r="D1123" s="807"/>
      <c r="E1123" s="11" t="s">
        <v>102</v>
      </c>
      <c r="F1123" s="12">
        <v>2</v>
      </c>
      <c r="G1123" s="12">
        <v>46.5</v>
      </c>
      <c r="H1123" s="12">
        <v>59.33</v>
      </c>
      <c r="I1123" s="13">
        <f>F1123*G1123</f>
        <v>93</v>
      </c>
      <c r="J1123" s="13">
        <f>F1123*H1123</f>
        <v>118.66</v>
      </c>
    </row>
    <row r="1124" spans="1:10" s="1" customFormat="1" ht="25.5" customHeight="1" x14ac:dyDescent="0.2">
      <c r="A1124" s="8"/>
      <c r="B1124" s="9" t="s">
        <v>651</v>
      </c>
      <c r="C1124" s="808" t="s">
        <v>652</v>
      </c>
      <c r="D1124" s="809"/>
      <c r="E1124" s="8"/>
      <c r="F1124" s="8"/>
      <c r="G1124" s="8"/>
      <c r="H1124" s="8"/>
      <c r="I1124" s="8"/>
      <c r="J1124" s="8"/>
    </row>
    <row r="1125" spans="1:10" s="1" customFormat="1" ht="25.5" customHeight="1" x14ac:dyDescent="0.2">
      <c r="A1125" s="11" t="s">
        <v>78</v>
      </c>
      <c r="B1125" s="21">
        <v>42917</v>
      </c>
      <c r="C1125" s="806" t="s">
        <v>653</v>
      </c>
      <c r="D1125" s="807"/>
      <c r="E1125" s="11" t="s">
        <v>102</v>
      </c>
      <c r="F1125" s="12">
        <v>2</v>
      </c>
      <c r="G1125" s="12">
        <v>20.03</v>
      </c>
      <c r="H1125" s="12">
        <v>25.55</v>
      </c>
      <c r="I1125" s="13">
        <f>F1125*G1125</f>
        <v>40.06</v>
      </c>
      <c r="J1125" s="13">
        <f>F1125*H1125</f>
        <v>51.1</v>
      </c>
    </row>
    <row r="1126" spans="1:10" s="1" customFormat="1" ht="25.5" customHeight="1" x14ac:dyDescent="0.2">
      <c r="A1126" s="8"/>
      <c r="B1126" s="803" t="s">
        <v>654</v>
      </c>
      <c r="C1126" s="804"/>
      <c r="D1126" s="804"/>
      <c r="E1126" s="804"/>
      <c r="F1126" s="804"/>
      <c r="G1126" s="805"/>
      <c r="H1126" s="8"/>
      <c r="I1126" s="14">
        <f>SUM(I1103:I1125)-0.01</f>
        <v>5642.7699999999995</v>
      </c>
      <c r="J1126" s="15">
        <f>SUM(J1103:J1125)</f>
        <v>7199.8099999999995</v>
      </c>
    </row>
    <row r="1127" spans="1:10" s="1" customFormat="1" ht="25.5" customHeight="1" x14ac:dyDescent="0.2">
      <c r="A1127" s="8"/>
      <c r="B1127" s="46"/>
      <c r="C1127" s="821"/>
      <c r="D1127" s="822"/>
      <c r="E1127" s="8"/>
      <c r="F1127" s="8"/>
      <c r="G1127" s="8"/>
      <c r="H1127" s="8"/>
      <c r="I1127" s="8"/>
      <c r="J1127" s="8"/>
    </row>
    <row r="1128" spans="1:10" s="1" customFormat="1" ht="25.5" customHeight="1" x14ac:dyDescent="0.2">
      <c r="A1128" s="8"/>
      <c r="B1128" s="9" t="s">
        <v>655</v>
      </c>
      <c r="C1128" s="808" t="s">
        <v>656</v>
      </c>
      <c r="D1128" s="809"/>
      <c r="E1128" s="8"/>
      <c r="F1128" s="8"/>
      <c r="G1128" s="8"/>
      <c r="H1128" s="8"/>
      <c r="I1128" s="8"/>
      <c r="J1128" s="8"/>
    </row>
    <row r="1129" spans="1:10" s="1" customFormat="1" ht="25.5" customHeight="1" x14ac:dyDescent="0.2">
      <c r="A1129" s="8"/>
      <c r="B1129" s="9" t="s">
        <v>657</v>
      </c>
      <c r="C1129" s="808" t="s">
        <v>626</v>
      </c>
      <c r="D1129" s="809"/>
      <c r="E1129" s="8"/>
      <c r="F1129" s="8"/>
      <c r="G1129" s="8"/>
      <c r="H1129" s="8"/>
      <c r="I1129" s="8"/>
      <c r="J1129" s="8"/>
    </row>
    <row r="1130" spans="1:10" s="1" customFormat="1" ht="25.5" customHeight="1" x14ac:dyDescent="0.2">
      <c r="A1130" s="11" t="s">
        <v>78</v>
      </c>
      <c r="B1130" s="21">
        <v>43101</v>
      </c>
      <c r="C1130" s="806" t="s">
        <v>658</v>
      </c>
      <c r="D1130" s="807"/>
      <c r="E1130" s="11" t="s">
        <v>81</v>
      </c>
      <c r="F1130" s="12">
        <v>15.5</v>
      </c>
      <c r="G1130" s="12">
        <v>15.13</v>
      </c>
      <c r="H1130" s="12">
        <v>19.3</v>
      </c>
      <c r="I1130" s="13">
        <f t="shared" ref="I1130:I1135" si="94">F1130*G1130</f>
        <v>234.51500000000001</v>
      </c>
      <c r="J1130" s="13">
        <f t="shared" ref="J1130:J1135" si="95">F1130*H1130</f>
        <v>299.15000000000003</v>
      </c>
    </row>
    <row r="1131" spans="1:10" s="1" customFormat="1" ht="25.5" customHeight="1" x14ac:dyDescent="0.2">
      <c r="A1131" s="11" t="s">
        <v>78</v>
      </c>
      <c r="B1131" s="21">
        <v>43102</v>
      </c>
      <c r="C1131" s="806" t="s">
        <v>659</v>
      </c>
      <c r="D1131" s="807"/>
      <c r="E1131" s="11" t="s">
        <v>81</v>
      </c>
      <c r="F1131" s="12">
        <v>127.6</v>
      </c>
      <c r="G1131" s="12">
        <v>29.08</v>
      </c>
      <c r="H1131" s="12">
        <v>37.1</v>
      </c>
      <c r="I1131" s="13">
        <f t="shared" si="94"/>
        <v>3710.6079999999997</v>
      </c>
      <c r="J1131" s="13">
        <f t="shared" si="95"/>
        <v>4733.96</v>
      </c>
    </row>
    <row r="1132" spans="1:10" s="1" customFormat="1" ht="25.5" customHeight="1" x14ac:dyDescent="0.2">
      <c r="A1132" s="11" t="s">
        <v>78</v>
      </c>
      <c r="B1132" s="21">
        <v>43103</v>
      </c>
      <c r="C1132" s="806" t="s">
        <v>660</v>
      </c>
      <c r="D1132" s="807"/>
      <c r="E1132" s="11" t="s">
        <v>81</v>
      </c>
      <c r="F1132" s="12">
        <v>18</v>
      </c>
      <c r="G1132" s="12">
        <v>25.97</v>
      </c>
      <c r="H1132" s="12">
        <v>33.14</v>
      </c>
      <c r="I1132" s="13">
        <f t="shared" si="94"/>
        <v>467.46</v>
      </c>
      <c r="J1132" s="13">
        <f t="shared" si="95"/>
        <v>596.52</v>
      </c>
    </row>
    <row r="1133" spans="1:10" s="1" customFormat="1" ht="25.5" customHeight="1" x14ac:dyDescent="0.2">
      <c r="A1133" s="11" t="s">
        <v>78</v>
      </c>
      <c r="B1133" s="21">
        <v>43104</v>
      </c>
      <c r="C1133" s="806" t="s">
        <v>661</v>
      </c>
      <c r="D1133" s="807"/>
      <c r="E1133" s="11" t="s">
        <v>81</v>
      </c>
      <c r="F1133" s="12">
        <v>28.7</v>
      </c>
      <c r="G1133" s="12">
        <v>39.630000000000003</v>
      </c>
      <c r="H1133" s="12">
        <v>50.56</v>
      </c>
      <c r="I1133" s="13">
        <f t="shared" si="94"/>
        <v>1137.3810000000001</v>
      </c>
      <c r="J1133" s="13">
        <f t="shared" si="95"/>
        <v>1451.0720000000001</v>
      </c>
    </row>
    <row r="1134" spans="1:10" s="1" customFormat="1" ht="25.5" customHeight="1" x14ac:dyDescent="0.2">
      <c r="A1134" s="11" t="s">
        <v>78</v>
      </c>
      <c r="B1134" s="21">
        <v>43105</v>
      </c>
      <c r="C1134" s="806" t="s">
        <v>662</v>
      </c>
      <c r="D1134" s="807"/>
      <c r="E1134" s="11" t="s">
        <v>81</v>
      </c>
      <c r="F1134" s="12">
        <v>34.9</v>
      </c>
      <c r="G1134" s="12">
        <v>65.430000000000007</v>
      </c>
      <c r="H1134" s="12">
        <v>83.48</v>
      </c>
      <c r="I1134" s="13">
        <f t="shared" si="94"/>
        <v>2283.5070000000001</v>
      </c>
      <c r="J1134" s="13">
        <f t="shared" si="95"/>
        <v>2913.4520000000002</v>
      </c>
    </row>
    <row r="1135" spans="1:10" s="1" customFormat="1" ht="25.5" customHeight="1" x14ac:dyDescent="0.2">
      <c r="A1135" s="11" t="s">
        <v>78</v>
      </c>
      <c r="B1135" s="21">
        <v>43106</v>
      </c>
      <c r="C1135" s="806" t="s">
        <v>663</v>
      </c>
      <c r="D1135" s="807"/>
      <c r="E1135" s="11" t="s">
        <v>81</v>
      </c>
      <c r="F1135" s="12">
        <v>13</v>
      </c>
      <c r="G1135" s="12">
        <v>103.37</v>
      </c>
      <c r="H1135" s="12">
        <v>131.88999999999999</v>
      </c>
      <c r="I1135" s="13">
        <f t="shared" si="94"/>
        <v>1343.81</v>
      </c>
      <c r="J1135" s="13">
        <f t="shared" si="95"/>
        <v>1714.5699999999997</v>
      </c>
    </row>
    <row r="1136" spans="1:10" s="1" customFormat="1" ht="25.5" customHeight="1" x14ac:dyDescent="0.2">
      <c r="A1136" s="8"/>
      <c r="B1136" s="9" t="s">
        <v>664</v>
      </c>
      <c r="C1136" s="808" t="s">
        <v>665</v>
      </c>
      <c r="D1136" s="809"/>
      <c r="E1136" s="8"/>
      <c r="F1136" s="8"/>
      <c r="G1136" s="8"/>
      <c r="H1136" s="8"/>
      <c r="I1136" s="8"/>
      <c r="J1136" s="8"/>
    </row>
    <row r="1137" spans="1:10" s="1" customFormat="1" ht="25.5" customHeight="1" x14ac:dyDescent="0.2">
      <c r="A1137" s="10">
        <v>89592</v>
      </c>
      <c r="B1137" s="21">
        <v>43132</v>
      </c>
      <c r="C1137" s="806" t="s">
        <v>666</v>
      </c>
      <c r="D1137" s="807"/>
      <c r="E1137" s="11" t="s">
        <v>102</v>
      </c>
      <c r="F1137" s="12">
        <v>11</v>
      </c>
      <c r="G1137" s="12">
        <v>231.71</v>
      </c>
      <c r="H1137" s="12">
        <v>295.63</v>
      </c>
      <c r="I1137" s="13">
        <f>F1137*G1137</f>
        <v>2548.81</v>
      </c>
      <c r="J1137" s="13">
        <f>F1137*H1137</f>
        <v>3251.93</v>
      </c>
    </row>
    <row r="1138" spans="1:10" s="1" customFormat="1" ht="25.5" customHeight="1" x14ac:dyDescent="0.2">
      <c r="A1138" s="10">
        <v>89587</v>
      </c>
      <c r="B1138" s="21">
        <v>43133</v>
      </c>
      <c r="C1138" s="806" t="s">
        <v>667</v>
      </c>
      <c r="D1138" s="807"/>
      <c r="E1138" s="11" t="s">
        <v>102</v>
      </c>
      <c r="F1138" s="12">
        <v>1</v>
      </c>
      <c r="G1138" s="12">
        <v>35.79</v>
      </c>
      <c r="H1138" s="12">
        <v>45.67</v>
      </c>
      <c r="I1138" s="13">
        <f>F1138*G1138</f>
        <v>35.79</v>
      </c>
      <c r="J1138" s="13">
        <f>F1138*H1138</f>
        <v>45.67</v>
      </c>
    </row>
    <row r="1139" spans="1:10" s="1" customFormat="1" ht="25.5" customHeight="1" x14ac:dyDescent="0.2">
      <c r="A1139" s="8"/>
      <c r="B1139" s="9" t="s">
        <v>668</v>
      </c>
      <c r="C1139" s="808" t="s">
        <v>635</v>
      </c>
      <c r="D1139" s="809"/>
      <c r="E1139" s="8"/>
      <c r="F1139" s="8"/>
      <c r="G1139" s="8"/>
      <c r="H1139" s="8"/>
      <c r="I1139" s="8"/>
      <c r="J1139" s="8"/>
    </row>
    <row r="1140" spans="1:10" s="1" customFormat="1" ht="25.5" customHeight="1" x14ac:dyDescent="0.2">
      <c r="A1140" s="10">
        <v>89591</v>
      </c>
      <c r="B1140" s="21">
        <v>43160</v>
      </c>
      <c r="C1140" s="806" t="s">
        <v>669</v>
      </c>
      <c r="D1140" s="807"/>
      <c r="E1140" s="11" t="s">
        <v>102</v>
      </c>
      <c r="F1140" s="12">
        <v>2</v>
      </c>
      <c r="G1140" s="12">
        <v>56.03</v>
      </c>
      <c r="H1140" s="12">
        <v>71.489999999999995</v>
      </c>
      <c r="I1140" s="13">
        <f>F1140*G1140</f>
        <v>112.06</v>
      </c>
      <c r="J1140" s="13">
        <f>F1140*H1140</f>
        <v>142.97999999999999</v>
      </c>
    </row>
    <row r="1141" spans="1:10" s="1" customFormat="1" ht="25.5" customHeight="1" x14ac:dyDescent="0.2">
      <c r="A1141" s="10">
        <v>89590</v>
      </c>
      <c r="B1141" s="21">
        <v>43161</v>
      </c>
      <c r="C1141" s="806" t="s">
        <v>670</v>
      </c>
      <c r="D1141" s="807"/>
      <c r="E1141" s="11" t="s">
        <v>102</v>
      </c>
      <c r="F1141" s="12">
        <v>2</v>
      </c>
      <c r="G1141" s="12">
        <v>68.44</v>
      </c>
      <c r="H1141" s="12">
        <v>87.32</v>
      </c>
      <c r="I1141" s="13">
        <f>F1141*G1141</f>
        <v>136.88</v>
      </c>
      <c r="J1141" s="13">
        <f>F1141*H1141</f>
        <v>174.64</v>
      </c>
    </row>
    <row r="1142" spans="1:10" s="1" customFormat="1" ht="25.5" customHeight="1" x14ac:dyDescent="0.2">
      <c r="A1142" s="8"/>
      <c r="B1142" s="9" t="s">
        <v>671</v>
      </c>
      <c r="C1142" s="808" t="s">
        <v>641</v>
      </c>
      <c r="D1142" s="809"/>
      <c r="E1142" s="8"/>
      <c r="F1142" s="8"/>
      <c r="G1142" s="8"/>
      <c r="H1142" s="8"/>
      <c r="I1142" s="8"/>
      <c r="J1142" s="8"/>
    </row>
    <row r="1143" spans="1:10" s="1" customFormat="1" ht="25.5" customHeight="1" x14ac:dyDescent="0.2">
      <c r="A1143" s="10">
        <v>89554</v>
      </c>
      <c r="B1143" s="21">
        <v>43191</v>
      </c>
      <c r="C1143" s="806" t="s">
        <v>672</v>
      </c>
      <c r="D1143" s="807"/>
      <c r="E1143" s="11" t="s">
        <v>102</v>
      </c>
      <c r="F1143" s="12">
        <v>2</v>
      </c>
      <c r="G1143" s="12">
        <v>12.67</v>
      </c>
      <c r="H1143" s="12">
        <v>16.170000000000002</v>
      </c>
      <c r="I1143" s="13">
        <f t="shared" ref="I1143:I1149" si="96">F1143*G1143</f>
        <v>25.34</v>
      </c>
      <c r="J1143" s="13">
        <f t="shared" ref="J1143:J1149" si="97">F1143*H1143</f>
        <v>32.340000000000003</v>
      </c>
    </row>
    <row r="1144" spans="1:10" s="1" customFormat="1" ht="25.5" customHeight="1" x14ac:dyDescent="0.2">
      <c r="A1144" s="10">
        <v>89677</v>
      </c>
      <c r="B1144" s="21">
        <v>43192</v>
      </c>
      <c r="C1144" s="806" t="s">
        <v>673</v>
      </c>
      <c r="D1144" s="807"/>
      <c r="E1144" s="11" t="s">
        <v>102</v>
      </c>
      <c r="F1144" s="12">
        <v>5</v>
      </c>
      <c r="G1144" s="12">
        <v>34.049999999999997</v>
      </c>
      <c r="H1144" s="12">
        <v>43.44</v>
      </c>
      <c r="I1144" s="13">
        <f t="shared" si="96"/>
        <v>170.25</v>
      </c>
      <c r="J1144" s="13">
        <f t="shared" si="97"/>
        <v>217.2</v>
      </c>
    </row>
    <row r="1145" spans="1:10" s="1" customFormat="1" ht="25.5" customHeight="1" x14ac:dyDescent="0.2">
      <c r="A1145" s="10">
        <v>3833</v>
      </c>
      <c r="B1145" s="21">
        <v>43193</v>
      </c>
      <c r="C1145" s="806" t="s">
        <v>674</v>
      </c>
      <c r="D1145" s="807"/>
      <c r="E1145" s="11" t="s">
        <v>102</v>
      </c>
      <c r="F1145" s="12">
        <v>1</v>
      </c>
      <c r="G1145" s="12">
        <v>8.4600000000000009</v>
      </c>
      <c r="H1145" s="12">
        <v>10.79</v>
      </c>
      <c r="I1145" s="13">
        <f t="shared" si="96"/>
        <v>8.4600000000000009</v>
      </c>
      <c r="J1145" s="13">
        <f t="shared" si="97"/>
        <v>10.79</v>
      </c>
    </row>
    <row r="1146" spans="1:10" s="1" customFormat="1" ht="25.5" customHeight="1" x14ac:dyDescent="0.2">
      <c r="A1146" s="10">
        <v>3835</v>
      </c>
      <c r="B1146" s="21">
        <v>43194</v>
      </c>
      <c r="C1146" s="806" t="s">
        <v>675</v>
      </c>
      <c r="D1146" s="807"/>
      <c r="E1146" s="11" t="s">
        <v>102</v>
      </c>
      <c r="F1146" s="12">
        <v>1</v>
      </c>
      <c r="G1146" s="12">
        <v>18.989999999999998</v>
      </c>
      <c r="H1146" s="12">
        <v>24.23</v>
      </c>
      <c r="I1146" s="13">
        <f t="shared" si="96"/>
        <v>18.989999999999998</v>
      </c>
      <c r="J1146" s="13">
        <f t="shared" si="97"/>
        <v>24.23</v>
      </c>
    </row>
    <row r="1147" spans="1:10" s="1" customFormat="1" ht="25.5" customHeight="1" x14ac:dyDescent="0.2">
      <c r="A1147" s="10">
        <v>3836</v>
      </c>
      <c r="B1147" s="21">
        <v>43195</v>
      </c>
      <c r="C1147" s="806" t="s">
        <v>676</v>
      </c>
      <c r="D1147" s="807"/>
      <c r="E1147" s="11" t="s">
        <v>102</v>
      </c>
      <c r="F1147" s="12">
        <v>3</v>
      </c>
      <c r="G1147" s="12">
        <v>49.1</v>
      </c>
      <c r="H1147" s="12">
        <v>62.65</v>
      </c>
      <c r="I1147" s="13">
        <f t="shared" si="96"/>
        <v>147.30000000000001</v>
      </c>
      <c r="J1147" s="13">
        <f t="shared" si="97"/>
        <v>187.95</v>
      </c>
    </row>
    <row r="1148" spans="1:10" s="1" customFormat="1" ht="25.5" customHeight="1" x14ac:dyDescent="0.2">
      <c r="A1148" s="10">
        <v>3830</v>
      </c>
      <c r="B1148" s="21">
        <v>43196</v>
      </c>
      <c r="C1148" s="806" t="s">
        <v>677</v>
      </c>
      <c r="D1148" s="807"/>
      <c r="E1148" s="11" t="s">
        <v>102</v>
      </c>
      <c r="F1148" s="12">
        <v>2</v>
      </c>
      <c r="G1148" s="12">
        <v>80.83</v>
      </c>
      <c r="H1148" s="12">
        <v>103.13</v>
      </c>
      <c r="I1148" s="13">
        <f t="shared" si="96"/>
        <v>161.66</v>
      </c>
      <c r="J1148" s="13">
        <f t="shared" si="97"/>
        <v>206.26</v>
      </c>
    </row>
    <row r="1149" spans="1:10" s="1" customFormat="1" ht="25.5" customHeight="1" x14ac:dyDescent="0.2">
      <c r="A1149" s="10">
        <v>3831</v>
      </c>
      <c r="B1149" s="21">
        <v>43197</v>
      </c>
      <c r="C1149" s="806" t="s">
        <v>678</v>
      </c>
      <c r="D1149" s="807"/>
      <c r="E1149" s="11" t="s">
        <v>102</v>
      </c>
      <c r="F1149" s="12">
        <v>1</v>
      </c>
      <c r="G1149" s="12">
        <v>125.22</v>
      </c>
      <c r="H1149" s="12">
        <v>159.77000000000001</v>
      </c>
      <c r="I1149" s="13">
        <f t="shared" si="96"/>
        <v>125.22</v>
      </c>
      <c r="J1149" s="13">
        <f t="shared" si="97"/>
        <v>159.77000000000001</v>
      </c>
    </row>
    <row r="1150" spans="1:10" s="1" customFormat="1" ht="25.5" customHeight="1" x14ac:dyDescent="0.2">
      <c r="A1150" s="8"/>
      <c r="B1150" s="9" t="s">
        <v>679</v>
      </c>
      <c r="C1150" s="808" t="s">
        <v>680</v>
      </c>
      <c r="D1150" s="809"/>
      <c r="E1150" s="8"/>
      <c r="F1150" s="8"/>
      <c r="G1150" s="8"/>
      <c r="H1150" s="8"/>
      <c r="I1150" s="8"/>
      <c r="J1150" s="8"/>
    </row>
    <row r="1151" spans="1:10" s="1" customFormat="1" ht="25.5" customHeight="1" x14ac:dyDescent="0.2">
      <c r="A1151" s="10">
        <v>38448</v>
      </c>
      <c r="B1151" s="21">
        <v>43221</v>
      </c>
      <c r="C1151" s="806" t="s">
        <v>681</v>
      </c>
      <c r="D1151" s="807"/>
      <c r="E1151" s="11" t="s">
        <v>102</v>
      </c>
      <c r="F1151" s="12">
        <v>11</v>
      </c>
      <c r="G1151" s="12">
        <v>149.65</v>
      </c>
      <c r="H1151" s="12">
        <v>190.94</v>
      </c>
      <c r="I1151" s="13">
        <f>F1151*G1151</f>
        <v>1646.15</v>
      </c>
      <c r="J1151" s="13">
        <f>F1151*H1151</f>
        <v>2100.34</v>
      </c>
    </row>
    <row r="1152" spans="1:10" s="1" customFormat="1" ht="25.5" customHeight="1" x14ac:dyDescent="0.2">
      <c r="A1152" s="10">
        <v>20183</v>
      </c>
      <c r="B1152" s="21">
        <v>43222</v>
      </c>
      <c r="C1152" s="806" t="s">
        <v>682</v>
      </c>
      <c r="D1152" s="807"/>
      <c r="E1152" s="11" t="s">
        <v>102</v>
      </c>
      <c r="F1152" s="12">
        <v>1</v>
      </c>
      <c r="G1152" s="12">
        <v>28.2</v>
      </c>
      <c r="H1152" s="12">
        <v>35.979999999999997</v>
      </c>
      <c r="I1152" s="13">
        <f>F1152*G1152</f>
        <v>28.2</v>
      </c>
      <c r="J1152" s="13">
        <f>F1152*H1152</f>
        <v>35.979999999999997</v>
      </c>
    </row>
    <row r="1153" spans="1:10" s="1" customFormat="1" ht="25.5" customHeight="1" x14ac:dyDescent="0.2">
      <c r="A1153" s="8"/>
      <c r="B1153" s="826" t="s">
        <v>683</v>
      </c>
      <c r="C1153" s="827"/>
      <c r="D1153" s="827"/>
      <c r="E1153" s="827"/>
      <c r="F1153" s="827"/>
      <c r="G1153" s="827"/>
      <c r="H1153" s="828"/>
      <c r="I1153" s="14">
        <f>SUM(I1130:I1152)-0.17</f>
        <v>14342.220999999996</v>
      </c>
      <c r="J1153" s="15">
        <f>SUM(J1130:J1152)+0.44</f>
        <v>18299.243999999999</v>
      </c>
    </row>
    <row r="1154" spans="1:10" s="1" customFormat="1" ht="25.5" customHeight="1" x14ac:dyDescent="0.2">
      <c r="A1154" s="8"/>
      <c r="B1154" s="43">
        <v>19</v>
      </c>
      <c r="C1154" s="808" t="s">
        <v>684</v>
      </c>
      <c r="D1154" s="809"/>
      <c r="E1154" s="8"/>
      <c r="F1154" s="8"/>
      <c r="G1154" s="8"/>
      <c r="H1154" s="8"/>
      <c r="I1154" s="8"/>
      <c r="J1154" s="8"/>
    </row>
    <row r="1155" spans="1:10" s="1" customFormat="1" ht="25.5" customHeight="1" x14ac:dyDescent="0.2">
      <c r="A1155" s="8"/>
      <c r="B1155" s="9" t="s">
        <v>685</v>
      </c>
      <c r="C1155" s="808" t="s">
        <v>686</v>
      </c>
      <c r="D1155" s="809"/>
      <c r="E1155" s="8"/>
      <c r="F1155" s="8"/>
      <c r="G1155" s="8"/>
      <c r="H1155" s="8"/>
      <c r="I1155" s="8"/>
      <c r="J1155" s="8"/>
    </row>
    <row r="1156" spans="1:10" s="1" customFormat="1" ht="25.5" customHeight="1" x14ac:dyDescent="0.2">
      <c r="A1156" s="11" t="s">
        <v>687</v>
      </c>
      <c r="B1156" s="21">
        <v>43466</v>
      </c>
      <c r="C1156" s="806" t="s">
        <v>688</v>
      </c>
      <c r="D1156" s="807"/>
      <c r="E1156" s="11" t="s">
        <v>102</v>
      </c>
      <c r="F1156" s="12">
        <v>11</v>
      </c>
      <c r="G1156" s="12">
        <v>45.06</v>
      </c>
      <c r="H1156" s="12">
        <v>57.5</v>
      </c>
      <c r="I1156" s="13">
        <f>F1156*G1156</f>
        <v>495.66</v>
      </c>
      <c r="J1156" s="13">
        <f>F1156*H1156</f>
        <v>632.5</v>
      </c>
    </row>
    <row r="1157" spans="1:10" s="1" customFormat="1" ht="25.5" customHeight="1" x14ac:dyDescent="0.2">
      <c r="A1157" s="11" t="s">
        <v>689</v>
      </c>
      <c r="B1157" s="21">
        <v>43467</v>
      </c>
      <c r="C1157" s="806" t="s">
        <v>690</v>
      </c>
      <c r="D1157" s="807"/>
      <c r="E1157" s="11" t="s">
        <v>102</v>
      </c>
      <c r="F1157" s="12">
        <v>1</v>
      </c>
      <c r="G1157" s="12">
        <v>26.35</v>
      </c>
      <c r="H1157" s="12">
        <v>33.619999999999997</v>
      </c>
      <c r="I1157" s="13">
        <f>F1157*G1157</f>
        <v>26.35</v>
      </c>
      <c r="J1157" s="13">
        <f>F1157*H1157</f>
        <v>33.619999999999997</v>
      </c>
    </row>
    <row r="1158" spans="1:10" s="1" customFormat="1" ht="25.5" customHeight="1" x14ac:dyDescent="0.2">
      <c r="A1158" s="8"/>
      <c r="B1158" s="9" t="s">
        <v>691</v>
      </c>
      <c r="C1158" s="808" t="s">
        <v>692</v>
      </c>
      <c r="D1158" s="809"/>
      <c r="E1158" s="8"/>
      <c r="F1158" s="8"/>
      <c r="G1158" s="8"/>
      <c r="H1158" s="8"/>
      <c r="I1158" s="8"/>
      <c r="J1158" s="8"/>
    </row>
    <row r="1159" spans="1:10" s="1" customFormat="1" ht="25.5" customHeight="1" x14ac:dyDescent="0.2">
      <c r="A1159" s="11" t="s">
        <v>693</v>
      </c>
      <c r="B1159" s="21">
        <v>43497</v>
      </c>
      <c r="C1159" s="806" t="s">
        <v>694</v>
      </c>
      <c r="D1159" s="807"/>
      <c r="E1159" s="11" t="s">
        <v>102</v>
      </c>
      <c r="F1159" s="12">
        <v>9</v>
      </c>
      <c r="G1159" s="12">
        <v>226.16</v>
      </c>
      <c r="H1159" s="12">
        <v>288.56</v>
      </c>
      <c r="I1159" s="13">
        <f>F1159*G1159</f>
        <v>2035.44</v>
      </c>
      <c r="J1159" s="13">
        <f>F1159*H1159</f>
        <v>2597.04</v>
      </c>
    </row>
    <row r="1160" spans="1:10" s="1" customFormat="1" ht="25.5" customHeight="1" x14ac:dyDescent="0.2">
      <c r="A1160" s="10">
        <v>6171</v>
      </c>
      <c r="B1160" s="21">
        <v>43498</v>
      </c>
      <c r="C1160" s="806" t="s">
        <v>695</v>
      </c>
      <c r="D1160" s="807"/>
      <c r="E1160" s="11" t="s">
        <v>102</v>
      </c>
      <c r="F1160" s="12">
        <v>9</v>
      </c>
      <c r="G1160" s="12">
        <v>21.74</v>
      </c>
      <c r="H1160" s="12">
        <v>27.74</v>
      </c>
      <c r="I1160" s="13">
        <f>F1160*G1160</f>
        <v>195.66</v>
      </c>
      <c r="J1160" s="13">
        <f>F1160*H1160</f>
        <v>249.66</v>
      </c>
    </row>
    <row r="1161" spans="1:10" s="1" customFormat="1" ht="25.5" customHeight="1" x14ac:dyDescent="0.2">
      <c r="A1161" s="11" t="s">
        <v>696</v>
      </c>
      <c r="B1161" s="21">
        <v>43499</v>
      </c>
      <c r="C1161" s="806" t="s">
        <v>697</v>
      </c>
      <c r="D1161" s="807"/>
      <c r="E1161" s="11" t="s">
        <v>102</v>
      </c>
      <c r="F1161" s="12">
        <v>5</v>
      </c>
      <c r="G1161" s="12">
        <v>165.35</v>
      </c>
      <c r="H1161" s="12">
        <v>210.97</v>
      </c>
      <c r="I1161" s="13">
        <f>F1161*G1161</f>
        <v>826.75</v>
      </c>
      <c r="J1161" s="13">
        <f>F1161*H1161</f>
        <v>1054.8499999999999</v>
      </c>
    </row>
    <row r="1162" spans="1:10" s="1" customFormat="1" ht="25.5" customHeight="1" x14ac:dyDescent="0.2">
      <c r="A1162" s="11" t="s">
        <v>698</v>
      </c>
      <c r="B1162" s="21">
        <v>43500</v>
      </c>
      <c r="C1162" s="806" t="s">
        <v>699</v>
      </c>
      <c r="D1162" s="807"/>
      <c r="E1162" s="11" t="s">
        <v>102</v>
      </c>
      <c r="F1162" s="12">
        <v>5</v>
      </c>
      <c r="G1162" s="12">
        <v>112.26</v>
      </c>
      <c r="H1162" s="12">
        <v>143.22999999999999</v>
      </c>
      <c r="I1162" s="13">
        <f>F1162*G1162</f>
        <v>561.30000000000007</v>
      </c>
      <c r="J1162" s="13">
        <f>F1162*H1162</f>
        <v>716.15</v>
      </c>
    </row>
    <row r="1163" spans="1:10" s="1" customFormat="1" ht="25.5" customHeight="1" x14ac:dyDescent="0.2">
      <c r="A1163" s="11" t="s">
        <v>700</v>
      </c>
      <c r="B1163" s="21">
        <v>43501</v>
      </c>
      <c r="C1163" s="806" t="s">
        <v>701</v>
      </c>
      <c r="D1163" s="807"/>
      <c r="E1163" s="11" t="s">
        <v>102</v>
      </c>
      <c r="F1163" s="12">
        <v>2</v>
      </c>
      <c r="G1163" s="12">
        <v>171</v>
      </c>
      <c r="H1163" s="12">
        <v>218.18</v>
      </c>
      <c r="I1163" s="13">
        <f>F1163*G1163</f>
        <v>342</v>
      </c>
      <c r="J1163" s="13">
        <f>F1163*H1163</f>
        <v>436.36</v>
      </c>
    </row>
    <row r="1164" spans="1:10" s="1" customFormat="1" ht="25.5" customHeight="1" x14ac:dyDescent="0.2">
      <c r="A1164" s="8"/>
      <c r="B1164" s="9" t="s">
        <v>702</v>
      </c>
      <c r="C1164" s="808" t="s">
        <v>703</v>
      </c>
      <c r="D1164" s="809"/>
      <c r="E1164" s="8"/>
      <c r="F1164" s="8"/>
      <c r="G1164" s="8"/>
      <c r="H1164" s="8"/>
      <c r="I1164" s="8"/>
      <c r="J1164" s="8"/>
    </row>
    <row r="1165" spans="1:10" s="1" customFormat="1" ht="25.5" customHeight="1" x14ac:dyDescent="0.2">
      <c r="A1165" s="11" t="s">
        <v>704</v>
      </c>
      <c r="B1165" s="21">
        <v>43525</v>
      </c>
      <c r="C1165" s="806" t="s">
        <v>705</v>
      </c>
      <c r="D1165" s="807"/>
      <c r="E1165" s="11" t="s">
        <v>102</v>
      </c>
      <c r="F1165" s="12">
        <v>1</v>
      </c>
      <c r="G1165" s="13">
        <v>1880.53</v>
      </c>
      <c r="H1165" s="13">
        <v>2399.37</v>
      </c>
      <c r="I1165" s="13">
        <f>F1165*G1165</f>
        <v>1880.53</v>
      </c>
      <c r="J1165" s="13">
        <f>F1165*H1165</f>
        <v>2399.37</v>
      </c>
    </row>
    <row r="1166" spans="1:10" s="1" customFormat="1" ht="25.5" customHeight="1" x14ac:dyDescent="0.2">
      <c r="A1166" s="10">
        <v>6171</v>
      </c>
      <c r="B1166" s="21">
        <v>43526</v>
      </c>
      <c r="C1166" s="806" t="s">
        <v>706</v>
      </c>
      <c r="D1166" s="807"/>
      <c r="E1166" s="11" t="s">
        <v>102</v>
      </c>
      <c r="F1166" s="12">
        <v>1</v>
      </c>
      <c r="G1166" s="12">
        <v>21.74</v>
      </c>
      <c r="H1166" s="12">
        <v>27.74</v>
      </c>
      <c r="I1166" s="13">
        <f>F1166*G1166</f>
        <v>21.74</v>
      </c>
      <c r="J1166" s="13">
        <f>F1166*H1166</f>
        <v>27.74</v>
      </c>
    </row>
    <row r="1167" spans="1:10" s="1" customFormat="1" ht="25.5" customHeight="1" x14ac:dyDescent="0.2">
      <c r="A1167" s="8"/>
      <c r="B1167" s="9" t="s">
        <v>707</v>
      </c>
      <c r="C1167" s="808" t="s">
        <v>708</v>
      </c>
      <c r="D1167" s="809"/>
      <c r="E1167" s="8"/>
      <c r="F1167" s="8"/>
      <c r="G1167" s="8"/>
      <c r="H1167" s="8"/>
      <c r="I1167" s="8"/>
      <c r="J1167" s="8"/>
    </row>
    <row r="1168" spans="1:10" s="1" customFormat="1" ht="25.5" customHeight="1" x14ac:dyDescent="0.2">
      <c r="A1168" s="10">
        <v>1332</v>
      </c>
      <c r="B1168" s="21">
        <v>43556</v>
      </c>
      <c r="C1168" s="806" t="s">
        <v>709</v>
      </c>
      <c r="D1168" s="807"/>
      <c r="E1168" s="11" t="s">
        <v>102</v>
      </c>
      <c r="F1168" s="12">
        <v>5</v>
      </c>
      <c r="G1168" s="12">
        <v>7.59</v>
      </c>
      <c r="H1168" s="12">
        <v>9.68</v>
      </c>
      <c r="I1168" s="13">
        <f>F1168*G1168</f>
        <v>37.950000000000003</v>
      </c>
      <c r="J1168" s="13">
        <f>F1168*H1168</f>
        <v>48.4</v>
      </c>
    </row>
    <row r="1169" spans="1:10" s="1" customFormat="1" ht="25.5" customHeight="1" x14ac:dyDescent="0.2">
      <c r="A1169" s="8"/>
      <c r="B1169" s="9" t="s">
        <v>710</v>
      </c>
      <c r="C1169" s="808" t="s">
        <v>711</v>
      </c>
      <c r="D1169" s="809"/>
      <c r="E1169" s="8"/>
      <c r="F1169" s="8"/>
      <c r="G1169" s="8"/>
      <c r="H1169" s="8"/>
      <c r="I1169" s="8"/>
      <c r="J1169" s="8"/>
    </row>
    <row r="1170" spans="1:10" s="1" customFormat="1" ht="25.5" customHeight="1" x14ac:dyDescent="0.2">
      <c r="A1170" s="11" t="s">
        <v>712</v>
      </c>
      <c r="B1170" s="21">
        <v>43586</v>
      </c>
      <c r="C1170" s="806" t="s">
        <v>713</v>
      </c>
      <c r="D1170" s="807"/>
      <c r="E1170" s="11" t="s">
        <v>81</v>
      </c>
      <c r="F1170" s="12">
        <v>8</v>
      </c>
      <c r="G1170" s="12">
        <v>267.89</v>
      </c>
      <c r="H1170" s="12">
        <v>341.81</v>
      </c>
      <c r="I1170" s="13">
        <f>F1170*G1170</f>
        <v>2143.12</v>
      </c>
      <c r="J1170" s="13">
        <f>F1170*H1170</f>
        <v>2734.48</v>
      </c>
    </row>
    <row r="1171" spans="1:10" s="1" customFormat="1" ht="25.5" customHeight="1" x14ac:dyDescent="0.2">
      <c r="A1171" s="11" t="s">
        <v>714</v>
      </c>
      <c r="B1171" s="21">
        <v>43587</v>
      </c>
      <c r="C1171" s="806" t="s">
        <v>715</v>
      </c>
      <c r="D1171" s="807"/>
      <c r="E1171" s="11" t="s">
        <v>81</v>
      </c>
      <c r="F1171" s="12">
        <v>2</v>
      </c>
      <c r="G1171" s="12">
        <v>57.59</v>
      </c>
      <c r="H1171" s="12">
        <v>73.48</v>
      </c>
      <c r="I1171" s="13">
        <f>F1171*G1171</f>
        <v>115.18</v>
      </c>
      <c r="J1171" s="13">
        <f>F1171*H1171</f>
        <v>146.96</v>
      </c>
    </row>
    <row r="1172" spans="1:10" s="1" customFormat="1" ht="25.5" customHeight="1" x14ac:dyDescent="0.2">
      <c r="A1172" s="8"/>
      <c r="B1172" s="803" t="s">
        <v>716</v>
      </c>
      <c r="C1172" s="804"/>
      <c r="D1172" s="804"/>
      <c r="E1172" s="804"/>
      <c r="F1172" s="804"/>
      <c r="G1172" s="805"/>
      <c r="H1172" s="8"/>
      <c r="I1172" s="14">
        <f>SUM(I1156:I1171)+0.08</f>
        <v>8681.76</v>
      </c>
      <c r="J1172" s="15">
        <f>SUM(J1156:J1171)-0.07</f>
        <v>11077.059999999998</v>
      </c>
    </row>
    <row r="1173" spans="1:10" s="1" customFormat="1" ht="25.5" customHeight="1" x14ac:dyDescent="0.2">
      <c r="A1173" s="8"/>
      <c r="B1173" s="9" t="s">
        <v>717</v>
      </c>
      <c r="C1173" s="808" t="s">
        <v>718</v>
      </c>
      <c r="D1173" s="809"/>
      <c r="E1173" s="8"/>
      <c r="F1173" s="8"/>
      <c r="G1173" s="8"/>
      <c r="H1173" s="8"/>
      <c r="I1173" s="8"/>
      <c r="J1173" s="8"/>
    </row>
    <row r="1174" spans="1:10" s="1" customFormat="1" ht="25.5" customHeight="1" x14ac:dyDescent="0.2">
      <c r="A1174" s="8"/>
      <c r="B1174" s="9" t="s">
        <v>719</v>
      </c>
      <c r="C1174" s="808" t="s">
        <v>626</v>
      </c>
      <c r="D1174" s="809"/>
      <c r="E1174" s="8"/>
      <c r="F1174" s="8"/>
      <c r="G1174" s="8"/>
      <c r="H1174" s="8"/>
      <c r="I1174" s="8"/>
      <c r="J1174" s="8"/>
    </row>
    <row r="1175" spans="1:10" s="1" customFormat="1" ht="25.5" customHeight="1" x14ac:dyDescent="0.2">
      <c r="A1175" s="10">
        <v>89580</v>
      </c>
      <c r="B1175" s="21">
        <v>43831</v>
      </c>
      <c r="C1175" s="806" t="s">
        <v>720</v>
      </c>
      <c r="D1175" s="807"/>
      <c r="E1175" s="11" t="s">
        <v>81</v>
      </c>
      <c r="F1175" s="12">
        <v>204</v>
      </c>
      <c r="G1175" s="12">
        <v>38.24</v>
      </c>
      <c r="H1175" s="12">
        <v>48.79</v>
      </c>
      <c r="I1175" s="13">
        <f>F1175*G1175</f>
        <v>7800.96</v>
      </c>
      <c r="J1175" s="13">
        <f>F1175*H1175</f>
        <v>9953.16</v>
      </c>
    </row>
    <row r="1176" spans="1:10" s="1" customFormat="1" ht="25.5" customHeight="1" x14ac:dyDescent="0.2">
      <c r="A1176" s="11" t="s">
        <v>721</v>
      </c>
      <c r="B1176" s="21">
        <v>43832</v>
      </c>
      <c r="C1176" s="806" t="s">
        <v>722</v>
      </c>
      <c r="D1176" s="807"/>
      <c r="E1176" s="11" t="s">
        <v>81</v>
      </c>
      <c r="F1176" s="12">
        <v>108</v>
      </c>
      <c r="G1176" s="12">
        <v>31.84</v>
      </c>
      <c r="H1176" s="12">
        <v>40.619999999999997</v>
      </c>
      <c r="I1176" s="13">
        <f>F1176*G1176</f>
        <v>3438.72</v>
      </c>
      <c r="J1176" s="13">
        <f>F1176*H1176</f>
        <v>4386.96</v>
      </c>
    </row>
    <row r="1177" spans="1:10" s="1" customFormat="1" ht="25.5" customHeight="1" x14ac:dyDescent="0.2">
      <c r="A1177" s="10">
        <v>89511</v>
      </c>
      <c r="B1177" s="21">
        <v>43833</v>
      </c>
      <c r="C1177" s="806" t="s">
        <v>723</v>
      </c>
      <c r="D1177" s="807"/>
      <c r="E1177" s="11" t="s">
        <v>81</v>
      </c>
      <c r="F1177" s="12">
        <v>120</v>
      </c>
      <c r="G1177" s="12">
        <v>24.3</v>
      </c>
      <c r="H1177" s="12">
        <v>31</v>
      </c>
      <c r="I1177" s="13">
        <f>F1177*G1177</f>
        <v>2916</v>
      </c>
      <c r="J1177" s="13">
        <f>F1177*H1177</f>
        <v>3720</v>
      </c>
    </row>
    <row r="1178" spans="1:10" s="1" customFormat="1" ht="25.5" customHeight="1" x14ac:dyDescent="0.2">
      <c r="A1178" s="10">
        <v>89509</v>
      </c>
      <c r="B1178" s="21">
        <v>43834</v>
      </c>
      <c r="C1178" s="806" t="s">
        <v>724</v>
      </c>
      <c r="D1178" s="807"/>
      <c r="E1178" s="11" t="s">
        <v>81</v>
      </c>
      <c r="F1178" s="12">
        <v>210</v>
      </c>
      <c r="G1178" s="12">
        <v>16.3</v>
      </c>
      <c r="H1178" s="12">
        <v>20.8</v>
      </c>
      <c r="I1178" s="13">
        <f>F1178*G1178</f>
        <v>3423</v>
      </c>
      <c r="J1178" s="13">
        <f>F1178*H1178</f>
        <v>4368</v>
      </c>
    </row>
    <row r="1179" spans="1:10" s="1" customFormat="1" ht="25.5" customHeight="1" x14ac:dyDescent="0.2">
      <c r="A1179" s="10">
        <v>89508</v>
      </c>
      <c r="B1179" s="21">
        <v>43835</v>
      </c>
      <c r="C1179" s="806" t="s">
        <v>725</v>
      </c>
      <c r="D1179" s="807"/>
      <c r="E1179" s="11" t="s">
        <v>81</v>
      </c>
      <c r="F1179" s="12">
        <v>102</v>
      </c>
      <c r="G1179" s="12">
        <v>11.22</v>
      </c>
      <c r="H1179" s="12">
        <v>14.32</v>
      </c>
      <c r="I1179" s="13">
        <f>F1179*G1179</f>
        <v>1144.44</v>
      </c>
      <c r="J1179" s="13">
        <f>F1179*H1179</f>
        <v>1460.64</v>
      </c>
    </row>
    <row r="1180" spans="1:10" s="1" customFormat="1" ht="25.5" customHeight="1" x14ac:dyDescent="0.2">
      <c r="A1180" s="8"/>
      <c r="B1180" s="9" t="s">
        <v>726</v>
      </c>
      <c r="C1180" s="808" t="s">
        <v>727</v>
      </c>
      <c r="D1180" s="809"/>
      <c r="E1180" s="8"/>
      <c r="F1180" s="8"/>
      <c r="G1180" s="8"/>
      <c r="H1180" s="8"/>
      <c r="I1180" s="8"/>
      <c r="J1180" s="8"/>
    </row>
    <row r="1181" spans="1:10" s="1" customFormat="1" ht="25.5" customHeight="1" x14ac:dyDescent="0.2">
      <c r="A1181" s="11" t="s">
        <v>728</v>
      </c>
      <c r="B1181" s="21">
        <v>43862</v>
      </c>
      <c r="C1181" s="806" t="s">
        <v>729</v>
      </c>
      <c r="D1181" s="807"/>
      <c r="E1181" s="11" t="s">
        <v>102</v>
      </c>
      <c r="F1181" s="12">
        <v>2</v>
      </c>
      <c r="G1181" s="12">
        <v>11.18</v>
      </c>
      <c r="H1181" s="12">
        <v>14.26</v>
      </c>
      <c r="I1181" s="13">
        <f>F1181*G1181</f>
        <v>22.36</v>
      </c>
      <c r="J1181" s="13">
        <f>F1181*H1181</f>
        <v>28.52</v>
      </c>
    </row>
    <row r="1182" spans="1:10" s="1" customFormat="1" ht="25.5" customHeight="1" x14ac:dyDescent="0.2">
      <c r="A1182" s="8"/>
      <c r="B1182" s="9" t="s">
        <v>730</v>
      </c>
      <c r="C1182" s="808" t="s">
        <v>635</v>
      </c>
      <c r="D1182" s="809"/>
      <c r="E1182" s="8"/>
      <c r="F1182" s="8"/>
      <c r="G1182" s="8"/>
      <c r="H1182" s="8"/>
      <c r="I1182" s="8"/>
      <c r="J1182" s="12">
        <v>0</v>
      </c>
    </row>
    <row r="1183" spans="1:10" s="1" customFormat="1" ht="25.5" customHeight="1" x14ac:dyDescent="0.2">
      <c r="A1183" s="10">
        <v>20151</v>
      </c>
      <c r="B1183" s="21">
        <v>43891</v>
      </c>
      <c r="C1183" s="806" t="s">
        <v>731</v>
      </c>
      <c r="D1183" s="807"/>
      <c r="E1183" s="11" t="s">
        <v>102</v>
      </c>
      <c r="F1183" s="12">
        <v>11</v>
      </c>
      <c r="G1183" s="12">
        <v>15.18</v>
      </c>
      <c r="H1183" s="12">
        <v>19.37</v>
      </c>
      <c r="I1183" s="13">
        <f t="shared" ref="I1183:I1190" si="98">F1183*G1183</f>
        <v>166.98</v>
      </c>
      <c r="J1183" s="13">
        <f t="shared" ref="J1183:J1190" si="99">F1183*H1183</f>
        <v>213.07000000000002</v>
      </c>
    </row>
    <row r="1184" spans="1:10" s="1" customFormat="1" ht="25.5" customHeight="1" x14ac:dyDescent="0.2">
      <c r="A1184" s="10">
        <v>20150</v>
      </c>
      <c r="B1184" s="21">
        <v>43892</v>
      </c>
      <c r="C1184" s="806" t="s">
        <v>732</v>
      </c>
      <c r="D1184" s="807"/>
      <c r="E1184" s="11" t="s">
        <v>102</v>
      </c>
      <c r="F1184" s="12">
        <v>18</v>
      </c>
      <c r="G1184" s="12">
        <v>11.04</v>
      </c>
      <c r="H1184" s="12">
        <v>14.09</v>
      </c>
      <c r="I1184" s="13">
        <f t="shared" si="98"/>
        <v>198.71999999999997</v>
      </c>
      <c r="J1184" s="13">
        <f t="shared" si="99"/>
        <v>253.62</v>
      </c>
    </row>
    <row r="1185" spans="1:10" s="1" customFormat="1" ht="25.5" customHeight="1" x14ac:dyDescent="0.2">
      <c r="A1185" s="10">
        <v>20149</v>
      </c>
      <c r="B1185" s="21">
        <v>43893</v>
      </c>
      <c r="C1185" s="806" t="s">
        <v>733</v>
      </c>
      <c r="D1185" s="807"/>
      <c r="E1185" s="11" t="s">
        <v>102</v>
      </c>
      <c r="F1185" s="12">
        <v>13</v>
      </c>
      <c r="G1185" s="12">
        <v>4.2</v>
      </c>
      <c r="H1185" s="12">
        <v>5.36</v>
      </c>
      <c r="I1185" s="13">
        <f t="shared" si="98"/>
        <v>54.6</v>
      </c>
      <c r="J1185" s="13">
        <f t="shared" si="99"/>
        <v>69.680000000000007</v>
      </c>
    </row>
    <row r="1186" spans="1:10" s="1" customFormat="1" ht="25.5" customHeight="1" x14ac:dyDescent="0.2">
      <c r="A1186" s="10">
        <v>20148</v>
      </c>
      <c r="B1186" s="21">
        <v>43894</v>
      </c>
      <c r="C1186" s="806" t="s">
        <v>734</v>
      </c>
      <c r="D1186" s="807"/>
      <c r="E1186" s="11" t="s">
        <v>102</v>
      </c>
      <c r="F1186" s="12">
        <v>33</v>
      </c>
      <c r="G1186" s="12">
        <v>2.79</v>
      </c>
      <c r="H1186" s="12">
        <v>3.56</v>
      </c>
      <c r="I1186" s="13">
        <f t="shared" si="98"/>
        <v>92.070000000000007</v>
      </c>
      <c r="J1186" s="13">
        <f t="shared" si="99"/>
        <v>117.48</v>
      </c>
    </row>
    <row r="1187" spans="1:10" s="1" customFormat="1" ht="25.5" customHeight="1" x14ac:dyDescent="0.2">
      <c r="A1187" s="10">
        <v>20157</v>
      </c>
      <c r="B1187" s="21">
        <v>43895</v>
      </c>
      <c r="C1187" s="806" t="s">
        <v>735</v>
      </c>
      <c r="D1187" s="807"/>
      <c r="E1187" s="11" t="s">
        <v>102</v>
      </c>
      <c r="F1187" s="12">
        <v>23</v>
      </c>
      <c r="G1187" s="12">
        <v>18.87</v>
      </c>
      <c r="H1187" s="12">
        <v>24.08</v>
      </c>
      <c r="I1187" s="13">
        <f t="shared" si="98"/>
        <v>434.01000000000005</v>
      </c>
      <c r="J1187" s="13">
        <f t="shared" si="99"/>
        <v>553.83999999999992</v>
      </c>
    </row>
    <row r="1188" spans="1:10" s="1" customFormat="1" ht="25.5" customHeight="1" x14ac:dyDescent="0.2">
      <c r="A1188" s="10">
        <v>20156</v>
      </c>
      <c r="B1188" s="21">
        <v>43896</v>
      </c>
      <c r="C1188" s="806" t="s">
        <v>736</v>
      </c>
      <c r="D1188" s="807"/>
      <c r="E1188" s="11" t="s">
        <v>102</v>
      </c>
      <c r="F1188" s="12">
        <v>7</v>
      </c>
      <c r="G1188" s="12">
        <v>11.44</v>
      </c>
      <c r="H1188" s="12">
        <v>14.6</v>
      </c>
      <c r="I1188" s="13">
        <f t="shared" si="98"/>
        <v>80.08</v>
      </c>
      <c r="J1188" s="13">
        <f t="shared" si="99"/>
        <v>102.2</v>
      </c>
    </row>
    <row r="1189" spans="1:10" s="1" customFormat="1" ht="25.5" customHeight="1" x14ac:dyDescent="0.2">
      <c r="A1189" s="10">
        <v>20155</v>
      </c>
      <c r="B1189" s="21">
        <v>43897</v>
      </c>
      <c r="C1189" s="806" t="s">
        <v>737</v>
      </c>
      <c r="D1189" s="807"/>
      <c r="E1189" s="11" t="s">
        <v>102</v>
      </c>
      <c r="F1189" s="12">
        <v>80</v>
      </c>
      <c r="G1189" s="12">
        <v>4.8099999999999996</v>
      </c>
      <c r="H1189" s="12">
        <v>6.14</v>
      </c>
      <c r="I1189" s="13">
        <f t="shared" si="98"/>
        <v>384.79999999999995</v>
      </c>
      <c r="J1189" s="13">
        <f t="shared" si="99"/>
        <v>491.2</v>
      </c>
    </row>
    <row r="1190" spans="1:10" s="1" customFormat="1" ht="25.5" customHeight="1" x14ac:dyDescent="0.2">
      <c r="A1190" s="10">
        <v>20154</v>
      </c>
      <c r="B1190" s="21">
        <v>43898</v>
      </c>
      <c r="C1190" s="806" t="s">
        <v>738</v>
      </c>
      <c r="D1190" s="807"/>
      <c r="E1190" s="11" t="s">
        <v>102</v>
      </c>
      <c r="F1190" s="12">
        <v>69</v>
      </c>
      <c r="G1190" s="12">
        <v>3.07</v>
      </c>
      <c r="H1190" s="12">
        <v>3.92</v>
      </c>
      <c r="I1190" s="13">
        <f t="shared" si="98"/>
        <v>211.82999999999998</v>
      </c>
      <c r="J1190" s="13">
        <f t="shared" si="99"/>
        <v>270.48</v>
      </c>
    </row>
    <row r="1191" spans="1:10" s="1" customFormat="1" ht="25.5" customHeight="1" x14ac:dyDescent="0.2">
      <c r="A1191" s="8"/>
      <c r="B1191" s="9" t="s">
        <v>739</v>
      </c>
      <c r="C1191" s="808" t="s">
        <v>740</v>
      </c>
      <c r="D1191" s="809"/>
      <c r="E1191" s="8"/>
      <c r="F1191" s="8"/>
      <c r="G1191" s="8"/>
      <c r="H1191" s="8"/>
      <c r="I1191" s="8"/>
      <c r="J1191" s="8"/>
    </row>
    <row r="1192" spans="1:10" s="1" customFormat="1" ht="25.5" customHeight="1" x14ac:dyDescent="0.2">
      <c r="A1192" s="10">
        <v>20141</v>
      </c>
      <c r="B1192" s="21">
        <v>43922</v>
      </c>
      <c r="C1192" s="806" t="s">
        <v>741</v>
      </c>
      <c r="D1192" s="807"/>
      <c r="E1192" s="11" t="s">
        <v>102</v>
      </c>
      <c r="F1192" s="12">
        <v>6</v>
      </c>
      <c r="G1192" s="12">
        <v>8.65</v>
      </c>
      <c r="H1192" s="12">
        <v>11.04</v>
      </c>
      <c r="I1192" s="13">
        <f>F1192*G1192</f>
        <v>51.900000000000006</v>
      </c>
      <c r="J1192" s="13">
        <f>F1192*H1192</f>
        <v>66.239999999999995</v>
      </c>
    </row>
    <row r="1193" spans="1:10" s="1" customFormat="1" ht="25.5" customHeight="1" x14ac:dyDescent="0.2">
      <c r="A1193" s="10">
        <v>20140</v>
      </c>
      <c r="B1193" s="21">
        <v>43923</v>
      </c>
      <c r="C1193" s="806" t="s">
        <v>742</v>
      </c>
      <c r="D1193" s="807"/>
      <c r="E1193" s="11" t="s">
        <v>102</v>
      </c>
      <c r="F1193" s="12">
        <v>3</v>
      </c>
      <c r="G1193" s="12">
        <v>5.75</v>
      </c>
      <c r="H1193" s="12">
        <v>7.34</v>
      </c>
      <c r="I1193" s="13">
        <f>F1193*G1193</f>
        <v>17.25</v>
      </c>
      <c r="J1193" s="13">
        <f>F1193*H1193</f>
        <v>22.02</v>
      </c>
    </row>
    <row r="1194" spans="1:10" s="1" customFormat="1" ht="25.5" customHeight="1" x14ac:dyDescent="0.2">
      <c r="A1194" s="8"/>
      <c r="B1194" s="9" t="s">
        <v>743</v>
      </c>
      <c r="C1194" s="808" t="s">
        <v>641</v>
      </c>
      <c r="D1194" s="809"/>
      <c r="E1194" s="8"/>
      <c r="F1194" s="8"/>
      <c r="G1194" s="8"/>
      <c r="H1194" s="8"/>
      <c r="I1194" s="8"/>
      <c r="J1194" s="8"/>
    </row>
    <row r="1195" spans="1:10" s="1" customFormat="1" ht="25.5" customHeight="1" x14ac:dyDescent="0.2">
      <c r="A1195" s="10">
        <v>20171</v>
      </c>
      <c r="B1195" s="21">
        <v>43952</v>
      </c>
      <c r="C1195" s="806" t="s">
        <v>744</v>
      </c>
      <c r="D1195" s="807"/>
      <c r="E1195" s="11" t="s">
        <v>102</v>
      </c>
      <c r="F1195" s="12">
        <v>13</v>
      </c>
      <c r="G1195" s="12">
        <v>25.8</v>
      </c>
      <c r="H1195" s="12">
        <v>32.92</v>
      </c>
      <c r="I1195" s="13">
        <f>F1195*G1195</f>
        <v>335.40000000000003</v>
      </c>
      <c r="J1195" s="13">
        <f>F1195*H1195</f>
        <v>427.96000000000004</v>
      </c>
    </row>
    <row r="1196" spans="1:10" s="1" customFormat="1" ht="25.5" customHeight="1" x14ac:dyDescent="0.2">
      <c r="A1196" s="10">
        <v>20170</v>
      </c>
      <c r="B1196" s="21">
        <v>43953</v>
      </c>
      <c r="C1196" s="806" t="s">
        <v>745</v>
      </c>
      <c r="D1196" s="807"/>
      <c r="E1196" s="11" t="s">
        <v>102</v>
      </c>
      <c r="F1196" s="12">
        <v>7</v>
      </c>
      <c r="G1196" s="12">
        <v>8.23</v>
      </c>
      <c r="H1196" s="12">
        <v>10.5</v>
      </c>
      <c r="I1196" s="13">
        <f>F1196*G1196</f>
        <v>57.61</v>
      </c>
      <c r="J1196" s="13">
        <f>F1196*H1196</f>
        <v>73.5</v>
      </c>
    </row>
    <row r="1197" spans="1:10" s="1" customFormat="1" ht="25.5" customHeight="1" x14ac:dyDescent="0.2">
      <c r="A1197" s="10">
        <v>20169</v>
      </c>
      <c r="B1197" s="21">
        <v>43954</v>
      </c>
      <c r="C1197" s="806" t="s">
        <v>746</v>
      </c>
      <c r="D1197" s="807"/>
      <c r="E1197" s="11" t="s">
        <v>102</v>
      </c>
      <c r="F1197" s="12">
        <v>8</v>
      </c>
      <c r="G1197" s="12">
        <v>6.79</v>
      </c>
      <c r="H1197" s="12">
        <v>8.66</v>
      </c>
      <c r="I1197" s="13">
        <f>F1197*G1197</f>
        <v>54.32</v>
      </c>
      <c r="J1197" s="13">
        <f>F1197*H1197</f>
        <v>69.28</v>
      </c>
    </row>
    <row r="1198" spans="1:10" s="1" customFormat="1" ht="25.5" customHeight="1" x14ac:dyDescent="0.2">
      <c r="A1198" s="10">
        <v>20168</v>
      </c>
      <c r="B1198" s="21">
        <v>43955</v>
      </c>
      <c r="C1198" s="806" t="s">
        <v>747</v>
      </c>
      <c r="D1198" s="807"/>
      <c r="E1198" s="11" t="s">
        <v>102</v>
      </c>
      <c r="F1198" s="12">
        <v>14</v>
      </c>
      <c r="G1198" s="12">
        <v>4.83</v>
      </c>
      <c r="H1198" s="12">
        <v>6.16</v>
      </c>
      <c r="I1198" s="13">
        <f>F1198*G1198</f>
        <v>67.62</v>
      </c>
      <c r="J1198" s="13">
        <f>F1198*H1198</f>
        <v>86.240000000000009</v>
      </c>
    </row>
    <row r="1199" spans="1:10" s="1" customFormat="1" ht="25.5" customHeight="1" x14ac:dyDescent="0.2">
      <c r="A1199" s="10">
        <v>20167</v>
      </c>
      <c r="B1199" s="21">
        <v>43956</v>
      </c>
      <c r="C1199" s="806" t="s">
        <v>748</v>
      </c>
      <c r="D1199" s="807"/>
      <c r="E1199" s="11" t="s">
        <v>102</v>
      </c>
      <c r="F1199" s="12">
        <v>7</v>
      </c>
      <c r="G1199" s="12">
        <v>3.24</v>
      </c>
      <c r="H1199" s="12">
        <v>4.13</v>
      </c>
      <c r="I1199" s="13">
        <f>F1199*G1199</f>
        <v>22.68</v>
      </c>
      <c r="J1199" s="13">
        <f>F1199*H1199</f>
        <v>28.91</v>
      </c>
    </row>
    <row r="1200" spans="1:10" s="1" customFormat="1" ht="25.5" customHeight="1" x14ac:dyDescent="0.2">
      <c r="A1200" s="8"/>
      <c r="B1200" s="9" t="s">
        <v>749</v>
      </c>
      <c r="C1200" s="808" t="s">
        <v>750</v>
      </c>
      <c r="D1200" s="809"/>
      <c r="E1200" s="8"/>
      <c r="F1200" s="8"/>
      <c r="G1200" s="8"/>
      <c r="H1200" s="8"/>
      <c r="I1200" s="8"/>
      <c r="J1200" s="8"/>
    </row>
    <row r="1201" spans="1:10" s="1" customFormat="1" ht="25.5" customHeight="1" x14ac:dyDescent="0.2">
      <c r="A1201" s="10">
        <v>20042</v>
      </c>
      <c r="B1201" s="21">
        <v>43983</v>
      </c>
      <c r="C1201" s="806" t="s">
        <v>751</v>
      </c>
      <c r="D1201" s="807"/>
      <c r="E1201" s="11" t="s">
        <v>102</v>
      </c>
      <c r="F1201" s="12">
        <v>9</v>
      </c>
      <c r="G1201" s="12">
        <v>3.11</v>
      </c>
      <c r="H1201" s="12">
        <v>3.97</v>
      </c>
      <c r="I1201" s="13">
        <f>F1201*G1201</f>
        <v>27.99</v>
      </c>
      <c r="J1201" s="13">
        <f>F1201*H1201</f>
        <v>35.730000000000004</v>
      </c>
    </row>
    <row r="1202" spans="1:10" s="1" customFormat="1" ht="25.5" customHeight="1" x14ac:dyDescent="0.2">
      <c r="A1202" s="10">
        <v>38418</v>
      </c>
      <c r="B1202" s="21">
        <v>43984</v>
      </c>
      <c r="C1202" s="806" t="s">
        <v>752</v>
      </c>
      <c r="D1202" s="807"/>
      <c r="E1202" s="11" t="s">
        <v>102</v>
      </c>
      <c r="F1202" s="12">
        <v>2</v>
      </c>
      <c r="G1202" s="12">
        <v>3.14</v>
      </c>
      <c r="H1202" s="12">
        <v>4.01</v>
      </c>
      <c r="I1202" s="13">
        <f>F1202*G1202</f>
        <v>6.28</v>
      </c>
      <c r="J1202" s="13">
        <f>F1202*H1202</f>
        <v>8.02</v>
      </c>
    </row>
    <row r="1203" spans="1:10" s="1" customFormat="1" ht="25.5" customHeight="1" x14ac:dyDescent="0.2">
      <c r="A1203" s="8"/>
      <c r="B1203" s="9" t="s">
        <v>753</v>
      </c>
      <c r="C1203" s="808" t="s">
        <v>754</v>
      </c>
      <c r="D1203" s="809"/>
      <c r="E1203" s="8"/>
      <c r="F1203" s="8"/>
      <c r="G1203" s="8"/>
      <c r="H1203" s="8"/>
      <c r="I1203" s="8"/>
      <c r="J1203" s="8"/>
    </row>
    <row r="1204" spans="1:10" s="1" customFormat="1" ht="25.5" customHeight="1" x14ac:dyDescent="0.2">
      <c r="A1204" s="10">
        <v>89834</v>
      </c>
      <c r="B1204" s="21">
        <v>44013</v>
      </c>
      <c r="C1204" s="806" t="s">
        <v>755</v>
      </c>
      <c r="D1204" s="807"/>
      <c r="E1204" s="11" t="s">
        <v>102</v>
      </c>
      <c r="F1204" s="12">
        <v>23</v>
      </c>
      <c r="G1204" s="12">
        <v>26.88</v>
      </c>
      <c r="H1204" s="12">
        <v>34.299999999999997</v>
      </c>
      <c r="I1204" s="13">
        <f>F1204*G1204</f>
        <v>618.24</v>
      </c>
      <c r="J1204" s="13">
        <f>F1204*H1204</f>
        <v>788.9</v>
      </c>
    </row>
    <row r="1205" spans="1:10" s="1" customFormat="1" ht="25.5" customHeight="1" x14ac:dyDescent="0.2">
      <c r="A1205" s="8"/>
      <c r="B1205" s="9" t="s">
        <v>756</v>
      </c>
      <c r="C1205" s="808" t="s">
        <v>757</v>
      </c>
      <c r="D1205" s="809"/>
      <c r="E1205" s="8"/>
      <c r="F1205" s="8"/>
      <c r="G1205" s="8"/>
      <c r="H1205" s="8"/>
      <c r="I1205" s="8"/>
      <c r="J1205" s="8"/>
    </row>
    <row r="1206" spans="1:10" s="1" customFormat="1" ht="25.5" customHeight="1" x14ac:dyDescent="0.2">
      <c r="A1206" s="10">
        <v>6138</v>
      </c>
      <c r="B1206" s="21">
        <v>44044</v>
      </c>
      <c r="C1206" s="806" t="s">
        <v>758</v>
      </c>
      <c r="D1206" s="807"/>
      <c r="E1206" s="11" t="s">
        <v>102</v>
      </c>
      <c r="F1206" s="12">
        <v>23</v>
      </c>
      <c r="G1206" s="12">
        <v>1.66</v>
      </c>
      <c r="H1206" s="12">
        <v>2.12</v>
      </c>
      <c r="I1206" s="13">
        <f>F1206*G1206</f>
        <v>38.18</v>
      </c>
      <c r="J1206" s="13">
        <f>F1206*H1206</f>
        <v>48.760000000000005</v>
      </c>
    </row>
    <row r="1207" spans="1:10" s="1" customFormat="1" ht="25.5" customHeight="1" x14ac:dyDescent="0.2">
      <c r="A1207" s="8"/>
      <c r="B1207" s="9" t="s">
        <v>759</v>
      </c>
      <c r="C1207" s="808" t="s">
        <v>760</v>
      </c>
      <c r="D1207" s="809"/>
      <c r="E1207" s="8"/>
      <c r="F1207" s="8"/>
      <c r="G1207" s="8"/>
      <c r="H1207" s="8"/>
      <c r="I1207" s="13"/>
      <c r="J1207" s="13"/>
    </row>
    <row r="1208" spans="1:10" s="1" customFormat="1" ht="25.5" customHeight="1" x14ac:dyDescent="0.2">
      <c r="A1208" s="36">
        <v>84</v>
      </c>
      <c r="B1208" s="21">
        <v>44075</v>
      </c>
      <c r="C1208" s="806" t="s">
        <v>761</v>
      </c>
      <c r="D1208" s="807"/>
      <c r="E1208" s="11" t="s">
        <v>102</v>
      </c>
      <c r="F1208" s="12">
        <v>17</v>
      </c>
      <c r="G1208" s="12">
        <v>1.34</v>
      </c>
      <c r="H1208" s="12">
        <v>1.71</v>
      </c>
      <c r="I1208" s="13">
        <f>F1208*G1208</f>
        <v>22.78</v>
      </c>
      <c r="J1208" s="13">
        <f>F1208*H1208</f>
        <v>29.07</v>
      </c>
    </row>
    <row r="1209" spans="1:10" s="1" customFormat="1" ht="25.5" customHeight="1" x14ac:dyDescent="0.2">
      <c r="A1209" s="8"/>
      <c r="B1209" s="9" t="s">
        <v>762</v>
      </c>
      <c r="C1209" s="808" t="s">
        <v>450</v>
      </c>
      <c r="D1209" s="809"/>
      <c r="E1209" s="8"/>
      <c r="F1209" s="8"/>
      <c r="G1209" s="8"/>
      <c r="H1209" s="8"/>
      <c r="I1209" s="8"/>
      <c r="J1209" s="8"/>
    </row>
    <row r="1210" spans="1:10" s="1" customFormat="1" ht="25.5" customHeight="1" x14ac:dyDescent="0.2">
      <c r="A1210" s="10">
        <v>20178</v>
      </c>
      <c r="B1210" s="25">
        <v>44105</v>
      </c>
      <c r="C1210" s="806" t="s">
        <v>763</v>
      </c>
      <c r="D1210" s="807"/>
      <c r="E1210" s="11" t="s">
        <v>102</v>
      </c>
      <c r="F1210" s="12">
        <v>23</v>
      </c>
      <c r="G1210" s="12">
        <v>21.6</v>
      </c>
      <c r="H1210" s="12">
        <v>27.56</v>
      </c>
      <c r="I1210" s="13">
        <f>F1210*G1210</f>
        <v>496.8</v>
      </c>
      <c r="J1210" s="13">
        <f>F1210*H1210</f>
        <v>633.88</v>
      </c>
    </row>
    <row r="1211" spans="1:10" s="1" customFormat="1" ht="25.5" customHeight="1" x14ac:dyDescent="0.2">
      <c r="A1211" s="11" t="s">
        <v>308</v>
      </c>
      <c r="B1211" s="25">
        <v>44106</v>
      </c>
      <c r="C1211" s="806" t="s">
        <v>764</v>
      </c>
      <c r="D1211" s="807"/>
      <c r="E1211" s="11" t="s">
        <v>102</v>
      </c>
      <c r="F1211" s="12">
        <v>21</v>
      </c>
      <c r="G1211" s="12">
        <v>15.9</v>
      </c>
      <c r="H1211" s="12">
        <v>20.29</v>
      </c>
      <c r="I1211" s="13">
        <f>F1211*G1211</f>
        <v>333.90000000000003</v>
      </c>
      <c r="J1211" s="13">
        <f>F1211*H1211</f>
        <v>426.09</v>
      </c>
    </row>
    <row r="1212" spans="1:10" s="1" customFormat="1" ht="25.5" customHeight="1" x14ac:dyDescent="0.2">
      <c r="A1212" s="10">
        <v>20179</v>
      </c>
      <c r="B1212" s="25">
        <v>44107</v>
      </c>
      <c r="C1212" s="806" t="s">
        <v>765</v>
      </c>
      <c r="D1212" s="807"/>
      <c r="E1212" s="11" t="s">
        <v>102</v>
      </c>
      <c r="F1212" s="12">
        <v>2</v>
      </c>
      <c r="G1212" s="12">
        <v>29.74</v>
      </c>
      <c r="H1212" s="12">
        <v>37.950000000000003</v>
      </c>
      <c r="I1212" s="13">
        <f>F1212*G1212</f>
        <v>59.48</v>
      </c>
      <c r="J1212" s="13">
        <f>F1212*H1212</f>
        <v>75.900000000000006</v>
      </c>
    </row>
    <row r="1213" spans="1:10" s="1" customFormat="1" ht="25.5" customHeight="1" x14ac:dyDescent="0.2">
      <c r="A1213" s="10">
        <v>20177</v>
      </c>
      <c r="B1213" s="25">
        <v>44108</v>
      </c>
      <c r="C1213" s="806" t="s">
        <v>766</v>
      </c>
      <c r="D1213" s="807"/>
      <c r="E1213" s="11" t="s">
        <v>102</v>
      </c>
      <c r="F1213" s="12">
        <v>4</v>
      </c>
      <c r="G1213" s="12">
        <v>17.09</v>
      </c>
      <c r="H1213" s="12">
        <v>21.81</v>
      </c>
      <c r="I1213" s="13">
        <f>F1213*G1213</f>
        <v>68.36</v>
      </c>
      <c r="J1213" s="13">
        <f>F1213*H1213</f>
        <v>87.24</v>
      </c>
    </row>
    <row r="1214" spans="1:10" s="1" customFormat="1" ht="25.5" customHeight="1" x14ac:dyDescent="0.2">
      <c r="A1214" s="10">
        <v>7097</v>
      </c>
      <c r="B1214" s="25">
        <v>44109</v>
      </c>
      <c r="C1214" s="806" t="s">
        <v>767</v>
      </c>
      <c r="D1214" s="807"/>
      <c r="E1214" s="11" t="s">
        <v>102</v>
      </c>
      <c r="F1214" s="12">
        <v>50</v>
      </c>
      <c r="G1214" s="12">
        <v>5.2</v>
      </c>
      <c r="H1214" s="12">
        <v>6.63</v>
      </c>
      <c r="I1214" s="13">
        <f>F1214*G1214</f>
        <v>260</v>
      </c>
      <c r="J1214" s="13">
        <f>F1214*H1214</f>
        <v>331.5</v>
      </c>
    </row>
    <row r="1215" spans="1:10" s="1" customFormat="1" ht="25.5" customHeight="1" x14ac:dyDescent="0.2">
      <c r="A1215" s="8"/>
      <c r="B1215" s="9" t="s">
        <v>768</v>
      </c>
      <c r="C1215" s="808" t="s">
        <v>684</v>
      </c>
      <c r="D1215" s="809"/>
      <c r="E1215" s="8"/>
      <c r="F1215" s="8"/>
      <c r="G1215" s="8"/>
      <c r="H1215" s="8"/>
      <c r="I1215" s="8"/>
      <c r="J1215" s="8"/>
    </row>
    <row r="1216" spans="1:10" s="1" customFormat="1" ht="25.5" customHeight="1" x14ac:dyDescent="0.2">
      <c r="A1216" s="8"/>
      <c r="B1216" s="26">
        <v>44136</v>
      </c>
      <c r="C1216" s="808" t="s">
        <v>769</v>
      </c>
      <c r="D1216" s="809"/>
      <c r="E1216" s="8"/>
      <c r="F1216" s="8"/>
      <c r="G1216" s="8"/>
      <c r="H1216" s="8"/>
      <c r="I1216" s="8"/>
      <c r="J1216" s="8"/>
    </row>
    <row r="1217" spans="1:10" s="1" customFormat="1" ht="25.5" customHeight="1" x14ac:dyDescent="0.2">
      <c r="A1217" s="10">
        <v>11880</v>
      </c>
      <c r="B1217" s="11" t="s">
        <v>770</v>
      </c>
      <c r="C1217" s="806" t="s">
        <v>771</v>
      </c>
      <c r="D1217" s="807"/>
      <c r="E1217" s="11" t="s">
        <v>102</v>
      </c>
      <c r="F1217" s="12">
        <v>4</v>
      </c>
      <c r="G1217" s="12">
        <v>68.53</v>
      </c>
      <c r="H1217" s="12">
        <v>87.44</v>
      </c>
      <c r="I1217" s="13">
        <f>F1217*G1217</f>
        <v>274.12</v>
      </c>
      <c r="J1217" s="13">
        <f>F1217*H1217</f>
        <v>349.76</v>
      </c>
    </row>
    <row r="1218" spans="1:10" s="1" customFormat="1" ht="25.5" customHeight="1" x14ac:dyDescent="0.2">
      <c r="A1218" s="10">
        <v>89491</v>
      </c>
      <c r="B1218" s="11" t="s">
        <v>772</v>
      </c>
      <c r="C1218" s="806" t="s">
        <v>773</v>
      </c>
      <c r="D1218" s="807"/>
      <c r="E1218" s="11" t="s">
        <v>102</v>
      </c>
      <c r="F1218" s="12">
        <v>18</v>
      </c>
      <c r="G1218" s="12">
        <v>44.44</v>
      </c>
      <c r="H1218" s="12">
        <v>56.7</v>
      </c>
      <c r="I1218" s="13">
        <f>F1218*G1218</f>
        <v>799.92</v>
      </c>
      <c r="J1218" s="13">
        <f>F1218*H1218</f>
        <v>1020.6</v>
      </c>
    </row>
    <row r="1219" spans="1:10" s="1" customFormat="1" ht="25.5" customHeight="1" x14ac:dyDescent="0.2">
      <c r="A1219" s="8"/>
      <c r="B1219" s="26">
        <v>44137</v>
      </c>
      <c r="C1219" s="808" t="s">
        <v>774</v>
      </c>
      <c r="D1219" s="809"/>
      <c r="E1219" s="8"/>
      <c r="F1219" s="8"/>
      <c r="G1219" s="8"/>
      <c r="H1219" s="8"/>
      <c r="I1219" s="13">
        <f>F1219*G1219</f>
        <v>0</v>
      </c>
      <c r="J1219" s="13">
        <f>F1219*H1219</f>
        <v>0</v>
      </c>
    </row>
    <row r="1220" spans="1:10" s="1" customFormat="1" ht="25.5" customHeight="1" x14ac:dyDescent="0.2">
      <c r="A1220" s="10">
        <v>11716</v>
      </c>
      <c r="B1220" s="11" t="s">
        <v>775</v>
      </c>
      <c r="C1220" s="806" t="s">
        <v>776</v>
      </c>
      <c r="D1220" s="807"/>
      <c r="E1220" s="11" t="s">
        <v>102</v>
      </c>
      <c r="F1220" s="12">
        <v>6</v>
      </c>
      <c r="G1220" s="12">
        <v>10.38</v>
      </c>
      <c r="H1220" s="12">
        <v>13.24</v>
      </c>
      <c r="I1220" s="13">
        <f>F1220*G1220</f>
        <v>62.28</v>
      </c>
      <c r="J1220" s="13">
        <f>F1220*H1220</f>
        <v>79.44</v>
      </c>
    </row>
    <row r="1221" spans="1:10" s="1" customFormat="1" ht="25.5" customHeight="1" x14ac:dyDescent="0.2">
      <c r="A1221" s="8"/>
      <c r="B1221" s="26">
        <v>44138</v>
      </c>
      <c r="C1221" s="808" t="s">
        <v>711</v>
      </c>
      <c r="D1221" s="809"/>
      <c r="E1221" s="8"/>
      <c r="F1221" s="8"/>
      <c r="G1221" s="8"/>
      <c r="H1221" s="8"/>
      <c r="I1221" s="8"/>
      <c r="J1221" s="8"/>
    </row>
    <row r="1222" spans="1:10" s="1" customFormat="1" ht="25.5" customHeight="1" x14ac:dyDescent="0.2">
      <c r="A1222" s="11" t="s">
        <v>308</v>
      </c>
      <c r="B1222" s="11" t="s">
        <v>777</v>
      </c>
      <c r="C1222" s="806" t="s">
        <v>778</v>
      </c>
      <c r="D1222" s="807"/>
      <c r="E1222" s="11" t="s">
        <v>102</v>
      </c>
      <c r="F1222" s="12">
        <v>13</v>
      </c>
      <c r="G1222" s="12">
        <v>24.15</v>
      </c>
      <c r="H1222" s="12">
        <v>30.81</v>
      </c>
      <c r="I1222" s="13">
        <f t="shared" ref="I1222:I1232" si="100">F1222*G1222</f>
        <v>313.95</v>
      </c>
      <c r="J1222" s="13">
        <f t="shared" ref="J1222:J1232" si="101">F1222*H1222</f>
        <v>400.53</v>
      </c>
    </row>
    <row r="1223" spans="1:10" s="1" customFormat="1" ht="25.5" customHeight="1" x14ac:dyDescent="0.2">
      <c r="A1223" s="11" t="s">
        <v>308</v>
      </c>
      <c r="B1223" s="11" t="s">
        <v>779</v>
      </c>
      <c r="C1223" s="806" t="s">
        <v>780</v>
      </c>
      <c r="D1223" s="807"/>
      <c r="E1223" s="11" t="s">
        <v>102</v>
      </c>
      <c r="F1223" s="12">
        <v>2</v>
      </c>
      <c r="G1223" s="12">
        <v>11.66</v>
      </c>
      <c r="H1223" s="12">
        <v>14.88</v>
      </c>
      <c r="I1223" s="13">
        <f t="shared" si="100"/>
        <v>23.32</v>
      </c>
      <c r="J1223" s="13">
        <f t="shared" si="101"/>
        <v>29.76</v>
      </c>
    </row>
    <row r="1224" spans="1:10" s="1" customFormat="1" ht="25.5" customHeight="1" x14ac:dyDescent="0.2">
      <c r="A1224" s="11" t="s">
        <v>308</v>
      </c>
      <c r="B1224" s="11" t="s">
        <v>781</v>
      </c>
      <c r="C1224" s="806" t="s">
        <v>782</v>
      </c>
      <c r="D1224" s="807"/>
      <c r="E1224" s="11" t="s">
        <v>102</v>
      </c>
      <c r="F1224" s="12">
        <v>5</v>
      </c>
      <c r="G1224" s="12">
        <v>16.05</v>
      </c>
      <c r="H1224" s="12">
        <v>20.48</v>
      </c>
      <c r="I1224" s="13">
        <f t="shared" si="100"/>
        <v>80.25</v>
      </c>
      <c r="J1224" s="13">
        <f t="shared" si="101"/>
        <v>102.4</v>
      </c>
    </row>
    <row r="1225" spans="1:10" s="1" customFormat="1" ht="25.5" customHeight="1" x14ac:dyDescent="0.2">
      <c r="A1225" s="11" t="s">
        <v>308</v>
      </c>
      <c r="B1225" s="11" t="s">
        <v>783</v>
      </c>
      <c r="C1225" s="806" t="s">
        <v>784</v>
      </c>
      <c r="D1225" s="807"/>
      <c r="E1225" s="11" t="s">
        <v>102</v>
      </c>
      <c r="F1225" s="12">
        <v>4</v>
      </c>
      <c r="G1225" s="12">
        <v>9.69</v>
      </c>
      <c r="H1225" s="12">
        <v>12.36</v>
      </c>
      <c r="I1225" s="13">
        <f t="shared" si="100"/>
        <v>38.76</v>
      </c>
      <c r="J1225" s="13">
        <f t="shared" si="101"/>
        <v>49.44</v>
      </c>
    </row>
    <row r="1226" spans="1:10" s="1" customFormat="1" ht="25.5" customHeight="1" x14ac:dyDescent="0.2">
      <c r="A1226" s="11" t="s">
        <v>308</v>
      </c>
      <c r="B1226" s="11" t="s">
        <v>785</v>
      </c>
      <c r="C1226" s="806" t="s">
        <v>786</v>
      </c>
      <c r="D1226" s="807"/>
      <c r="E1226" s="11" t="s">
        <v>102</v>
      </c>
      <c r="F1226" s="12">
        <v>8</v>
      </c>
      <c r="G1226" s="12">
        <v>128.66</v>
      </c>
      <c r="H1226" s="12">
        <v>164.16</v>
      </c>
      <c r="I1226" s="13">
        <f t="shared" si="100"/>
        <v>1029.28</v>
      </c>
      <c r="J1226" s="13">
        <f t="shared" si="101"/>
        <v>1313.28</v>
      </c>
    </row>
    <row r="1227" spans="1:10" s="1" customFormat="1" ht="25.5" customHeight="1" x14ac:dyDescent="0.2">
      <c r="A1227" s="11" t="s">
        <v>308</v>
      </c>
      <c r="B1227" s="11" t="s">
        <v>787</v>
      </c>
      <c r="C1227" s="806" t="s">
        <v>788</v>
      </c>
      <c r="D1227" s="807"/>
      <c r="E1227" s="11" t="s">
        <v>102</v>
      </c>
      <c r="F1227" s="12">
        <v>40</v>
      </c>
      <c r="G1227" s="12">
        <v>61.54</v>
      </c>
      <c r="H1227" s="12">
        <v>78.52</v>
      </c>
      <c r="I1227" s="13">
        <f t="shared" si="100"/>
        <v>2461.6</v>
      </c>
      <c r="J1227" s="13">
        <f t="shared" si="101"/>
        <v>3140.7999999999997</v>
      </c>
    </row>
    <row r="1228" spans="1:10" s="1" customFormat="1" ht="25.5" customHeight="1" x14ac:dyDescent="0.2">
      <c r="A1228" s="11" t="s">
        <v>308</v>
      </c>
      <c r="B1228" s="11" t="s">
        <v>789</v>
      </c>
      <c r="C1228" s="806" t="s">
        <v>790</v>
      </c>
      <c r="D1228" s="807"/>
      <c r="E1228" s="11" t="s">
        <v>102</v>
      </c>
      <c r="F1228" s="12">
        <v>1</v>
      </c>
      <c r="G1228" s="12">
        <v>23.8</v>
      </c>
      <c r="H1228" s="12">
        <v>30.37</v>
      </c>
      <c r="I1228" s="13">
        <f t="shared" si="100"/>
        <v>23.8</v>
      </c>
      <c r="J1228" s="13">
        <f t="shared" si="101"/>
        <v>30.37</v>
      </c>
    </row>
    <row r="1229" spans="1:10" s="1" customFormat="1" ht="25.5" customHeight="1" x14ac:dyDescent="0.2">
      <c r="A1229" s="11" t="s">
        <v>308</v>
      </c>
      <c r="B1229" s="11" t="s">
        <v>791</v>
      </c>
      <c r="C1229" s="806" t="s">
        <v>792</v>
      </c>
      <c r="D1229" s="807"/>
      <c r="E1229" s="11" t="s">
        <v>102</v>
      </c>
      <c r="F1229" s="12">
        <v>4</v>
      </c>
      <c r="G1229" s="12">
        <v>39.9</v>
      </c>
      <c r="H1229" s="12">
        <v>50.91</v>
      </c>
      <c r="I1229" s="13">
        <f t="shared" si="100"/>
        <v>159.6</v>
      </c>
      <c r="J1229" s="13">
        <f t="shared" si="101"/>
        <v>203.64</v>
      </c>
    </row>
    <row r="1230" spans="1:10" s="1" customFormat="1" ht="25.5" customHeight="1" x14ac:dyDescent="0.2">
      <c r="A1230" s="11" t="s">
        <v>308</v>
      </c>
      <c r="B1230" s="11" t="s">
        <v>793</v>
      </c>
      <c r="C1230" s="806" t="s">
        <v>794</v>
      </c>
      <c r="D1230" s="807"/>
      <c r="E1230" s="11" t="s">
        <v>102</v>
      </c>
      <c r="F1230" s="12">
        <v>4</v>
      </c>
      <c r="G1230" s="12">
        <v>12.92</v>
      </c>
      <c r="H1230" s="12">
        <v>16.48</v>
      </c>
      <c r="I1230" s="13">
        <f t="shared" si="100"/>
        <v>51.68</v>
      </c>
      <c r="J1230" s="13">
        <f t="shared" si="101"/>
        <v>65.92</v>
      </c>
    </row>
    <row r="1231" spans="1:10" s="1" customFormat="1" ht="25.5" customHeight="1" x14ac:dyDescent="0.2">
      <c r="A1231" s="11" t="s">
        <v>308</v>
      </c>
      <c r="B1231" s="11" t="s">
        <v>795</v>
      </c>
      <c r="C1231" s="806" t="s">
        <v>796</v>
      </c>
      <c r="D1231" s="807"/>
      <c r="E1231" s="11" t="s">
        <v>102</v>
      </c>
      <c r="F1231" s="12">
        <v>18</v>
      </c>
      <c r="G1231" s="12">
        <v>3.73</v>
      </c>
      <c r="H1231" s="12">
        <v>4.76</v>
      </c>
      <c r="I1231" s="13">
        <f t="shared" si="100"/>
        <v>67.14</v>
      </c>
      <c r="J1231" s="13">
        <f t="shared" si="101"/>
        <v>85.679999999999993</v>
      </c>
    </row>
    <row r="1232" spans="1:10" s="1" customFormat="1" ht="25.5" customHeight="1" x14ac:dyDescent="0.2">
      <c r="A1232" s="11" t="s">
        <v>308</v>
      </c>
      <c r="B1232" s="11" t="s">
        <v>797</v>
      </c>
      <c r="C1232" s="806" t="s">
        <v>798</v>
      </c>
      <c r="D1232" s="807"/>
      <c r="E1232" s="11" t="s">
        <v>102</v>
      </c>
      <c r="F1232" s="12">
        <v>6</v>
      </c>
      <c r="G1232" s="12">
        <v>3.01</v>
      </c>
      <c r="H1232" s="12">
        <v>3.84</v>
      </c>
      <c r="I1232" s="13">
        <f t="shared" si="100"/>
        <v>18.059999999999999</v>
      </c>
      <c r="J1232" s="13">
        <f t="shared" si="101"/>
        <v>23.04</v>
      </c>
    </row>
    <row r="1233" spans="1:11" s="1" customFormat="1" ht="25.5" customHeight="1" x14ac:dyDescent="0.2">
      <c r="A1233" s="8"/>
      <c r="B1233" s="26">
        <v>44139</v>
      </c>
      <c r="C1233" s="808" t="s">
        <v>799</v>
      </c>
      <c r="D1233" s="809"/>
      <c r="E1233" s="8"/>
      <c r="F1233" s="8"/>
      <c r="G1233" s="8"/>
      <c r="H1233" s="8"/>
      <c r="I1233" s="8"/>
      <c r="J1233" s="8"/>
    </row>
    <row r="1234" spans="1:11" s="1" customFormat="1" ht="25.5" customHeight="1" x14ac:dyDescent="0.2">
      <c r="A1234" s="10">
        <v>98108</v>
      </c>
      <c r="B1234" s="11" t="s">
        <v>800</v>
      </c>
      <c r="C1234" s="806" t="s">
        <v>801</v>
      </c>
      <c r="D1234" s="807"/>
      <c r="E1234" s="11" t="s">
        <v>102</v>
      </c>
      <c r="F1234" s="12">
        <v>1</v>
      </c>
      <c r="G1234" s="12">
        <v>347.61</v>
      </c>
      <c r="H1234" s="12">
        <v>443.52</v>
      </c>
      <c r="I1234" s="13">
        <f>F1234*G1234</f>
        <v>347.61</v>
      </c>
      <c r="J1234" s="13">
        <f>F1234*H1234</f>
        <v>443.52</v>
      </c>
    </row>
    <row r="1235" spans="1:11" s="1" customFormat="1" ht="25.5" customHeight="1" x14ac:dyDescent="0.2">
      <c r="A1235" s="10">
        <v>98106</v>
      </c>
      <c r="B1235" s="11" t="s">
        <v>802</v>
      </c>
      <c r="C1235" s="806" t="s">
        <v>803</v>
      </c>
      <c r="D1235" s="807"/>
      <c r="E1235" s="11" t="s">
        <v>102</v>
      </c>
      <c r="F1235" s="12">
        <v>1</v>
      </c>
      <c r="G1235" s="12">
        <v>786.65</v>
      </c>
      <c r="H1235" s="13">
        <v>1003.69</v>
      </c>
      <c r="I1235" s="13">
        <f>F1235*G1235</f>
        <v>786.65</v>
      </c>
      <c r="J1235" s="13">
        <f>F1235*H1235</f>
        <v>1003.69</v>
      </c>
    </row>
    <row r="1236" spans="1:11" s="1" customFormat="1" ht="25.5" customHeight="1" x14ac:dyDescent="0.2">
      <c r="A1236" s="11" t="s">
        <v>308</v>
      </c>
      <c r="B1236" s="11" t="s">
        <v>804</v>
      </c>
      <c r="C1236" s="806" t="s">
        <v>805</v>
      </c>
      <c r="D1236" s="807"/>
      <c r="E1236" s="11" t="s">
        <v>102</v>
      </c>
      <c r="F1236" s="12">
        <v>2</v>
      </c>
      <c r="G1236" s="12">
        <v>205.99</v>
      </c>
      <c r="H1236" s="12">
        <v>262.82</v>
      </c>
      <c r="I1236" s="13">
        <f>F1236*G1236</f>
        <v>411.98</v>
      </c>
      <c r="J1236" s="13">
        <f>F1236*H1236</f>
        <v>525.64</v>
      </c>
    </row>
    <row r="1237" spans="1:11" s="1" customFormat="1" ht="25.5" customHeight="1" x14ac:dyDescent="0.2">
      <c r="A1237" s="8"/>
      <c r="B1237" s="26">
        <v>44140</v>
      </c>
      <c r="C1237" s="808" t="s">
        <v>806</v>
      </c>
      <c r="D1237" s="809"/>
      <c r="E1237" s="8"/>
      <c r="F1237" s="8"/>
      <c r="G1237" s="8"/>
      <c r="H1237" s="8"/>
      <c r="I1237" s="8"/>
      <c r="J1237" s="8"/>
    </row>
    <row r="1238" spans="1:11" s="1" customFormat="1" ht="25.5" customHeight="1" x14ac:dyDescent="0.2">
      <c r="A1238" s="10">
        <v>39320</v>
      </c>
      <c r="B1238" s="11" t="s">
        <v>807</v>
      </c>
      <c r="C1238" s="806" t="s">
        <v>808</v>
      </c>
      <c r="D1238" s="807"/>
      <c r="E1238" s="11" t="s">
        <v>102</v>
      </c>
      <c r="F1238" s="12">
        <v>9</v>
      </c>
      <c r="G1238" s="12">
        <v>5.18</v>
      </c>
      <c r="H1238" s="12">
        <v>6.61</v>
      </c>
      <c r="I1238" s="13">
        <f>F1238*G1238</f>
        <v>46.62</v>
      </c>
      <c r="J1238" s="13">
        <f>F1238*H1238</f>
        <v>59.49</v>
      </c>
    </row>
    <row r="1239" spans="1:11" s="1" customFormat="1" ht="25.5" customHeight="1" x14ac:dyDescent="0.2">
      <c r="A1239" s="10">
        <v>39319</v>
      </c>
      <c r="B1239" s="11" t="s">
        <v>809</v>
      </c>
      <c r="C1239" s="806" t="s">
        <v>810</v>
      </c>
      <c r="D1239" s="807"/>
      <c r="E1239" s="11" t="s">
        <v>102</v>
      </c>
      <c r="F1239" s="12">
        <v>6</v>
      </c>
      <c r="G1239" s="12">
        <v>4.34</v>
      </c>
      <c r="H1239" s="12">
        <v>5.54</v>
      </c>
      <c r="I1239" s="13">
        <f>F1239*G1239</f>
        <v>26.04</v>
      </c>
      <c r="J1239" s="13">
        <f>F1239*H1239</f>
        <v>33.24</v>
      </c>
    </row>
    <row r="1240" spans="1:11" s="1" customFormat="1" ht="25.5" customHeight="1" x14ac:dyDescent="0.2">
      <c r="A1240" s="8"/>
      <c r="B1240" s="26">
        <v>44141</v>
      </c>
      <c r="C1240" s="808" t="s">
        <v>811</v>
      </c>
      <c r="D1240" s="809"/>
      <c r="E1240" s="8"/>
      <c r="F1240" s="8"/>
      <c r="G1240" s="8"/>
      <c r="H1240" s="8"/>
      <c r="I1240" s="8"/>
      <c r="J1240" s="8"/>
    </row>
    <row r="1241" spans="1:11" s="1" customFormat="1" ht="25.5" customHeight="1" x14ac:dyDescent="0.2">
      <c r="A1241" s="11" t="s">
        <v>78</v>
      </c>
      <c r="B1241" s="11" t="s">
        <v>812</v>
      </c>
      <c r="C1241" s="806" t="s">
        <v>813</v>
      </c>
      <c r="D1241" s="807"/>
      <c r="E1241" s="11" t="s">
        <v>102</v>
      </c>
      <c r="F1241" s="12">
        <v>11</v>
      </c>
      <c r="G1241" s="12">
        <v>376.56</v>
      </c>
      <c r="H1241" s="12">
        <v>480.45</v>
      </c>
      <c r="I1241" s="13">
        <f>F1241*G1241</f>
        <v>4142.16</v>
      </c>
      <c r="J1241" s="13">
        <f>F1241*H1241</f>
        <v>5284.95</v>
      </c>
    </row>
    <row r="1242" spans="1:11" s="1" customFormat="1" ht="25.5" customHeight="1" x14ac:dyDescent="0.2">
      <c r="A1242" s="11" t="s">
        <v>308</v>
      </c>
      <c r="B1242" s="11" t="s">
        <v>814</v>
      </c>
      <c r="C1242" s="806" t="s">
        <v>815</v>
      </c>
      <c r="D1242" s="807"/>
      <c r="E1242" s="11" t="s">
        <v>102</v>
      </c>
      <c r="F1242" s="12">
        <v>13</v>
      </c>
      <c r="G1242" s="12">
        <v>205.99</v>
      </c>
      <c r="H1242" s="12">
        <v>262.82</v>
      </c>
      <c r="I1242" s="13">
        <f>F1242*G1242</f>
        <v>2677.87</v>
      </c>
      <c r="J1242" s="13">
        <f>F1242*H1242</f>
        <v>3416.66</v>
      </c>
    </row>
    <row r="1243" spans="1:11" s="1" customFormat="1" ht="25.5" customHeight="1" x14ac:dyDescent="0.2">
      <c r="A1243" s="11" t="s">
        <v>78</v>
      </c>
      <c r="B1243" s="11" t="s">
        <v>816</v>
      </c>
      <c r="C1243" s="806" t="s">
        <v>817</v>
      </c>
      <c r="D1243" s="807"/>
      <c r="E1243" s="11" t="s">
        <v>102</v>
      </c>
      <c r="F1243" s="12">
        <v>2</v>
      </c>
      <c r="G1243" s="12">
        <v>472.96</v>
      </c>
      <c r="H1243" s="12">
        <v>603.45000000000005</v>
      </c>
      <c r="I1243" s="13">
        <f>F1243*G1243</f>
        <v>945.92</v>
      </c>
      <c r="J1243" s="13">
        <f>F1243*H1243</f>
        <v>1206.9000000000001</v>
      </c>
    </row>
    <row r="1244" spans="1:11" s="1" customFormat="1" ht="25.5" customHeight="1" x14ac:dyDescent="0.2">
      <c r="A1244" s="8"/>
      <c r="B1244" s="26">
        <v>44142</v>
      </c>
      <c r="C1244" s="808" t="s">
        <v>703</v>
      </c>
      <c r="D1244" s="809"/>
      <c r="E1244" s="8"/>
      <c r="F1244" s="8"/>
      <c r="G1244" s="8"/>
      <c r="H1244" s="8"/>
      <c r="I1244" s="8"/>
      <c r="J1244" s="8"/>
    </row>
    <row r="1245" spans="1:11" s="1" customFormat="1" ht="25.5" customHeight="1" x14ac:dyDescent="0.2">
      <c r="A1245" s="11" t="s">
        <v>818</v>
      </c>
      <c r="B1245" s="11" t="s">
        <v>819</v>
      </c>
      <c r="C1245" s="806" t="s">
        <v>820</v>
      </c>
      <c r="D1245" s="807"/>
      <c r="E1245" s="11" t="s">
        <v>102</v>
      </c>
      <c r="F1245" s="12">
        <v>1</v>
      </c>
      <c r="G1245" s="13">
        <v>3604.47</v>
      </c>
      <c r="H1245" s="13">
        <v>4598.9399999999996</v>
      </c>
      <c r="I1245" s="13">
        <f>F1245*G1245</f>
        <v>3604.47</v>
      </c>
      <c r="J1245" s="13">
        <f>F1245*H1245</f>
        <v>4598.9399999999996</v>
      </c>
    </row>
    <row r="1246" spans="1:11" s="1" customFormat="1" ht="25.5" customHeight="1" x14ac:dyDescent="0.2">
      <c r="A1246" s="11" t="s">
        <v>308</v>
      </c>
      <c r="B1246" s="11" t="s">
        <v>821</v>
      </c>
      <c r="C1246" s="806" t="s">
        <v>822</v>
      </c>
      <c r="D1246" s="807"/>
      <c r="E1246" s="11" t="s">
        <v>102</v>
      </c>
      <c r="F1246" s="12">
        <v>1</v>
      </c>
      <c r="G1246" s="12">
        <v>308.99</v>
      </c>
      <c r="H1246" s="12">
        <v>394.24</v>
      </c>
      <c r="I1246" s="13">
        <f>F1246*G1246</f>
        <v>308.99</v>
      </c>
      <c r="J1246" s="13">
        <f>F1246*H1246</f>
        <v>394.24</v>
      </c>
    </row>
    <row r="1247" spans="1:11" s="1" customFormat="1" ht="25.5" customHeight="1" x14ac:dyDescent="0.2">
      <c r="A1247" s="8"/>
      <c r="B1247" s="803" t="s">
        <v>823</v>
      </c>
      <c r="C1247" s="804"/>
      <c r="D1247" s="804"/>
      <c r="E1247" s="804"/>
      <c r="F1247" s="804"/>
      <c r="G1247" s="805"/>
      <c r="H1247" s="8"/>
      <c r="I1247" s="14">
        <f>SUM(I1175:I1246)</f>
        <v>41609.429999999993</v>
      </c>
      <c r="J1247" s="15">
        <f>SUM(J1175:J1246)-0.55</f>
        <v>53089.469999999987</v>
      </c>
      <c r="K1247" s="49"/>
    </row>
    <row r="1248" spans="1:11" s="1" customFormat="1" ht="25.5" customHeight="1" x14ac:dyDescent="0.2">
      <c r="A1248" s="8"/>
      <c r="B1248" s="46"/>
      <c r="C1248" s="821"/>
      <c r="D1248" s="822"/>
      <c r="E1248" s="8"/>
      <c r="F1248" s="8"/>
      <c r="G1248" s="8"/>
      <c r="H1248" s="8"/>
      <c r="I1248" s="8"/>
      <c r="J1248" s="8"/>
    </row>
    <row r="1249" spans="1:10" s="1" customFormat="1" ht="25.5" customHeight="1" x14ac:dyDescent="0.2">
      <c r="A1249" s="8"/>
      <c r="B1249" s="9" t="s">
        <v>824</v>
      </c>
      <c r="C1249" s="808" t="s">
        <v>825</v>
      </c>
      <c r="D1249" s="809"/>
      <c r="E1249" s="8"/>
      <c r="F1249" s="8"/>
      <c r="G1249" s="8"/>
      <c r="H1249" s="8"/>
      <c r="I1249" s="8"/>
      <c r="J1249" s="8"/>
    </row>
    <row r="1250" spans="1:10" s="1" customFormat="1" ht="25.5" customHeight="1" x14ac:dyDescent="0.2">
      <c r="A1250" s="8"/>
      <c r="B1250" s="9" t="s">
        <v>826</v>
      </c>
      <c r="C1250" s="808" t="s">
        <v>827</v>
      </c>
      <c r="D1250" s="809"/>
      <c r="E1250" s="8"/>
      <c r="F1250" s="8"/>
      <c r="G1250" s="8"/>
      <c r="H1250" s="8"/>
      <c r="I1250" s="8"/>
      <c r="J1250" s="8"/>
    </row>
    <row r="1251" spans="1:10" s="1" customFormat="1" ht="25.5" customHeight="1" x14ac:dyDescent="0.2">
      <c r="A1251" s="10">
        <v>96985</v>
      </c>
      <c r="B1251" s="21">
        <v>44197</v>
      </c>
      <c r="C1251" s="823" t="s">
        <v>863</v>
      </c>
      <c r="D1251" s="824"/>
      <c r="E1251" s="11" t="s">
        <v>102</v>
      </c>
      <c r="F1251" s="12">
        <v>3</v>
      </c>
      <c r="G1251" s="12">
        <v>38.270000000000003</v>
      </c>
      <c r="H1251" s="12">
        <v>48.83</v>
      </c>
      <c r="I1251" s="13">
        <f>F1251*G1251</f>
        <v>114.81</v>
      </c>
      <c r="J1251" s="13">
        <f>F1251*H1251</f>
        <v>146.49</v>
      </c>
    </row>
    <row r="1252" spans="1:10" s="1" customFormat="1" ht="25.5" customHeight="1" x14ac:dyDescent="0.2">
      <c r="A1252" s="10">
        <v>98111</v>
      </c>
      <c r="B1252" s="21">
        <v>44198</v>
      </c>
      <c r="C1252" s="806" t="s">
        <v>828</v>
      </c>
      <c r="D1252" s="807"/>
      <c r="E1252" s="11" t="s">
        <v>102</v>
      </c>
      <c r="F1252" s="12">
        <v>1</v>
      </c>
      <c r="G1252" s="12">
        <v>17.170000000000002</v>
      </c>
      <c r="H1252" s="12">
        <v>21.91</v>
      </c>
      <c r="I1252" s="13">
        <f>F1252*G1252</f>
        <v>17.170000000000002</v>
      </c>
      <c r="J1252" s="13">
        <f>F1252*H1252</f>
        <v>21.91</v>
      </c>
    </row>
    <row r="1253" spans="1:10" s="1" customFormat="1" ht="25.5" customHeight="1" x14ac:dyDescent="0.2">
      <c r="A1253" s="10">
        <v>39862</v>
      </c>
      <c r="B1253" s="21">
        <v>44199</v>
      </c>
      <c r="C1253" s="806" t="s">
        <v>829</v>
      </c>
      <c r="D1253" s="807"/>
      <c r="E1253" s="11" t="s">
        <v>102</v>
      </c>
      <c r="F1253" s="12">
        <v>3</v>
      </c>
      <c r="G1253" s="12">
        <v>5.62</v>
      </c>
      <c r="H1253" s="12">
        <v>7.17</v>
      </c>
      <c r="I1253" s="13">
        <f>F1253*G1253</f>
        <v>16.86</v>
      </c>
      <c r="J1253" s="13">
        <f>F1253*H1253</f>
        <v>21.509999999999998</v>
      </c>
    </row>
    <row r="1254" spans="1:10" s="1" customFormat="1" ht="25.5" customHeight="1" x14ac:dyDescent="0.2">
      <c r="A1254" s="8"/>
      <c r="B1254" s="803" t="s">
        <v>830</v>
      </c>
      <c r="C1254" s="804"/>
      <c r="D1254" s="804"/>
      <c r="E1254" s="804"/>
      <c r="F1254" s="804"/>
      <c r="G1254" s="805"/>
      <c r="H1254" s="8"/>
      <c r="I1254" s="28">
        <f>SUM(I1251:I1253)</f>
        <v>148.84000000000003</v>
      </c>
      <c r="J1254" s="28">
        <f>SUM(J1251:J1253)</f>
        <v>189.91</v>
      </c>
    </row>
    <row r="1255" spans="1:10" s="1" customFormat="1" ht="25.5" customHeight="1" x14ac:dyDescent="0.2">
      <c r="A1255" s="8"/>
      <c r="B1255" s="9" t="s">
        <v>831</v>
      </c>
      <c r="C1255" s="808" t="s">
        <v>832</v>
      </c>
      <c r="D1255" s="809"/>
      <c r="E1255" s="8"/>
      <c r="F1255" s="8"/>
      <c r="G1255" s="8"/>
      <c r="H1255" s="8"/>
      <c r="I1255" s="8"/>
      <c r="J1255" s="8"/>
    </row>
    <row r="1256" spans="1:10" s="1" customFormat="1" ht="25.5" customHeight="1" x14ac:dyDescent="0.2">
      <c r="A1256" s="10">
        <v>96974</v>
      </c>
      <c r="B1256" s="21">
        <v>44228</v>
      </c>
      <c r="C1256" s="806" t="s">
        <v>833</v>
      </c>
      <c r="D1256" s="807"/>
      <c r="E1256" s="11" t="s">
        <v>81</v>
      </c>
      <c r="F1256" s="12">
        <v>15</v>
      </c>
      <c r="G1256" s="12">
        <v>36.83</v>
      </c>
      <c r="H1256" s="12">
        <v>46.99</v>
      </c>
      <c r="I1256" s="13">
        <f>F1256*G1256</f>
        <v>552.44999999999993</v>
      </c>
      <c r="J1256" s="13">
        <f>F1256*H1256</f>
        <v>704.85</v>
      </c>
    </row>
    <row r="1257" spans="1:10" s="1" customFormat="1" ht="25.5" customHeight="1" x14ac:dyDescent="0.2">
      <c r="A1257" s="10">
        <v>96973</v>
      </c>
      <c r="B1257" s="21">
        <v>44229</v>
      </c>
      <c r="C1257" s="806" t="s">
        <v>834</v>
      </c>
      <c r="D1257" s="807"/>
      <c r="E1257" s="11" t="s">
        <v>81</v>
      </c>
      <c r="F1257" s="12">
        <v>8</v>
      </c>
      <c r="G1257" s="12">
        <v>29.32</v>
      </c>
      <c r="H1257" s="12">
        <v>37.409999999999997</v>
      </c>
      <c r="I1257" s="13">
        <f>F1257*G1257</f>
        <v>234.56</v>
      </c>
      <c r="J1257" s="13">
        <f>F1257*H1257</f>
        <v>299.27999999999997</v>
      </c>
    </row>
    <row r="1258" spans="1:10" s="1" customFormat="1" ht="25.5" customHeight="1" x14ac:dyDescent="0.2">
      <c r="A1258" s="8"/>
      <c r="B1258" s="803" t="s">
        <v>835</v>
      </c>
      <c r="C1258" s="804"/>
      <c r="D1258" s="804"/>
      <c r="E1258" s="804"/>
      <c r="F1258" s="804"/>
      <c r="G1258" s="805"/>
      <c r="H1258" s="8"/>
      <c r="I1258" s="28">
        <f>SUM(I1255:I1257)</f>
        <v>787.01</v>
      </c>
      <c r="J1258" s="28">
        <f>SUM(J1255:J1257)</f>
        <v>1004.13</v>
      </c>
    </row>
    <row r="1259" spans="1:10" s="1" customFormat="1" ht="25.5" customHeight="1" x14ac:dyDescent="0.2">
      <c r="A1259" s="8"/>
      <c r="B1259" s="9" t="s">
        <v>836</v>
      </c>
      <c r="C1259" s="808" t="s">
        <v>837</v>
      </c>
      <c r="D1259" s="809"/>
      <c r="E1259" s="8"/>
      <c r="F1259" s="8"/>
      <c r="G1259" s="8"/>
      <c r="H1259" s="8"/>
      <c r="I1259" s="8"/>
      <c r="J1259" s="8"/>
    </row>
    <row r="1260" spans="1:10" s="1" customFormat="1" ht="25.5" customHeight="1" x14ac:dyDescent="0.2">
      <c r="A1260" s="2" t="s">
        <v>838</v>
      </c>
      <c r="B1260" s="21">
        <v>44256</v>
      </c>
      <c r="C1260" s="806" t="s">
        <v>839</v>
      </c>
      <c r="D1260" s="807"/>
      <c r="E1260" s="11" t="s">
        <v>102</v>
      </c>
      <c r="F1260" s="12">
        <v>1</v>
      </c>
      <c r="G1260" s="13">
        <v>1679.04</v>
      </c>
      <c r="H1260" s="13">
        <v>2142.29</v>
      </c>
      <c r="I1260" s="13">
        <f t="shared" ref="I1260:I1265" si="102">F1260*G1260</f>
        <v>1679.04</v>
      </c>
      <c r="J1260" s="13">
        <f t="shared" ref="J1260:J1265" si="103">F1260*H1260</f>
        <v>2142.29</v>
      </c>
    </row>
    <row r="1261" spans="1:10" s="1" customFormat="1" ht="25.5" customHeight="1" x14ac:dyDescent="0.2">
      <c r="A1261" s="11" t="s">
        <v>840</v>
      </c>
      <c r="B1261" s="21">
        <v>44257</v>
      </c>
      <c r="C1261" s="806" t="s">
        <v>841</v>
      </c>
      <c r="D1261" s="807"/>
      <c r="E1261" s="11" t="s">
        <v>102</v>
      </c>
      <c r="F1261" s="12">
        <v>1</v>
      </c>
      <c r="G1261" s="12">
        <v>214.05</v>
      </c>
      <c r="H1261" s="12">
        <v>273.10000000000002</v>
      </c>
      <c r="I1261" s="13">
        <f t="shared" si="102"/>
        <v>214.05</v>
      </c>
      <c r="J1261" s="13">
        <f t="shared" si="103"/>
        <v>273.10000000000002</v>
      </c>
    </row>
    <row r="1262" spans="1:10" s="1" customFormat="1" ht="25.5" customHeight="1" x14ac:dyDescent="0.2">
      <c r="A1262" s="11" t="s">
        <v>842</v>
      </c>
      <c r="B1262" s="21">
        <v>44258</v>
      </c>
      <c r="C1262" s="806" t="s">
        <v>843</v>
      </c>
      <c r="D1262" s="807"/>
      <c r="E1262" s="11" t="s">
        <v>102</v>
      </c>
      <c r="F1262" s="12">
        <v>2</v>
      </c>
      <c r="G1262" s="12">
        <v>320</v>
      </c>
      <c r="H1262" s="12">
        <v>408.28</v>
      </c>
      <c r="I1262" s="13">
        <f t="shared" si="102"/>
        <v>640</v>
      </c>
      <c r="J1262" s="13">
        <f t="shared" si="103"/>
        <v>816.56</v>
      </c>
    </row>
    <row r="1263" spans="1:10" s="1" customFormat="1" ht="25.5" customHeight="1" x14ac:dyDescent="0.2">
      <c r="A1263" s="11" t="s">
        <v>842</v>
      </c>
      <c r="B1263" s="21">
        <v>44259</v>
      </c>
      <c r="C1263" s="806" t="s">
        <v>844</v>
      </c>
      <c r="D1263" s="807"/>
      <c r="E1263" s="11" t="s">
        <v>102</v>
      </c>
      <c r="F1263" s="12">
        <v>1</v>
      </c>
      <c r="G1263" s="12">
        <v>320</v>
      </c>
      <c r="H1263" s="12">
        <v>408.28</v>
      </c>
      <c r="I1263" s="13">
        <f t="shared" si="102"/>
        <v>320</v>
      </c>
      <c r="J1263" s="13">
        <f t="shared" si="103"/>
        <v>408.28</v>
      </c>
    </row>
    <row r="1264" spans="1:10" s="1" customFormat="1" ht="25.5" customHeight="1" x14ac:dyDescent="0.2">
      <c r="A1264" s="11" t="s">
        <v>842</v>
      </c>
      <c r="B1264" s="21">
        <v>44260</v>
      </c>
      <c r="C1264" s="806" t="s">
        <v>845</v>
      </c>
      <c r="D1264" s="807"/>
      <c r="E1264" s="11" t="s">
        <v>102</v>
      </c>
      <c r="F1264" s="12">
        <v>1</v>
      </c>
      <c r="G1264" s="12">
        <v>320</v>
      </c>
      <c r="H1264" s="12">
        <v>408.28</v>
      </c>
      <c r="I1264" s="13">
        <f t="shared" si="102"/>
        <v>320</v>
      </c>
      <c r="J1264" s="13">
        <f t="shared" si="103"/>
        <v>408.28</v>
      </c>
    </row>
    <row r="1265" spans="1:10" s="1" customFormat="1" ht="25.5" customHeight="1" x14ac:dyDescent="0.2">
      <c r="A1265" s="11" t="s">
        <v>308</v>
      </c>
      <c r="B1265" s="21">
        <v>44261</v>
      </c>
      <c r="C1265" s="806" t="s">
        <v>846</v>
      </c>
      <c r="D1265" s="807"/>
      <c r="E1265" s="11" t="s">
        <v>102</v>
      </c>
      <c r="F1265" s="12">
        <v>1</v>
      </c>
      <c r="G1265" s="12">
        <v>282.57</v>
      </c>
      <c r="H1265" s="12">
        <v>360.53</v>
      </c>
      <c r="I1265" s="13">
        <f t="shared" si="102"/>
        <v>282.57</v>
      </c>
      <c r="J1265" s="13">
        <f t="shared" si="103"/>
        <v>360.53</v>
      </c>
    </row>
    <row r="1266" spans="1:10" s="1" customFormat="1" ht="25.5" customHeight="1" x14ac:dyDescent="0.2">
      <c r="A1266" s="8"/>
      <c r="B1266" s="803" t="s">
        <v>847</v>
      </c>
      <c r="C1266" s="804"/>
      <c r="D1266" s="804"/>
      <c r="E1266" s="804"/>
      <c r="F1266" s="804"/>
      <c r="G1266" s="805"/>
      <c r="H1266" s="8"/>
      <c r="I1266" s="28">
        <f>SUM(I1260:I1265)</f>
        <v>3455.6600000000003</v>
      </c>
      <c r="J1266" s="28">
        <f>SUM(J1260:J1265)</f>
        <v>4409.0399999999991</v>
      </c>
    </row>
    <row r="1267" spans="1:10" s="1" customFormat="1" ht="25.5" customHeight="1" x14ac:dyDescent="0.2">
      <c r="A1267" s="8"/>
      <c r="B1267" s="9" t="s">
        <v>848</v>
      </c>
      <c r="C1267" s="808" t="s">
        <v>849</v>
      </c>
      <c r="D1267" s="809"/>
      <c r="E1267" s="8"/>
      <c r="F1267" s="8"/>
      <c r="G1267" s="8"/>
      <c r="H1267" s="8"/>
      <c r="I1267" s="8"/>
      <c r="J1267" s="8"/>
    </row>
    <row r="1268" spans="1:10" s="1" customFormat="1" ht="25.5" customHeight="1" x14ac:dyDescent="0.2">
      <c r="A1268" s="11" t="s">
        <v>842</v>
      </c>
      <c r="B1268" s="21">
        <v>44287</v>
      </c>
      <c r="C1268" s="806" t="s">
        <v>850</v>
      </c>
      <c r="D1268" s="807"/>
      <c r="E1268" s="11" t="s">
        <v>102</v>
      </c>
      <c r="F1268" s="12">
        <v>2</v>
      </c>
      <c r="G1268" s="12">
        <v>320</v>
      </c>
      <c r="H1268" s="12">
        <v>408.28</v>
      </c>
      <c r="I1268" s="13">
        <f>F1268*G1268</f>
        <v>640</v>
      </c>
      <c r="J1268" s="13">
        <f>F1268*H1268</f>
        <v>816.56</v>
      </c>
    </row>
    <row r="1269" spans="1:10" s="1" customFormat="1" ht="25.5" customHeight="1" x14ac:dyDescent="0.2">
      <c r="A1269" s="11" t="s">
        <v>851</v>
      </c>
      <c r="B1269" s="21">
        <v>44288</v>
      </c>
      <c r="C1269" s="806" t="s">
        <v>852</v>
      </c>
      <c r="D1269" s="807"/>
      <c r="E1269" s="11" t="s">
        <v>102</v>
      </c>
      <c r="F1269" s="12">
        <v>1</v>
      </c>
      <c r="G1269" s="12">
        <v>950.49</v>
      </c>
      <c r="H1269" s="13">
        <v>1212.73</v>
      </c>
      <c r="I1269" s="13">
        <f>F1269*G1269</f>
        <v>950.49</v>
      </c>
      <c r="J1269" s="13">
        <f>F1269*H1269</f>
        <v>1212.73</v>
      </c>
    </row>
    <row r="1270" spans="1:10" s="1" customFormat="1" ht="25.5" customHeight="1" x14ac:dyDescent="0.2">
      <c r="A1270" s="31" t="s">
        <v>853</v>
      </c>
      <c r="B1270" s="30">
        <v>44289</v>
      </c>
      <c r="C1270" s="823" t="s">
        <v>864</v>
      </c>
      <c r="D1270" s="824"/>
      <c r="E1270" s="31" t="s">
        <v>102</v>
      </c>
      <c r="F1270" s="32">
        <v>1</v>
      </c>
      <c r="G1270" s="33">
        <v>1309.99</v>
      </c>
      <c r="H1270" s="33">
        <v>1671.41</v>
      </c>
      <c r="I1270" s="13">
        <f>F1270*G1270</f>
        <v>1309.99</v>
      </c>
      <c r="J1270" s="13">
        <f>F1270*H1270</f>
        <v>1671.41</v>
      </c>
    </row>
    <row r="1271" spans="1:10" s="1" customFormat="1" ht="25.5" customHeight="1" x14ac:dyDescent="0.2">
      <c r="A1271" s="8"/>
      <c r="B1271" s="803" t="s">
        <v>854</v>
      </c>
      <c r="C1271" s="804"/>
      <c r="D1271" s="804"/>
      <c r="E1271" s="804"/>
      <c r="F1271" s="804"/>
      <c r="G1271" s="805"/>
      <c r="H1271" s="8"/>
      <c r="I1271" s="18">
        <f>SUM(I1268:I1270)</f>
        <v>2900.48</v>
      </c>
      <c r="J1271" s="18">
        <f>SUM(J1268:J1270)</f>
        <v>3700.7</v>
      </c>
    </row>
    <row r="1272" spans="1:10" s="1" customFormat="1" ht="25.5" customHeight="1" x14ac:dyDescent="0.2">
      <c r="A1272" s="8"/>
      <c r="B1272" s="9" t="s">
        <v>855</v>
      </c>
      <c r="C1272" s="808" t="s">
        <v>856</v>
      </c>
      <c r="D1272" s="809"/>
      <c r="E1272" s="8"/>
      <c r="F1272" s="8"/>
      <c r="G1272" s="8"/>
      <c r="H1272" s="8"/>
      <c r="I1272" s="8"/>
      <c r="J1272" s="8"/>
    </row>
    <row r="1273" spans="1:10" s="1" customFormat="1" ht="25.5" customHeight="1" x14ac:dyDescent="0.2">
      <c r="A1273" s="10">
        <v>2504</v>
      </c>
      <c r="B1273" s="21">
        <v>44317</v>
      </c>
      <c r="C1273" s="806" t="s">
        <v>857</v>
      </c>
      <c r="D1273" s="807"/>
      <c r="E1273" s="11" t="s">
        <v>81</v>
      </c>
      <c r="F1273" s="12">
        <v>160</v>
      </c>
      <c r="G1273" s="12">
        <v>5.51</v>
      </c>
      <c r="H1273" s="12">
        <v>7.03</v>
      </c>
      <c r="I1273" s="13">
        <f t="shared" ref="I1273:I1284" si="104">F1273*G1273</f>
        <v>881.59999999999991</v>
      </c>
      <c r="J1273" s="13">
        <f t="shared" ref="J1273:J1284" si="105">F1273*H1273</f>
        <v>1124.8</v>
      </c>
    </row>
    <row r="1274" spans="1:10" s="1" customFormat="1" ht="25.5" customHeight="1" x14ac:dyDescent="0.2">
      <c r="A1274" s="10">
        <v>91844</v>
      </c>
      <c r="B1274" s="21">
        <v>44318</v>
      </c>
      <c r="C1274" s="806" t="s">
        <v>858</v>
      </c>
      <c r="D1274" s="807"/>
      <c r="E1274" s="11" t="s">
        <v>81</v>
      </c>
      <c r="F1274" s="13">
        <v>1250</v>
      </c>
      <c r="G1274" s="12">
        <v>4.1500000000000004</v>
      </c>
      <c r="H1274" s="12">
        <v>5.29</v>
      </c>
      <c r="I1274" s="13">
        <f t="shared" si="104"/>
        <v>5187.5</v>
      </c>
      <c r="J1274" s="13">
        <f t="shared" si="105"/>
        <v>6612.5</v>
      </c>
    </row>
    <row r="1275" spans="1:10" s="1" customFormat="1" ht="25.5" customHeight="1" x14ac:dyDescent="0.2">
      <c r="A1275" s="10">
        <v>91846</v>
      </c>
      <c r="B1275" s="21">
        <v>44319</v>
      </c>
      <c r="C1275" s="806" t="s">
        <v>859</v>
      </c>
      <c r="D1275" s="807"/>
      <c r="E1275" s="11" t="s">
        <v>81</v>
      </c>
      <c r="F1275" s="12">
        <v>200</v>
      </c>
      <c r="G1275" s="12">
        <v>5.77</v>
      </c>
      <c r="H1275" s="12">
        <v>7.36</v>
      </c>
      <c r="I1275" s="13">
        <f t="shared" si="104"/>
        <v>1154</v>
      </c>
      <c r="J1275" s="13">
        <f t="shared" si="105"/>
        <v>1472</v>
      </c>
    </row>
    <row r="1276" spans="1:10" s="1" customFormat="1" ht="25.5" customHeight="1" x14ac:dyDescent="0.2">
      <c r="A1276" s="11" t="s">
        <v>78</v>
      </c>
      <c r="B1276" s="21">
        <v>44320</v>
      </c>
      <c r="C1276" s="806" t="s">
        <v>860</v>
      </c>
      <c r="D1276" s="807"/>
      <c r="E1276" s="11" t="s">
        <v>102</v>
      </c>
      <c r="F1276" s="12">
        <v>25</v>
      </c>
      <c r="G1276" s="12">
        <v>44.63</v>
      </c>
      <c r="H1276" s="12">
        <v>56.94</v>
      </c>
      <c r="I1276" s="13">
        <f t="shared" si="104"/>
        <v>1115.75</v>
      </c>
      <c r="J1276" s="13">
        <f t="shared" si="105"/>
        <v>1423.5</v>
      </c>
    </row>
    <row r="1277" spans="1:10" s="1" customFormat="1" ht="25.5" customHeight="1" x14ac:dyDescent="0.2">
      <c r="A1277" s="10">
        <v>39246</v>
      </c>
      <c r="B1277" s="21">
        <v>44321</v>
      </c>
      <c r="C1277" s="806" t="s">
        <v>861</v>
      </c>
      <c r="D1277" s="807"/>
      <c r="E1277" s="11" t="s">
        <v>81</v>
      </c>
      <c r="F1277" s="12">
        <v>30</v>
      </c>
      <c r="G1277" s="12">
        <v>2.0299999999999998</v>
      </c>
      <c r="H1277" s="12">
        <v>2.6</v>
      </c>
      <c r="I1277" s="13">
        <f t="shared" si="104"/>
        <v>60.899999999999991</v>
      </c>
      <c r="J1277" s="13">
        <f t="shared" si="105"/>
        <v>78</v>
      </c>
    </row>
    <row r="1278" spans="1:10" s="1" customFormat="1" ht="25.5" customHeight="1" x14ac:dyDescent="0.2">
      <c r="A1278" s="10">
        <v>2446</v>
      </c>
      <c r="B1278" s="21">
        <v>44322</v>
      </c>
      <c r="C1278" s="806" t="s">
        <v>862</v>
      </c>
      <c r="D1278" s="807"/>
      <c r="E1278" s="11" t="s">
        <v>81</v>
      </c>
      <c r="F1278" s="12">
        <v>55</v>
      </c>
      <c r="G1278" s="12">
        <v>2.93</v>
      </c>
      <c r="H1278" s="12">
        <v>3.73</v>
      </c>
      <c r="I1278" s="13">
        <f t="shared" si="104"/>
        <v>161.15</v>
      </c>
      <c r="J1278" s="13">
        <f t="shared" si="105"/>
        <v>205.15</v>
      </c>
    </row>
    <row r="1279" spans="1:10" s="1" customFormat="1" ht="25.5" customHeight="1" x14ac:dyDescent="0.2">
      <c r="A1279" s="10">
        <v>2442</v>
      </c>
      <c r="B1279" s="21">
        <v>44323</v>
      </c>
      <c r="C1279" s="806" t="s">
        <v>865</v>
      </c>
      <c r="D1279" s="807"/>
      <c r="E1279" s="11" t="s">
        <v>81</v>
      </c>
      <c r="F1279" s="12">
        <v>60</v>
      </c>
      <c r="G1279" s="12">
        <v>4.0999999999999996</v>
      </c>
      <c r="H1279" s="12">
        <v>5.22</v>
      </c>
      <c r="I1279" s="13">
        <f t="shared" si="104"/>
        <v>245.99999999999997</v>
      </c>
      <c r="J1279" s="13">
        <f t="shared" si="105"/>
        <v>313.2</v>
      </c>
    </row>
    <row r="1280" spans="1:10" s="1" customFormat="1" ht="25.5" customHeight="1" x14ac:dyDescent="0.2">
      <c r="A1280" s="10">
        <v>39248</v>
      </c>
      <c r="B1280" s="21">
        <v>44324</v>
      </c>
      <c r="C1280" s="806" t="s">
        <v>866</v>
      </c>
      <c r="D1280" s="807"/>
      <c r="E1280" s="11" t="s">
        <v>81</v>
      </c>
      <c r="F1280" s="12">
        <v>60</v>
      </c>
      <c r="G1280" s="12">
        <v>5.71</v>
      </c>
      <c r="H1280" s="12">
        <v>7.28</v>
      </c>
      <c r="I1280" s="13">
        <f t="shared" si="104"/>
        <v>342.6</v>
      </c>
      <c r="J1280" s="13">
        <f t="shared" si="105"/>
        <v>436.8</v>
      </c>
    </row>
    <row r="1281" spans="1:10" s="1" customFormat="1" ht="25.5" customHeight="1" x14ac:dyDescent="0.2">
      <c r="A1281" s="11" t="s">
        <v>308</v>
      </c>
      <c r="B1281" s="21">
        <v>44325</v>
      </c>
      <c r="C1281" s="806" t="s">
        <v>867</v>
      </c>
      <c r="D1281" s="807"/>
      <c r="E1281" s="11" t="s">
        <v>81</v>
      </c>
      <c r="F1281" s="12">
        <v>200</v>
      </c>
      <c r="G1281" s="12">
        <v>9.8699999999999992</v>
      </c>
      <c r="H1281" s="12">
        <v>12.59</v>
      </c>
      <c r="I1281" s="13">
        <f t="shared" si="104"/>
        <v>1973.9999999999998</v>
      </c>
      <c r="J1281" s="13">
        <f t="shared" si="105"/>
        <v>2518</v>
      </c>
    </row>
    <row r="1282" spans="1:10" s="1" customFormat="1" ht="25.5" customHeight="1" x14ac:dyDescent="0.2">
      <c r="A1282" s="10">
        <v>39272</v>
      </c>
      <c r="B1282" s="34">
        <v>40319</v>
      </c>
      <c r="C1282" s="806" t="s">
        <v>868</v>
      </c>
      <c r="D1282" s="807"/>
      <c r="E1282" s="11" t="s">
        <v>102</v>
      </c>
      <c r="F1282" s="12">
        <v>180</v>
      </c>
      <c r="G1282" s="12">
        <v>1.47</v>
      </c>
      <c r="H1282" s="12">
        <v>1.87</v>
      </c>
      <c r="I1282" s="13">
        <f t="shared" si="104"/>
        <v>264.60000000000002</v>
      </c>
      <c r="J1282" s="13">
        <f t="shared" si="105"/>
        <v>336.6</v>
      </c>
    </row>
    <row r="1283" spans="1:10" s="1" customFormat="1" ht="25.5" customHeight="1" x14ac:dyDescent="0.2">
      <c r="A1283" s="11" t="s">
        <v>308</v>
      </c>
      <c r="B1283" s="34">
        <v>40684</v>
      </c>
      <c r="C1283" s="806" t="s">
        <v>869</v>
      </c>
      <c r="D1283" s="807"/>
      <c r="E1283" s="11" t="s">
        <v>102</v>
      </c>
      <c r="F1283" s="12">
        <v>800</v>
      </c>
      <c r="G1283" s="12">
        <v>1.1200000000000001</v>
      </c>
      <c r="H1283" s="12">
        <v>1.43</v>
      </c>
      <c r="I1283" s="13">
        <f t="shared" si="104"/>
        <v>896.00000000000011</v>
      </c>
      <c r="J1283" s="13">
        <f t="shared" si="105"/>
        <v>1144</v>
      </c>
    </row>
    <row r="1284" spans="1:10" s="1" customFormat="1" ht="25.5" customHeight="1" x14ac:dyDescent="0.2">
      <c r="A1284" s="11" t="s">
        <v>308</v>
      </c>
      <c r="B1284" s="34">
        <v>41050</v>
      </c>
      <c r="C1284" s="806" t="s">
        <v>870</v>
      </c>
      <c r="D1284" s="807"/>
      <c r="E1284" s="11" t="s">
        <v>102</v>
      </c>
      <c r="F1284" s="12">
        <v>120</v>
      </c>
      <c r="G1284" s="12">
        <v>2.2400000000000002</v>
      </c>
      <c r="H1284" s="12">
        <v>2.86</v>
      </c>
      <c r="I1284" s="13">
        <f t="shared" si="104"/>
        <v>268.8</v>
      </c>
      <c r="J1284" s="13">
        <f t="shared" si="105"/>
        <v>343.2</v>
      </c>
    </row>
    <row r="1285" spans="1:10" s="1" customFormat="1" ht="25.5" customHeight="1" x14ac:dyDescent="0.2">
      <c r="A1285" s="8"/>
      <c r="B1285" s="803" t="s">
        <v>871</v>
      </c>
      <c r="C1285" s="804"/>
      <c r="D1285" s="804"/>
      <c r="E1285" s="804"/>
      <c r="F1285" s="804"/>
      <c r="G1285" s="805"/>
      <c r="H1285" s="8"/>
      <c r="I1285" s="18">
        <f>SUM(I1273:I1284)</f>
        <v>12552.9</v>
      </c>
      <c r="J1285" s="18">
        <f>SUM(J1273:J1284)</f>
        <v>16007.75</v>
      </c>
    </row>
    <row r="1286" spans="1:10" s="1" customFormat="1" ht="25.5" customHeight="1" x14ac:dyDescent="0.2">
      <c r="A1286" s="8"/>
      <c r="B1286" s="9" t="s">
        <v>872</v>
      </c>
      <c r="C1286" s="808" t="s">
        <v>873</v>
      </c>
      <c r="D1286" s="809"/>
      <c r="E1286" s="8"/>
      <c r="F1286" s="8"/>
      <c r="G1286" s="8"/>
      <c r="H1286" s="8"/>
      <c r="I1286" s="8"/>
      <c r="J1286" s="8"/>
    </row>
    <row r="1287" spans="1:10" s="1" customFormat="1" ht="25.5" customHeight="1" x14ac:dyDescent="0.2">
      <c r="A1287" s="35"/>
      <c r="B1287" s="47"/>
      <c r="C1287" s="806" t="s">
        <v>874</v>
      </c>
      <c r="D1287" s="807"/>
      <c r="E1287" s="35"/>
      <c r="F1287" s="35"/>
      <c r="G1287" s="35"/>
      <c r="H1287" s="35"/>
      <c r="I1287" s="35"/>
      <c r="J1287" s="35"/>
    </row>
    <row r="1288" spans="1:10" s="1" customFormat="1" ht="25.5" customHeight="1" x14ac:dyDescent="0.2">
      <c r="A1288" s="36">
        <v>1014</v>
      </c>
      <c r="B1288" s="21">
        <v>44348</v>
      </c>
      <c r="C1288" s="806" t="s">
        <v>875</v>
      </c>
      <c r="D1288" s="807"/>
      <c r="E1288" s="11" t="s">
        <v>81</v>
      </c>
      <c r="F1288" s="13">
        <v>7200</v>
      </c>
      <c r="G1288" s="12">
        <v>1.03</v>
      </c>
      <c r="H1288" s="12">
        <v>1.31</v>
      </c>
      <c r="I1288" s="13">
        <f>F1288*G1288</f>
        <v>7416</v>
      </c>
      <c r="J1288" s="13">
        <f>F1288*H1288</f>
        <v>9432</v>
      </c>
    </row>
    <row r="1289" spans="1:10" s="1" customFormat="1" ht="25.5" customHeight="1" x14ac:dyDescent="0.2">
      <c r="A1289" s="36">
        <v>981</v>
      </c>
      <c r="B1289" s="21">
        <v>44349</v>
      </c>
      <c r="C1289" s="806" t="s">
        <v>876</v>
      </c>
      <c r="D1289" s="807"/>
      <c r="E1289" s="11" t="s">
        <v>81</v>
      </c>
      <c r="F1289" s="12">
        <v>750</v>
      </c>
      <c r="G1289" s="12">
        <v>1.84</v>
      </c>
      <c r="H1289" s="12">
        <v>2.35</v>
      </c>
      <c r="I1289" s="13">
        <f>F1289*G1289</f>
        <v>1380</v>
      </c>
      <c r="J1289" s="13">
        <f>F1289*H1289</f>
        <v>1762.5</v>
      </c>
    </row>
    <row r="1290" spans="1:10" s="1" customFormat="1" ht="25.5" customHeight="1" x14ac:dyDescent="0.2">
      <c r="A1290" s="36">
        <v>982</v>
      </c>
      <c r="B1290" s="21">
        <v>44350</v>
      </c>
      <c r="C1290" s="806" t="s">
        <v>877</v>
      </c>
      <c r="D1290" s="807"/>
      <c r="E1290" s="11" t="s">
        <v>81</v>
      </c>
      <c r="F1290" s="12">
        <v>300</v>
      </c>
      <c r="G1290" s="12">
        <v>2.57</v>
      </c>
      <c r="H1290" s="12">
        <v>3.28</v>
      </c>
      <c r="I1290" s="13">
        <f>F1290*G1290</f>
        <v>771</v>
      </c>
      <c r="J1290" s="13">
        <f>F1290*H1290</f>
        <v>983.99999999999989</v>
      </c>
    </row>
    <row r="1291" spans="1:10" s="1" customFormat="1" ht="25.5" customHeight="1" x14ac:dyDescent="0.2">
      <c r="A1291" s="35"/>
      <c r="B1291" s="47"/>
      <c r="C1291" s="806" t="s">
        <v>878</v>
      </c>
      <c r="D1291" s="807"/>
      <c r="E1291" s="35"/>
      <c r="F1291" s="35"/>
      <c r="G1291" s="35"/>
      <c r="H1291" s="35"/>
      <c r="I1291" s="35"/>
      <c r="J1291" s="35"/>
    </row>
    <row r="1292" spans="1:10" s="1" customFormat="1" ht="25.5" customHeight="1" x14ac:dyDescent="0.2">
      <c r="A1292" s="36">
        <v>994</v>
      </c>
      <c r="B1292" s="21">
        <v>44351</v>
      </c>
      <c r="C1292" s="806" t="s">
        <v>877</v>
      </c>
      <c r="D1292" s="807"/>
      <c r="E1292" s="11" t="s">
        <v>81</v>
      </c>
      <c r="F1292" s="12">
        <v>400</v>
      </c>
      <c r="G1292" s="12">
        <v>3</v>
      </c>
      <c r="H1292" s="12">
        <v>3.83</v>
      </c>
      <c r="I1292" s="13">
        <f t="shared" ref="I1292:I1297" si="106">F1292*G1292</f>
        <v>1200</v>
      </c>
      <c r="J1292" s="13">
        <f t="shared" ref="J1292:J1297" si="107">F1292*H1292</f>
        <v>1532</v>
      </c>
    </row>
    <row r="1293" spans="1:10" s="1" customFormat="1" ht="25.5" customHeight="1" x14ac:dyDescent="0.2">
      <c r="A1293" s="36">
        <v>1020</v>
      </c>
      <c r="B1293" s="21">
        <v>44352</v>
      </c>
      <c r="C1293" s="806" t="s">
        <v>879</v>
      </c>
      <c r="D1293" s="807"/>
      <c r="E1293" s="11" t="s">
        <v>81</v>
      </c>
      <c r="F1293" s="12">
        <v>100</v>
      </c>
      <c r="G1293" s="12">
        <v>4.8</v>
      </c>
      <c r="H1293" s="12">
        <v>6.12</v>
      </c>
      <c r="I1293" s="13">
        <f t="shared" si="106"/>
        <v>480</v>
      </c>
      <c r="J1293" s="13">
        <f t="shared" si="107"/>
        <v>612</v>
      </c>
    </row>
    <row r="1294" spans="1:10" s="1" customFormat="1" ht="25.5" customHeight="1" x14ac:dyDescent="0.2">
      <c r="A1294" s="36">
        <v>995</v>
      </c>
      <c r="B1294" s="21">
        <v>44353</v>
      </c>
      <c r="C1294" s="806" t="s">
        <v>880</v>
      </c>
      <c r="D1294" s="807"/>
      <c r="E1294" s="11" t="s">
        <v>81</v>
      </c>
      <c r="F1294" s="12">
        <v>500</v>
      </c>
      <c r="G1294" s="12">
        <v>7.37</v>
      </c>
      <c r="H1294" s="12">
        <v>9.4</v>
      </c>
      <c r="I1294" s="13">
        <f t="shared" si="106"/>
        <v>3685</v>
      </c>
      <c r="J1294" s="13">
        <f t="shared" si="107"/>
        <v>4700</v>
      </c>
    </row>
    <row r="1295" spans="1:10" s="1" customFormat="1" ht="25.5" customHeight="1" x14ac:dyDescent="0.2">
      <c r="A1295" s="36">
        <v>996</v>
      </c>
      <c r="B1295" s="21">
        <v>44354</v>
      </c>
      <c r="C1295" s="806" t="s">
        <v>881</v>
      </c>
      <c r="D1295" s="807"/>
      <c r="E1295" s="11" t="s">
        <v>81</v>
      </c>
      <c r="F1295" s="12">
        <v>25</v>
      </c>
      <c r="G1295" s="12">
        <v>11.21</v>
      </c>
      <c r="H1295" s="12">
        <v>14.3</v>
      </c>
      <c r="I1295" s="13">
        <f t="shared" si="106"/>
        <v>280.25</v>
      </c>
      <c r="J1295" s="13">
        <f t="shared" si="107"/>
        <v>357.5</v>
      </c>
    </row>
    <row r="1296" spans="1:10" s="1" customFormat="1" ht="25.5" customHeight="1" x14ac:dyDescent="0.2">
      <c r="A1296" s="36">
        <v>1019</v>
      </c>
      <c r="B1296" s="21">
        <v>44355</v>
      </c>
      <c r="C1296" s="806" t="s">
        <v>882</v>
      </c>
      <c r="D1296" s="807"/>
      <c r="E1296" s="11" t="s">
        <v>81</v>
      </c>
      <c r="F1296" s="12">
        <v>125</v>
      </c>
      <c r="G1296" s="12">
        <v>15.46</v>
      </c>
      <c r="H1296" s="12">
        <v>19.73</v>
      </c>
      <c r="I1296" s="13">
        <f t="shared" si="106"/>
        <v>1932.5</v>
      </c>
      <c r="J1296" s="13">
        <f t="shared" si="107"/>
        <v>2466.25</v>
      </c>
    </row>
    <row r="1297" spans="1:10" s="1" customFormat="1" ht="25.5" customHeight="1" x14ac:dyDescent="0.2">
      <c r="A1297" s="36">
        <v>1018</v>
      </c>
      <c r="B1297" s="21">
        <v>44356</v>
      </c>
      <c r="C1297" s="806" t="s">
        <v>883</v>
      </c>
      <c r="D1297" s="807"/>
      <c r="E1297" s="11" t="s">
        <v>81</v>
      </c>
      <c r="F1297" s="12">
        <v>130</v>
      </c>
      <c r="G1297" s="12">
        <v>22.04</v>
      </c>
      <c r="H1297" s="12">
        <v>28.12</v>
      </c>
      <c r="I1297" s="13">
        <f t="shared" si="106"/>
        <v>2865.2</v>
      </c>
      <c r="J1297" s="13">
        <f t="shared" si="107"/>
        <v>3655.6</v>
      </c>
    </row>
    <row r="1298" spans="1:10" s="1" customFormat="1" ht="25.5" customHeight="1" x14ac:dyDescent="0.2">
      <c r="A1298" s="35"/>
      <c r="B1298" s="47"/>
      <c r="C1298" s="806" t="s">
        <v>884</v>
      </c>
      <c r="D1298" s="807"/>
      <c r="E1298" s="35"/>
      <c r="F1298" s="35"/>
      <c r="G1298" s="35"/>
      <c r="H1298" s="35"/>
      <c r="I1298" s="35"/>
      <c r="J1298" s="35"/>
    </row>
    <row r="1299" spans="1:10" s="1" customFormat="1" ht="25.5" customHeight="1" x14ac:dyDescent="0.2">
      <c r="A1299" s="10">
        <v>39257</v>
      </c>
      <c r="B1299" s="34">
        <v>40350</v>
      </c>
      <c r="C1299" s="806" t="s">
        <v>885</v>
      </c>
      <c r="D1299" s="807"/>
      <c r="E1299" s="11" t="s">
        <v>81</v>
      </c>
      <c r="F1299" s="12">
        <v>50</v>
      </c>
      <c r="G1299" s="12">
        <v>2.81</v>
      </c>
      <c r="H1299" s="12">
        <v>3.59</v>
      </c>
      <c r="I1299" s="13">
        <f>F1299*G1299</f>
        <v>140.5</v>
      </c>
      <c r="J1299" s="13">
        <f>F1299*H1299</f>
        <v>179.5</v>
      </c>
    </row>
    <row r="1300" spans="1:10" s="1" customFormat="1" ht="25.5" customHeight="1" x14ac:dyDescent="0.2">
      <c r="A1300" s="10">
        <v>39258</v>
      </c>
      <c r="B1300" s="34">
        <v>40715</v>
      </c>
      <c r="C1300" s="806" t="s">
        <v>886</v>
      </c>
      <c r="D1300" s="807"/>
      <c r="E1300" s="11" t="s">
        <v>81</v>
      </c>
      <c r="F1300" s="12">
        <v>60</v>
      </c>
      <c r="G1300" s="12">
        <v>4.17</v>
      </c>
      <c r="H1300" s="12">
        <v>5.32</v>
      </c>
      <c r="I1300" s="13">
        <f>F1300*G1300</f>
        <v>250.2</v>
      </c>
      <c r="J1300" s="13">
        <f>F1300*H1300</f>
        <v>319.20000000000005</v>
      </c>
    </row>
    <row r="1301" spans="1:10" s="1" customFormat="1" ht="25.5" customHeight="1" x14ac:dyDescent="0.2">
      <c r="A1301" s="8"/>
      <c r="B1301" s="803" t="s">
        <v>887</v>
      </c>
      <c r="C1301" s="804"/>
      <c r="D1301" s="804"/>
      <c r="E1301" s="804"/>
      <c r="F1301" s="804"/>
      <c r="G1301" s="805"/>
      <c r="H1301" s="8"/>
      <c r="I1301" s="18">
        <f>SUM(I1288:I1300)</f>
        <v>20400.650000000001</v>
      </c>
      <c r="J1301" s="18">
        <f>SUM(J1288:J1300)</f>
        <v>26000.55</v>
      </c>
    </row>
    <row r="1302" spans="1:10" s="1" customFormat="1" ht="25.5" customHeight="1" x14ac:dyDescent="0.2">
      <c r="A1302" s="8"/>
      <c r="B1302" s="9" t="s">
        <v>888</v>
      </c>
      <c r="C1302" s="808" t="s">
        <v>889</v>
      </c>
      <c r="D1302" s="809"/>
      <c r="E1302" s="8"/>
      <c r="F1302" s="8"/>
      <c r="G1302" s="8"/>
      <c r="H1302" s="8"/>
      <c r="I1302" s="8"/>
      <c r="J1302" s="8"/>
    </row>
    <row r="1303" spans="1:10" s="1" customFormat="1" ht="25.5" customHeight="1" x14ac:dyDescent="0.2">
      <c r="A1303" s="10">
        <v>2574</v>
      </c>
      <c r="B1303" s="21">
        <v>44378</v>
      </c>
      <c r="C1303" s="806" t="s">
        <v>890</v>
      </c>
      <c r="D1303" s="807"/>
      <c r="E1303" s="11" t="s">
        <v>102</v>
      </c>
      <c r="F1303" s="12">
        <v>8</v>
      </c>
      <c r="G1303" s="12">
        <v>8.1999999999999993</v>
      </c>
      <c r="H1303" s="12">
        <v>10.46</v>
      </c>
      <c r="I1303" s="13">
        <f t="shared" ref="I1303:I1315" si="108">F1303*G1303</f>
        <v>65.599999999999994</v>
      </c>
      <c r="J1303" s="13">
        <f t="shared" ref="J1303:J1315" si="109">F1303*H1303</f>
        <v>83.68</v>
      </c>
    </row>
    <row r="1304" spans="1:10" s="1" customFormat="1" ht="25.5" customHeight="1" x14ac:dyDescent="0.2">
      <c r="A1304" s="10">
        <v>2559</v>
      </c>
      <c r="B1304" s="21">
        <v>44379</v>
      </c>
      <c r="C1304" s="806" t="s">
        <v>891</v>
      </c>
      <c r="D1304" s="807"/>
      <c r="E1304" s="11" t="s">
        <v>102</v>
      </c>
      <c r="F1304" s="12">
        <v>12</v>
      </c>
      <c r="G1304" s="12">
        <v>8.5</v>
      </c>
      <c r="H1304" s="12">
        <v>10.85</v>
      </c>
      <c r="I1304" s="13">
        <f t="shared" si="108"/>
        <v>102</v>
      </c>
      <c r="J1304" s="13">
        <f t="shared" si="109"/>
        <v>130.19999999999999</v>
      </c>
    </row>
    <row r="1305" spans="1:10" s="1" customFormat="1" ht="25.5" customHeight="1" x14ac:dyDescent="0.2">
      <c r="A1305" s="10">
        <v>2565</v>
      </c>
      <c r="B1305" s="21">
        <v>44380</v>
      </c>
      <c r="C1305" s="806" t="s">
        <v>892</v>
      </c>
      <c r="D1305" s="807"/>
      <c r="E1305" s="11" t="s">
        <v>102</v>
      </c>
      <c r="F1305" s="12">
        <v>14</v>
      </c>
      <c r="G1305" s="12">
        <v>6.88</v>
      </c>
      <c r="H1305" s="12">
        <v>8.7799999999999994</v>
      </c>
      <c r="I1305" s="13">
        <f t="shared" si="108"/>
        <v>96.32</v>
      </c>
      <c r="J1305" s="13">
        <f t="shared" si="109"/>
        <v>122.91999999999999</v>
      </c>
    </row>
    <row r="1306" spans="1:10" s="1" customFormat="1" ht="25.5" customHeight="1" x14ac:dyDescent="0.2">
      <c r="A1306" s="10">
        <v>2580</v>
      </c>
      <c r="B1306" s="21">
        <v>44381</v>
      </c>
      <c r="C1306" s="806" t="s">
        <v>893</v>
      </c>
      <c r="D1306" s="807"/>
      <c r="E1306" s="11" t="s">
        <v>102</v>
      </c>
      <c r="F1306" s="12">
        <v>3</v>
      </c>
      <c r="G1306" s="12">
        <v>10.83</v>
      </c>
      <c r="H1306" s="12">
        <v>13.82</v>
      </c>
      <c r="I1306" s="13">
        <f t="shared" si="108"/>
        <v>32.49</v>
      </c>
      <c r="J1306" s="13">
        <f t="shared" si="109"/>
        <v>41.46</v>
      </c>
    </row>
    <row r="1307" spans="1:10" s="1" customFormat="1" ht="25.5" customHeight="1" x14ac:dyDescent="0.2">
      <c r="A1307" s="10">
        <v>2593</v>
      </c>
      <c r="B1307" s="21">
        <v>44382</v>
      </c>
      <c r="C1307" s="806" t="s">
        <v>894</v>
      </c>
      <c r="D1307" s="807"/>
      <c r="E1307" s="11" t="s">
        <v>102</v>
      </c>
      <c r="F1307" s="12">
        <v>5</v>
      </c>
      <c r="G1307" s="12">
        <v>7.11</v>
      </c>
      <c r="H1307" s="12">
        <v>9.07</v>
      </c>
      <c r="I1307" s="13">
        <f t="shared" si="108"/>
        <v>35.550000000000004</v>
      </c>
      <c r="J1307" s="13">
        <f t="shared" si="109"/>
        <v>45.35</v>
      </c>
    </row>
    <row r="1308" spans="1:10" s="1" customFormat="1" ht="25.5" customHeight="1" x14ac:dyDescent="0.2">
      <c r="A1308" s="10">
        <v>39346</v>
      </c>
      <c r="B1308" s="21">
        <v>44383</v>
      </c>
      <c r="C1308" s="806" t="s">
        <v>895</v>
      </c>
      <c r="D1308" s="807"/>
      <c r="E1308" s="11" t="s">
        <v>102</v>
      </c>
      <c r="F1308" s="12">
        <v>8</v>
      </c>
      <c r="G1308" s="12">
        <v>2.09</v>
      </c>
      <c r="H1308" s="12">
        <v>2.67</v>
      </c>
      <c r="I1308" s="13">
        <f t="shared" si="108"/>
        <v>16.72</v>
      </c>
      <c r="J1308" s="13">
        <f t="shared" si="109"/>
        <v>21.36</v>
      </c>
    </row>
    <row r="1309" spans="1:10" s="1" customFormat="1" ht="25.5" customHeight="1" x14ac:dyDescent="0.2">
      <c r="A1309" s="10">
        <v>7543</v>
      </c>
      <c r="B1309" s="21">
        <v>44384</v>
      </c>
      <c r="C1309" s="806" t="s">
        <v>896</v>
      </c>
      <c r="D1309" s="807"/>
      <c r="E1309" s="11" t="s">
        <v>102</v>
      </c>
      <c r="F1309" s="12">
        <v>14</v>
      </c>
      <c r="G1309" s="12">
        <v>3.39</v>
      </c>
      <c r="H1309" s="12">
        <v>4.33</v>
      </c>
      <c r="I1309" s="13">
        <f t="shared" si="108"/>
        <v>47.46</v>
      </c>
      <c r="J1309" s="13">
        <f t="shared" si="109"/>
        <v>60.620000000000005</v>
      </c>
    </row>
    <row r="1310" spans="1:10" s="1" customFormat="1" ht="25.5" customHeight="1" x14ac:dyDescent="0.2">
      <c r="A1310" s="10">
        <v>39351</v>
      </c>
      <c r="B1310" s="21">
        <v>44385</v>
      </c>
      <c r="C1310" s="806" t="s">
        <v>897</v>
      </c>
      <c r="D1310" s="807"/>
      <c r="E1310" s="11" t="s">
        <v>102</v>
      </c>
      <c r="F1310" s="12">
        <v>20</v>
      </c>
      <c r="G1310" s="12">
        <v>2.6</v>
      </c>
      <c r="H1310" s="12">
        <v>3.32</v>
      </c>
      <c r="I1310" s="13">
        <f t="shared" si="108"/>
        <v>52</v>
      </c>
      <c r="J1310" s="13">
        <f t="shared" si="109"/>
        <v>66.399999999999991</v>
      </c>
    </row>
    <row r="1311" spans="1:10" s="1" customFormat="1" ht="25.5" customHeight="1" x14ac:dyDescent="0.2">
      <c r="A1311" s="11" t="s">
        <v>308</v>
      </c>
      <c r="B1311" s="21">
        <v>44386</v>
      </c>
      <c r="C1311" s="806" t="s">
        <v>898</v>
      </c>
      <c r="D1311" s="807"/>
      <c r="E1311" s="11" t="s">
        <v>102</v>
      </c>
      <c r="F1311" s="12">
        <v>300</v>
      </c>
      <c r="G1311" s="12">
        <v>4.9000000000000004</v>
      </c>
      <c r="H1311" s="12">
        <v>6.25</v>
      </c>
      <c r="I1311" s="13">
        <f t="shared" si="108"/>
        <v>1470</v>
      </c>
      <c r="J1311" s="13">
        <f t="shared" si="109"/>
        <v>1875</v>
      </c>
    </row>
    <row r="1312" spans="1:10" s="1" customFormat="1" ht="25.5" customHeight="1" x14ac:dyDescent="0.2">
      <c r="A1312" s="11" t="s">
        <v>308</v>
      </c>
      <c r="B1312" s="34">
        <v>40380</v>
      </c>
      <c r="C1312" s="806" t="s">
        <v>899</v>
      </c>
      <c r="D1312" s="807"/>
      <c r="E1312" s="11" t="s">
        <v>102</v>
      </c>
      <c r="F1312" s="12">
        <v>150</v>
      </c>
      <c r="G1312" s="12">
        <v>9.0500000000000007</v>
      </c>
      <c r="H1312" s="12">
        <v>11.55</v>
      </c>
      <c r="I1312" s="13">
        <f t="shared" si="108"/>
        <v>1357.5</v>
      </c>
      <c r="J1312" s="13">
        <f t="shared" si="109"/>
        <v>1732.5</v>
      </c>
    </row>
    <row r="1313" spans="1:10" s="1" customFormat="1" ht="25.5" customHeight="1" x14ac:dyDescent="0.2">
      <c r="A1313" s="10">
        <v>39771</v>
      </c>
      <c r="B1313" s="34">
        <v>40745</v>
      </c>
      <c r="C1313" s="806" t="s">
        <v>900</v>
      </c>
      <c r="D1313" s="807"/>
      <c r="E1313" s="11" t="s">
        <v>102</v>
      </c>
      <c r="F1313" s="12">
        <v>3</v>
      </c>
      <c r="G1313" s="12">
        <v>15.43</v>
      </c>
      <c r="H1313" s="12">
        <v>19.690000000000001</v>
      </c>
      <c r="I1313" s="13">
        <f t="shared" si="108"/>
        <v>46.29</v>
      </c>
      <c r="J1313" s="13">
        <f t="shared" si="109"/>
        <v>59.070000000000007</v>
      </c>
    </row>
    <row r="1314" spans="1:10" s="1" customFormat="1" ht="25.5" customHeight="1" x14ac:dyDescent="0.2">
      <c r="A1314" s="11" t="s">
        <v>901</v>
      </c>
      <c r="B1314" s="34">
        <v>41111</v>
      </c>
      <c r="C1314" s="806" t="s">
        <v>902</v>
      </c>
      <c r="D1314" s="807"/>
      <c r="E1314" s="11" t="s">
        <v>102</v>
      </c>
      <c r="F1314" s="12">
        <v>8</v>
      </c>
      <c r="G1314" s="12">
        <v>80.319999999999993</v>
      </c>
      <c r="H1314" s="12">
        <v>102.48</v>
      </c>
      <c r="I1314" s="13">
        <f t="shared" si="108"/>
        <v>642.55999999999995</v>
      </c>
      <c r="J1314" s="13">
        <f t="shared" si="109"/>
        <v>819.84</v>
      </c>
    </row>
    <row r="1315" spans="1:10" s="1" customFormat="1" ht="25.5" customHeight="1" x14ac:dyDescent="0.2">
      <c r="A1315" s="11" t="s">
        <v>696</v>
      </c>
      <c r="B1315" s="34">
        <v>41476</v>
      </c>
      <c r="C1315" s="806" t="s">
        <v>903</v>
      </c>
      <c r="D1315" s="807"/>
      <c r="E1315" s="11" t="s">
        <v>102</v>
      </c>
      <c r="F1315" s="12">
        <v>8</v>
      </c>
      <c r="G1315" s="12">
        <v>165.35</v>
      </c>
      <c r="H1315" s="12">
        <v>210.97</v>
      </c>
      <c r="I1315" s="13">
        <f t="shared" si="108"/>
        <v>1322.8</v>
      </c>
      <c r="J1315" s="13">
        <f t="shared" si="109"/>
        <v>1687.76</v>
      </c>
    </row>
    <row r="1316" spans="1:10" s="1" customFormat="1" ht="25.5" customHeight="1" x14ac:dyDescent="0.2">
      <c r="A1316" s="8"/>
      <c r="B1316" s="803" t="s">
        <v>904</v>
      </c>
      <c r="C1316" s="804"/>
      <c r="D1316" s="804"/>
      <c r="E1316" s="804"/>
      <c r="F1316" s="804"/>
      <c r="G1316" s="805"/>
      <c r="H1316" s="8"/>
      <c r="I1316" s="18">
        <f>SUM(I1303:I1315)</f>
        <v>5287.29</v>
      </c>
      <c r="J1316" s="18">
        <f>SUM(J1303:J1315)</f>
        <v>6746.16</v>
      </c>
    </row>
    <row r="1317" spans="1:10" s="1" customFormat="1" ht="25.5" customHeight="1" x14ac:dyDescent="0.2">
      <c r="A1317" s="8"/>
      <c r="B1317" s="9" t="s">
        <v>905</v>
      </c>
      <c r="C1317" s="808" t="s">
        <v>906</v>
      </c>
      <c r="D1317" s="809"/>
      <c r="E1317" s="8"/>
      <c r="F1317" s="8"/>
      <c r="G1317" s="8"/>
      <c r="H1317" s="8"/>
      <c r="I1317" s="8"/>
      <c r="J1317" s="8"/>
    </row>
    <row r="1318" spans="1:10" s="1" customFormat="1" ht="25.5" customHeight="1" x14ac:dyDescent="0.2">
      <c r="A1318" s="11" t="s">
        <v>308</v>
      </c>
      <c r="B1318" s="21">
        <v>44409</v>
      </c>
      <c r="C1318" s="806" t="s">
        <v>907</v>
      </c>
      <c r="D1318" s="807"/>
      <c r="E1318" s="11" t="s">
        <v>102</v>
      </c>
      <c r="F1318" s="12">
        <v>4</v>
      </c>
      <c r="G1318" s="12">
        <v>53.79</v>
      </c>
      <c r="H1318" s="12">
        <v>68.63</v>
      </c>
      <c r="I1318" s="13">
        <f t="shared" ref="I1318:I1329" si="110">F1318*G1318</f>
        <v>215.16</v>
      </c>
      <c r="J1318" s="13">
        <f t="shared" ref="J1318:J1329" si="111">F1318*H1318</f>
        <v>274.52</v>
      </c>
    </row>
    <row r="1319" spans="1:10" s="1" customFormat="1" ht="25.5" customHeight="1" x14ac:dyDescent="0.2">
      <c r="A1319" s="11" t="s">
        <v>308</v>
      </c>
      <c r="B1319" s="21">
        <v>44410</v>
      </c>
      <c r="C1319" s="806" t="s">
        <v>908</v>
      </c>
      <c r="D1319" s="807"/>
      <c r="E1319" s="11" t="s">
        <v>102</v>
      </c>
      <c r="F1319" s="12">
        <v>1</v>
      </c>
      <c r="G1319" s="12">
        <v>53.79</v>
      </c>
      <c r="H1319" s="12">
        <v>68.63</v>
      </c>
      <c r="I1319" s="13">
        <f t="shared" si="110"/>
        <v>53.79</v>
      </c>
      <c r="J1319" s="13">
        <f t="shared" si="111"/>
        <v>68.63</v>
      </c>
    </row>
    <row r="1320" spans="1:10" s="1" customFormat="1" ht="25.5" customHeight="1" x14ac:dyDescent="0.2">
      <c r="A1320" s="11" t="s">
        <v>308</v>
      </c>
      <c r="B1320" s="21">
        <v>44411</v>
      </c>
      <c r="C1320" s="806" t="s">
        <v>909</v>
      </c>
      <c r="D1320" s="807"/>
      <c r="E1320" s="11" t="s">
        <v>102</v>
      </c>
      <c r="F1320" s="12">
        <v>1</v>
      </c>
      <c r="G1320" s="12">
        <v>115.99</v>
      </c>
      <c r="H1320" s="12">
        <v>147.99</v>
      </c>
      <c r="I1320" s="13">
        <f t="shared" si="110"/>
        <v>115.99</v>
      </c>
      <c r="J1320" s="13">
        <f t="shared" si="111"/>
        <v>147.99</v>
      </c>
    </row>
    <row r="1321" spans="1:10" s="1" customFormat="1" ht="25.5" customHeight="1" x14ac:dyDescent="0.2">
      <c r="A1321" s="11" t="s">
        <v>308</v>
      </c>
      <c r="B1321" s="21">
        <v>44412</v>
      </c>
      <c r="C1321" s="806" t="s">
        <v>910</v>
      </c>
      <c r="D1321" s="807"/>
      <c r="E1321" s="11" t="s">
        <v>102</v>
      </c>
      <c r="F1321" s="12">
        <v>3</v>
      </c>
      <c r="G1321" s="12">
        <v>232.9</v>
      </c>
      <c r="H1321" s="12">
        <v>297.16000000000003</v>
      </c>
      <c r="I1321" s="13">
        <f t="shared" si="110"/>
        <v>698.7</v>
      </c>
      <c r="J1321" s="13">
        <f t="shared" si="111"/>
        <v>891.48</v>
      </c>
    </row>
    <row r="1322" spans="1:10" s="1" customFormat="1" ht="25.5" customHeight="1" x14ac:dyDescent="0.2">
      <c r="A1322" s="11" t="s">
        <v>308</v>
      </c>
      <c r="B1322" s="21">
        <v>44413</v>
      </c>
      <c r="C1322" s="806" t="s">
        <v>911</v>
      </c>
      <c r="D1322" s="807"/>
      <c r="E1322" s="11" t="s">
        <v>102</v>
      </c>
      <c r="F1322" s="12">
        <v>1</v>
      </c>
      <c r="G1322" s="12">
        <v>120</v>
      </c>
      <c r="H1322" s="12">
        <v>153.11000000000001</v>
      </c>
      <c r="I1322" s="13">
        <f t="shared" si="110"/>
        <v>120</v>
      </c>
      <c r="J1322" s="13">
        <f t="shared" si="111"/>
        <v>153.11000000000001</v>
      </c>
    </row>
    <row r="1323" spans="1:10" s="1" customFormat="1" ht="25.5" customHeight="1" x14ac:dyDescent="0.2">
      <c r="A1323" s="11" t="s">
        <v>308</v>
      </c>
      <c r="B1323" s="21">
        <v>44414</v>
      </c>
      <c r="C1323" s="806" t="s">
        <v>912</v>
      </c>
      <c r="D1323" s="807"/>
      <c r="E1323" s="11" t="s">
        <v>102</v>
      </c>
      <c r="F1323" s="12">
        <v>1</v>
      </c>
      <c r="G1323" s="12">
        <v>66.87</v>
      </c>
      <c r="H1323" s="12">
        <v>85.32</v>
      </c>
      <c r="I1323" s="13">
        <f t="shared" si="110"/>
        <v>66.87</v>
      </c>
      <c r="J1323" s="13">
        <f t="shared" si="111"/>
        <v>85.32</v>
      </c>
    </row>
    <row r="1324" spans="1:10" s="1" customFormat="1" ht="25.5" customHeight="1" x14ac:dyDescent="0.2">
      <c r="A1324" s="11" t="s">
        <v>308</v>
      </c>
      <c r="B1324" s="21">
        <v>44415</v>
      </c>
      <c r="C1324" s="806" t="s">
        <v>913</v>
      </c>
      <c r="D1324" s="807"/>
      <c r="E1324" s="11" t="s">
        <v>102</v>
      </c>
      <c r="F1324" s="12">
        <v>1</v>
      </c>
      <c r="G1324" s="12">
        <v>89.11</v>
      </c>
      <c r="H1324" s="12">
        <v>113.7</v>
      </c>
      <c r="I1324" s="13">
        <f t="shared" si="110"/>
        <v>89.11</v>
      </c>
      <c r="J1324" s="13">
        <f t="shared" si="111"/>
        <v>113.7</v>
      </c>
    </row>
    <row r="1325" spans="1:10" s="1" customFormat="1" ht="25.5" customHeight="1" x14ac:dyDescent="0.2">
      <c r="A1325" s="11" t="s">
        <v>308</v>
      </c>
      <c r="B1325" s="21">
        <v>44416</v>
      </c>
      <c r="C1325" s="806" t="s">
        <v>914</v>
      </c>
      <c r="D1325" s="807"/>
      <c r="E1325" s="11" t="s">
        <v>102</v>
      </c>
      <c r="F1325" s="12">
        <v>1</v>
      </c>
      <c r="G1325" s="12">
        <v>98.32</v>
      </c>
      <c r="H1325" s="12">
        <v>125.45</v>
      </c>
      <c r="I1325" s="13">
        <f t="shared" si="110"/>
        <v>98.32</v>
      </c>
      <c r="J1325" s="13">
        <f t="shared" si="111"/>
        <v>125.45</v>
      </c>
    </row>
    <row r="1326" spans="1:10" s="1" customFormat="1" ht="25.5" customHeight="1" x14ac:dyDescent="0.2">
      <c r="A1326" s="11" t="s">
        <v>915</v>
      </c>
      <c r="B1326" s="21">
        <v>44417</v>
      </c>
      <c r="C1326" s="806" t="s">
        <v>916</v>
      </c>
      <c r="D1326" s="807"/>
      <c r="E1326" s="11" t="s">
        <v>102</v>
      </c>
      <c r="F1326" s="12">
        <v>1</v>
      </c>
      <c r="G1326" s="12">
        <v>81.760000000000005</v>
      </c>
      <c r="H1326" s="12">
        <v>104.31</v>
      </c>
      <c r="I1326" s="13">
        <f t="shared" si="110"/>
        <v>81.760000000000005</v>
      </c>
      <c r="J1326" s="13">
        <f t="shared" si="111"/>
        <v>104.31</v>
      </c>
    </row>
    <row r="1327" spans="1:10" s="1" customFormat="1" ht="25.5" customHeight="1" x14ac:dyDescent="0.2">
      <c r="A1327" s="11" t="s">
        <v>917</v>
      </c>
      <c r="B1327" s="34">
        <v>40411</v>
      </c>
      <c r="C1327" s="806" t="s">
        <v>918</v>
      </c>
      <c r="D1327" s="807"/>
      <c r="E1327" s="11" t="s">
        <v>102</v>
      </c>
      <c r="F1327" s="12">
        <v>1</v>
      </c>
      <c r="G1327" s="12">
        <v>72.62</v>
      </c>
      <c r="H1327" s="12">
        <v>92.66</v>
      </c>
      <c r="I1327" s="13">
        <f t="shared" si="110"/>
        <v>72.62</v>
      </c>
      <c r="J1327" s="13">
        <f t="shared" si="111"/>
        <v>92.66</v>
      </c>
    </row>
    <row r="1328" spans="1:10" s="1" customFormat="1" ht="25.5" customHeight="1" x14ac:dyDescent="0.2">
      <c r="A1328" s="11" t="s">
        <v>308</v>
      </c>
      <c r="B1328" s="34">
        <v>40776</v>
      </c>
      <c r="C1328" s="806" t="s">
        <v>919</v>
      </c>
      <c r="D1328" s="807"/>
      <c r="E1328" s="11" t="s">
        <v>102</v>
      </c>
      <c r="F1328" s="12">
        <v>3</v>
      </c>
      <c r="G1328" s="12">
        <v>17.100000000000001</v>
      </c>
      <c r="H1328" s="12">
        <v>21.82</v>
      </c>
      <c r="I1328" s="13">
        <f t="shared" si="110"/>
        <v>51.300000000000004</v>
      </c>
      <c r="J1328" s="13">
        <f t="shared" si="111"/>
        <v>65.460000000000008</v>
      </c>
    </row>
    <row r="1329" spans="1:10" s="1" customFormat="1" ht="25.5" customHeight="1" x14ac:dyDescent="0.2">
      <c r="A1329" s="11" t="s">
        <v>308</v>
      </c>
      <c r="B1329" s="34">
        <v>41142</v>
      </c>
      <c r="C1329" s="806" t="s">
        <v>920</v>
      </c>
      <c r="D1329" s="807"/>
      <c r="E1329" s="11" t="s">
        <v>102</v>
      </c>
      <c r="F1329" s="12">
        <v>2</v>
      </c>
      <c r="G1329" s="12">
        <v>17.100000000000001</v>
      </c>
      <c r="H1329" s="12">
        <v>21.82</v>
      </c>
      <c r="I1329" s="13">
        <f t="shared" si="110"/>
        <v>34.200000000000003</v>
      </c>
      <c r="J1329" s="13">
        <f t="shared" si="111"/>
        <v>43.64</v>
      </c>
    </row>
    <row r="1330" spans="1:10" s="1" customFormat="1" ht="25.5" customHeight="1" x14ac:dyDescent="0.2">
      <c r="A1330" s="8"/>
      <c r="B1330" s="803" t="s">
        <v>921</v>
      </c>
      <c r="C1330" s="804"/>
      <c r="D1330" s="804"/>
      <c r="E1330" s="804"/>
      <c r="F1330" s="804"/>
      <c r="G1330" s="805"/>
      <c r="H1330" s="8"/>
      <c r="I1330" s="18">
        <f>SUM(I1318:I1329)</f>
        <v>1697.8200000000002</v>
      </c>
      <c r="J1330" s="18">
        <f>SUM(J1318:J1329)</f>
        <v>2166.27</v>
      </c>
    </row>
    <row r="1331" spans="1:10" s="1" customFormat="1" ht="25.5" customHeight="1" x14ac:dyDescent="0.2">
      <c r="A1331" s="8"/>
      <c r="B1331" s="9" t="s">
        <v>922</v>
      </c>
      <c r="C1331" s="808" t="s">
        <v>923</v>
      </c>
      <c r="D1331" s="809"/>
      <c r="E1331" s="8"/>
      <c r="F1331" s="8"/>
      <c r="G1331" s="8"/>
      <c r="H1331" s="8"/>
      <c r="I1331" s="8"/>
      <c r="J1331" s="8"/>
    </row>
    <row r="1332" spans="1:10" s="1" customFormat="1" ht="25.5" customHeight="1" x14ac:dyDescent="0.2">
      <c r="A1332" s="10">
        <v>93655</v>
      </c>
      <c r="B1332" s="21">
        <v>44440</v>
      </c>
      <c r="C1332" s="806" t="s">
        <v>924</v>
      </c>
      <c r="D1332" s="807"/>
      <c r="E1332" s="11" t="s">
        <v>102</v>
      </c>
      <c r="F1332" s="12">
        <v>41</v>
      </c>
      <c r="G1332" s="12">
        <v>11.19</v>
      </c>
      <c r="H1332" s="12">
        <v>14.28</v>
      </c>
      <c r="I1332" s="13">
        <f t="shared" ref="I1332:I1347" si="112">F1332*G1332</f>
        <v>458.78999999999996</v>
      </c>
      <c r="J1332" s="13">
        <f t="shared" ref="J1332:J1347" si="113">F1332*H1332</f>
        <v>585.48</v>
      </c>
    </row>
    <row r="1333" spans="1:10" s="1" customFormat="1" ht="25.5" customHeight="1" x14ac:dyDescent="0.2">
      <c r="A1333" s="10">
        <v>93656</v>
      </c>
      <c r="B1333" s="21">
        <v>44441</v>
      </c>
      <c r="C1333" s="806" t="s">
        <v>925</v>
      </c>
      <c r="D1333" s="807"/>
      <c r="E1333" s="11" t="s">
        <v>102</v>
      </c>
      <c r="F1333" s="12">
        <v>25</v>
      </c>
      <c r="G1333" s="12">
        <v>11.19</v>
      </c>
      <c r="H1333" s="12">
        <v>14.28</v>
      </c>
      <c r="I1333" s="13">
        <f t="shared" si="112"/>
        <v>279.75</v>
      </c>
      <c r="J1333" s="13">
        <f t="shared" si="113"/>
        <v>357</v>
      </c>
    </row>
    <row r="1334" spans="1:10" s="1" customFormat="1" ht="25.5" customHeight="1" x14ac:dyDescent="0.2">
      <c r="A1334" s="10">
        <v>93667</v>
      </c>
      <c r="B1334" s="21">
        <v>44442</v>
      </c>
      <c r="C1334" s="806" t="s">
        <v>926</v>
      </c>
      <c r="D1334" s="807"/>
      <c r="E1334" s="11" t="s">
        <v>102</v>
      </c>
      <c r="F1334" s="12">
        <v>1</v>
      </c>
      <c r="G1334" s="12">
        <v>63.11</v>
      </c>
      <c r="H1334" s="12">
        <v>80.52</v>
      </c>
      <c r="I1334" s="13">
        <f t="shared" si="112"/>
        <v>63.11</v>
      </c>
      <c r="J1334" s="13">
        <f t="shared" si="113"/>
        <v>80.52</v>
      </c>
    </row>
    <row r="1335" spans="1:10" s="1" customFormat="1" ht="25.5" customHeight="1" x14ac:dyDescent="0.2">
      <c r="A1335" s="10">
        <v>93669</v>
      </c>
      <c r="B1335" s="21">
        <v>44443</v>
      </c>
      <c r="C1335" s="806" t="s">
        <v>927</v>
      </c>
      <c r="D1335" s="807"/>
      <c r="E1335" s="11" t="s">
        <v>102</v>
      </c>
      <c r="F1335" s="12">
        <v>2</v>
      </c>
      <c r="G1335" s="12">
        <v>66.849999999999994</v>
      </c>
      <c r="H1335" s="12">
        <v>85.29</v>
      </c>
      <c r="I1335" s="13">
        <f t="shared" si="112"/>
        <v>133.69999999999999</v>
      </c>
      <c r="J1335" s="13">
        <f t="shared" si="113"/>
        <v>170.58</v>
      </c>
    </row>
    <row r="1336" spans="1:10" s="1" customFormat="1" ht="25.5" customHeight="1" x14ac:dyDescent="0.2">
      <c r="A1336" s="10">
        <v>93671</v>
      </c>
      <c r="B1336" s="21">
        <v>44444</v>
      </c>
      <c r="C1336" s="806" t="s">
        <v>928</v>
      </c>
      <c r="D1336" s="807"/>
      <c r="E1336" s="11" t="s">
        <v>102</v>
      </c>
      <c r="F1336" s="12">
        <v>3</v>
      </c>
      <c r="G1336" s="12">
        <v>69.86</v>
      </c>
      <c r="H1336" s="12">
        <v>89.13</v>
      </c>
      <c r="I1336" s="13">
        <f t="shared" si="112"/>
        <v>209.57999999999998</v>
      </c>
      <c r="J1336" s="13">
        <f t="shared" si="113"/>
        <v>267.39</v>
      </c>
    </row>
    <row r="1337" spans="1:10" s="1" customFormat="1" ht="25.5" customHeight="1" x14ac:dyDescent="0.2">
      <c r="A1337" s="10">
        <v>93673</v>
      </c>
      <c r="B1337" s="21">
        <v>44445</v>
      </c>
      <c r="C1337" s="806" t="s">
        <v>929</v>
      </c>
      <c r="D1337" s="807"/>
      <c r="E1337" s="11" t="s">
        <v>102</v>
      </c>
      <c r="F1337" s="12">
        <v>1</v>
      </c>
      <c r="G1337" s="12">
        <v>80.959999999999994</v>
      </c>
      <c r="H1337" s="12">
        <v>103.3</v>
      </c>
      <c r="I1337" s="13">
        <f t="shared" si="112"/>
        <v>80.959999999999994</v>
      </c>
      <c r="J1337" s="13">
        <f t="shared" si="113"/>
        <v>103.3</v>
      </c>
    </row>
    <row r="1338" spans="1:10" s="1" customFormat="1" ht="25.5" customHeight="1" x14ac:dyDescent="0.2">
      <c r="A1338" s="11" t="s">
        <v>930</v>
      </c>
      <c r="B1338" s="21">
        <v>44446</v>
      </c>
      <c r="C1338" s="806" t="s">
        <v>931</v>
      </c>
      <c r="D1338" s="807"/>
      <c r="E1338" s="11" t="s">
        <v>102</v>
      </c>
      <c r="F1338" s="12">
        <v>1</v>
      </c>
      <c r="G1338" s="12">
        <v>84.91</v>
      </c>
      <c r="H1338" s="12">
        <v>108.33</v>
      </c>
      <c r="I1338" s="13">
        <f t="shared" si="112"/>
        <v>84.91</v>
      </c>
      <c r="J1338" s="13">
        <f t="shared" si="113"/>
        <v>108.33</v>
      </c>
    </row>
    <row r="1339" spans="1:10" s="1" customFormat="1" ht="25.5" customHeight="1" x14ac:dyDescent="0.2">
      <c r="A1339" s="11" t="s">
        <v>932</v>
      </c>
      <c r="B1339" s="21">
        <v>44447</v>
      </c>
      <c r="C1339" s="806" t="s">
        <v>933</v>
      </c>
      <c r="D1339" s="807"/>
      <c r="E1339" s="11" t="s">
        <v>102</v>
      </c>
      <c r="F1339" s="12">
        <v>1</v>
      </c>
      <c r="G1339" s="12">
        <v>84.91</v>
      </c>
      <c r="H1339" s="12">
        <v>108.33</v>
      </c>
      <c r="I1339" s="13">
        <f t="shared" si="112"/>
        <v>84.91</v>
      </c>
      <c r="J1339" s="13">
        <f t="shared" si="113"/>
        <v>108.33</v>
      </c>
    </row>
    <row r="1340" spans="1:10" s="1" customFormat="1" ht="25.5" customHeight="1" x14ac:dyDescent="0.2">
      <c r="A1340" s="11" t="s">
        <v>78</v>
      </c>
      <c r="B1340" s="21">
        <v>44448</v>
      </c>
      <c r="C1340" s="806" t="s">
        <v>934</v>
      </c>
      <c r="D1340" s="807"/>
      <c r="E1340" s="11" t="s">
        <v>102</v>
      </c>
      <c r="F1340" s="12">
        <v>2</v>
      </c>
      <c r="G1340" s="12">
        <v>72.77</v>
      </c>
      <c r="H1340" s="12">
        <v>92.84</v>
      </c>
      <c r="I1340" s="13">
        <f t="shared" si="112"/>
        <v>145.54</v>
      </c>
      <c r="J1340" s="13">
        <f t="shared" si="113"/>
        <v>185.68</v>
      </c>
    </row>
    <row r="1341" spans="1:10" s="1" customFormat="1" ht="25.5" customHeight="1" x14ac:dyDescent="0.2">
      <c r="A1341" s="11" t="s">
        <v>78</v>
      </c>
      <c r="B1341" s="34">
        <v>40442</v>
      </c>
      <c r="C1341" s="806" t="s">
        <v>935</v>
      </c>
      <c r="D1341" s="807"/>
      <c r="E1341" s="11" t="s">
        <v>102</v>
      </c>
      <c r="F1341" s="12">
        <v>1</v>
      </c>
      <c r="G1341" s="12">
        <v>72.77</v>
      </c>
      <c r="H1341" s="12">
        <v>92.84</v>
      </c>
      <c r="I1341" s="13">
        <f t="shared" si="112"/>
        <v>72.77</v>
      </c>
      <c r="J1341" s="13">
        <f t="shared" si="113"/>
        <v>92.84</v>
      </c>
    </row>
    <row r="1342" spans="1:10" s="1" customFormat="1" ht="25.5" customHeight="1" x14ac:dyDescent="0.2">
      <c r="A1342" s="11" t="s">
        <v>308</v>
      </c>
      <c r="B1342" s="34">
        <v>40807</v>
      </c>
      <c r="C1342" s="806" t="s">
        <v>936</v>
      </c>
      <c r="D1342" s="807"/>
      <c r="E1342" s="11" t="s">
        <v>102</v>
      </c>
      <c r="F1342" s="12">
        <v>1</v>
      </c>
      <c r="G1342" s="12">
        <v>750</v>
      </c>
      <c r="H1342" s="12">
        <v>956.93</v>
      </c>
      <c r="I1342" s="13">
        <f t="shared" si="112"/>
        <v>750</v>
      </c>
      <c r="J1342" s="13">
        <f t="shared" si="113"/>
        <v>956.93</v>
      </c>
    </row>
    <row r="1343" spans="1:10" s="1" customFormat="1" ht="25.5" customHeight="1" x14ac:dyDescent="0.2">
      <c r="A1343" s="11" t="s">
        <v>937</v>
      </c>
      <c r="B1343" s="34">
        <v>41173</v>
      </c>
      <c r="C1343" s="806" t="s">
        <v>938</v>
      </c>
      <c r="D1343" s="807"/>
      <c r="E1343" s="11" t="s">
        <v>102</v>
      </c>
      <c r="F1343" s="12">
        <v>1</v>
      </c>
      <c r="G1343" s="12">
        <v>397.29</v>
      </c>
      <c r="H1343" s="12">
        <v>506.9</v>
      </c>
      <c r="I1343" s="13">
        <f t="shared" si="112"/>
        <v>397.29</v>
      </c>
      <c r="J1343" s="13">
        <f t="shared" si="113"/>
        <v>506.9</v>
      </c>
    </row>
    <row r="1344" spans="1:10" s="1" customFormat="1" ht="25.5" customHeight="1" x14ac:dyDescent="0.2">
      <c r="A1344" s="11" t="s">
        <v>939</v>
      </c>
      <c r="B1344" s="34">
        <v>41538</v>
      </c>
      <c r="C1344" s="806" t="s">
        <v>940</v>
      </c>
      <c r="D1344" s="807"/>
      <c r="E1344" s="11" t="s">
        <v>102</v>
      </c>
      <c r="F1344" s="12">
        <v>1</v>
      </c>
      <c r="G1344" s="12">
        <v>762.97</v>
      </c>
      <c r="H1344" s="12">
        <v>973.47</v>
      </c>
      <c r="I1344" s="13">
        <f t="shared" si="112"/>
        <v>762.97</v>
      </c>
      <c r="J1344" s="13">
        <f t="shared" si="113"/>
        <v>973.47</v>
      </c>
    </row>
    <row r="1345" spans="1:10" s="1" customFormat="1" ht="25.5" customHeight="1" x14ac:dyDescent="0.2">
      <c r="A1345" s="11" t="s">
        <v>78</v>
      </c>
      <c r="B1345" s="34">
        <v>41903</v>
      </c>
      <c r="C1345" s="806" t="s">
        <v>941</v>
      </c>
      <c r="D1345" s="807"/>
      <c r="E1345" s="11" t="s">
        <v>102</v>
      </c>
      <c r="F1345" s="12">
        <v>57</v>
      </c>
      <c r="G1345" s="12">
        <v>126.31</v>
      </c>
      <c r="H1345" s="12">
        <v>161.15</v>
      </c>
      <c r="I1345" s="13">
        <f t="shared" si="112"/>
        <v>7199.67</v>
      </c>
      <c r="J1345" s="13">
        <f t="shared" si="113"/>
        <v>9185.5500000000011</v>
      </c>
    </row>
    <row r="1346" spans="1:10" s="1" customFormat="1" ht="25.5" customHeight="1" x14ac:dyDescent="0.2">
      <c r="A1346" s="11" t="s">
        <v>78</v>
      </c>
      <c r="B1346" s="34">
        <v>42268</v>
      </c>
      <c r="C1346" s="806" t="s">
        <v>942</v>
      </c>
      <c r="D1346" s="807"/>
      <c r="E1346" s="11" t="s">
        <v>102</v>
      </c>
      <c r="F1346" s="12">
        <v>1</v>
      </c>
      <c r="G1346" s="12">
        <v>157.28</v>
      </c>
      <c r="H1346" s="12">
        <v>200.67</v>
      </c>
      <c r="I1346" s="13">
        <f t="shared" si="112"/>
        <v>157.28</v>
      </c>
      <c r="J1346" s="13">
        <f t="shared" si="113"/>
        <v>200.67</v>
      </c>
    </row>
    <row r="1347" spans="1:10" s="1" customFormat="1" ht="25.5" customHeight="1" x14ac:dyDescent="0.2">
      <c r="A1347" s="11" t="s">
        <v>943</v>
      </c>
      <c r="B1347" s="34">
        <v>42634</v>
      </c>
      <c r="C1347" s="806" t="s">
        <v>944</v>
      </c>
      <c r="D1347" s="807"/>
      <c r="E1347" s="11" t="s">
        <v>102</v>
      </c>
      <c r="F1347" s="12">
        <v>4</v>
      </c>
      <c r="G1347" s="12">
        <v>99.53</v>
      </c>
      <c r="H1347" s="12">
        <v>126.99</v>
      </c>
      <c r="I1347" s="13">
        <f t="shared" si="112"/>
        <v>398.12</v>
      </c>
      <c r="J1347" s="13">
        <f t="shared" si="113"/>
        <v>507.96</v>
      </c>
    </row>
    <row r="1348" spans="1:10" s="1" customFormat="1" ht="25.5" customHeight="1" x14ac:dyDescent="0.2">
      <c r="A1348" s="8"/>
      <c r="B1348" s="803" t="s">
        <v>945</v>
      </c>
      <c r="C1348" s="804"/>
      <c r="D1348" s="804"/>
      <c r="E1348" s="804"/>
      <c r="F1348" s="804"/>
      <c r="G1348" s="805"/>
      <c r="H1348" s="8"/>
      <c r="I1348" s="18">
        <f>SUM(I1332:I1347)</f>
        <v>11279.350000000002</v>
      </c>
      <c r="J1348" s="18">
        <f>SUM(J1332:J1347)</f>
        <v>14390.93</v>
      </c>
    </row>
    <row r="1349" spans="1:10" s="1" customFormat="1" ht="25.5" customHeight="1" x14ac:dyDescent="0.2">
      <c r="A1349" s="8"/>
      <c r="B1349" s="9" t="s">
        <v>946</v>
      </c>
      <c r="C1349" s="808" t="s">
        <v>947</v>
      </c>
      <c r="D1349" s="820"/>
      <c r="E1349" s="820"/>
      <c r="F1349" s="820"/>
      <c r="G1349" s="820"/>
      <c r="H1349" s="820"/>
      <c r="I1349" s="809"/>
      <c r="J1349" s="8"/>
    </row>
    <row r="1350" spans="1:10" s="1" customFormat="1" ht="25.5" customHeight="1" x14ac:dyDescent="0.2">
      <c r="A1350" s="11" t="s">
        <v>948</v>
      </c>
      <c r="B1350" s="25">
        <v>44470</v>
      </c>
      <c r="C1350" s="806" t="s">
        <v>949</v>
      </c>
      <c r="D1350" s="807"/>
      <c r="E1350" s="11" t="s">
        <v>102</v>
      </c>
      <c r="F1350" s="12">
        <v>116</v>
      </c>
      <c r="G1350" s="12">
        <v>63.58</v>
      </c>
      <c r="H1350" s="12">
        <v>81.12</v>
      </c>
      <c r="I1350" s="13">
        <f t="shared" ref="I1350:I1356" si="114">F1350*G1350</f>
        <v>7375.28</v>
      </c>
      <c r="J1350" s="13">
        <f t="shared" ref="J1350:J1356" si="115">F1350*H1350</f>
        <v>9409.92</v>
      </c>
    </row>
    <row r="1351" spans="1:10" s="1" customFormat="1" ht="25.5" customHeight="1" x14ac:dyDescent="0.2">
      <c r="A1351" s="11" t="s">
        <v>950</v>
      </c>
      <c r="B1351" s="25">
        <v>44471</v>
      </c>
      <c r="C1351" s="806" t="s">
        <v>951</v>
      </c>
      <c r="D1351" s="807"/>
      <c r="E1351" s="11" t="s">
        <v>102</v>
      </c>
      <c r="F1351" s="12">
        <v>19</v>
      </c>
      <c r="G1351" s="12">
        <v>102.79</v>
      </c>
      <c r="H1351" s="12">
        <v>131.15</v>
      </c>
      <c r="I1351" s="13">
        <f t="shared" si="114"/>
        <v>1953.0100000000002</v>
      </c>
      <c r="J1351" s="13">
        <f t="shared" si="115"/>
        <v>2491.85</v>
      </c>
    </row>
    <row r="1352" spans="1:10" s="1" customFormat="1" ht="25.5" customHeight="1" x14ac:dyDescent="0.2">
      <c r="A1352" s="10">
        <v>38769</v>
      </c>
      <c r="B1352" s="25">
        <v>44472</v>
      </c>
      <c r="C1352" s="806" t="s">
        <v>952</v>
      </c>
      <c r="D1352" s="807"/>
      <c r="E1352" s="11" t="s">
        <v>102</v>
      </c>
      <c r="F1352" s="12">
        <v>12</v>
      </c>
      <c r="G1352" s="12">
        <v>22.83</v>
      </c>
      <c r="H1352" s="12">
        <v>29.13</v>
      </c>
      <c r="I1352" s="13">
        <f t="shared" si="114"/>
        <v>273.95999999999998</v>
      </c>
      <c r="J1352" s="13">
        <f t="shared" si="115"/>
        <v>349.56</v>
      </c>
    </row>
    <row r="1353" spans="1:10" s="1" customFormat="1" ht="25.5" customHeight="1" x14ac:dyDescent="0.2">
      <c r="A1353" s="10">
        <v>38769</v>
      </c>
      <c r="B1353" s="25">
        <v>44473</v>
      </c>
      <c r="C1353" s="806" t="s">
        <v>953</v>
      </c>
      <c r="D1353" s="807"/>
      <c r="E1353" s="11" t="s">
        <v>102</v>
      </c>
      <c r="F1353" s="12">
        <v>18</v>
      </c>
      <c r="G1353" s="12">
        <v>22.83</v>
      </c>
      <c r="H1353" s="12">
        <v>29.13</v>
      </c>
      <c r="I1353" s="13">
        <f t="shared" si="114"/>
        <v>410.93999999999994</v>
      </c>
      <c r="J1353" s="13">
        <f t="shared" si="115"/>
        <v>524.34</v>
      </c>
    </row>
    <row r="1354" spans="1:10" s="1" customFormat="1" ht="25.5" customHeight="1" x14ac:dyDescent="0.2">
      <c r="A1354" s="11" t="s">
        <v>954</v>
      </c>
      <c r="B1354" s="25">
        <v>44474</v>
      </c>
      <c r="C1354" s="806" t="s">
        <v>955</v>
      </c>
      <c r="D1354" s="807"/>
      <c r="E1354" s="11" t="s">
        <v>102</v>
      </c>
      <c r="F1354" s="12">
        <v>2</v>
      </c>
      <c r="G1354" s="13">
        <v>3877.9</v>
      </c>
      <c r="H1354" s="13">
        <v>4947.82</v>
      </c>
      <c r="I1354" s="13">
        <f t="shared" si="114"/>
        <v>7755.8</v>
      </c>
      <c r="J1354" s="13">
        <f t="shared" si="115"/>
        <v>9895.64</v>
      </c>
    </row>
    <row r="1355" spans="1:10" s="1" customFormat="1" ht="25.5" customHeight="1" x14ac:dyDescent="0.2">
      <c r="A1355" s="11" t="s">
        <v>956</v>
      </c>
      <c r="B1355" s="25">
        <v>44475</v>
      </c>
      <c r="C1355" s="806" t="s">
        <v>957</v>
      </c>
      <c r="D1355" s="807"/>
      <c r="E1355" s="11" t="s">
        <v>102</v>
      </c>
      <c r="F1355" s="12">
        <v>4</v>
      </c>
      <c r="G1355" s="13">
        <v>2717.21</v>
      </c>
      <c r="H1355" s="13">
        <v>3466.89</v>
      </c>
      <c r="I1355" s="13">
        <f t="shared" si="114"/>
        <v>10868.84</v>
      </c>
      <c r="J1355" s="13">
        <f t="shared" si="115"/>
        <v>13867.56</v>
      </c>
    </row>
    <row r="1356" spans="1:10" s="1" customFormat="1" ht="25.5" customHeight="1" x14ac:dyDescent="0.2">
      <c r="A1356" s="31" t="s">
        <v>308</v>
      </c>
      <c r="B1356" s="37">
        <v>44476</v>
      </c>
      <c r="C1356" s="806" t="s">
        <v>958</v>
      </c>
      <c r="D1356" s="807"/>
      <c r="E1356" s="31" t="s">
        <v>102</v>
      </c>
      <c r="F1356" s="32">
        <v>5</v>
      </c>
      <c r="G1356" s="32">
        <v>135.36000000000001</v>
      </c>
      <c r="H1356" s="32">
        <v>172.71</v>
      </c>
      <c r="I1356" s="13">
        <f t="shared" si="114"/>
        <v>676.80000000000007</v>
      </c>
      <c r="J1356" s="13">
        <f t="shared" si="115"/>
        <v>863.55000000000007</v>
      </c>
    </row>
    <row r="1357" spans="1:10" s="1" customFormat="1" ht="25.5" customHeight="1" x14ac:dyDescent="0.2">
      <c r="A1357" s="8"/>
      <c r="B1357" s="803" t="s">
        <v>959</v>
      </c>
      <c r="C1357" s="804"/>
      <c r="D1357" s="804"/>
      <c r="E1357" s="804"/>
      <c r="F1357" s="804"/>
      <c r="G1357" s="805"/>
      <c r="H1357" s="8"/>
      <c r="I1357" s="18">
        <f>SUM(I1350:I1356)</f>
        <v>29314.63</v>
      </c>
      <c r="J1357" s="18">
        <f>SUM(J1350:J1356)</f>
        <v>37402.42</v>
      </c>
    </row>
    <row r="1358" spans="1:10" s="1" customFormat="1" ht="25.5" customHeight="1" x14ac:dyDescent="0.2">
      <c r="A1358" s="8"/>
      <c r="B1358" s="9" t="s">
        <v>960</v>
      </c>
      <c r="C1358" s="808" t="s">
        <v>961</v>
      </c>
      <c r="D1358" s="809"/>
      <c r="E1358" s="8"/>
      <c r="F1358" s="8"/>
      <c r="G1358" s="8"/>
      <c r="H1358" s="8"/>
      <c r="I1358" s="8"/>
      <c r="J1358" s="8"/>
    </row>
    <row r="1359" spans="1:10" s="1" customFormat="1" ht="25.5" customHeight="1" x14ac:dyDescent="0.2">
      <c r="A1359" s="10">
        <v>38112</v>
      </c>
      <c r="B1359" s="25">
        <v>44501</v>
      </c>
      <c r="C1359" s="806" t="s">
        <v>962</v>
      </c>
      <c r="D1359" s="807"/>
      <c r="E1359" s="11" t="s">
        <v>102</v>
      </c>
      <c r="F1359" s="12">
        <v>1</v>
      </c>
      <c r="G1359" s="12">
        <v>5.53</v>
      </c>
      <c r="H1359" s="12">
        <v>7.06</v>
      </c>
      <c r="I1359" s="13">
        <f t="shared" ref="I1359:I1371" si="116">F1359*G1359</f>
        <v>5.53</v>
      </c>
      <c r="J1359" s="13">
        <f t="shared" ref="J1359:J1371" si="117">F1359*H1359</f>
        <v>7.06</v>
      </c>
    </row>
    <row r="1360" spans="1:10" s="1" customFormat="1" ht="25.5" customHeight="1" x14ac:dyDescent="0.2">
      <c r="A1360" s="10">
        <v>38112</v>
      </c>
      <c r="B1360" s="25">
        <v>44502</v>
      </c>
      <c r="C1360" s="806" t="s">
        <v>963</v>
      </c>
      <c r="D1360" s="807"/>
      <c r="E1360" s="11" t="s">
        <v>102</v>
      </c>
      <c r="F1360" s="12">
        <v>49</v>
      </c>
      <c r="G1360" s="12">
        <v>5.53</v>
      </c>
      <c r="H1360" s="12">
        <v>7.06</v>
      </c>
      <c r="I1360" s="13">
        <f t="shared" si="116"/>
        <v>270.97000000000003</v>
      </c>
      <c r="J1360" s="13">
        <f t="shared" si="117"/>
        <v>345.94</v>
      </c>
    </row>
    <row r="1361" spans="1:10" s="1" customFormat="1" ht="25.5" customHeight="1" x14ac:dyDescent="0.2">
      <c r="A1361" s="10">
        <v>38079</v>
      </c>
      <c r="B1361" s="25">
        <v>44503</v>
      </c>
      <c r="C1361" s="806" t="s">
        <v>964</v>
      </c>
      <c r="D1361" s="807"/>
      <c r="E1361" s="11" t="s">
        <v>102</v>
      </c>
      <c r="F1361" s="12">
        <v>2</v>
      </c>
      <c r="G1361" s="12">
        <v>17.579999999999998</v>
      </c>
      <c r="H1361" s="12">
        <v>22.43</v>
      </c>
      <c r="I1361" s="13">
        <f t="shared" si="116"/>
        <v>35.159999999999997</v>
      </c>
      <c r="J1361" s="13">
        <f t="shared" si="117"/>
        <v>44.86</v>
      </c>
    </row>
    <row r="1362" spans="1:10" s="1" customFormat="1" ht="25.5" customHeight="1" x14ac:dyDescent="0.2">
      <c r="A1362" s="10">
        <v>38071</v>
      </c>
      <c r="B1362" s="25">
        <v>44504</v>
      </c>
      <c r="C1362" s="806" t="s">
        <v>965</v>
      </c>
      <c r="D1362" s="807"/>
      <c r="E1362" s="11" t="s">
        <v>102</v>
      </c>
      <c r="F1362" s="12">
        <v>5</v>
      </c>
      <c r="G1362" s="12">
        <v>13.94</v>
      </c>
      <c r="H1362" s="12">
        <v>17.79</v>
      </c>
      <c r="I1362" s="13">
        <f t="shared" si="116"/>
        <v>69.7</v>
      </c>
      <c r="J1362" s="13">
        <f t="shared" si="117"/>
        <v>88.949999999999989</v>
      </c>
    </row>
    <row r="1363" spans="1:10" s="1" customFormat="1" ht="25.5" customHeight="1" x14ac:dyDescent="0.2">
      <c r="A1363" s="10">
        <v>38070</v>
      </c>
      <c r="B1363" s="25">
        <v>44505</v>
      </c>
      <c r="C1363" s="806" t="s">
        <v>966</v>
      </c>
      <c r="D1363" s="807"/>
      <c r="E1363" s="11" t="s">
        <v>102</v>
      </c>
      <c r="F1363" s="12">
        <v>2</v>
      </c>
      <c r="G1363" s="12">
        <v>13.47</v>
      </c>
      <c r="H1363" s="12">
        <v>17.190000000000001</v>
      </c>
      <c r="I1363" s="13">
        <f t="shared" si="116"/>
        <v>26.94</v>
      </c>
      <c r="J1363" s="13">
        <f t="shared" si="117"/>
        <v>34.380000000000003</v>
      </c>
    </row>
    <row r="1364" spans="1:10" s="1" customFormat="1" ht="25.5" customHeight="1" x14ac:dyDescent="0.2">
      <c r="A1364" s="10">
        <v>38070</v>
      </c>
      <c r="B1364" s="25">
        <v>44506</v>
      </c>
      <c r="C1364" s="806" t="s">
        <v>967</v>
      </c>
      <c r="D1364" s="807"/>
      <c r="E1364" s="11" t="s">
        <v>102</v>
      </c>
      <c r="F1364" s="12">
        <v>18</v>
      </c>
      <c r="G1364" s="12">
        <v>13.47</v>
      </c>
      <c r="H1364" s="12">
        <v>17.190000000000001</v>
      </c>
      <c r="I1364" s="13">
        <f t="shared" si="116"/>
        <v>242.46</v>
      </c>
      <c r="J1364" s="13">
        <f t="shared" si="117"/>
        <v>309.42</v>
      </c>
    </row>
    <row r="1365" spans="1:10" s="1" customFormat="1" ht="25.5" customHeight="1" x14ac:dyDescent="0.2">
      <c r="A1365" s="10">
        <v>38074</v>
      </c>
      <c r="B1365" s="25">
        <v>44507</v>
      </c>
      <c r="C1365" s="806" t="s">
        <v>968</v>
      </c>
      <c r="D1365" s="807"/>
      <c r="E1365" s="11" t="s">
        <v>102</v>
      </c>
      <c r="F1365" s="12">
        <v>2</v>
      </c>
      <c r="G1365" s="12">
        <v>20.48</v>
      </c>
      <c r="H1365" s="12">
        <v>26.13</v>
      </c>
      <c r="I1365" s="13">
        <f t="shared" si="116"/>
        <v>40.96</v>
      </c>
      <c r="J1365" s="13">
        <f t="shared" si="117"/>
        <v>52.26</v>
      </c>
    </row>
    <row r="1366" spans="1:10" s="1" customFormat="1" ht="25.5" customHeight="1" x14ac:dyDescent="0.2">
      <c r="A1366" s="11" t="s">
        <v>308</v>
      </c>
      <c r="B1366" s="25">
        <v>44508</v>
      </c>
      <c r="C1366" s="806" t="s">
        <v>969</v>
      </c>
      <c r="D1366" s="807"/>
      <c r="E1366" s="11" t="s">
        <v>102</v>
      </c>
      <c r="F1366" s="12">
        <v>1</v>
      </c>
      <c r="G1366" s="12">
        <v>3.9</v>
      </c>
      <c r="H1366" s="12">
        <v>4.9800000000000004</v>
      </c>
      <c r="I1366" s="13">
        <f t="shared" si="116"/>
        <v>3.9</v>
      </c>
      <c r="J1366" s="13">
        <f t="shared" si="117"/>
        <v>4.9800000000000004</v>
      </c>
    </row>
    <row r="1367" spans="1:10" s="1" customFormat="1" ht="25.5" customHeight="1" x14ac:dyDescent="0.2">
      <c r="A1367" s="10">
        <v>38108</v>
      </c>
      <c r="B1367" s="25">
        <v>44509</v>
      </c>
      <c r="C1367" s="806" t="s">
        <v>970</v>
      </c>
      <c r="D1367" s="807"/>
      <c r="E1367" s="11" t="s">
        <v>102</v>
      </c>
      <c r="F1367" s="12">
        <v>6</v>
      </c>
      <c r="G1367" s="12">
        <v>38.54</v>
      </c>
      <c r="H1367" s="12">
        <v>49.17</v>
      </c>
      <c r="I1367" s="13">
        <f t="shared" si="116"/>
        <v>231.24</v>
      </c>
      <c r="J1367" s="13">
        <f t="shared" si="117"/>
        <v>295.02</v>
      </c>
    </row>
    <row r="1368" spans="1:10" s="1" customFormat="1" ht="25.5" customHeight="1" x14ac:dyDescent="0.2">
      <c r="A1368" s="10">
        <v>38092</v>
      </c>
      <c r="B1368" s="38">
        <v>40503</v>
      </c>
      <c r="C1368" s="806" t="s">
        <v>971</v>
      </c>
      <c r="D1368" s="807"/>
      <c r="E1368" s="11" t="s">
        <v>102</v>
      </c>
      <c r="F1368" s="12">
        <v>49</v>
      </c>
      <c r="G1368" s="12">
        <v>1.85</v>
      </c>
      <c r="H1368" s="12">
        <v>2.36</v>
      </c>
      <c r="I1368" s="13">
        <f t="shared" si="116"/>
        <v>90.65</v>
      </c>
      <c r="J1368" s="13">
        <f t="shared" si="117"/>
        <v>115.64</v>
      </c>
    </row>
    <row r="1369" spans="1:10" s="1" customFormat="1" ht="25.5" customHeight="1" x14ac:dyDescent="0.2">
      <c r="A1369" s="10">
        <v>38093</v>
      </c>
      <c r="B1369" s="38">
        <v>40868</v>
      </c>
      <c r="C1369" s="806" t="s">
        <v>972</v>
      </c>
      <c r="D1369" s="807"/>
      <c r="E1369" s="11" t="s">
        <v>102</v>
      </c>
      <c r="F1369" s="12">
        <v>20</v>
      </c>
      <c r="G1369" s="12">
        <v>1.91</v>
      </c>
      <c r="H1369" s="12">
        <v>2.44</v>
      </c>
      <c r="I1369" s="13">
        <f t="shared" si="116"/>
        <v>38.199999999999996</v>
      </c>
      <c r="J1369" s="13">
        <f t="shared" si="117"/>
        <v>48.8</v>
      </c>
    </row>
    <row r="1370" spans="1:10" s="1" customFormat="1" ht="25.5" customHeight="1" x14ac:dyDescent="0.2">
      <c r="A1370" s="10">
        <v>38094</v>
      </c>
      <c r="B1370" s="38">
        <v>41234</v>
      </c>
      <c r="C1370" s="806" t="s">
        <v>973</v>
      </c>
      <c r="D1370" s="807"/>
      <c r="E1370" s="11" t="s">
        <v>102</v>
      </c>
      <c r="F1370" s="12">
        <v>5</v>
      </c>
      <c r="G1370" s="12">
        <v>2.34</v>
      </c>
      <c r="H1370" s="12">
        <v>2.99</v>
      </c>
      <c r="I1370" s="13">
        <f t="shared" si="116"/>
        <v>11.7</v>
      </c>
      <c r="J1370" s="13">
        <f t="shared" si="117"/>
        <v>14.950000000000001</v>
      </c>
    </row>
    <row r="1371" spans="1:10" s="1" customFormat="1" ht="25.5" customHeight="1" x14ac:dyDescent="0.2">
      <c r="A1371" s="10">
        <v>38097</v>
      </c>
      <c r="B1371" s="38">
        <v>41599</v>
      </c>
      <c r="C1371" s="806" t="s">
        <v>974</v>
      </c>
      <c r="D1371" s="807"/>
      <c r="E1371" s="11" t="s">
        <v>102</v>
      </c>
      <c r="F1371" s="12">
        <v>1</v>
      </c>
      <c r="G1371" s="12">
        <v>4.76</v>
      </c>
      <c r="H1371" s="12">
        <v>6.07</v>
      </c>
      <c r="I1371" s="13">
        <f t="shared" si="116"/>
        <v>4.76</v>
      </c>
      <c r="J1371" s="13">
        <f t="shared" si="117"/>
        <v>6.07</v>
      </c>
    </row>
    <row r="1372" spans="1:10" s="1" customFormat="1" ht="25.5" customHeight="1" x14ac:dyDescent="0.2">
      <c r="A1372" s="8"/>
      <c r="B1372" s="803" t="s">
        <v>975</v>
      </c>
      <c r="C1372" s="804"/>
      <c r="D1372" s="804"/>
      <c r="E1372" s="804"/>
      <c r="F1372" s="804"/>
      <c r="G1372" s="805"/>
      <c r="H1372" s="8"/>
      <c r="I1372" s="18">
        <f>SUM(I1359:I1371)</f>
        <v>1072.17</v>
      </c>
      <c r="J1372" s="18">
        <f>SUM(J1359:J1371)</f>
        <v>1368.3300000000002</v>
      </c>
    </row>
    <row r="1373" spans="1:10" s="1" customFormat="1" ht="25.5" customHeight="1" x14ac:dyDescent="0.2">
      <c r="A1373" s="8"/>
      <c r="B1373" s="9" t="s">
        <v>976</v>
      </c>
      <c r="C1373" s="808" t="s">
        <v>977</v>
      </c>
      <c r="D1373" s="820"/>
      <c r="E1373" s="820"/>
      <c r="F1373" s="820"/>
      <c r="G1373" s="820"/>
      <c r="H1373" s="820"/>
      <c r="I1373" s="809"/>
      <c r="J1373" s="8"/>
    </row>
    <row r="1374" spans="1:10" s="1" customFormat="1" ht="25.5" customHeight="1" x14ac:dyDescent="0.2">
      <c r="A1374" s="10">
        <v>38075</v>
      </c>
      <c r="B1374" s="25">
        <v>44531</v>
      </c>
      <c r="C1374" s="806" t="s">
        <v>978</v>
      </c>
      <c r="D1374" s="807"/>
      <c r="E1374" s="11" t="s">
        <v>102</v>
      </c>
      <c r="F1374" s="12">
        <v>14</v>
      </c>
      <c r="G1374" s="12">
        <v>12.82</v>
      </c>
      <c r="H1374" s="12">
        <v>16.36</v>
      </c>
      <c r="I1374" s="13">
        <f t="shared" ref="I1374:I1379" si="118">F1374*G1374</f>
        <v>179.48000000000002</v>
      </c>
      <c r="J1374" s="13">
        <f t="shared" ref="J1374:J1379" si="119">F1374*H1374</f>
        <v>229.04</v>
      </c>
    </row>
    <row r="1375" spans="1:10" s="1" customFormat="1" ht="25.5" customHeight="1" x14ac:dyDescent="0.2">
      <c r="A1375" s="11" t="s">
        <v>308</v>
      </c>
      <c r="B1375" s="25">
        <v>44532</v>
      </c>
      <c r="C1375" s="806" t="s">
        <v>979</v>
      </c>
      <c r="D1375" s="807"/>
      <c r="E1375" s="11" t="s">
        <v>102</v>
      </c>
      <c r="F1375" s="12">
        <v>7</v>
      </c>
      <c r="G1375" s="12">
        <v>3.9</v>
      </c>
      <c r="H1375" s="12">
        <v>4.9800000000000004</v>
      </c>
      <c r="I1375" s="13">
        <f t="shared" si="118"/>
        <v>27.3</v>
      </c>
      <c r="J1375" s="13">
        <f t="shared" si="119"/>
        <v>34.86</v>
      </c>
    </row>
    <row r="1376" spans="1:10" s="1" customFormat="1" ht="25.5" customHeight="1" x14ac:dyDescent="0.2">
      <c r="A1376" s="11" t="s">
        <v>980</v>
      </c>
      <c r="B1376" s="25">
        <v>44533</v>
      </c>
      <c r="C1376" s="806" t="s">
        <v>981</v>
      </c>
      <c r="D1376" s="807"/>
      <c r="E1376" s="11" t="s">
        <v>102</v>
      </c>
      <c r="F1376" s="12">
        <v>191</v>
      </c>
      <c r="G1376" s="12">
        <v>16.91</v>
      </c>
      <c r="H1376" s="12">
        <v>21.58</v>
      </c>
      <c r="I1376" s="13">
        <f t="shared" si="118"/>
        <v>3229.81</v>
      </c>
      <c r="J1376" s="13">
        <f t="shared" si="119"/>
        <v>4121.78</v>
      </c>
    </row>
    <row r="1377" spans="1:10" s="1" customFormat="1" ht="25.5" customHeight="1" x14ac:dyDescent="0.2">
      <c r="A1377" s="11" t="s">
        <v>982</v>
      </c>
      <c r="B1377" s="25">
        <v>44534</v>
      </c>
      <c r="C1377" s="806" t="s">
        <v>983</v>
      </c>
      <c r="D1377" s="807"/>
      <c r="E1377" s="11" t="s">
        <v>102</v>
      </c>
      <c r="F1377" s="12">
        <v>8</v>
      </c>
      <c r="G1377" s="12">
        <v>36.520000000000003</v>
      </c>
      <c r="H1377" s="12">
        <v>46.6</v>
      </c>
      <c r="I1377" s="13">
        <f t="shared" si="118"/>
        <v>292.16000000000003</v>
      </c>
      <c r="J1377" s="13">
        <f t="shared" si="119"/>
        <v>372.8</v>
      </c>
    </row>
    <row r="1378" spans="1:10" s="1" customFormat="1" ht="25.5" customHeight="1" x14ac:dyDescent="0.2">
      <c r="A1378" s="10">
        <v>38093</v>
      </c>
      <c r="B1378" s="25">
        <v>44535</v>
      </c>
      <c r="C1378" s="806" t="s">
        <v>984</v>
      </c>
      <c r="D1378" s="807"/>
      <c r="E1378" s="11" t="s">
        <v>102</v>
      </c>
      <c r="F1378" s="12">
        <v>191</v>
      </c>
      <c r="G1378" s="12">
        <v>1.91</v>
      </c>
      <c r="H1378" s="12">
        <v>2.44</v>
      </c>
      <c r="I1378" s="13">
        <f t="shared" si="118"/>
        <v>364.81</v>
      </c>
      <c r="J1378" s="13">
        <f t="shared" si="119"/>
        <v>466.03999999999996</v>
      </c>
    </row>
    <row r="1379" spans="1:10" s="1" customFormat="1" ht="25.5" customHeight="1" x14ac:dyDescent="0.2">
      <c r="A1379" s="10">
        <v>38091</v>
      </c>
      <c r="B1379" s="25">
        <v>44536</v>
      </c>
      <c r="C1379" s="806" t="s">
        <v>985</v>
      </c>
      <c r="D1379" s="807"/>
      <c r="E1379" s="11" t="s">
        <v>102</v>
      </c>
      <c r="F1379" s="12">
        <v>28</v>
      </c>
      <c r="G1379" s="12">
        <v>1.95</v>
      </c>
      <c r="H1379" s="12">
        <v>2.4900000000000002</v>
      </c>
      <c r="I1379" s="13">
        <f t="shared" si="118"/>
        <v>54.6</v>
      </c>
      <c r="J1379" s="13">
        <f t="shared" si="119"/>
        <v>69.72</v>
      </c>
    </row>
    <row r="1380" spans="1:10" s="1" customFormat="1" ht="25.5" customHeight="1" x14ac:dyDescent="0.2">
      <c r="A1380" s="8"/>
      <c r="B1380" s="803" t="s">
        <v>986</v>
      </c>
      <c r="C1380" s="804"/>
      <c r="D1380" s="804"/>
      <c r="E1380" s="804"/>
      <c r="F1380" s="804"/>
      <c r="G1380" s="805"/>
      <c r="H1380" s="8"/>
      <c r="I1380" s="18">
        <f>SUM(I1374:I1379)</f>
        <v>4148.16</v>
      </c>
      <c r="J1380" s="18">
        <f>SUM(J1374:J1379)</f>
        <v>5294.24</v>
      </c>
    </row>
    <row r="1381" spans="1:10" s="1" customFormat="1" ht="25.5" customHeight="1" x14ac:dyDescent="0.2">
      <c r="A1381" s="8"/>
      <c r="B1381" s="9" t="s">
        <v>987</v>
      </c>
      <c r="C1381" s="808" t="s">
        <v>988</v>
      </c>
      <c r="D1381" s="820"/>
      <c r="E1381" s="820"/>
      <c r="F1381" s="820"/>
      <c r="G1381" s="820"/>
      <c r="H1381" s="820"/>
      <c r="I1381" s="809"/>
      <c r="J1381" s="8"/>
    </row>
    <row r="1382" spans="1:10" s="1" customFormat="1" ht="25.5" customHeight="1" x14ac:dyDescent="0.2">
      <c r="A1382" s="11" t="s">
        <v>989</v>
      </c>
      <c r="B1382" s="11" t="s">
        <v>990</v>
      </c>
      <c r="C1382" s="806" t="s">
        <v>991</v>
      </c>
      <c r="D1382" s="807"/>
      <c r="E1382" s="11" t="s">
        <v>102</v>
      </c>
      <c r="F1382" s="12">
        <v>64</v>
      </c>
      <c r="G1382" s="12">
        <v>3.46</v>
      </c>
      <c r="H1382" s="12">
        <v>4.41</v>
      </c>
      <c r="I1382" s="13">
        <f t="shared" ref="I1382:I1387" si="120">F1382*G1382</f>
        <v>221.44</v>
      </c>
      <c r="J1382" s="13">
        <f t="shared" ref="J1382:J1387" si="121">F1382*H1382</f>
        <v>282.24</v>
      </c>
    </row>
    <row r="1383" spans="1:10" s="1" customFormat="1" ht="25.5" customHeight="1" x14ac:dyDescent="0.2">
      <c r="A1383" s="10">
        <v>11950</v>
      </c>
      <c r="B1383" s="11" t="s">
        <v>992</v>
      </c>
      <c r="C1383" s="806" t="s">
        <v>993</v>
      </c>
      <c r="D1383" s="807"/>
      <c r="E1383" s="11" t="s">
        <v>102</v>
      </c>
      <c r="F1383" s="13">
        <v>1200</v>
      </c>
      <c r="G1383" s="12">
        <v>0.14000000000000001</v>
      </c>
      <c r="H1383" s="12">
        <v>0.18</v>
      </c>
      <c r="I1383" s="13">
        <f t="shared" si="120"/>
        <v>168.00000000000003</v>
      </c>
      <c r="J1383" s="13">
        <f t="shared" si="121"/>
        <v>216</v>
      </c>
    </row>
    <row r="1384" spans="1:10" s="1" customFormat="1" ht="25.5" customHeight="1" x14ac:dyDescent="0.2">
      <c r="A1384" s="11" t="s">
        <v>308</v>
      </c>
      <c r="B1384" s="11" t="s">
        <v>994</v>
      </c>
      <c r="C1384" s="806" t="s">
        <v>995</v>
      </c>
      <c r="D1384" s="807"/>
      <c r="E1384" s="11" t="s">
        <v>102</v>
      </c>
      <c r="F1384" s="12">
        <v>32</v>
      </c>
      <c r="G1384" s="12">
        <v>4.9000000000000004</v>
      </c>
      <c r="H1384" s="12">
        <v>6.25</v>
      </c>
      <c r="I1384" s="13">
        <f t="shared" si="120"/>
        <v>156.80000000000001</v>
      </c>
      <c r="J1384" s="13">
        <f t="shared" si="121"/>
        <v>200</v>
      </c>
    </row>
    <row r="1385" spans="1:10" s="1" customFormat="1" ht="25.5" customHeight="1" x14ac:dyDescent="0.2">
      <c r="A1385" s="11" t="s">
        <v>308</v>
      </c>
      <c r="B1385" s="11" t="s">
        <v>996</v>
      </c>
      <c r="C1385" s="806" t="s">
        <v>997</v>
      </c>
      <c r="D1385" s="807"/>
      <c r="E1385" s="11" t="s">
        <v>102</v>
      </c>
      <c r="F1385" s="12">
        <v>32</v>
      </c>
      <c r="G1385" s="12">
        <v>17</v>
      </c>
      <c r="H1385" s="12">
        <v>21.69</v>
      </c>
      <c r="I1385" s="13">
        <f t="shared" si="120"/>
        <v>544</v>
      </c>
      <c r="J1385" s="13">
        <f t="shared" si="121"/>
        <v>694.08</v>
      </c>
    </row>
    <row r="1386" spans="1:10" s="1" customFormat="1" ht="25.5" customHeight="1" x14ac:dyDescent="0.2">
      <c r="A1386" s="10">
        <v>39997</v>
      </c>
      <c r="B1386" s="11" t="s">
        <v>998</v>
      </c>
      <c r="C1386" s="806" t="s">
        <v>999</v>
      </c>
      <c r="D1386" s="807"/>
      <c r="E1386" s="11" t="s">
        <v>102</v>
      </c>
      <c r="F1386" s="12">
        <v>300</v>
      </c>
      <c r="G1386" s="12">
        <v>0.14000000000000001</v>
      </c>
      <c r="H1386" s="12">
        <v>0.18</v>
      </c>
      <c r="I1386" s="13">
        <f t="shared" si="120"/>
        <v>42.000000000000007</v>
      </c>
      <c r="J1386" s="13">
        <f t="shared" si="121"/>
        <v>54</v>
      </c>
    </row>
    <row r="1387" spans="1:10" s="1" customFormat="1" ht="25.5" customHeight="1" x14ac:dyDescent="0.2">
      <c r="A1387" s="10">
        <v>39996</v>
      </c>
      <c r="B1387" s="11" t="s">
        <v>1000</v>
      </c>
      <c r="C1387" s="806" t="s">
        <v>1001</v>
      </c>
      <c r="D1387" s="807"/>
      <c r="E1387" s="11" t="s">
        <v>81</v>
      </c>
      <c r="F1387" s="12">
        <v>120</v>
      </c>
      <c r="G1387" s="12">
        <v>2.35</v>
      </c>
      <c r="H1387" s="12">
        <v>3</v>
      </c>
      <c r="I1387" s="13">
        <f t="shared" si="120"/>
        <v>282</v>
      </c>
      <c r="J1387" s="13">
        <f t="shared" si="121"/>
        <v>360</v>
      </c>
    </row>
    <row r="1388" spans="1:10" s="1" customFormat="1" ht="25.5" customHeight="1" x14ac:dyDescent="0.2">
      <c r="A1388" s="8"/>
      <c r="B1388" s="803" t="s">
        <v>1002</v>
      </c>
      <c r="C1388" s="804"/>
      <c r="D1388" s="804"/>
      <c r="E1388" s="804"/>
      <c r="F1388" s="804"/>
      <c r="G1388" s="805"/>
      <c r="H1388" s="8"/>
      <c r="I1388" s="18">
        <f>SUM(I1382:I1387)</f>
        <v>1414.24</v>
      </c>
      <c r="J1388" s="18">
        <f>SUM(J1382:J1387)</f>
        <v>1806.3200000000002</v>
      </c>
    </row>
    <row r="1389" spans="1:10" s="1" customFormat="1" ht="25.5" customHeight="1" x14ac:dyDescent="0.2">
      <c r="A1389" s="8"/>
      <c r="B1389" s="9" t="s">
        <v>1003</v>
      </c>
      <c r="C1389" s="808" t="s">
        <v>1004</v>
      </c>
      <c r="D1389" s="820"/>
      <c r="E1389" s="820"/>
      <c r="F1389" s="820"/>
      <c r="G1389" s="820"/>
      <c r="H1389" s="820"/>
      <c r="I1389" s="809"/>
      <c r="J1389" s="8"/>
    </row>
    <row r="1390" spans="1:10" s="1" customFormat="1" ht="25.5" customHeight="1" x14ac:dyDescent="0.2">
      <c r="A1390" s="8"/>
      <c r="B1390" s="9" t="s">
        <v>1005</v>
      </c>
      <c r="C1390" s="808" t="s">
        <v>1006</v>
      </c>
      <c r="D1390" s="820"/>
      <c r="E1390" s="820"/>
      <c r="F1390" s="820"/>
      <c r="G1390" s="820"/>
      <c r="H1390" s="820"/>
      <c r="I1390" s="809"/>
      <c r="J1390" s="8"/>
    </row>
    <row r="1391" spans="1:10" s="1" customFormat="1" ht="25.5" customHeight="1" x14ac:dyDescent="0.2">
      <c r="A1391" s="10">
        <v>4274</v>
      </c>
      <c r="B1391" s="11" t="s">
        <v>1007</v>
      </c>
      <c r="C1391" s="806" t="s">
        <v>1008</v>
      </c>
      <c r="D1391" s="807"/>
      <c r="E1391" s="11" t="s">
        <v>1009</v>
      </c>
      <c r="F1391" s="12">
        <v>1</v>
      </c>
      <c r="G1391" s="12">
        <v>72.459999999999994</v>
      </c>
      <c r="H1391" s="12">
        <v>92.45</v>
      </c>
      <c r="I1391" s="13">
        <f>F1391*G1391</f>
        <v>72.459999999999994</v>
      </c>
      <c r="J1391" s="13">
        <f>F1391*H1391</f>
        <v>92.45</v>
      </c>
    </row>
    <row r="1392" spans="1:10" s="1" customFormat="1" ht="25.5" customHeight="1" x14ac:dyDescent="0.2">
      <c r="A1392" s="36">
        <v>863</v>
      </c>
      <c r="B1392" s="11" t="s">
        <v>1010</v>
      </c>
      <c r="C1392" s="806" t="s">
        <v>1011</v>
      </c>
      <c r="D1392" s="807"/>
      <c r="E1392" s="11" t="s">
        <v>81</v>
      </c>
      <c r="F1392" s="12">
        <v>600</v>
      </c>
      <c r="G1392" s="12">
        <v>13.97</v>
      </c>
      <c r="H1392" s="12">
        <v>17.82</v>
      </c>
      <c r="I1392" s="13">
        <f>F1392*G1392</f>
        <v>8382</v>
      </c>
      <c r="J1392" s="13">
        <f>F1392*H1392</f>
        <v>10692</v>
      </c>
    </row>
    <row r="1393" spans="1:11" s="1" customFormat="1" ht="25.5" customHeight="1" x14ac:dyDescent="0.2">
      <c r="A1393" s="11" t="s">
        <v>1012</v>
      </c>
      <c r="B1393" s="11" t="s">
        <v>1013</v>
      </c>
      <c r="C1393" s="806" t="s">
        <v>1014</v>
      </c>
      <c r="D1393" s="807"/>
      <c r="E1393" s="11" t="s">
        <v>1009</v>
      </c>
      <c r="F1393" s="12">
        <v>12</v>
      </c>
      <c r="G1393" s="12">
        <v>61.88</v>
      </c>
      <c r="H1393" s="12">
        <v>78.959999999999994</v>
      </c>
      <c r="I1393" s="13">
        <f>F1393*G1393</f>
        <v>742.56000000000006</v>
      </c>
      <c r="J1393" s="13">
        <f>F1393*H1393</f>
        <v>947.52</v>
      </c>
    </row>
    <row r="1394" spans="1:11" s="1" customFormat="1" ht="25.5" customHeight="1" x14ac:dyDescent="0.2">
      <c r="A1394" s="8"/>
      <c r="B1394" s="9" t="s">
        <v>1015</v>
      </c>
      <c r="C1394" s="808" t="s">
        <v>1016</v>
      </c>
      <c r="D1394" s="809"/>
      <c r="E1394" s="8"/>
      <c r="F1394" s="8"/>
      <c r="G1394" s="8"/>
      <c r="H1394" s="8"/>
      <c r="I1394" s="8"/>
      <c r="J1394" s="8"/>
    </row>
    <row r="1395" spans="1:11" s="1" customFormat="1" ht="25.5" customHeight="1" x14ac:dyDescent="0.2">
      <c r="A1395" s="11" t="s">
        <v>308</v>
      </c>
      <c r="B1395" s="11" t="s">
        <v>1017</v>
      </c>
      <c r="C1395" s="806" t="s">
        <v>1018</v>
      </c>
      <c r="D1395" s="807"/>
      <c r="E1395" s="11" t="s">
        <v>1009</v>
      </c>
      <c r="F1395" s="12">
        <v>2</v>
      </c>
      <c r="G1395" s="12">
        <v>4.3899999999999997</v>
      </c>
      <c r="H1395" s="12">
        <v>5.6</v>
      </c>
      <c r="I1395" s="13">
        <f>F1395*G1395</f>
        <v>8.7799999999999994</v>
      </c>
      <c r="J1395" s="13">
        <f>F1395*H1395</f>
        <v>11.2</v>
      </c>
    </row>
    <row r="1396" spans="1:11" s="1" customFormat="1" ht="25.5" customHeight="1" x14ac:dyDescent="0.2">
      <c r="A1396" s="11" t="s">
        <v>1019</v>
      </c>
      <c r="B1396" s="11" t="s">
        <v>1020</v>
      </c>
      <c r="C1396" s="806" t="s">
        <v>1021</v>
      </c>
      <c r="D1396" s="807"/>
      <c r="E1396" s="11" t="s">
        <v>1009</v>
      </c>
      <c r="F1396" s="12">
        <v>40</v>
      </c>
      <c r="G1396" s="12">
        <v>5.64</v>
      </c>
      <c r="H1396" s="12">
        <v>7.2</v>
      </c>
      <c r="I1396" s="13">
        <f>F1396*G1396</f>
        <v>225.6</v>
      </c>
      <c r="J1396" s="13">
        <f>F1396*H1396</f>
        <v>288</v>
      </c>
    </row>
    <row r="1397" spans="1:11" s="1" customFormat="1" ht="25.5" customHeight="1" x14ac:dyDescent="0.2">
      <c r="A1397" s="11" t="s">
        <v>308</v>
      </c>
      <c r="B1397" s="11" t="s">
        <v>1022</v>
      </c>
      <c r="C1397" s="806" t="s">
        <v>1023</v>
      </c>
      <c r="D1397" s="807"/>
      <c r="E1397" s="11" t="s">
        <v>1009</v>
      </c>
      <c r="F1397" s="12">
        <v>76</v>
      </c>
      <c r="G1397" s="12">
        <v>1.84</v>
      </c>
      <c r="H1397" s="12">
        <v>2.34</v>
      </c>
      <c r="I1397" s="13">
        <f>F1397*G1397</f>
        <v>139.84</v>
      </c>
      <c r="J1397" s="13">
        <f>F1397*H1397</f>
        <v>177.83999999999997</v>
      </c>
    </row>
    <row r="1398" spans="1:11" s="1" customFormat="1" ht="25.5" customHeight="1" x14ac:dyDescent="0.2">
      <c r="A1398" s="11" t="s">
        <v>1024</v>
      </c>
      <c r="B1398" s="11" t="s">
        <v>1025</v>
      </c>
      <c r="C1398" s="806" t="s">
        <v>1026</v>
      </c>
      <c r="D1398" s="807"/>
      <c r="E1398" s="11" t="s">
        <v>1009</v>
      </c>
      <c r="F1398" s="12">
        <v>130</v>
      </c>
      <c r="G1398" s="12">
        <v>6.28</v>
      </c>
      <c r="H1398" s="12">
        <v>8.02</v>
      </c>
      <c r="I1398" s="13">
        <f>F1398*G1398</f>
        <v>816.4</v>
      </c>
      <c r="J1398" s="13">
        <f>F1398*H1398</f>
        <v>1042.5999999999999</v>
      </c>
    </row>
    <row r="1399" spans="1:11" s="1" customFormat="1" ht="25.5" customHeight="1" x14ac:dyDescent="0.2">
      <c r="A1399" s="8"/>
      <c r="B1399" s="9" t="s">
        <v>1027</v>
      </c>
      <c r="C1399" s="808" t="s">
        <v>1028</v>
      </c>
      <c r="D1399" s="809"/>
      <c r="E1399" s="8"/>
      <c r="F1399" s="8"/>
      <c r="G1399" s="8"/>
      <c r="H1399" s="8"/>
      <c r="I1399" s="8"/>
      <c r="J1399" s="8"/>
    </row>
    <row r="1400" spans="1:11" s="1" customFormat="1" ht="25.5" customHeight="1" x14ac:dyDescent="0.2">
      <c r="A1400" s="11" t="s">
        <v>1012</v>
      </c>
      <c r="B1400" s="11" t="s">
        <v>1029</v>
      </c>
      <c r="C1400" s="806" t="s">
        <v>1014</v>
      </c>
      <c r="D1400" s="807"/>
      <c r="E1400" s="11" t="s">
        <v>1009</v>
      </c>
      <c r="F1400" s="12">
        <v>34</v>
      </c>
      <c r="G1400" s="12">
        <v>61.88</v>
      </c>
      <c r="H1400" s="12">
        <v>78.959999999999994</v>
      </c>
      <c r="I1400" s="13">
        <f>F1400*G1400</f>
        <v>2103.92</v>
      </c>
      <c r="J1400" s="13">
        <f>F1400*H1400</f>
        <v>2684.64</v>
      </c>
    </row>
    <row r="1401" spans="1:11" s="1" customFormat="1" ht="25.5" customHeight="1" x14ac:dyDescent="0.2">
      <c r="A1401" s="8"/>
      <c r="B1401" s="9" t="s">
        <v>1030</v>
      </c>
      <c r="C1401" s="808" t="s">
        <v>1031</v>
      </c>
      <c r="D1401" s="809"/>
      <c r="E1401" s="8"/>
      <c r="F1401" s="8"/>
      <c r="G1401" s="8"/>
      <c r="H1401" s="8"/>
      <c r="I1401" s="8"/>
      <c r="J1401" s="8"/>
    </row>
    <row r="1402" spans="1:11" s="1" customFormat="1" ht="25.5" customHeight="1" x14ac:dyDescent="0.2">
      <c r="A1402" s="11" t="s">
        <v>1012</v>
      </c>
      <c r="B1402" s="11" t="s">
        <v>1032</v>
      </c>
      <c r="C1402" s="806" t="s">
        <v>1014</v>
      </c>
      <c r="D1402" s="807"/>
      <c r="E1402" s="11" t="s">
        <v>1009</v>
      </c>
      <c r="F1402" s="12">
        <v>43</v>
      </c>
      <c r="G1402" s="12">
        <v>61.88</v>
      </c>
      <c r="H1402" s="12">
        <v>78.959999999999994</v>
      </c>
      <c r="I1402" s="13">
        <f>F1402*G1402</f>
        <v>2660.84</v>
      </c>
      <c r="J1402" s="13">
        <f>F1402*H1402</f>
        <v>3395.2799999999997</v>
      </c>
    </row>
    <row r="1403" spans="1:11" s="1" customFormat="1" ht="25.5" customHeight="1" x14ac:dyDescent="0.2">
      <c r="A1403" s="11" t="s">
        <v>1033</v>
      </c>
      <c r="B1403" s="11" t="s">
        <v>1034</v>
      </c>
      <c r="C1403" s="806" t="s">
        <v>1035</v>
      </c>
      <c r="D1403" s="807"/>
      <c r="E1403" s="11" t="s">
        <v>1009</v>
      </c>
      <c r="F1403" s="12">
        <v>2</v>
      </c>
      <c r="G1403" s="12">
        <v>25.37</v>
      </c>
      <c r="H1403" s="12">
        <v>32.369999999999997</v>
      </c>
      <c r="I1403" s="13">
        <f>F1403*G1403</f>
        <v>50.74</v>
      </c>
      <c r="J1403" s="13">
        <f>F1403*H1403</f>
        <v>64.739999999999995</v>
      </c>
    </row>
    <row r="1404" spans="1:11" s="1" customFormat="1" ht="25.5" customHeight="1" x14ac:dyDescent="0.2">
      <c r="A1404" s="10">
        <v>72254</v>
      </c>
      <c r="B1404" s="11" t="s">
        <v>1036</v>
      </c>
      <c r="C1404" s="806" t="s">
        <v>1037</v>
      </c>
      <c r="D1404" s="807"/>
      <c r="E1404" s="11" t="s">
        <v>81</v>
      </c>
      <c r="F1404" s="12">
        <v>75</v>
      </c>
      <c r="G1404" s="12">
        <v>30.9</v>
      </c>
      <c r="H1404" s="12">
        <v>39.43</v>
      </c>
      <c r="I1404" s="13">
        <f>F1404*G1404</f>
        <v>2317.5</v>
      </c>
      <c r="J1404" s="13">
        <f>F1404*H1404</f>
        <v>2957.25</v>
      </c>
    </row>
    <row r="1405" spans="1:11" s="1" customFormat="1" ht="25.5" customHeight="1" x14ac:dyDescent="0.2">
      <c r="A1405" s="8"/>
      <c r="B1405" s="9" t="s">
        <v>1038</v>
      </c>
      <c r="C1405" s="808" t="s">
        <v>1039</v>
      </c>
      <c r="D1405" s="809"/>
      <c r="E1405" s="8"/>
      <c r="F1405" s="8"/>
      <c r="G1405" s="8"/>
      <c r="H1405" s="8"/>
      <c r="I1405" s="8"/>
      <c r="J1405" s="8"/>
    </row>
    <row r="1406" spans="1:11" s="1" customFormat="1" ht="25.5" customHeight="1" x14ac:dyDescent="0.2">
      <c r="A1406" s="11" t="s">
        <v>1040</v>
      </c>
      <c r="B1406" s="11" t="s">
        <v>1041</v>
      </c>
      <c r="C1406" s="806" t="s">
        <v>1042</v>
      </c>
      <c r="D1406" s="807"/>
      <c r="E1406" s="11" t="s">
        <v>1009</v>
      </c>
      <c r="F1406" s="12">
        <v>2</v>
      </c>
      <c r="G1406" s="12">
        <v>202.58</v>
      </c>
      <c r="H1406" s="12">
        <v>258.47000000000003</v>
      </c>
      <c r="I1406" s="13">
        <f>F1406*G1406</f>
        <v>405.16</v>
      </c>
      <c r="J1406" s="13">
        <f>F1406*H1406</f>
        <v>516.94000000000005</v>
      </c>
    </row>
    <row r="1407" spans="1:11" s="1" customFormat="1" ht="25.5" customHeight="1" x14ac:dyDescent="0.2">
      <c r="A1407" s="8"/>
      <c r="B1407" s="803" t="s">
        <v>1043</v>
      </c>
      <c r="C1407" s="804"/>
      <c r="D1407" s="804"/>
      <c r="E1407" s="804"/>
      <c r="F1407" s="804"/>
      <c r="G1407" s="805"/>
      <c r="H1407" s="8"/>
      <c r="I1407" s="18">
        <f>SUM(I1391:I1406)</f>
        <v>17925.8</v>
      </c>
      <c r="J1407" s="18">
        <f>SUM(J1391:J1406)</f>
        <v>22870.460000000003</v>
      </c>
    </row>
    <row r="1408" spans="1:11" s="1" customFormat="1" ht="25.5" customHeight="1" x14ac:dyDescent="0.2">
      <c r="A1408" s="8"/>
      <c r="B1408" s="803" t="s">
        <v>1044</v>
      </c>
      <c r="C1408" s="804"/>
      <c r="D1408" s="804"/>
      <c r="E1408" s="804"/>
      <c r="F1408" s="804"/>
      <c r="G1408" s="805"/>
      <c r="H1408" s="8"/>
      <c r="I1408" s="14">
        <f>SUM(I1254,I1258,I1266,I1271,I1285,I1301,I1316,I1330,I1348,I1357,I1372,I1380,I1388,I1407)-3.46</f>
        <v>112381.54000000001</v>
      </c>
      <c r="J1408" s="15">
        <f>SUM(J1254,J1258,J1266,J1271,J1285,J1301,J1316,J1330,J1348,J1357,J1372,J1380,J1388,J1407)+30.4</f>
        <v>143387.61000000002</v>
      </c>
      <c r="K1408" s="49"/>
    </row>
    <row r="1409" spans="1:10" s="1" customFormat="1" ht="25.5" customHeight="1" x14ac:dyDescent="0.2">
      <c r="A1409" s="8"/>
      <c r="B1409" s="9" t="s">
        <v>1045</v>
      </c>
      <c r="C1409" s="808" t="s">
        <v>1046</v>
      </c>
      <c r="D1409" s="809"/>
      <c r="E1409" s="8"/>
      <c r="F1409" s="8"/>
      <c r="G1409" s="8"/>
      <c r="H1409" s="8"/>
      <c r="I1409" s="8"/>
      <c r="J1409" s="8"/>
    </row>
    <row r="1410" spans="1:10" s="1" customFormat="1" ht="25.5" customHeight="1" x14ac:dyDescent="0.2">
      <c r="A1410" s="8"/>
      <c r="B1410" s="9" t="s">
        <v>1047</v>
      </c>
      <c r="C1410" s="808" t="s">
        <v>1048</v>
      </c>
      <c r="D1410" s="809"/>
      <c r="E1410" s="8"/>
      <c r="F1410" s="8"/>
      <c r="G1410" s="8"/>
      <c r="H1410" s="8"/>
      <c r="I1410" s="8"/>
      <c r="J1410" s="8"/>
    </row>
    <row r="1411" spans="1:10" s="1" customFormat="1" ht="25.5" customHeight="1" x14ac:dyDescent="0.2">
      <c r="A1411" s="10">
        <v>98302</v>
      </c>
      <c r="B1411" s="21">
        <v>44562</v>
      </c>
      <c r="C1411" s="806" t="s">
        <v>1049</v>
      </c>
      <c r="D1411" s="807"/>
      <c r="E1411" s="11" t="s">
        <v>102</v>
      </c>
      <c r="F1411" s="12">
        <v>4</v>
      </c>
      <c r="G1411" s="12">
        <v>683.89</v>
      </c>
      <c r="H1411" s="12">
        <v>872.58</v>
      </c>
      <c r="I1411" s="13">
        <f t="shared" ref="I1411:I1417" si="122">F1411*G1411</f>
        <v>2735.56</v>
      </c>
      <c r="J1411" s="13">
        <f t="shared" ref="J1411:J1417" si="123">F1411*H1411</f>
        <v>3490.32</v>
      </c>
    </row>
    <row r="1412" spans="1:10" s="1" customFormat="1" ht="25.5" customHeight="1" x14ac:dyDescent="0.2">
      <c r="A1412" s="11" t="s">
        <v>308</v>
      </c>
      <c r="B1412" s="21">
        <v>44563</v>
      </c>
      <c r="C1412" s="806" t="s">
        <v>1050</v>
      </c>
      <c r="D1412" s="807"/>
      <c r="E1412" s="11" t="s">
        <v>102</v>
      </c>
      <c r="F1412" s="12">
        <v>1</v>
      </c>
      <c r="G1412" s="12">
        <v>159.38</v>
      </c>
      <c r="H1412" s="12">
        <v>203.35</v>
      </c>
      <c r="I1412" s="13">
        <f t="shared" si="122"/>
        <v>159.38</v>
      </c>
      <c r="J1412" s="13">
        <f t="shared" si="123"/>
        <v>203.35</v>
      </c>
    </row>
    <row r="1413" spans="1:10" s="1" customFormat="1" ht="25.5" customHeight="1" x14ac:dyDescent="0.2">
      <c r="A1413" s="11" t="s">
        <v>1051</v>
      </c>
      <c r="B1413" s="21">
        <v>44564</v>
      </c>
      <c r="C1413" s="806" t="s">
        <v>1052</v>
      </c>
      <c r="D1413" s="807"/>
      <c r="E1413" s="11" t="s">
        <v>102</v>
      </c>
      <c r="F1413" s="12">
        <v>6</v>
      </c>
      <c r="G1413" s="12">
        <v>9.15</v>
      </c>
      <c r="H1413" s="12">
        <v>11.68</v>
      </c>
      <c r="I1413" s="13">
        <f t="shared" si="122"/>
        <v>54.900000000000006</v>
      </c>
      <c r="J1413" s="13">
        <f t="shared" si="123"/>
        <v>70.08</v>
      </c>
    </row>
    <row r="1414" spans="1:10" s="1" customFormat="1" ht="25.5" customHeight="1" x14ac:dyDescent="0.2">
      <c r="A1414" s="11" t="s">
        <v>1051</v>
      </c>
      <c r="B1414" s="21">
        <v>44565</v>
      </c>
      <c r="C1414" s="806" t="s">
        <v>1053</v>
      </c>
      <c r="D1414" s="807"/>
      <c r="E1414" s="11" t="s">
        <v>102</v>
      </c>
      <c r="F1414" s="12">
        <v>6</v>
      </c>
      <c r="G1414" s="12">
        <v>9.15</v>
      </c>
      <c r="H1414" s="12">
        <v>11.68</v>
      </c>
      <c r="I1414" s="13">
        <f t="shared" si="122"/>
        <v>54.900000000000006</v>
      </c>
      <c r="J1414" s="13">
        <f t="shared" si="123"/>
        <v>70.08</v>
      </c>
    </row>
    <row r="1415" spans="1:10" s="1" customFormat="1" ht="25.5" customHeight="1" x14ac:dyDescent="0.2">
      <c r="A1415" s="11" t="s">
        <v>308</v>
      </c>
      <c r="B1415" s="21">
        <v>44566</v>
      </c>
      <c r="C1415" s="806" t="s">
        <v>1054</v>
      </c>
      <c r="D1415" s="807"/>
      <c r="E1415" s="11" t="s">
        <v>102</v>
      </c>
      <c r="F1415" s="12">
        <v>6</v>
      </c>
      <c r="G1415" s="12">
        <v>84.99</v>
      </c>
      <c r="H1415" s="12">
        <v>108.44</v>
      </c>
      <c r="I1415" s="13">
        <f t="shared" si="122"/>
        <v>509.93999999999994</v>
      </c>
      <c r="J1415" s="13">
        <f t="shared" si="123"/>
        <v>650.64</v>
      </c>
    </row>
    <row r="1416" spans="1:10" s="1" customFormat="1" ht="25.5" customHeight="1" x14ac:dyDescent="0.2">
      <c r="A1416" s="11" t="s">
        <v>1051</v>
      </c>
      <c r="B1416" s="21">
        <v>44567</v>
      </c>
      <c r="C1416" s="806" t="s">
        <v>1055</v>
      </c>
      <c r="D1416" s="807"/>
      <c r="E1416" s="11" t="s">
        <v>102</v>
      </c>
      <c r="F1416" s="12">
        <v>2</v>
      </c>
      <c r="G1416" s="12">
        <v>9.15</v>
      </c>
      <c r="H1416" s="12">
        <v>11.68</v>
      </c>
      <c r="I1416" s="13">
        <f t="shared" si="122"/>
        <v>18.3</v>
      </c>
      <c r="J1416" s="13">
        <f t="shared" si="123"/>
        <v>23.36</v>
      </c>
    </row>
    <row r="1417" spans="1:10" s="1" customFormat="1" ht="25.5" customHeight="1" x14ac:dyDescent="0.2">
      <c r="A1417" s="11" t="s">
        <v>1051</v>
      </c>
      <c r="B1417" s="21">
        <v>44568</v>
      </c>
      <c r="C1417" s="806" t="s">
        <v>1056</v>
      </c>
      <c r="D1417" s="807"/>
      <c r="E1417" s="11" t="s">
        <v>102</v>
      </c>
      <c r="F1417" s="12">
        <v>1</v>
      </c>
      <c r="G1417" s="12">
        <v>9.15</v>
      </c>
      <c r="H1417" s="12">
        <v>11.68</v>
      </c>
      <c r="I1417" s="13">
        <f t="shared" si="122"/>
        <v>9.15</v>
      </c>
      <c r="J1417" s="13">
        <f t="shared" si="123"/>
        <v>11.68</v>
      </c>
    </row>
    <row r="1418" spans="1:10" s="1" customFormat="1" ht="25.5" customHeight="1" x14ac:dyDescent="0.2">
      <c r="A1418" s="8"/>
      <c r="B1418" s="9" t="s">
        <v>1057</v>
      </c>
      <c r="C1418" s="808" t="s">
        <v>1058</v>
      </c>
      <c r="D1418" s="809"/>
      <c r="E1418" s="8"/>
      <c r="F1418" s="8"/>
      <c r="G1418" s="8"/>
      <c r="H1418" s="8"/>
      <c r="I1418" s="8"/>
      <c r="J1418" s="8"/>
    </row>
    <row r="1419" spans="1:10" s="1" customFormat="1" ht="25.5" customHeight="1" x14ac:dyDescent="0.2">
      <c r="A1419" s="11" t="s">
        <v>308</v>
      </c>
      <c r="B1419" s="21">
        <v>44593</v>
      </c>
      <c r="C1419" s="806" t="s">
        <v>1059</v>
      </c>
      <c r="D1419" s="807"/>
      <c r="E1419" s="11" t="s">
        <v>81</v>
      </c>
      <c r="F1419" s="12">
        <v>890</v>
      </c>
      <c r="G1419" s="12">
        <v>2.84</v>
      </c>
      <c r="H1419" s="12">
        <v>3.62</v>
      </c>
      <c r="I1419" s="13">
        <f>F1419*G1419</f>
        <v>2527.6</v>
      </c>
      <c r="J1419" s="13">
        <f>F1419*H1419</f>
        <v>3221.8</v>
      </c>
    </row>
    <row r="1420" spans="1:10" s="1" customFormat="1" ht="25.5" customHeight="1" x14ac:dyDescent="0.2">
      <c r="A1420" s="10">
        <v>98268</v>
      </c>
      <c r="B1420" s="21">
        <v>44594</v>
      </c>
      <c r="C1420" s="806" t="s">
        <v>1060</v>
      </c>
      <c r="D1420" s="807"/>
      <c r="E1420" s="11" t="s">
        <v>81</v>
      </c>
      <c r="F1420" s="12">
        <v>8</v>
      </c>
      <c r="G1420" s="12">
        <v>10.48</v>
      </c>
      <c r="H1420" s="12">
        <v>13.37</v>
      </c>
      <c r="I1420" s="13">
        <f>F1420*G1420</f>
        <v>83.84</v>
      </c>
      <c r="J1420" s="13">
        <f>F1420*H1420</f>
        <v>106.96</v>
      </c>
    </row>
    <row r="1421" spans="1:10" s="1" customFormat="1" ht="25.5" customHeight="1" x14ac:dyDescent="0.2">
      <c r="A1421" s="8"/>
      <c r="B1421" s="9" t="s">
        <v>1061</v>
      </c>
      <c r="C1421" s="808" t="s">
        <v>1062</v>
      </c>
      <c r="D1421" s="809"/>
      <c r="E1421" s="8"/>
      <c r="F1421" s="8"/>
      <c r="G1421" s="8"/>
      <c r="H1421" s="8"/>
      <c r="I1421" s="8"/>
      <c r="J1421" s="8"/>
    </row>
    <row r="1422" spans="1:10" s="1" customFormat="1" ht="25.5" customHeight="1" x14ac:dyDescent="0.2">
      <c r="A1422" s="10">
        <v>39606</v>
      </c>
      <c r="B1422" s="21">
        <v>44621</v>
      </c>
      <c r="C1422" s="806" t="s">
        <v>1063</v>
      </c>
      <c r="D1422" s="807"/>
      <c r="E1422" s="11" t="s">
        <v>102</v>
      </c>
      <c r="F1422" s="12">
        <v>41</v>
      </c>
      <c r="G1422" s="12">
        <v>24.43</v>
      </c>
      <c r="H1422" s="12">
        <v>31.17</v>
      </c>
      <c r="I1422" s="13">
        <f>F1422*G1422</f>
        <v>1001.63</v>
      </c>
      <c r="J1422" s="13">
        <f>F1422*H1422</f>
        <v>1277.97</v>
      </c>
    </row>
    <row r="1423" spans="1:10" s="1" customFormat="1" ht="25.5" customHeight="1" x14ac:dyDescent="0.2">
      <c r="A1423" s="10">
        <v>39604</v>
      </c>
      <c r="B1423" s="21">
        <v>44622</v>
      </c>
      <c r="C1423" s="806" t="s">
        <v>1064</v>
      </c>
      <c r="D1423" s="807"/>
      <c r="E1423" s="11" t="s">
        <v>102</v>
      </c>
      <c r="F1423" s="12">
        <v>48</v>
      </c>
      <c r="G1423" s="12">
        <v>24.43</v>
      </c>
      <c r="H1423" s="12">
        <v>31.17</v>
      </c>
      <c r="I1423" s="13">
        <f>F1423*G1423</f>
        <v>1172.6399999999999</v>
      </c>
      <c r="J1423" s="13">
        <f>F1423*H1423</f>
        <v>1496.16</v>
      </c>
    </row>
    <row r="1424" spans="1:10" s="1" customFormat="1" ht="25.5" customHeight="1" x14ac:dyDescent="0.2">
      <c r="A1424" s="11" t="s">
        <v>308</v>
      </c>
      <c r="B1424" s="21">
        <v>44623</v>
      </c>
      <c r="C1424" s="806" t="s">
        <v>1065</v>
      </c>
      <c r="D1424" s="807"/>
      <c r="E1424" s="11" t="s">
        <v>102</v>
      </c>
      <c r="F1424" s="12">
        <v>35</v>
      </c>
      <c r="G1424" s="12">
        <v>24.43</v>
      </c>
      <c r="H1424" s="12">
        <v>31.17</v>
      </c>
      <c r="I1424" s="13">
        <f>F1424*G1424</f>
        <v>855.05</v>
      </c>
      <c r="J1424" s="13">
        <f>F1424*H1424</f>
        <v>1090.95</v>
      </c>
    </row>
    <row r="1425" spans="1:10" s="1" customFormat="1" ht="25.5" customHeight="1" x14ac:dyDescent="0.2">
      <c r="A1425" s="11" t="s">
        <v>308</v>
      </c>
      <c r="B1425" s="21">
        <v>44624</v>
      </c>
      <c r="C1425" s="806" t="s">
        <v>1066</v>
      </c>
      <c r="D1425" s="807"/>
      <c r="E1425" s="11" t="s">
        <v>102</v>
      </c>
      <c r="F1425" s="12">
        <v>15</v>
      </c>
      <c r="G1425" s="12">
        <v>24.43</v>
      </c>
      <c r="H1425" s="12">
        <v>31.17</v>
      </c>
      <c r="I1425" s="13">
        <f>F1425*G1425</f>
        <v>366.45</v>
      </c>
      <c r="J1425" s="13">
        <f>F1425*H1425</f>
        <v>467.55</v>
      </c>
    </row>
    <row r="1426" spans="1:10" s="1" customFormat="1" ht="25.5" customHeight="1" x14ac:dyDescent="0.2">
      <c r="A1426" s="8"/>
      <c r="B1426" s="9" t="s">
        <v>1067</v>
      </c>
      <c r="C1426" s="808" t="s">
        <v>977</v>
      </c>
      <c r="D1426" s="809"/>
      <c r="E1426" s="8"/>
      <c r="F1426" s="8"/>
      <c r="G1426" s="8"/>
      <c r="H1426" s="8"/>
      <c r="I1426" s="8"/>
      <c r="J1426" s="8"/>
    </row>
    <row r="1427" spans="1:10" s="1" customFormat="1" ht="25.5" customHeight="1" x14ac:dyDescent="0.2">
      <c r="A1427" s="11" t="s">
        <v>308</v>
      </c>
      <c r="B1427" s="21">
        <v>44652</v>
      </c>
      <c r="C1427" s="806" t="s">
        <v>1068</v>
      </c>
      <c r="D1427" s="807"/>
      <c r="E1427" s="11" t="s">
        <v>102</v>
      </c>
      <c r="F1427" s="12">
        <v>41</v>
      </c>
      <c r="G1427" s="12">
        <v>23.36</v>
      </c>
      <c r="H1427" s="12">
        <v>29.81</v>
      </c>
      <c r="I1427" s="13">
        <f>F1427*G1427</f>
        <v>957.76</v>
      </c>
      <c r="J1427" s="13">
        <f>F1427*H1427</f>
        <v>1222.21</v>
      </c>
    </row>
    <row r="1428" spans="1:10" s="1" customFormat="1" ht="25.5" customHeight="1" x14ac:dyDescent="0.2">
      <c r="A1428" s="11" t="s">
        <v>308</v>
      </c>
      <c r="B1428" s="21">
        <v>44653</v>
      </c>
      <c r="C1428" s="806" t="s">
        <v>1069</v>
      </c>
      <c r="D1428" s="807"/>
      <c r="E1428" s="11" t="s">
        <v>102</v>
      </c>
      <c r="F1428" s="12">
        <v>2</v>
      </c>
      <c r="G1428" s="12">
        <v>3.6</v>
      </c>
      <c r="H1428" s="12">
        <v>4.59</v>
      </c>
      <c r="I1428" s="13">
        <f>F1428*G1428</f>
        <v>7.2</v>
      </c>
      <c r="J1428" s="13">
        <f>F1428*H1428</f>
        <v>9.18</v>
      </c>
    </row>
    <row r="1429" spans="1:10" s="1" customFormat="1" ht="25.5" customHeight="1" x14ac:dyDescent="0.2">
      <c r="A1429" s="8"/>
      <c r="B1429" s="9" t="s">
        <v>1070</v>
      </c>
      <c r="C1429" s="808" t="s">
        <v>1071</v>
      </c>
      <c r="D1429" s="809"/>
      <c r="E1429" s="8"/>
      <c r="F1429" s="8"/>
      <c r="G1429" s="8"/>
      <c r="H1429" s="12"/>
      <c r="I1429" s="12"/>
      <c r="J1429" s="8"/>
    </row>
    <row r="1430" spans="1:10" s="1" customFormat="1" ht="25.5" customHeight="1" x14ac:dyDescent="0.2">
      <c r="A1430" s="10">
        <v>2559</v>
      </c>
      <c r="B1430" s="21">
        <v>44682</v>
      </c>
      <c r="C1430" s="806" t="s">
        <v>1072</v>
      </c>
      <c r="D1430" s="807"/>
      <c r="E1430" s="11" t="s">
        <v>102</v>
      </c>
      <c r="F1430" s="12">
        <v>2</v>
      </c>
      <c r="G1430" s="12">
        <v>8.5</v>
      </c>
      <c r="H1430" s="12">
        <v>10.85</v>
      </c>
      <c r="I1430" s="13">
        <f t="shared" ref="I1430:I1437" si="124">F1430*G1430</f>
        <v>17</v>
      </c>
      <c r="J1430" s="13">
        <f t="shared" ref="J1430:J1437" si="125">F1430*H1430</f>
        <v>21.7</v>
      </c>
    </row>
    <row r="1431" spans="1:10" s="1" customFormat="1" ht="25.5" customHeight="1" x14ac:dyDescent="0.2">
      <c r="A1431" s="11" t="s">
        <v>78</v>
      </c>
      <c r="B1431" s="21">
        <v>44683</v>
      </c>
      <c r="C1431" s="806" t="s">
        <v>1073</v>
      </c>
      <c r="D1431" s="807"/>
      <c r="E1431" s="11" t="s">
        <v>102</v>
      </c>
      <c r="F1431" s="12">
        <v>1</v>
      </c>
      <c r="G1431" s="12">
        <v>344.17</v>
      </c>
      <c r="H1431" s="12">
        <v>439.13</v>
      </c>
      <c r="I1431" s="13">
        <f t="shared" si="124"/>
        <v>344.17</v>
      </c>
      <c r="J1431" s="13">
        <f t="shared" si="125"/>
        <v>439.13</v>
      </c>
    </row>
    <row r="1432" spans="1:10" s="1" customFormat="1" ht="25.5" customHeight="1" x14ac:dyDescent="0.2">
      <c r="A1432" s="11" t="s">
        <v>78</v>
      </c>
      <c r="B1432" s="21">
        <v>44684</v>
      </c>
      <c r="C1432" s="806" t="s">
        <v>1074</v>
      </c>
      <c r="D1432" s="807"/>
      <c r="E1432" s="11" t="s">
        <v>102</v>
      </c>
      <c r="F1432" s="12">
        <v>2</v>
      </c>
      <c r="G1432" s="12">
        <v>191.15</v>
      </c>
      <c r="H1432" s="12">
        <v>243.89</v>
      </c>
      <c r="I1432" s="13">
        <f t="shared" si="124"/>
        <v>382.3</v>
      </c>
      <c r="J1432" s="13">
        <f t="shared" si="125"/>
        <v>487.78</v>
      </c>
    </row>
    <row r="1433" spans="1:10" s="1" customFormat="1" ht="25.5" customHeight="1" x14ac:dyDescent="0.2">
      <c r="A1433" s="11" t="s">
        <v>308</v>
      </c>
      <c r="B1433" s="21">
        <v>44685</v>
      </c>
      <c r="C1433" s="806" t="s">
        <v>1075</v>
      </c>
      <c r="D1433" s="807"/>
      <c r="E1433" s="11" t="s">
        <v>102</v>
      </c>
      <c r="F1433" s="12">
        <v>1</v>
      </c>
      <c r="G1433" s="12">
        <v>7.52</v>
      </c>
      <c r="H1433" s="12">
        <v>9.59</v>
      </c>
      <c r="I1433" s="13">
        <f t="shared" si="124"/>
        <v>7.52</v>
      </c>
      <c r="J1433" s="13">
        <f t="shared" si="125"/>
        <v>9.59</v>
      </c>
    </row>
    <row r="1434" spans="1:10" s="1" customFormat="1" ht="25.5" customHeight="1" x14ac:dyDescent="0.2">
      <c r="A1434" s="11" t="s">
        <v>308</v>
      </c>
      <c r="B1434" s="21">
        <v>44686</v>
      </c>
      <c r="C1434" s="806" t="s">
        <v>1076</v>
      </c>
      <c r="D1434" s="807"/>
      <c r="E1434" s="11" t="s">
        <v>102</v>
      </c>
      <c r="F1434" s="12">
        <v>13</v>
      </c>
      <c r="G1434" s="12">
        <v>8.4</v>
      </c>
      <c r="H1434" s="12">
        <v>10.72</v>
      </c>
      <c r="I1434" s="13">
        <f t="shared" si="124"/>
        <v>109.2</v>
      </c>
      <c r="J1434" s="13">
        <f t="shared" si="125"/>
        <v>139.36000000000001</v>
      </c>
    </row>
    <row r="1435" spans="1:10" s="1" customFormat="1" ht="25.5" customHeight="1" x14ac:dyDescent="0.2">
      <c r="A1435" s="11" t="s">
        <v>308</v>
      </c>
      <c r="B1435" s="21">
        <v>44687</v>
      </c>
      <c r="C1435" s="806" t="s">
        <v>1077</v>
      </c>
      <c r="D1435" s="807"/>
      <c r="E1435" s="11" t="s">
        <v>102</v>
      </c>
      <c r="F1435" s="12">
        <v>1</v>
      </c>
      <c r="G1435" s="12">
        <v>2.4900000000000002</v>
      </c>
      <c r="H1435" s="12">
        <v>3.18</v>
      </c>
      <c r="I1435" s="13">
        <f t="shared" si="124"/>
        <v>2.4900000000000002</v>
      </c>
      <c r="J1435" s="13">
        <f t="shared" si="125"/>
        <v>3.18</v>
      </c>
    </row>
    <row r="1436" spans="1:10" s="1" customFormat="1" ht="25.5" customHeight="1" x14ac:dyDescent="0.2">
      <c r="A1436" s="11" t="s">
        <v>308</v>
      </c>
      <c r="B1436" s="21">
        <v>44688</v>
      </c>
      <c r="C1436" s="806" t="s">
        <v>1078</v>
      </c>
      <c r="D1436" s="807"/>
      <c r="E1436" s="11" t="s">
        <v>102</v>
      </c>
      <c r="F1436" s="12">
        <v>1</v>
      </c>
      <c r="G1436" s="12">
        <v>2.46</v>
      </c>
      <c r="H1436" s="12">
        <v>3.14</v>
      </c>
      <c r="I1436" s="13">
        <f t="shared" si="124"/>
        <v>2.46</v>
      </c>
      <c r="J1436" s="13">
        <f t="shared" si="125"/>
        <v>3.14</v>
      </c>
    </row>
    <row r="1437" spans="1:10" s="1" customFormat="1" ht="25.5" customHeight="1" x14ac:dyDescent="0.2">
      <c r="A1437" s="11" t="s">
        <v>308</v>
      </c>
      <c r="B1437" s="21">
        <v>44689</v>
      </c>
      <c r="C1437" s="806" t="s">
        <v>1079</v>
      </c>
      <c r="D1437" s="807"/>
      <c r="E1437" s="11" t="s">
        <v>102</v>
      </c>
      <c r="F1437" s="12">
        <v>14</v>
      </c>
      <c r="G1437" s="12">
        <v>3.26</v>
      </c>
      <c r="H1437" s="12">
        <v>4.16</v>
      </c>
      <c r="I1437" s="13">
        <f t="shared" si="124"/>
        <v>45.64</v>
      </c>
      <c r="J1437" s="13">
        <f t="shared" si="125"/>
        <v>58.24</v>
      </c>
    </row>
    <row r="1438" spans="1:10" s="1" customFormat="1" ht="25.5" customHeight="1" x14ac:dyDescent="0.2">
      <c r="A1438" s="8"/>
      <c r="B1438" s="9" t="s">
        <v>1080</v>
      </c>
      <c r="C1438" s="808" t="s">
        <v>856</v>
      </c>
      <c r="D1438" s="809"/>
      <c r="E1438" s="8"/>
      <c r="F1438" s="8"/>
      <c r="G1438" s="8"/>
      <c r="H1438" s="8"/>
      <c r="I1438" s="8"/>
      <c r="J1438" s="8"/>
    </row>
    <row r="1439" spans="1:10" s="1" customFormat="1" ht="25.5" customHeight="1" x14ac:dyDescent="0.2">
      <c r="A1439" s="8"/>
      <c r="B1439" s="46"/>
      <c r="C1439" s="806" t="s">
        <v>1081</v>
      </c>
      <c r="D1439" s="807"/>
      <c r="E1439" s="8"/>
      <c r="F1439" s="8"/>
      <c r="G1439" s="8"/>
      <c r="H1439" s="8"/>
      <c r="I1439" s="8"/>
      <c r="J1439" s="8"/>
    </row>
    <row r="1440" spans="1:10" s="1" customFormat="1" ht="25.5" customHeight="1" x14ac:dyDescent="0.2">
      <c r="A1440" s="11" t="s">
        <v>308</v>
      </c>
      <c r="B1440" s="21">
        <v>44713</v>
      </c>
      <c r="C1440" s="806" t="s">
        <v>1082</v>
      </c>
      <c r="D1440" s="807"/>
      <c r="E1440" s="11" t="s">
        <v>81</v>
      </c>
      <c r="F1440" s="12">
        <v>1</v>
      </c>
      <c r="G1440" s="12">
        <v>9.9499999999999993</v>
      </c>
      <c r="H1440" s="12">
        <v>12.7</v>
      </c>
      <c r="I1440" s="13">
        <f>F1440*G1440</f>
        <v>9.9499999999999993</v>
      </c>
      <c r="J1440" s="13">
        <f>F1440*H1440</f>
        <v>12.7</v>
      </c>
    </row>
    <row r="1441" spans="1:10" s="1" customFormat="1" ht="25.5" customHeight="1" x14ac:dyDescent="0.2">
      <c r="A1441" s="11" t="s">
        <v>308</v>
      </c>
      <c r="B1441" s="21">
        <v>44714</v>
      </c>
      <c r="C1441" s="806" t="s">
        <v>1083</v>
      </c>
      <c r="D1441" s="807"/>
      <c r="E1441" s="11" t="s">
        <v>81</v>
      </c>
      <c r="F1441" s="12">
        <v>70</v>
      </c>
      <c r="G1441" s="12">
        <v>5.24</v>
      </c>
      <c r="H1441" s="12">
        <v>6.69</v>
      </c>
      <c r="I1441" s="13">
        <f>F1441*G1441</f>
        <v>366.8</v>
      </c>
      <c r="J1441" s="13">
        <f>F1441*H1441</f>
        <v>468.3</v>
      </c>
    </row>
    <row r="1442" spans="1:10" s="1" customFormat="1" ht="25.5" customHeight="1" x14ac:dyDescent="0.2">
      <c r="A1442" s="8"/>
      <c r="B1442" s="46"/>
      <c r="C1442" s="806" t="s">
        <v>1084</v>
      </c>
      <c r="D1442" s="807"/>
      <c r="E1442" s="8"/>
      <c r="F1442" s="8"/>
      <c r="G1442" s="8"/>
      <c r="H1442" s="12"/>
      <c r="I1442" s="12"/>
      <c r="J1442" s="8"/>
    </row>
    <row r="1443" spans="1:10" s="1" customFormat="1" ht="25.5" customHeight="1" x14ac:dyDescent="0.2">
      <c r="A1443" s="11" t="s">
        <v>308</v>
      </c>
      <c r="B1443" s="21">
        <v>44715</v>
      </c>
      <c r="C1443" s="806" t="s">
        <v>1083</v>
      </c>
      <c r="D1443" s="807"/>
      <c r="E1443" s="11" t="s">
        <v>81</v>
      </c>
      <c r="F1443" s="12">
        <v>10</v>
      </c>
      <c r="G1443" s="12">
        <v>12.83</v>
      </c>
      <c r="H1443" s="12">
        <v>16.37</v>
      </c>
      <c r="I1443" s="13">
        <f>F1443*G1443</f>
        <v>128.30000000000001</v>
      </c>
      <c r="J1443" s="13">
        <f>F1443*H1443</f>
        <v>163.70000000000002</v>
      </c>
    </row>
    <row r="1444" spans="1:10" s="1" customFormat="1" ht="25.5" customHeight="1" x14ac:dyDescent="0.2">
      <c r="A1444" s="8"/>
      <c r="B1444" s="46"/>
      <c r="C1444" s="806" t="s">
        <v>1085</v>
      </c>
      <c r="D1444" s="807"/>
      <c r="E1444" s="8"/>
      <c r="F1444" s="8"/>
      <c r="G1444" s="8"/>
      <c r="H1444" s="12"/>
      <c r="I1444" s="12"/>
      <c r="J1444" s="8"/>
    </row>
    <row r="1445" spans="1:10" s="1" customFormat="1" ht="25.5" customHeight="1" x14ac:dyDescent="0.2">
      <c r="A1445" s="11" t="s">
        <v>308</v>
      </c>
      <c r="B1445" s="21">
        <v>44716</v>
      </c>
      <c r="C1445" s="806" t="s">
        <v>1083</v>
      </c>
      <c r="D1445" s="807"/>
      <c r="E1445" s="11" t="s">
        <v>81</v>
      </c>
      <c r="F1445" s="12">
        <v>45</v>
      </c>
      <c r="G1445" s="12">
        <v>12.83</v>
      </c>
      <c r="H1445" s="12">
        <v>16.37</v>
      </c>
      <c r="I1445" s="13">
        <f>F1445*G1445</f>
        <v>577.35</v>
      </c>
      <c r="J1445" s="13">
        <f>F1445*H1445</f>
        <v>736.65000000000009</v>
      </c>
    </row>
    <row r="1446" spans="1:10" s="1" customFormat="1" ht="25.5" customHeight="1" x14ac:dyDescent="0.2">
      <c r="A1446" s="8"/>
      <c r="B1446" s="46"/>
      <c r="C1446" s="806" t="s">
        <v>1086</v>
      </c>
      <c r="D1446" s="807"/>
      <c r="E1446" s="8"/>
      <c r="F1446" s="8"/>
      <c r="G1446" s="8"/>
      <c r="H1446" s="12"/>
      <c r="I1446" s="12"/>
      <c r="J1446" s="8"/>
    </row>
    <row r="1447" spans="1:10" s="1" customFormat="1" ht="25.5" customHeight="1" x14ac:dyDescent="0.2">
      <c r="A1447" s="11" t="s">
        <v>308</v>
      </c>
      <c r="B1447" s="21">
        <v>44717</v>
      </c>
      <c r="C1447" s="806" t="s">
        <v>1087</v>
      </c>
      <c r="D1447" s="807"/>
      <c r="E1447" s="11" t="s">
        <v>81</v>
      </c>
      <c r="F1447" s="12">
        <v>10</v>
      </c>
      <c r="G1447" s="12">
        <v>6.65</v>
      </c>
      <c r="H1447" s="12">
        <v>8.48</v>
      </c>
      <c r="I1447" s="13">
        <f>F1447*G1447</f>
        <v>66.5</v>
      </c>
      <c r="J1447" s="13">
        <f>F1447*H1447</f>
        <v>84.800000000000011</v>
      </c>
    </row>
    <row r="1448" spans="1:10" s="1" customFormat="1" ht="25.5" customHeight="1" x14ac:dyDescent="0.2">
      <c r="A1448" s="8"/>
      <c r="B1448" s="46"/>
      <c r="C1448" s="806" t="s">
        <v>1088</v>
      </c>
      <c r="D1448" s="807"/>
      <c r="E1448" s="8"/>
      <c r="F1448" s="8"/>
      <c r="G1448" s="8"/>
      <c r="H1448" s="12"/>
      <c r="I1448" s="12"/>
      <c r="J1448" s="8"/>
    </row>
    <row r="1449" spans="1:10" s="1" customFormat="1" ht="25.5" customHeight="1" x14ac:dyDescent="0.2">
      <c r="A1449" s="11" t="s">
        <v>308</v>
      </c>
      <c r="B1449" s="21">
        <v>44718</v>
      </c>
      <c r="C1449" s="806" t="s">
        <v>1083</v>
      </c>
      <c r="D1449" s="807"/>
      <c r="E1449" s="11" t="s">
        <v>102</v>
      </c>
      <c r="F1449" s="12">
        <v>75</v>
      </c>
      <c r="G1449" s="12">
        <v>0.7</v>
      </c>
      <c r="H1449" s="12">
        <v>0.89</v>
      </c>
      <c r="I1449" s="13">
        <f t="shared" ref="I1449:I1454" si="126">F1449*G1449</f>
        <v>52.5</v>
      </c>
      <c r="J1449" s="13">
        <f t="shared" ref="J1449:J1454" si="127">F1449*H1449</f>
        <v>66.75</v>
      </c>
    </row>
    <row r="1450" spans="1:10" s="1" customFormat="1" ht="25.5" customHeight="1" x14ac:dyDescent="0.2">
      <c r="A1450" s="11" t="s">
        <v>308</v>
      </c>
      <c r="B1450" s="21">
        <v>44719</v>
      </c>
      <c r="C1450" s="806" t="s">
        <v>1089</v>
      </c>
      <c r="D1450" s="807"/>
      <c r="E1450" s="11" t="s">
        <v>102</v>
      </c>
      <c r="F1450" s="12">
        <v>75</v>
      </c>
      <c r="G1450" s="12">
        <v>6.95</v>
      </c>
      <c r="H1450" s="12">
        <v>8.8699999999999992</v>
      </c>
      <c r="I1450" s="13">
        <f t="shared" si="126"/>
        <v>521.25</v>
      </c>
      <c r="J1450" s="13">
        <f t="shared" si="127"/>
        <v>665.24999999999989</v>
      </c>
    </row>
    <row r="1451" spans="1:10" s="1" customFormat="1" ht="25.5" customHeight="1" x14ac:dyDescent="0.2">
      <c r="A1451" s="10">
        <v>4376</v>
      </c>
      <c r="B1451" s="21">
        <v>44720</v>
      </c>
      <c r="C1451" s="806" t="s">
        <v>1090</v>
      </c>
      <c r="D1451" s="807"/>
      <c r="E1451" s="11" t="s">
        <v>102</v>
      </c>
      <c r="F1451" s="12">
        <v>75</v>
      </c>
      <c r="G1451" s="12">
        <v>0.13</v>
      </c>
      <c r="H1451" s="12">
        <v>0.17</v>
      </c>
      <c r="I1451" s="13">
        <f t="shared" si="126"/>
        <v>9.75</v>
      </c>
      <c r="J1451" s="13">
        <f t="shared" si="127"/>
        <v>12.750000000000002</v>
      </c>
    </row>
    <row r="1452" spans="1:10" s="1" customFormat="1" ht="25.5" customHeight="1" x14ac:dyDescent="0.2">
      <c r="A1452" s="11" t="s">
        <v>308</v>
      </c>
      <c r="B1452" s="21">
        <v>44721</v>
      </c>
      <c r="C1452" s="806" t="s">
        <v>1091</v>
      </c>
      <c r="D1452" s="807"/>
      <c r="E1452" s="11" t="s">
        <v>102</v>
      </c>
      <c r="F1452" s="12">
        <v>75</v>
      </c>
      <c r="G1452" s="12">
        <v>0.32</v>
      </c>
      <c r="H1452" s="12">
        <v>0.41</v>
      </c>
      <c r="I1452" s="13">
        <f t="shared" si="126"/>
        <v>24</v>
      </c>
      <c r="J1452" s="13">
        <f t="shared" si="127"/>
        <v>30.749999999999996</v>
      </c>
    </row>
    <row r="1453" spans="1:10" s="1" customFormat="1" ht="25.5" customHeight="1" x14ac:dyDescent="0.2">
      <c r="A1453" s="11" t="s">
        <v>308</v>
      </c>
      <c r="B1453" s="34">
        <v>40351</v>
      </c>
      <c r="C1453" s="806" t="s">
        <v>1092</v>
      </c>
      <c r="D1453" s="807"/>
      <c r="E1453" s="11" t="s">
        <v>102</v>
      </c>
      <c r="F1453" s="12">
        <v>75</v>
      </c>
      <c r="G1453" s="12">
        <v>0.12</v>
      </c>
      <c r="H1453" s="12">
        <v>0.15</v>
      </c>
      <c r="I1453" s="13">
        <f t="shared" si="126"/>
        <v>9</v>
      </c>
      <c r="J1453" s="13">
        <f t="shared" si="127"/>
        <v>11.25</v>
      </c>
    </row>
    <row r="1454" spans="1:10" s="1" customFormat="1" ht="25.5" customHeight="1" x14ac:dyDescent="0.2">
      <c r="A1454" s="11" t="s">
        <v>308</v>
      </c>
      <c r="B1454" s="34">
        <v>40716</v>
      </c>
      <c r="C1454" s="806" t="s">
        <v>1093</v>
      </c>
      <c r="D1454" s="807"/>
      <c r="E1454" s="11" t="s">
        <v>102</v>
      </c>
      <c r="F1454" s="12">
        <v>100</v>
      </c>
      <c r="G1454" s="12">
        <v>0.09</v>
      </c>
      <c r="H1454" s="12">
        <v>0.11</v>
      </c>
      <c r="I1454" s="13">
        <f t="shared" si="126"/>
        <v>9</v>
      </c>
      <c r="J1454" s="13">
        <f t="shared" si="127"/>
        <v>11</v>
      </c>
    </row>
    <row r="1455" spans="1:10" s="1" customFormat="1" ht="25.5" customHeight="1" x14ac:dyDescent="0.2">
      <c r="A1455" s="8"/>
      <c r="B1455" s="9" t="s">
        <v>1094</v>
      </c>
      <c r="C1455" s="808" t="s">
        <v>1095</v>
      </c>
      <c r="D1455" s="820"/>
      <c r="E1455" s="820"/>
      <c r="F1455" s="820"/>
      <c r="G1455" s="820"/>
      <c r="H1455" s="820"/>
      <c r="I1455" s="809"/>
      <c r="J1455" s="8"/>
    </row>
    <row r="1456" spans="1:10" s="1" customFormat="1" ht="25.5" customHeight="1" x14ac:dyDescent="0.2">
      <c r="A1456" s="11" t="s">
        <v>78</v>
      </c>
      <c r="B1456" s="21">
        <v>44743</v>
      </c>
      <c r="C1456" s="806" t="s">
        <v>1096</v>
      </c>
      <c r="D1456" s="807"/>
      <c r="E1456" s="11" t="s">
        <v>102</v>
      </c>
      <c r="F1456" s="12">
        <v>12</v>
      </c>
      <c r="G1456" s="12">
        <v>79.47</v>
      </c>
      <c r="H1456" s="12">
        <v>101.4</v>
      </c>
      <c r="I1456" s="13">
        <f t="shared" ref="I1456:I1470" si="128">F1456*G1456</f>
        <v>953.64</v>
      </c>
      <c r="J1456" s="13">
        <f t="shared" ref="J1456:J1470" si="129">F1456*H1456</f>
        <v>1216.8000000000002</v>
      </c>
    </row>
    <row r="1457" spans="1:10" s="1" customFormat="1" ht="25.5" customHeight="1" x14ac:dyDescent="0.2">
      <c r="A1457" s="11" t="s">
        <v>308</v>
      </c>
      <c r="B1457" s="21">
        <v>44744</v>
      </c>
      <c r="C1457" s="806" t="s">
        <v>1097</v>
      </c>
      <c r="D1457" s="807"/>
      <c r="E1457" s="11" t="s">
        <v>102</v>
      </c>
      <c r="F1457" s="12">
        <v>6</v>
      </c>
      <c r="G1457" s="12">
        <v>20.45</v>
      </c>
      <c r="H1457" s="12">
        <v>26.09</v>
      </c>
      <c r="I1457" s="13">
        <f t="shared" si="128"/>
        <v>122.69999999999999</v>
      </c>
      <c r="J1457" s="13">
        <f t="shared" si="129"/>
        <v>156.54</v>
      </c>
    </row>
    <row r="1458" spans="1:10" s="1" customFormat="1" ht="25.5" customHeight="1" x14ac:dyDescent="0.2">
      <c r="A1458" s="11" t="s">
        <v>308</v>
      </c>
      <c r="B1458" s="21">
        <v>44745</v>
      </c>
      <c r="C1458" s="806" t="s">
        <v>1098</v>
      </c>
      <c r="D1458" s="807"/>
      <c r="E1458" s="11" t="s">
        <v>102</v>
      </c>
      <c r="F1458" s="12">
        <v>1</v>
      </c>
      <c r="G1458" s="12">
        <v>33.450000000000003</v>
      </c>
      <c r="H1458" s="12">
        <v>42.68</v>
      </c>
      <c r="I1458" s="13">
        <f t="shared" si="128"/>
        <v>33.450000000000003</v>
      </c>
      <c r="J1458" s="13">
        <f t="shared" si="129"/>
        <v>42.68</v>
      </c>
    </row>
    <row r="1459" spans="1:10" s="1" customFormat="1" ht="25.5" customHeight="1" x14ac:dyDescent="0.2">
      <c r="A1459" s="11" t="s">
        <v>308</v>
      </c>
      <c r="B1459" s="21">
        <v>44746</v>
      </c>
      <c r="C1459" s="806" t="s">
        <v>1099</v>
      </c>
      <c r="D1459" s="807"/>
      <c r="E1459" s="11" t="s">
        <v>102</v>
      </c>
      <c r="F1459" s="12">
        <v>2</v>
      </c>
      <c r="G1459" s="12">
        <v>23.95</v>
      </c>
      <c r="H1459" s="12">
        <v>30.56</v>
      </c>
      <c r="I1459" s="13">
        <f t="shared" si="128"/>
        <v>47.9</v>
      </c>
      <c r="J1459" s="13">
        <f t="shared" si="129"/>
        <v>61.12</v>
      </c>
    </row>
    <row r="1460" spans="1:10" s="1" customFormat="1" ht="25.5" customHeight="1" x14ac:dyDescent="0.2">
      <c r="A1460" s="11" t="s">
        <v>308</v>
      </c>
      <c r="B1460" s="21">
        <v>44747</v>
      </c>
      <c r="C1460" s="806" t="s">
        <v>1100</v>
      </c>
      <c r="D1460" s="807"/>
      <c r="E1460" s="11" t="s">
        <v>102</v>
      </c>
      <c r="F1460" s="12">
        <v>15</v>
      </c>
      <c r="G1460" s="12">
        <v>8.93</v>
      </c>
      <c r="H1460" s="12">
        <v>11.39</v>
      </c>
      <c r="I1460" s="13">
        <f t="shared" si="128"/>
        <v>133.94999999999999</v>
      </c>
      <c r="J1460" s="13">
        <f t="shared" si="129"/>
        <v>170.85000000000002</v>
      </c>
    </row>
    <row r="1461" spans="1:10" s="1" customFormat="1" ht="25.5" customHeight="1" x14ac:dyDescent="0.2">
      <c r="A1461" s="11" t="s">
        <v>308</v>
      </c>
      <c r="B1461" s="21">
        <v>44748</v>
      </c>
      <c r="C1461" s="806" t="s">
        <v>1101</v>
      </c>
      <c r="D1461" s="807"/>
      <c r="E1461" s="11" t="s">
        <v>102</v>
      </c>
      <c r="F1461" s="12">
        <v>4</v>
      </c>
      <c r="G1461" s="12">
        <v>8.1300000000000008</v>
      </c>
      <c r="H1461" s="12">
        <v>10.37</v>
      </c>
      <c r="I1461" s="13">
        <f t="shared" si="128"/>
        <v>32.520000000000003</v>
      </c>
      <c r="J1461" s="13">
        <f t="shared" si="129"/>
        <v>41.48</v>
      </c>
    </row>
    <row r="1462" spans="1:10" s="1" customFormat="1" ht="25.5" customHeight="1" x14ac:dyDescent="0.2">
      <c r="A1462" s="10">
        <v>89563</v>
      </c>
      <c r="B1462" s="21">
        <v>44749</v>
      </c>
      <c r="C1462" s="806" t="s">
        <v>1102</v>
      </c>
      <c r="D1462" s="807"/>
      <c r="E1462" s="11" t="s">
        <v>102</v>
      </c>
      <c r="F1462" s="12">
        <v>40</v>
      </c>
      <c r="G1462" s="12">
        <v>14.21</v>
      </c>
      <c r="H1462" s="12">
        <v>18.13</v>
      </c>
      <c r="I1462" s="13">
        <f t="shared" si="128"/>
        <v>568.40000000000009</v>
      </c>
      <c r="J1462" s="13">
        <f t="shared" si="129"/>
        <v>725.19999999999993</v>
      </c>
    </row>
    <row r="1463" spans="1:10" s="1" customFormat="1" ht="25.5" customHeight="1" x14ac:dyDescent="0.2">
      <c r="A1463" s="11" t="s">
        <v>308</v>
      </c>
      <c r="B1463" s="21">
        <v>44750</v>
      </c>
      <c r="C1463" s="806" t="s">
        <v>1103</v>
      </c>
      <c r="D1463" s="807"/>
      <c r="E1463" s="11" t="s">
        <v>102</v>
      </c>
      <c r="F1463" s="12">
        <v>20</v>
      </c>
      <c r="G1463" s="12">
        <v>33.74</v>
      </c>
      <c r="H1463" s="12">
        <v>43.05</v>
      </c>
      <c r="I1463" s="13">
        <f t="shared" si="128"/>
        <v>674.80000000000007</v>
      </c>
      <c r="J1463" s="13">
        <f t="shared" si="129"/>
        <v>861</v>
      </c>
    </row>
    <row r="1464" spans="1:10" s="1" customFormat="1" ht="25.5" customHeight="1" x14ac:dyDescent="0.2">
      <c r="A1464" s="11" t="s">
        <v>308</v>
      </c>
      <c r="B1464" s="21">
        <v>44751</v>
      </c>
      <c r="C1464" s="806" t="s">
        <v>1104</v>
      </c>
      <c r="D1464" s="807"/>
      <c r="E1464" s="11" t="s">
        <v>102</v>
      </c>
      <c r="F1464" s="12">
        <v>25</v>
      </c>
      <c r="G1464" s="12">
        <v>0.17</v>
      </c>
      <c r="H1464" s="12">
        <v>0.22</v>
      </c>
      <c r="I1464" s="13">
        <f t="shared" si="128"/>
        <v>4.25</v>
      </c>
      <c r="J1464" s="13">
        <f t="shared" si="129"/>
        <v>5.5</v>
      </c>
    </row>
    <row r="1465" spans="1:10" s="1" customFormat="1" ht="25.5" customHeight="1" x14ac:dyDescent="0.2">
      <c r="A1465" s="11" t="s">
        <v>308</v>
      </c>
      <c r="B1465" s="34">
        <v>40381</v>
      </c>
      <c r="C1465" s="806" t="s">
        <v>1105</v>
      </c>
      <c r="D1465" s="807"/>
      <c r="E1465" s="11" t="s">
        <v>102</v>
      </c>
      <c r="F1465" s="12">
        <v>160</v>
      </c>
      <c r="G1465" s="12">
        <v>0.19</v>
      </c>
      <c r="H1465" s="12">
        <v>0.24</v>
      </c>
      <c r="I1465" s="13">
        <f t="shared" si="128"/>
        <v>30.4</v>
      </c>
      <c r="J1465" s="13">
        <f t="shared" si="129"/>
        <v>38.4</v>
      </c>
    </row>
    <row r="1466" spans="1:10" s="1" customFormat="1" ht="25.5" customHeight="1" x14ac:dyDescent="0.2">
      <c r="A1466" s="11" t="s">
        <v>308</v>
      </c>
      <c r="B1466" s="34">
        <v>40746</v>
      </c>
      <c r="C1466" s="806" t="s">
        <v>1106</v>
      </c>
      <c r="D1466" s="807"/>
      <c r="E1466" s="11" t="s">
        <v>102</v>
      </c>
      <c r="F1466" s="12">
        <v>3</v>
      </c>
      <c r="G1466" s="12">
        <v>1.69</v>
      </c>
      <c r="H1466" s="12">
        <v>2.16</v>
      </c>
      <c r="I1466" s="13">
        <f t="shared" si="128"/>
        <v>5.07</v>
      </c>
      <c r="J1466" s="13">
        <f t="shared" si="129"/>
        <v>6.48</v>
      </c>
    </row>
    <row r="1467" spans="1:10" s="1" customFormat="1" ht="25.5" customHeight="1" x14ac:dyDescent="0.2">
      <c r="A1467" s="11" t="s">
        <v>308</v>
      </c>
      <c r="B1467" s="34">
        <v>41112</v>
      </c>
      <c r="C1467" s="806" t="s">
        <v>1107</v>
      </c>
      <c r="D1467" s="807"/>
      <c r="E1467" s="11" t="s">
        <v>102</v>
      </c>
      <c r="F1467" s="12">
        <v>25</v>
      </c>
      <c r="G1467" s="12">
        <v>1.54</v>
      </c>
      <c r="H1467" s="12">
        <v>1.96</v>
      </c>
      <c r="I1467" s="13">
        <f t="shared" si="128"/>
        <v>38.5</v>
      </c>
      <c r="J1467" s="13">
        <f t="shared" si="129"/>
        <v>49</v>
      </c>
    </row>
    <row r="1468" spans="1:10" s="1" customFormat="1" ht="25.5" customHeight="1" x14ac:dyDescent="0.2">
      <c r="A1468" s="11" t="s">
        <v>308</v>
      </c>
      <c r="B1468" s="34">
        <v>41477</v>
      </c>
      <c r="C1468" s="806" t="s">
        <v>1108</v>
      </c>
      <c r="D1468" s="807"/>
      <c r="E1468" s="11" t="s">
        <v>102</v>
      </c>
      <c r="F1468" s="12">
        <v>3</v>
      </c>
      <c r="G1468" s="12">
        <v>12.98</v>
      </c>
      <c r="H1468" s="12">
        <v>16.559999999999999</v>
      </c>
      <c r="I1468" s="13">
        <f t="shared" si="128"/>
        <v>38.94</v>
      </c>
      <c r="J1468" s="13">
        <f t="shared" si="129"/>
        <v>49.679999999999993</v>
      </c>
    </row>
    <row r="1469" spans="1:10" s="1" customFormat="1" ht="25.5" customHeight="1" x14ac:dyDescent="0.2">
      <c r="A1469" s="11" t="s">
        <v>308</v>
      </c>
      <c r="B1469" s="34">
        <v>41842</v>
      </c>
      <c r="C1469" s="806" t="s">
        <v>1109</v>
      </c>
      <c r="D1469" s="807"/>
      <c r="E1469" s="11" t="s">
        <v>102</v>
      </c>
      <c r="F1469" s="12">
        <v>300</v>
      </c>
      <c r="G1469" s="12">
        <v>0.09</v>
      </c>
      <c r="H1469" s="12">
        <v>0.11</v>
      </c>
      <c r="I1469" s="13">
        <f t="shared" si="128"/>
        <v>27</v>
      </c>
      <c r="J1469" s="13">
        <f t="shared" si="129"/>
        <v>33</v>
      </c>
    </row>
    <row r="1470" spans="1:10" s="1" customFormat="1" ht="25.5" customHeight="1" x14ac:dyDescent="0.2">
      <c r="A1470" s="11" t="s">
        <v>308</v>
      </c>
      <c r="B1470" s="34">
        <v>42207</v>
      </c>
      <c r="C1470" s="806" t="s">
        <v>1110</v>
      </c>
      <c r="D1470" s="807"/>
      <c r="E1470" s="11" t="s">
        <v>102</v>
      </c>
      <c r="F1470" s="12">
        <v>15</v>
      </c>
      <c r="G1470" s="12">
        <v>12.18</v>
      </c>
      <c r="H1470" s="12">
        <v>15.54</v>
      </c>
      <c r="I1470" s="13">
        <f t="shared" si="128"/>
        <v>182.7</v>
      </c>
      <c r="J1470" s="13">
        <f t="shared" si="129"/>
        <v>233.1</v>
      </c>
    </row>
    <row r="1471" spans="1:10" s="1" customFormat="1" ht="25.5" customHeight="1" x14ac:dyDescent="0.2">
      <c r="A1471" s="8"/>
      <c r="B1471" s="11" t="s">
        <v>1111</v>
      </c>
      <c r="C1471" s="808" t="s">
        <v>1112</v>
      </c>
      <c r="D1471" s="809"/>
      <c r="E1471" s="8"/>
      <c r="F1471" s="8"/>
      <c r="G1471" s="8"/>
      <c r="H1471" s="8"/>
      <c r="I1471" s="8"/>
      <c r="J1471" s="8"/>
    </row>
    <row r="1472" spans="1:10" s="1" customFormat="1" ht="25.5" customHeight="1" x14ac:dyDescent="0.2">
      <c r="A1472" s="11" t="s">
        <v>308</v>
      </c>
      <c r="B1472" s="21">
        <v>44774</v>
      </c>
      <c r="C1472" s="806" t="s">
        <v>1113</v>
      </c>
      <c r="D1472" s="807"/>
      <c r="E1472" s="11" t="s">
        <v>102</v>
      </c>
      <c r="F1472" s="12">
        <v>10</v>
      </c>
      <c r="G1472" s="12">
        <v>26.9</v>
      </c>
      <c r="H1472" s="12">
        <v>34.32</v>
      </c>
      <c r="I1472" s="13">
        <f t="shared" ref="I1472:I1478" si="130">F1472*G1472</f>
        <v>269</v>
      </c>
      <c r="J1472" s="13">
        <f t="shared" ref="J1472:J1478" si="131">F1472*H1472</f>
        <v>343.2</v>
      </c>
    </row>
    <row r="1473" spans="1:10" s="1" customFormat="1" ht="25.5" customHeight="1" x14ac:dyDescent="0.2">
      <c r="A1473" s="11" t="s">
        <v>308</v>
      </c>
      <c r="B1473" s="21">
        <v>44775</v>
      </c>
      <c r="C1473" s="806" t="s">
        <v>1114</v>
      </c>
      <c r="D1473" s="807"/>
      <c r="E1473" s="11" t="s">
        <v>102</v>
      </c>
      <c r="F1473" s="12">
        <v>10</v>
      </c>
      <c r="G1473" s="12">
        <v>15.67</v>
      </c>
      <c r="H1473" s="12">
        <v>19.989999999999998</v>
      </c>
      <c r="I1473" s="13">
        <f t="shared" si="130"/>
        <v>156.69999999999999</v>
      </c>
      <c r="J1473" s="13">
        <f t="shared" si="131"/>
        <v>199.89999999999998</v>
      </c>
    </row>
    <row r="1474" spans="1:10" s="1" customFormat="1" ht="25.5" customHeight="1" x14ac:dyDescent="0.2">
      <c r="A1474" s="11" t="s">
        <v>308</v>
      </c>
      <c r="B1474" s="21">
        <v>44776</v>
      </c>
      <c r="C1474" s="806" t="s">
        <v>1115</v>
      </c>
      <c r="D1474" s="807"/>
      <c r="E1474" s="11" t="s">
        <v>102</v>
      </c>
      <c r="F1474" s="12">
        <v>20</v>
      </c>
      <c r="G1474" s="12">
        <v>5.57</v>
      </c>
      <c r="H1474" s="12">
        <v>7.11</v>
      </c>
      <c r="I1474" s="13">
        <f t="shared" si="130"/>
        <v>111.4</v>
      </c>
      <c r="J1474" s="13">
        <f t="shared" si="131"/>
        <v>142.20000000000002</v>
      </c>
    </row>
    <row r="1475" spans="1:10" s="1" customFormat="1" ht="25.5" customHeight="1" x14ac:dyDescent="0.2">
      <c r="A1475" s="11" t="s">
        <v>308</v>
      </c>
      <c r="B1475" s="21">
        <v>44777</v>
      </c>
      <c r="C1475" s="806" t="s">
        <v>1116</v>
      </c>
      <c r="D1475" s="807"/>
      <c r="E1475" s="11" t="s">
        <v>102</v>
      </c>
      <c r="F1475" s="12">
        <v>2</v>
      </c>
      <c r="G1475" s="12">
        <v>7.1</v>
      </c>
      <c r="H1475" s="12">
        <v>9.06</v>
      </c>
      <c r="I1475" s="13">
        <f t="shared" si="130"/>
        <v>14.2</v>
      </c>
      <c r="J1475" s="13">
        <f t="shared" si="131"/>
        <v>18.12</v>
      </c>
    </row>
    <row r="1476" spans="1:10" s="1" customFormat="1" ht="25.5" customHeight="1" x14ac:dyDescent="0.2">
      <c r="A1476" s="11" t="s">
        <v>308</v>
      </c>
      <c r="B1476" s="21">
        <v>44778</v>
      </c>
      <c r="C1476" s="806" t="s">
        <v>1117</v>
      </c>
      <c r="D1476" s="807"/>
      <c r="E1476" s="11" t="s">
        <v>102</v>
      </c>
      <c r="F1476" s="12">
        <v>40</v>
      </c>
      <c r="G1476" s="12">
        <v>1.72</v>
      </c>
      <c r="H1476" s="12">
        <v>2.19</v>
      </c>
      <c r="I1476" s="13">
        <f t="shared" si="130"/>
        <v>68.8</v>
      </c>
      <c r="J1476" s="13">
        <f t="shared" si="131"/>
        <v>87.6</v>
      </c>
    </row>
    <row r="1477" spans="1:10" s="1" customFormat="1" ht="25.5" customHeight="1" x14ac:dyDescent="0.2">
      <c r="A1477" s="11" t="s">
        <v>308</v>
      </c>
      <c r="B1477" s="21">
        <v>44779</v>
      </c>
      <c r="C1477" s="806" t="s">
        <v>1118</v>
      </c>
      <c r="D1477" s="807"/>
      <c r="E1477" s="11" t="s">
        <v>102</v>
      </c>
      <c r="F1477" s="12">
        <v>4</v>
      </c>
      <c r="G1477" s="12">
        <v>2.33</v>
      </c>
      <c r="H1477" s="12">
        <v>2.97</v>
      </c>
      <c r="I1477" s="13">
        <f t="shared" si="130"/>
        <v>9.32</v>
      </c>
      <c r="J1477" s="13">
        <f t="shared" si="131"/>
        <v>11.88</v>
      </c>
    </row>
    <row r="1478" spans="1:10" s="1" customFormat="1" ht="25.5" customHeight="1" x14ac:dyDescent="0.2">
      <c r="A1478" s="11" t="s">
        <v>308</v>
      </c>
      <c r="B1478" s="21">
        <v>44780</v>
      </c>
      <c r="C1478" s="806" t="s">
        <v>1119</v>
      </c>
      <c r="D1478" s="807"/>
      <c r="E1478" s="11" t="s">
        <v>102</v>
      </c>
      <c r="F1478" s="12">
        <v>7</v>
      </c>
      <c r="G1478" s="12">
        <v>4.74</v>
      </c>
      <c r="H1478" s="12">
        <v>6.05</v>
      </c>
      <c r="I1478" s="13">
        <f t="shared" si="130"/>
        <v>33.18</v>
      </c>
      <c r="J1478" s="13">
        <f t="shared" si="131"/>
        <v>42.35</v>
      </c>
    </row>
    <row r="1479" spans="1:10" s="1" customFormat="1" ht="25.5" customHeight="1" x14ac:dyDescent="0.2">
      <c r="A1479" s="8"/>
      <c r="B1479" s="11" t="s">
        <v>1120</v>
      </c>
      <c r="C1479" s="808" t="s">
        <v>1121</v>
      </c>
      <c r="D1479" s="809"/>
      <c r="E1479" s="8"/>
      <c r="F1479" s="8"/>
      <c r="G1479" s="8"/>
      <c r="H1479" s="8"/>
      <c r="I1479" s="8"/>
      <c r="J1479" s="8"/>
    </row>
    <row r="1480" spans="1:10" s="1" customFormat="1" ht="25.5" customHeight="1" x14ac:dyDescent="0.2">
      <c r="A1480" s="11" t="s">
        <v>308</v>
      </c>
      <c r="B1480" s="21">
        <v>44805</v>
      </c>
      <c r="C1480" s="806" t="s">
        <v>1122</v>
      </c>
      <c r="D1480" s="807"/>
      <c r="E1480" s="11" t="s">
        <v>102</v>
      </c>
      <c r="F1480" s="12">
        <v>41</v>
      </c>
      <c r="G1480" s="12">
        <v>11.01</v>
      </c>
      <c r="H1480" s="12">
        <v>14.05</v>
      </c>
      <c r="I1480" s="13">
        <f>F1480*G1480</f>
        <v>451.40999999999997</v>
      </c>
      <c r="J1480" s="13">
        <f>F1480*H1480</f>
        <v>576.05000000000007</v>
      </c>
    </row>
    <row r="1481" spans="1:10" s="1" customFormat="1" ht="25.5" customHeight="1" x14ac:dyDescent="0.2">
      <c r="A1481" s="8"/>
      <c r="B1481" s="803" t="s">
        <v>1123</v>
      </c>
      <c r="C1481" s="804"/>
      <c r="D1481" s="804"/>
      <c r="E1481" s="804"/>
      <c r="F1481" s="804"/>
      <c r="G1481" s="805"/>
      <c r="H1481" s="8"/>
      <c r="I1481" s="14">
        <f>SUM(I1456:I1480,I1411:I1454)+0.05</f>
        <v>17207.759999999995</v>
      </c>
      <c r="J1481" s="15">
        <f>SUM(J1456:J1480,J1411:J1454)+4.9</f>
        <v>21955.340000000004</v>
      </c>
    </row>
    <row r="1482" spans="1:10" s="1" customFormat="1" ht="25.5" customHeight="1" x14ac:dyDescent="0.2">
      <c r="A1482" s="8"/>
      <c r="B1482" s="9" t="s">
        <v>1124</v>
      </c>
      <c r="C1482" s="808" t="s">
        <v>1125</v>
      </c>
      <c r="D1482" s="809"/>
      <c r="E1482" s="8"/>
      <c r="F1482" s="8"/>
      <c r="G1482" s="8"/>
      <c r="H1482" s="8"/>
      <c r="I1482" s="8"/>
      <c r="J1482" s="8"/>
    </row>
    <row r="1483" spans="1:10" s="1" customFormat="1" ht="25.5" customHeight="1" x14ac:dyDescent="0.2">
      <c r="A1483" s="8"/>
      <c r="B1483" s="9" t="s">
        <v>1126</v>
      </c>
      <c r="C1483" s="808" t="s">
        <v>684</v>
      </c>
      <c r="D1483" s="809"/>
      <c r="E1483" s="8"/>
      <c r="F1483" s="8"/>
      <c r="G1483" s="8"/>
      <c r="H1483" s="8"/>
      <c r="I1483" s="8"/>
      <c r="J1483" s="8"/>
    </row>
    <row r="1484" spans="1:10" s="1" customFormat="1" ht="25.5" customHeight="1" x14ac:dyDescent="0.2">
      <c r="A1484" s="11" t="s">
        <v>308</v>
      </c>
      <c r="B1484" s="21">
        <v>44927</v>
      </c>
      <c r="C1484" s="806" t="s">
        <v>1127</v>
      </c>
      <c r="D1484" s="807"/>
      <c r="E1484" s="11" t="s">
        <v>102</v>
      </c>
      <c r="F1484" s="12">
        <v>1</v>
      </c>
      <c r="G1484" s="12">
        <v>419.11</v>
      </c>
      <c r="H1484" s="12">
        <v>534.74</v>
      </c>
      <c r="I1484" s="13">
        <f>F1484*G1484</f>
        <v>419.11</v>
      </c>
      <c r="J1484" s="13">
        <f>F1484*H1484</f>
        <v>534.74</v>
      </c>
    </row>
    <row r="1485" spans="1:10" s="1" customFormat="1" ht="25.5" customHeight="1" x14ac:dyDescent="0.2">
      <c r="A1485" s="11" t="s">
        <v>308</v>
      </c>
      <c r="B1485" s="21">
        <v>44928</v>
      </c>
      <c r="C1485" s="806" t="s">
        <v>1128</v>
      </c>
      <c r="D1485" s="807"/>
      <c r="E1485" s="11" t="s">
        <v>102</v>
      </c>
      <c r="F1485" s="12">
        <v>1</v>
      </c>
      <c r="G1485" s="12">
        <v>385</v>
      </c>
      <c r="H1485" s="12">
        <v>491.22</v>
      </c>
      <c r="I1485" s="13">
        <f>F1485*G1485</f>
        <v>385</v>
      </c>
      <c r="J1485" s="13">
        <f>F1485*H1485</f>
        <v>491.22</v>
      </c>
    </row>
    <row r="1486" spans="1:10" s="1" customFormat="1" ht="25.5" customHeight="1" x14ac:dyDescent="0.2">
      <c r="A1486" s="11" t="s">
        <v>308</v>
      </c>
      <c r="B1486" s="21">
        <v>44929</v>
      </c>
      <c r="C1486" s="806" t="s">
        <v>1129</v>
      </c>
      <c r="D1486" s="807"/>
      <c r="E1486" s="11" t="s">
        <v>102</v>
      </c>
      <c r="F1486" s="12">
        <v>1</v>
      </c>
      <c r="G1486" s="12">
        <v>250</v>
      </c>
      <c r="H1486" s="12">
        <v>318.98</v>
      </c>
      <c r="I1486" s="13">
        <f>F1486*G1486</f>
        <v>250</v>
      </c>
      <c r="J1486" s="13">
        <f>F1486*H1486</f>
        <v>318.98</v>
      </c>
    </row>
    <row r="1487" spans="1:10" s="1" customFormat="1" ht="25.5" customHeight="1" x14ac:dyDescent="0.2">
      <c r="A1487" s="8"/>
      <c r="B1487" s="803" t="s">
        <v>1130</v>
      </c>
      <c r="C1487" s="804"/>
      <c r="D1487" s="804"/>
      <c r="E1487" s="804"/>
      <c r="F1487" s="804"/>
      <c r="G1487" s="805"/>
      <c r="H1487" s="8"/>
      <c r="I1487" s="18">
        <f>SUM(I1484:I1486)</f>
        <v>1054.1100000000001</v>
      </c>
      <c r="J1487" s="18">
        <f>SUM(J1484:J1486)</f>
        <v>1344.94</v>
      </c>
    </row>
    <row r="1488" spans="1:10" s="1" customFormat="1" ht="25.5" customHeight="1" x14ac:dyDescent="0.2">
      <c r="A1488" s="8"/>
      <c r="B1488" s="9" t="s">
        <v>1131</v>
      </c>
      <c r="C1488" s="808" t="s">
        <v>1132</v>
      </c>
      <c r="D1488" s="809"/>
      <c r="E1488" s="8"/>
      <c r="F1488" s="8"/>
      <c r="G1488" s="8"/>
      <c r="H1488" s="8"/>
      <c r="I1488" s="8"/>
      <c r="J1488" s="8"/>
    </row>
    <row r="1489" spans="1:10" s="1" customFormat="1" ht="25.5" customHeight="1" x14ac:dyDescent="0.2">
      <c r="A1489" s="8"/>
      <c r="B1489" s="23">
        <v>44958</v>
      </c>
      <c r="C1489" s="808" t="s">
        <v>1133</v>
      </c>
      <c r="D1489" s="809"/>
      <c r="E1489" s="8"/>
      <c r="F1489" s="8"/>
      <c r="G1489" s="8"/>
      <c r="H1489" s="8"/>
      <c r="I1489" s="8"/>
      <c r="J1489" s="8"/>
    </row>
    <row r="1490" spans="1:10" s="1" customFormat="1" ht="25.5" customHeight="1" x14ac:dyDescent="0.2">
      <c r="A1490" s="11" t="s">
        <v>308</v>
      </c>
      <c r="B1490" s="11" t="s">
        <v>1134</v>
      </c>
      <c r="C1490" s="806" t="s">
        <v>1175</v>
      </c>
      <c r="D1490" s="807"/>
      <c r="E1490" s="11" t="s">
        <v>35</v>
      </c>
      <c r="F1490" s="12">
        <v>8</v>
      </c>
      <c r="G1490" s="12">
        <v>15.25</v>
      </c>
      <c r="H1490" s="12">
        <v>19.46</v>
      </c>
      <c r="I1490" s="13">
        <f t="shared" ref="I1490:I1495" si="132">F1490*G1490</f>
        <v>122</v>
      </c>
      <c r="J1490" s="13">
        <f t="shared" ref="J1490:J1495" si="133">F1490*H1490</f>
        <v>155.68</v>
      </c>
    </row>
    <row r="1491" spans="1:10" s="1" customFormat="1" ht="25.5" customHeight="1" x14ac:dyDescent="0.2">
      <c r="A1491" s="11" t="s">
        <v>308</v>
      </c>
      <c r="B1491" s="11" t="s">
        <v>1135</v>
      </c>
      <c r="C1491" s="806" t="s">
        <v>1176</v>
      </c>
      <c r="D1491" s="807"/>
      <c r="E1491" s="11" t="s">
        <v>35</v>
      </c>
      <c r="F1491" s="12">
        <v>16</v>
      </c>
      <c r="G1491" s="12">
        <v>21.01</v>
      </c>
      <c r="H1491" s="12">
        <v>26.81</v>
      </c>
      <c r="I1491" s="13">
        <f t="shared" si="132"/>
        <v>336.16</v>
      </c>
      <c r="J1491" s="13">
        <f t="shared" si="133"/>
        <v>428.96</v>
      </c>
    </row>
    <row r="1492" spans="1:10" s="1" customFormat="1" ht="25.5" customHeight="1" x14ac:dyDescent="0.2">
      <c r="A1492" s="11" t="s">
        <v>308</v>
      </c>
      <c r="B1492" s="11" t="s">
        <v>1136</v>
      </c>
      <c r="C1492" s="806" t="s">
        <v>1137</v>
      </c>
      <c r="D1492" s="807"/>
      <c r="E1492" s="11" t="s">
        <v>102</v>
      </c>
      <c r="F1492" s="12">
        <v>1</v>
      </c>
      <c r="G1492" s="12">
        <v>64.55</v>
      </c>
      <c r="H1492" s="12">
        <v>82.36</v>
      </c>
      <c r="I1492" s="13">
        <f t="shared" si="132"/>
        <v>64.55</v>
      </c>
      <c r="J1492" s="13">
        <f t="shared" si="133"/>
        <v>82.36</v>
      </c>
    </row>
    <row r="1493" spans="1:10" s="1" customFormat="1" ht="25.5" customHeight="1" x14ac:dyDescent="0.2">
      <c r="A1493" s="11" t="s">
        <v>308</v>
      </c>
      <c r="B1493" s="11" t="s">
        <v>1138</v>
      </c>
      <c r="C1493" s="806" t="s">
        <v>1139</v>
      </c>
      <c r="D1493" s="807"/>
      <c r="E1493" s="11" t="s">
        <v>102</v>
      </c>
      <c r="F1493" s="12">
        <v>2</v>
      </c>
      <c r="G1493" s="12">
        <v>46.92</v>
      </c>
      <c r="H1493" s="12">
        <v>59.87</v>
      </c>
      <c r="I1493" s="13">
        <f t="shared" si="132"/>
        <v>93.84</v>
      </c>
      <c r="J1493" s="13">
        <f t="shared" si="133"/>
        <v>119.74</v>
      </c>
    </row>
    <row r="1494" spans="1:10" s="1" customFormat="1" ht="25.5" customHeight="1" x14ac:dyDescent="0.2">
      <c r="A1494" s="11" t="s">
        <v>308</v>
      </c>
      <c r="B1494" s="11" t="s">
        <v>1140</v>
      </c>
      <c r="C1494" s="806" t="s">
        <v>1141</v>
      </c>
      <c r="D1494" s="807"/>
      <c r="E1494" s="11" t="s">
        <v>102</v>
      </c>
      <c r="F1494" s="12">
        <v>2</v>
      </c>
      <c r="G1494" s="12">
        <v>63.34</v>
      </c>
      <c r="H1494" s="12">
        <v>80.819999999999993</v>
      </c>
      <c r="I1494" s="13">
        <f t="shared" si="132"/>
        <v>126.68</v>
      </c>
      <c r="J1494" s="13">
        <f t="shared" si="133"/>
        <v>161.63999999999999</v>
      </c>
    </row>
    <row r="1495" spans="1:10" s="1" customFormat="1" ht="25.5" customHeight="1" x14ac:dyDescent="0.2">
      <c r="A1495" s="11" t="s">
        <v>308</v>
      </c>
      <c r="B1495" s="11" t="s">
        <v>1142</v>
      </c>
      <c r="C1495" s="806" t="s">
        <v>1143</v>
      </c>
      <c r="D1495" s="807"/>
      <c r="E1495" s="11" t="s">
        <v>102</v>
      </c>
      <c r="F1495" s="12">
        <v>1</v>
      </c>
      <c r="G1495" s="12">
        <v>112.15</v>
      </c>
      <c r="H1495" s="12">
        <v>143.09</v>
      </c>
      <c r="I1495" s="13">
        <f t="shared" si="132"/>
        <v>112.15</v>
      </c>
      <c r="J1495" s="13">
        <f t="shared" si="133"/>
        <v>143.09</v>
      </c>
    </row>
    <row r="1496" spans="1:10" s="1" customFormat="1" ht="25.5" customHeight="1" x14ac:dyDescent="0.2">
      <c r="A1496" s="8"/>
      <c r="B1496" s="23">
        <v>44959</v>
      </c>
      <c r="C1496" s="808" t="s">
        <v>1144</v>
      </c>
      <c r="D1496" s="809"/>
      <c r="E1496" s="8"/>
      <c r="F1496" s="8"/>
      <c r="G1496" s="8"/>
      <c r="H1496" s="8"/>
      <c r="I1496" s="8"/>
      <c r="J1496" s="12"/>
    </row>
    <row r="1497" spans="1:10" s="1" customFormat="1" ht="25.5" customHeight="1" x14ac:dyDescent="0.2">
      <c r="A1497" s="11" t="s">
        <v>308</v>
      </c>
      <c r="B1497" s="11" t="s">
        <v>1145</v>
      </c>
      <c r="C1497" s="806" t="s">
        <v>1146</v>
      </c>
      <c r="D1497" s="807"/>
      <c r="E1497" s="11" t="s">
        <v>102</v>
      </c>
      <c r="F1497" s="12">
        <v>1</v>
      </c>
      <c r="G1497" s="12">
        <v>649.99</v>
      </c>
      <c r="H1497" s="12">
        <v>829.32</v>
      </c>
      <c r="I1497" s="13">
        <f t="shared" ref="I1497:I1502" si="134">F1497*G1497</f>
        <v>649.99</v>
      </c>
      <c r="J1497" s="13">
        <f t="shared" ref="J1497:J1502" si="135">F1497*H1497</f>
        <v>829.32</v>
      </c>
    </row>
    <row r="1498" spans="1:10" s="1" customFormat="1" ht="25.5" customHeight="1" x14ac:dyDescent="0.2">
      <c r="A1498" s="8"/>
      <c r="B1498" s="23">
        <v>44960</v>
      </c>
      <c r="C1498" s="808" t="s">
        <v>684</v>
      </c>
      <c r="D1498" s="809"/>
      <c r="E1498" s="8"/>
      <c r="F1498" s="8"/>
      <c r="G1498" s="8"/>
      <c r="H1498" s="12">
        <v>0</v>
      </c>
      <c r="I1498" s="13">
        <f t="shared" si="134"/>
        <v>0</v>
      </c>
      <c r="J1498" s="13">
        <f t="shared" si="135"/>
        <v>0</v>
      </c>
    </row>
    <row r="1499" spans="1:10" s="1" customFormat="1" ht="25.5" customHeight="1" x14ac:dyDescent="0.2">
      <c r="A1499" s="11" t="s">
        <v>308</v>
      </c>
      <c r="B1499" s="11" t="s">
        <v>1147</v>
      </c>
      <c r="C1499" s="806" t="s">
        <v>1148</v>
      </c>
      <c r="D1499" s="807"/>
      <c r="E1499" s="11" t="s">
        <v>102</v>
      </c>
      <c r="F1499" s="12">
        <v>3</v>
      </c>
      <c r="G1499" s="12">
        <v>33.46</v>
      </c>
      <c r="H1499" s="12">
        <v>42.69</v>
      </c>
      <c r="I1499" s="13">
        <f t="shared" si="134"/>
        <v>100.38</v>
      </c>
      <c r="J1499" s="13">
        <f t="shared" si="135"/>
        <v>128.07</v>
      </c>
    </row>
    <row r="1500" spans="1:10" s="1" customFormat="1" ht="25.5" customHeight="1" x14ac:dyDescent="0.2">
      <c r="A1500" s="11" t="s">
        <v>308</v>
      </c>
      <c r="B1500" s="11" t="s">
        <v>1149</v>
      </c>
      <c r="C1500" s="806" t="s">
        <v>1150</v>
      </c>
      <c r="D1500" s="807"/>
      <c r="E1500" s="11" t="s">
        <v>102</v>
      </c>
      <c r="F1500" s="12">
        <v>3</v>
      </c>
      <c r="G1500" s="12">
        <v>21.01</v>
      </c>
      <c r="H1500" s="12">
        <v>26.81</v>
      </c>
      <c r="I1500" s="13">
        <f t="shared" si="134"/>
        <v>63.03</v>
      </c>
      <c r="J1500" s="13">
        <f t="shared" si="135"/>
        <v>80.429999999999993</v>
      </c>
    </row>
    <row r="1501" spans="1:10" s="1" customFormat="1" ht="25.5" customHeight="1" x14ac:dyDescent="0.2">
      <c r="A1501" s="11" t="s">
        <v>308</v>
      </c>
      <c r="B1501" s="11" t="s">
        <v>1151</v>
      </c>
      <c r="C1501" s="806" t="s">
        <v>1152</v>
      </c>
      <c r="D1501" s="807"/>
      <c r="E1501" s="11" t="s">
        <v>102</v>
      </c>
      <c r="F1501" s="12">
        <v>2</v>
      </c>
      <c r="G1501" s="12">
        <v>33.46</v>
      </c>
      <c r="H1501" s="12">
        <v>42.69</v>
      </c>
      <c r="I1501" s="13">
        <f t="shared" si="134"/>
        <v>66.92</v>
      </c>
      <c r="J1501" s="13">
        <f t="shared" si="135"/>
        <v>85.38</v>
      </c>
    </row>
    <row r="1502" spans="1:10" s="1" customFormat="1" ht="25.5" customHeight="1" x14ac:dyDescent="0.2">
      <c r="A1502" s="11" t="s">
        <v>308</v>
      </c>
      <c r="B1502" s="11" t="s">
        <v>1153</v>
      </c>
      <c r="C1502" s="806" t="s">
        <v>1154</v>
      </c>
      <c r="D1502" s="807"/>
      <c r="E1502" s="11" t="s">
        <v>81</v>
      </c>
      <c r="F1502" s="12">
        <v>3</v>
      </c>
      <c r="G1502" s="12">
        <v>9.4</v>
      </c>
      <c r="H1502" s="12">
        <v>11.99</v>
      </c>
      <c r="I1502" s="13">
        <f t="shared" si="134"/>
        <v>28.200000000000003</v>
      </c>
      <c r="J1502" s="13">
        <f t="shared" si="135"/>
        <v>35.97</v>
      </c>
    </row>
    <row r="1503" spans="1:10" s="1" customFormat="1" ht="25.5" customHeight="1" x14ac:dyDescent="0.2">
      <c r="A1503" s="8"/>
      <c r="B1503" s="803" t="s">
        <v>1155</v>
      </c>
      <c r="C1503" s="804"/>
      <c r="D1503" s="804"/>
      <c r="E1503" s="804"/>
      <c r="F1503" s="804"/>
      <c r="G1503" s="805"/>
      <c r="H1503" s="8"/>
      <c r="I1503" s="18">
        <f>SUM(I1490:I1502)</f>
        <v>1763.9</v>
      </c>
      <c r="J1503" s="18">
        <f>SUM(J1490:J1502)</f>
        <v>2250.64</v>
      </c>
    </row>
    <row r="1504" spans="1:10" s="1" customFormat="1" ht="25.5" customHeight="1" x14ac:dyDescent="0.2">
      <c r="A1504" s="8"/>
      <c r="B1504" s="803" t="s">
        <v>1156</v>
      </c>
      <c r="C1504" s="804"/>
      <c r="D1504" s="804"/>
      <c r="E1504" s="804"/>
      <c r="F1504" s="804"/>
      <c r="G1504" s="805"/>
      <c r="H1504" s="8"/>
      <c r="I1504" s="14">
        <f>SUM(I1487,I1503)</f>
        <v>2818.01</v>
      </c>
      <c r="J1504" s="15">
        <f>SUM(J1487,J1503)-0.08</f>
        <v>3595.5</v>
      </c>
    </row>
    <row r="1505" spans="1:10" s="1" customFormat="1" ht="25.5" customHeight="1" x14ac:dyDescent="0.2">
      <c r="A1505" s="8"/>
      <c r="B1505" s="9" t="s">
        <v>1157</v>
      </c>
      <c r="C1505" s="808" t="s">
        <v>1158</v>
      </c>
      <c r="D1505" s="809"/>
      <c r="E1505" s="8"/>
      <c r="F1505" s="8"/>
      <c r="G1505" s="8"/>
      <c r="H1505" s="8"/>
      <c r="I1505" s="8"/>
      <c r="J1505" s="8"/>
    </row>
    <row r="1506" spans="1:10" s="1" customFormat="1" ht="25.5" customHeight="1" x14ac:dyDescent="0.2">
      <c r="A1506" s="8"/>
      <c r="B1506" s="9" t="s">
        <v>1159</v>
      </c>
      <c r="C1506" s="808" t="s">
        <v>1160</v>
      </c>
      <c r="D1506" s="820"/>
      <c r="E1506" s="820"/>
      <c r="F1506" s="820"/>
      <c r="G1506" s="820"/>
      <c r="H1506" s="820"/>
      <c r="I1506" s="809"/>
      <c r="J1506" s="8"/>
    </row>
    <row r="1507" spans="1:10" s="1" customFormat="1" ht="25.5" customHeight="1" x14ac:dyDescent="0.2">
      <c r="A1507" s="8"/>
      <c r="B1507" s="23">
        <v>45292</v>
      </c>
      <c r="C1507" s="808" t="s">
        <v>626</v>
      </c>
      <c r="D1507" s="820"/>
      <c r="E1507" s="820"/>
      <c r="F1507" s="820"/>
      <c r="G1507" s="820"/>
      <c r="H1507" s="820"/>
      <c r="I1507" s="809"/>
      <c r="J1507" s="8"/>
    </row>
    <row r="1508" spans="1:10" s="1" customFormat="1" ht="25.5" customHeight="1" x14ac:dyDescent="0.2">
      <c r="A1508" s="10">
        <v>92690</v>
      </c>
      <c r="B1508" s="11" t="s">
        <v>1161</v>
      </c>
      <c r="C1508" s="806" t="s">
        <v>1162</v>
      </c>
      <c r="D1508" s="807"/>
      <c r="E1508" s="11" t="s">
        <v>81</v>
      </c>
      <c r="F1508" s="12">
        <v>18</v>
      </c>
      <c r="G1508" s="12">
        <v>35.74</v>
      </c>
      <c r="H1508" s="12">
        <v>45.6</v>
      </c>
      <c r="I1508" s="13">
        <f>F1508*G1508</f>
        <v>643.32000000000005</v>
      </c>
      <c r="J1508" s="13">
        <f>F1508*H1508</f>
        <v>820.80000000000007</v>
      </c>
    </row>
    <row r="1509" spans="1:10" s="1" customFormat="1" ht="25.5" customHeight="1" x14ac:dyDescent="0.2">
      <c r="A1509" s="10">
        <v>92689</v>
      </c>
      <c r="B1509" s="11" t="s">
        <v>1163</v>
      </c>
      <c r="C1509" s="806" t="s">
        <v>1164</v>
      </c>
      <c r="D1509" s="807"/>
      <c r="E1509" s="11" t="s">
        <v>81</v>
      </c>
      <c r="F1509" s="12">
        <v>18</v>
      </c>
      <c r="G1509" s="12">
        <v>24.41</v>
      </c>
      <c r="H1509" s="12">
        <v>31.14</v>
      </c>
      <c r="I1509" s="13">
        <f>F1509*G1509</f>
        <v>439.38</v>
      </c>
      <c r="J1509" s="13">
        <f>F1509*H1509</f>
        <v>560.52</v>
      </c>
    </row>
    <row r="1510" spans="1:10" s="1" customFormat="1" ht="25.5" customHeight="1" x14ac:dyDescent="0.2">
      <c r="A1510" s="8"/>
      <c r="B1510" s="23">
        <v>45293</v>
      </c>
      <c r="C1510" s="808" t="s">
        <v>450</v>
      </c>
      <c r="D1510" s="809"/>
      <c r="E1510" s="8"/>
      <c r="F1510" s="8"/>
      <c r="G1510" s="8"/>
      <c r="H1510" s="8"/>
      <c r="I1510" s="8"/>
      <c r="J1510" s="8"/>
    </row>
    <row r="1511" spans="1:10" s="1" customFormat="1" ht="25.5" customHeight="1" x14ac:dyDescent="0.2">
      <c r="A1511" s="11" t="s">
        <v>308</v>
      </c>
      <c r="B1511" s="11" t="s">
        <v>1165</v>
      </c>
      <c r="C1511" s="806" t="s">
        <v>1166</v>
      </c>
      <c r="D1511" s="807"/>
      <c r="E1511" s="11" t="s">
        <v>102</v>
      </c>
      <c r="F1511" s="12">
        <v>2</v>
      </c>
      <c r="G1511" s="12">
        <v>18.7</v>
      </c>
      <c r="H1511" s="12">
        <v>23.86</v>
      </c>
      <c r="I1511" s="13">
        <f>F1511*G1511</f>
        <v>37.4</v>
      </c>
      <c r="J1511" s="13">
        <f>F1511*H1511</f>
        <v>47.72</v>
      </c>
    </row>
    <row r="1512" spans="1:10" s="1" customFormat="1" ht="25.5" customHeight="1" x14ac:dyDescent="0.2">
      <c r="A1512" s="8"/>
      <c r="B1512" s="23">
        <v>45294</v>
      </c>
      <c r="C1512" s="808" t="s">
        <v>750</v>
      </c>
      <c r="D1512" s="809"/>
      <c r="E1512" s="8"/>
      <c r="F1512" s="8"/>
      <c r="G1512" s="8"/>
      <c r="H1512" s="12"/>
      <c r="I1512" s="12"/>
      <c r="J1512" s="8"/>
    </row>
    <row r="1513" spans="1:10" s="1" customFormat="1" ht="25.5" customHeight="1" x14ac:dyDescent="0.2">
      <c r="A1513" s="11" t="s">
        <v>308</v>
      </c>
      <c r="B1513" s="11" t="s">
        <v>1167</v>
      </c>
      <c r="C1513" s="806" t="s">
        <v>1168</v>
      </c>
      <c r="D1513" s="807"/>
      <c r="E1513" s="11" t="s">
        <v>102</v>
      </c>
      <c r="F1513" s="12">
        <v>3</v>
      </c>
      <c r="G1513" s="12">
        <v>14.45</v>
      </c>
      <c r="H1513" s="12">
        <v>18.440000000000001</v>
      </c>
      <c r="I1513" s="13">
        <f>F1513*G1513</f>
        <v>43.349999999999994</v>
      </c>
      <c r="J1513" s="13">
        <f>F1513*H1513</f>
        <v>55.320000000000007</v>
      </c>
    </row>
    <row r="1514" spans="1:10" s="1" customFormat="1" ht="25.5" customHeight="1" x14ac:dyDescent="0.2">
      <c r="A1514" s="11" t="s">
        <v>308</v>
      </c>
      <c r="B1514" s="11" t="s">
        <v>1169</v>
      </c>
      <c r="C1514" s="806" t="s">
        <v>1170</v>
      </c>
      <c r="D1514" s="807"/>
      <c r="E1514" s="11" t="s">
        <v>102</v>
      </c>
      <c r="F1514" s="12">
        <v>3</v>
      </c>
      <c r="G1514" s="12">
        <v>11.87</v>
      </c>
      <c r="H1514" s="12">
        <v>15.14</v>
      </c>
      <c r="I1514" s="13">
        <f>F1514*G1514</f>
        <v>35.61</v>
      </c>
      <c r="J1514" s="13">
        <f>F1514*H1514</f>
        <v>45.42</v>
      </c>
    </row>
    <row r="1515" spans="1:10" s="1" customFormat="1" ht="25.5" customHeight="1" x14ac:dyDescent="0.2">
      <c r="A1515" s="8"/>
      <c r="B1515" s="23">
        <v>45295</v>
      </c>
      <c r="C1515" s="808" t="s">
        <v>652</v>
      </c>
      <c r="D1515" s="809"/>
      <c r="E1515" s="8"/>
      <c r="F1515" s="8"/>
      <c r="G1515" s="8"/>
      <c r="H1515" s="8"/>
      <c r="I1515" s="8"/>
      <c r="J1515" s="8"/>
    </row>
    <row r="1516" spans="1:10" s="1" customFormat="1" ht="25.5" customHeight="1" x14ac:dyDescent="0.2">
      <c r="A1516" s="11" t="s">
        <v>308</v>
      </c>
      <c r="B1516" s="11" t="s">
        <v>1171</v>
      </c>
      <c r="C1516" s="806" t="s">
        <v>1172</v>
      </c>
      <c r="D1516" s="807"/>
      <c r="E1516" s="11" t="s">
        <v>102</v>
      </c>
      <c r="F1516" s="12">
        <v>8</v>
      </c>
      <c r="G1516" s="12">
        <v>15.21</v>
      </c>
      <c r="H1516" s="12">
        <v>19.41</v>
      </c>
      <c r="I1516" s="13">
        <f>F1516*G1516</f>
        <v>121.68</v>
      </c>
      <c r="J1516" s="13">
        <f>F1516*H1516</f>
        <v>155.28</v>
      </c>
    </row>
    <row r="1517" spans="1:10" s="1" customFormat="1" ht="25.5" customHeight="1" x14ac:dyDescent="0.2">
      <c r="A1517" s="11" t="s">
        <v>308</v>
      </c>
      <c r="B1517" s="11" t="s">
        <v>1173</v>
      </c>
      <c r="C1517" s="806" t="s">
        <v>1174</v>
      </c>
      <c r="D1517" s="807"/>
      <c r="E1517" s="11" t="s">
        <v>102</v>
      </c>
      <c r="F1517" s="12">
        <v>2</v>
      </c>
      <c r="G1517" s="12">
        <v>15.21</v>
      </c>
      <c r="H1517" s="12">
        <v>19.41</v>
      </c>
      <c r="I1517" s="13">
        <f>F1517*G1517</f>
        <v>30.42</v>
      </c>
      <c r="J1517" s="13">
        <f>F1517*H1517</f>
        <v>38.82</v>
      </c>
    </row>
    <row r="1518" spans="1:10" s="1" customFormat="1" ht="25.5" customHeight="1" x14ac:dyDescent="0.2">
      <c r="A1518" s="8"/>
      <c r="B1518" s="23">
        <v>45296</v>
      </c>
      <c r="C1518" s="808" t="s">
        <v>1177</v>
      </c>
      <c r="D1518" s="809"/>
      <c r="E1518" s="8"/>
      <c r="F1518" s="8"/>
      <c r="G1518" s="8"/>
      <c r="H1518" s="8"/>
      <c r="I1518" s="8"/>
      <c r="J1518" s="8"/>
    </row>
    <row r="1519" spans="1:10" s="1" customFormat="1" ht="25.5" customHeight="1" x14ac:dyDescent="0.2">
      <c r="A1519" s="11" t="s">
        <v>308</v>
      </c>
      <c r="B1519" s="11" t="s">
        <v>1178</v>
      </c>
      <c r="C1519" s="806" t="s">
        <v>1179</v>
      </c>
      <c r="D1519" s="807"/>
      <c r="E1519" s="11" t="s">
        <v>102</v>
      </c>
      <c r="F1519" s="12">
        <v>2</v>
      </c>
      <c r="G1519" s="12">
        <v>20.8</v>
      </c>
      <c r="H1519" s="12">
        <v>26.54</v>
      </c>
      <c r="I1519" s="13">
        <f>F1519*G1519</f>
        <v>41.6</v>
      </c>
      <c r="J1519" s="13">
        <f>F1519*H1519</f>
        <v>53.08</v>
      </c>
    </row>
    <row r="1520" spans="1:10" s="1" customFormat="1" ht="25.5" customHeight="1" x14ac:dyDescent="0.2">
      <c r="A1520" s="8"/>
      <c r="B1520" s="23">
        <v>45297</v>
      </c>
      <c r="C1520" s="808" t="s">
        <v>473</v>
      </c>
      <c r="D1520" s="809"/>
      <c r="E1520" s="8"/>
      <c r="F1520" s="8"/>
      <c r="G1520" s="8"/>
      <c r="H1520" s="8"/>
      <c r="I1520" s="8"/>
      <c r="J1520" s="8"/>
    </row>
    <row r="1521" spans="1:10" s="1" customFormat="1" ht="25.5" customHeight="1" x14ac:dyDescent="0.2">
      <c r="A1521" s="11" t="s">
        <v>308</v>
      </c>
      <c r="B1521" s="11" t="s">
        <v>1180</v>
      </c>
      <c r="C1521" s="806" t="s">
        <v>1181</v>
      </c>
      <c r="D1521" s="807"/>
      <c r="E1521" s="11" t="s">
        <v>102</v>
      </c>
      <c r="F1521" s="12">
        <v>3</v>
      </c>
      <c r="G1521" s="12">
        <v>79</v>
      </c>
      <c r="H1521" s="12">
        <v>100.8</v>
      </c>
      <c r="I1521" s="13">
        <f>F1521*G1521</f>
        <v>237</v>
      </c>
      <c r="J1521" s="13">
        <f>F1521*H1521</f>
        <v>302.39999999999998</v>
      </c>
    </row>
    <row r="1522" spans="1:10" s="1" customFormat="1" ht="25.5" customHeight="1" x14ac:dyDescent="0.2">
      <c r="A1522" s="8"/>
      <c r="B1522" s="23">
        <v>45298</v>
      </c>
      <c r="C1522" s="808" t="s">
        <v>1182</v>
      </c>
      <c r="D1522" s="809"/>
      <c r="E1522" s="8"/>
      <c r="F1522" s="8"/>
      <c r="G1522" s="8"/>
      <c r="H1522" s="8"/>
      <c r="I1522" s="8"/>
      <c r="J1522" s="8"/>
    </row>
    <row r="1523" spans="1:10" s="1" customFormat="1" ht="25.5" customHeight="1" x14ac:dyDescent="0.2">
      <c r="A1523" s="11" t="s">
        <v>308</v>
      </c>
      <c r="B1523" s="11" t="s">
        <v>1183</v>
      </c>
      <c r="C1523" s="806" t="s">
        <v>1184</v>
      </c>
      <c r="D1523" s="807"/>
      <c r="E1523" s="11" t="s">
        <v>102</v>
      </c>
      <c r="F1523" s="12">
        <v>3</v>
      </c>
      <c r="G1523" s="12">
        <v>18.899999999999999</v>
      </c>
      <c r="H1523" s="12">
        <v>24.11</v>
      </c>
      <c r="I1523" s="13">
        <f>F1523*G1523</f>
        <v>56.699999999999996</v>
      </c>
      <c r="J1523" s="13">
        <f>F1523*H1523</f>
        <v>72.33</v>
      </c>
    </row>
    <row r="1524" spans="1:10" s="1" customFormat="1" ht="25.5" customHeight="1" x14ac:dyDescent="0.2">
      <c r="A1524" s="11" t="s">
        <v>308</v>
      </c>
      <c r="B1524" s="11" t="s">
        <v>1185</v>
      </c>
      <c r="C1524" s="806" t="s">
        <v>1186</v>
      </c>
      <c r="D1524" s="807"/>
      <c r="E1524" s="11" t="s">
        <v>102</v>
      </c>
      <c r="F1524" s="12">
        <v>5</v>
      </c>
      <c r="G1524" s="12">
        <v>15.9</v>
      </c>
      <c r="H1524" s="12">
        <v>20.29</v>
      </c>
      <c r="I1524" s="13">
        <f>F1524*G1524</f>
        <v>79.5</v>
      </c>
      <c r="J1524" s="13">
        <f>F1524*H1524</f>
        <v>101.44999999999999</v>
      </c>
    </row>
    <row r="1525" spans="1:10" s="1" customFormat="1" ht="25.5" customHeight="1" x14ac:dyDescent="0.2">
      <c r="A1525" s="8"/>
      <c r="B1525" s="23">
        <v>45299</v>
      </c>
      <c r="C1525" s="808" t="s">
        <v>1187</v>
      </c>
      <c r="D1525" s="809"/>
      <c r="E1525" s="8"/>
      <c r="F1525" s="8"/>
      <c r="G1525" s="8"/>
      <c r="H1525" s="8"/>
      <c r="I1525" s="8"/>
      <c r="J1525" s="8"/>
    </row>
    <row r="1526" spans="1:10" s="1" customFormat="1" ht="25.5" customHeight="1" x14ac:dyDescent="0.2">
      <c r="A1526" s="11" t="s">
        <v>308</v>
      </c>
      <c r="B1526" s="11" t="s">
        <v>1188</v>
      </c>
      <c r="C1526" s="806" t="s">
        <v>1189</v>
      </c>
      <c r="D1526" s="807"/>
      <c r="E1526" s="11" t="s">
        <v>102</v>
      </c>
      <c r="F1526" s="12">
        <v>4</v>
      </c>
      <c r="G1526" s="12">
        <v>96</v>
      </c>
      <c r="H1526" s="12">
        <v>122.49</v>
      </c>
      <c r="I1526" s="13">
        <f>F1526*G1526</f>
        <v>384</v>
      </c>
      <c r="J1526" s="13">
        <f>F1526*H1526</f>
        <v>489.96</v>
      </c>
    </row>
    <row r="1527" spans="1:10" s="1" customFormat="1" ht="25.5" customHeight="1" x14ac:dyDescent="0.2">
      <c r="A1527" s="8"/>
      <c r="B1527" s="23">
        <v>45300</v>
      </c>
      <c r="C1527" s="808" t="s">
        <v>1190</v>
      </c>
      <c r="D1527" s="809"/>
      <c r="E1527" s="8"/>
      <c r="F1527" s="8"/>
      <c r="G1527" s="8"/>
      <c r="H1527" s="8"/>
      <c r="I1527" s="8"/>
      <c r="J1527" s="8"/>
    </row>
    <row r="1528" spans="1:10" s="1" customFormat="1" ht="25.5" customHeight="1" x14ac:dyDescent="0.2">
      <c r="A1528" s="11" t="s">
        <v>308</v>
      </c>
      <c r="B1528" s="11" t="s">
        <v>1191</v>
      </c>
      <c r="C1528" s="806" t="s">
        <v>1192</v>
      </c>
      <c r="D1528" s="807"/>
      <c r="E1528" s="11" t="s">
        <v>102</v>
      </c>
      <c r="F1528" s="12">
        <v>1</v>
      </c>
      <c r="G1528" s="12">
        <v>28.29</v>
      </c>
      <c r="H1528" s="12">
        <v>36.1</v>
      </c>
      <c r="I1528" s="13">
        <f>F1528*G1528</f>
        <v>28.29</v>
      </c>
      <c r="J1528" s="13">
        <f>F1528*H1528</f>
        <v>36.1</v>
      </c>
    </row>
    <row r="1529" spans="1:10" s="1" customFormat="1" ht="25.5" customHeight="1" x14ac:dyDescent="0.2">
      <c r="A1529" s="11" t="s">
        <v>308</v>
      </c>
      <c r="B1529" s="11" t="s">
        <v>1193</v>
      </c>
      <c r="C1529" s="806" t="s">
        <v>1194</v>
      </c>
      <c r="D1529" s="807"/>
      <c r="E1529" s="11" t="s">
        <v>102</v>
      </c>
      <c r="F1529" s="12">
        <v>2</v>
      </c>
      <c r="G1529" s="12">
        <v>21.93</v>
      </c>
      <c r="H1529" s="12">
        <v>27.98</v>
      </c>
      <c r="I1529" s="13">
        <f>F1529*G1529</f>
        <v>43.86</v>
      </c>
      <c r="J1529" s="13">
        <f>F1529*H1529</f>
        <v>55.96</v>
      </c>
    </row>
    <row r="1530" spans="1:10" s="1" customFormat="1" ht="25.5" customHeight="1" x14ac:dyDescent="0.2">
      <c r="A1530" s="8"/>
      <c r="B1530" s="9" t="s">
        <v>1195</v>
      </c>
      <c r="C1530" s="808" t="s">
        <v>1196</v>
      </c>
      <c r="D1530" s="809"/>
      <c r="E1530" s="8"/>
      <c r="F1530" s="8"/>
      <c r="G1530" s="8"/>
      <c r="H1530" s="8"/>
      <c r="I1530" s="8"/>
      <c r="J1530" s="8"/>
    </row>
    <row r="1531" spans="1:10" s="1" customFormat="1" ht="25.5" customHeight="1" x14ac:dyDescent="0.2">
      <c r="A1531" s="8"/>
      <c r="B1531" s="23">
        <v>45323</v>
      </c>
      <c r="C1531" s="808" t="s">
        <v>1197</v>
      </c>
      <c r="D1531" s="809"/>
      <c r="E1531" s="8"/>
      <c r="F1531" s="8"/>
      <c r="G1531" s="8"/>
      <c r="H1531" s="8"/>
      <c r="I1531" s="8"/>
      <c r="J1531" s="8"/>
    </row>
    <row r="1532" spans="1:10" s="1" customFormat="1" ht="25.5" customHeight="1" x14ac:dyDescent="0.2">
      <c r="A1532" s="11" t="s">
        <v>308</v>
      </c>
      <c r="B1532" s="11" t="s">
        <v>1198</v>
      </c>
      <c r="C1532" s="806" t="s">
        <v>1199</v>
      </c>
      <c r="D1532" s="807"/>
      <c r="E1532" s="11" t="s">
        <v>102</v>
      </c>
      <c r="F1532" s="12">
        <v>2</v>
      </c>
      <c r="G1532" s="12">
        <v>14.99</v>
      </c>
      <c r="H1532" s="12">
        <v>19.13</v>
      </c>
      <c r="I1532" s="13">
        <f>F1532*G1532</f>
        <v>29.98</v>
      </c>
      <c r="J1532" s="13">
        <f>F1532*H1532</f>
        <v>38.26</v>
      </c>
    </row>
    <row r="1533" spans="1:10" s="1" customFormat="1" ht="25.5" customHeight="1" x14ac:dyDescent="0.2">
      <c r="A1533" s="8"/>
      <c r="B1533" s="23">
        <v>45324</v>
      </c>
      <c r="C1533" s="808" t="s">
        <v>1200</v>
      </c>
      <c r="D1533" s="809"/>
      <c r="E1533" s="8"/>
      <c r="F1533" s="8"/>
      <c r="G1533" s="8"/>
      <c r="H1533" s="8"/>
      <c r="I1533" s="8"/>
      <c r="J1533" s="8"/>
    </row>
    <row r="1534" spans="1:10" s="1" customFormat="1" ht="25.5" customHeight="1" x14ac:dyDescent="0.2">
      <c r="A1534" s="11" t="s">
        <v>308</v>
      </c>
      <c r="B1534" s="11" t="s">
        <v>1201</v>
      </c>
      <c r="C1534" s="806" t="s">
        <v>1202</v>
      </c>
      <c r="D1534" s="807"/>
      <c r="E1534" s="11" t="s">
        <v>102</v>
      </c>
      <c r="F1534" s="12">
        <v>1</v>
      </c>
      <c r="G1534" s="12">
        <v>180</v>
      </c>
      <c r="H1534" s="12">
        <v>229.66</v>
      </c>
      <c r="I1534" s="13">
        <f>F1534*G1534</f>
        <v>180</v>
      </c>
      <c r="J1534" s="13">
        <f>F1534*H1534</f>
        <v>229.66</v>
      </c>
    </row>
    <row r="1535" spans="1:10" s="1" customFormat="1" ht="25.5" customHeight="1" x14ac:dyDescent="0.2">
      <c r="A1535" s="11" t="s">
        <v>308</v>
      </c>
      <c r="B1535" s="11" t="s">
        <v>1203</v>
      </c>
      <c r="C1535" s="806" t="s">
        <v>1204</v>
      </c>
      <c r="D1535" s="807"/>
      <c r="E1535" s="11" t="s">
        <v>102</v>
      </c>
      <c r="F1535" s="12">
        <v>2</v>
      </c>
      <c r="G1535" s="12">
        <v>49.9</v>
      </c>
      <c r="H1535" s="12">
        <v>63.67</v>
      </c>
      <c r="I1535" s="13">
        <f>F1535*G1535</f>
        <v>99.8</v>
      </c>
      <c r="J1535" s="13">
        <f>F1535*H1535</f>
        <v>127.34</v>
      </c>
    </row>
    <row r="1536" spans="1:10" s="1" customFormat="1" ht="25.5" customHeight="1" x14ac:dyDescent="0.2">
      <c r="A1536" s="8"/>
      <c r="B1536" s="23">
        <v>45325</v>
      </c>
      <c r="C1536" s="808" t="s">
        <v>1205</v>
      </c>
      <c r="D1536" s="809"/>
      <c r="E1536" s="8"/>
      <c r="F1536" s="8"/>
      <c r="G1536" s="8"/>
      <c r="H1536" s="8"/>
      <c r="I1536" s="8"/>
      <c r="J1536" s="8"/>
    </row>
    <row r="1537" spans="1:10" s="1" customFormat="1" ht="25.5" customHeight="1" x14ac:dyDescent="0.2">
      <c r="A1537" s="11" t="s">
        <v>308</v>
      </c>
      <c r="B1537" s="11" t="s">
        <v>1206</v>
      </c>
      <c r="C1537" s="806" t="s">
        <v>1207</v>
      </c>
      <c r="D1537" s="807"/>
      <c r="E1537" s="11" t="s">
        <v>102</v>
      </c>
      <c r="F1537" s="12">
        <v>2</v>
      </c>
      <c r="G1537" s="12">
        <v>49</v>
      </c>
      <c r="H1537" s="12">
        <v>62.52</v>
      </c>
      <c r="I1537" s="13">
        <f>F1537*G1537</f>
        <v>98</v>
      </c>
      <c r="J1537" s="13">
        <f>F1537*H1537</f>
        <v>125.04</v>
      </c>
    </row>
    <row r="1538" spans="1:10" s="1" customFormat="1" ht="25.5" customHeight="1" x14ac:dyDescent="0.2">
      <c r="A1538" s="8"/>
      <c r="B1538" s="23">
        <v>45325</v>
      </c>
      <c r="C1538" s="808" t="s">
        <v>1208</v>
      </c>
      <c r="D1538" s="809"/>
      <c r="E1538" s="8"/>
      <c r="F1538" s="8"/>
      <c r="G1538" s="8"/>
      <c r="H1538" s="8"/>
      <c r="I1538" s="8"/>
      <c r="J1538" s="8"/>
    </row>
    <row r="1539" spans="1:10" s="1" customFormat="1" ht="25.5" customHeight="1" x14ac:dyDescent="0.2">
      <c r="A1539" s="11" t="s">
        <v>308</v>
      </c>
      <c r="B1539" s="11" t="s">
        <v>1206</v>
      </c>
      <c r="C1539" s="806" t="s">
        <v>1209</v>
      </c>
      <c r="D1539" s="807"/>
      <c r="E1539" s="11" t="s">
        <v>102</v>
      </c>
      <c r="F1539" s="12">
        <v>1</v>
      </c>
      <c r="G1539" s="12">
        <v>26.89</v>
      </c>
      <c r="H1539" s="12">
        <v>34.31</v>
      </c>
      <c r="I1539" s="13">
        <f>F1539*G1539</f>
        <v>26.89</v>
      </c>
      <c r="J1539" s="13">
        <f>F1539*H1539</f>
        <v>34.31</v>
      </c>
    </row>
    <row r="1540" spans="1:10" s="1" customFormat="1" ht="25.5" customHeight="1" x14ac:dyDescent="0.2">
      <c r="A1540" s="8"/>
      <c r="B1540" s="23">
        <v>45326</v>
      </c>
      <c r="C1540" s="808" t="s">
        <v>1210</v>
      </c>
      <c r="D1540" s="809"/>
      <c r="E1540" s="8"/>
      <c r="F1540" s="8"/>
      <c r="G1540" s="8"/>
      <c r="H1540" s="8"/>
      <c r="I1540" s="8"/>
      <c r="J1540" s="8"/>
    </row>
    <row r="1541" spans="1:10" s="1" customFormat="1" ht="25.5" customHeight="1" x14ac:dyDescent="0.2">
      <c r="A1541" s="11" t="s">
        <v>308</v>
      </c>
      <c r="B1541" s="11" t="s">
        <v>1211</v>
      </c>
      <c r="C1541" s="806" t="s">
        <v>1212</v>
      </c>
      <c r="D1541" s="807"/>
      <c r="E1541" s="11" t="s">
        <v>102</v>
      </c>
      <c r="F1541" s="12">
        <v>6</v>
      </c>
      <c r="G1541" s="12">
        <v>0.17</v>
      </c>
      <c r="H1541" s="12">
        <v>0.22</v>
      </c>
      <c r="I1541" s="13">
        <f>F1541*G1541</f>
        <v>1.02</v>
      </c>
      <c r="J1541" s="13">
        <f>F1541*H1541</f>
        <v>1.32</v>
      </c>
    </row>
    <row r="1542" spans="1:10" s="1" customFormat="1" ht="25.5" customHeight="1" x14ac:dyDescent="0.2">
      <c r="A1542" s="8"/>
      <c r="B1542" s="803" t="s">
        <v>1213</v>
      </c>
      <c r="C1542" s="804"/>
      <c r="D1542" s="804"/>
      <c r="E1542" s="804"/>
      <c r="F1542" s="804"/>
      <c r="G1542" s="805"/>
      <c r="H1542" s="8"/>
      <c r="I1542" s="14">
        <f>SUM(I1508:I1541)-0.05</f>
        <v>2657.75</v>
      </c>
      <c r="J1542" s="15">
        <f>SUM(J1508:J1541)-0.07</f>
        <v>3391.02</v>
      </c>
    </row>
    <row r="1543" spans="1:10" s="1" customFormat="1" ht="25.5" customHeight="1" x14ac:dyDescent="0.2">
      <c r="A1543" s="8"/>
      <c r="B1543" s="9" t="s">
        <v>1214</v>
      </c>
      <c r="C1543" s="808" t="s">
        <v>1215</v>
      </c>
      <c r="D1543" s="809"/>
      <c r="E1543" s="8"/>
      <c r="F1543" s="8"/>
      <c r="G1543" s="8"/>
      <c r="H1543" s="8"/>
      <c r="I1543" s="8"/>
      <c r="J1543" s="8"/>
    </row>
    <row r="1544" spans="1:10" s="1" customFormat="1" ht="25.5" customHeight="1" x14ac:dyDescent="0.2">
      <c r="A1544" s="8"/>
      <c r="B1544" s="9" t="s">
        <v>1216</v>
      </c>
      <c r="C1544" s="808" t="s">
        <v>1196</v>
      </c>
      <c r="D1544" s="820"/>
      <c r="E1544" s="820"/>
      <c r="F1544" s="820"/>
      <c r="G1544" s="820"/>
      <c r="H1544" s="820"/>
      <c r="I1544" s="809"/>
      <c r="J1544" s="8"/>
    </row>
    <row r="1545" spans="1:10" s="1" customFormat="1" ht="25.5" customHeight="1" x14ac:dyDescent="0.2">
      <c r="A1545" s="11" t="s">
        <v>78</v>
      </c>
      <c r="B1545" s="21">
        <v>45658</v>
      </c>
      <c r="C1545" s="806" t="s">
        <v>1217</v>
      </c>
      <c r="D1545" s="807"/>
      <c r="E1545" s="11" t="s">
        <v>102</v>
      </c>
      <c r="F1545" s="12">
        <v>8</v>
      </c>
      <c r="G1545" s="12">
        <v>95.52</v>
      </c>
      <c r="H1545" s="12">
        <v>121.87</v>
      </c>
      <c r="I1545" s="13">
        <f t="shared" ref="I1545:I1557" si="136">F1545*G1545</f>
        <v>764.16</v>
      </c>
      <c r="J1545" s="13">
        <f t="shared" ref="J1545:J1557" si="137">F1545*H1545</f>
        <v>974.96</v>
      </c>
    </row>
    <row r="1546" spans="1:10" s="1" customFormat="1" ht="25.5" customHeight="1" x14ac:dyDescent="0.2">
      <c r="A1546" s="11" t="s">
        <v>308</v>
      </c>
      <c r="B1546" s="21">
        <v>45659</v>
      </c>
      <c r="C1546" s="806" t="s">
        <v>1218</v>
      </c>
      <c r="D1546" s="807"/>
      <c r="E1546" s="11" t="s">
        <v>102</v>
      </c>
      <c r="F1546" s="12">
        <v>8</v>
      </c>
      <c r="G1546" s="12">
        <v>9.93</v>
      </c>
      <c r="H1546" s="12">
        <v>12.67</v>
      </c>
      <c r="I1546" s="13">
        <f t="shared" si="136"/>
        <v>79.44</v>
      </c>
      <c r="J1546" s="13">
        <f t="shared" si="137"/>
        <v>101.36</v>
      </c>
    </row>
    <row r="1547" spans="1:10" s="1" customFormat="1" ht="25.5" customHeight="1" x14ac:dyDescent="0.2">
      <c r="A1547" s="11" t="s">
        <v>308</v>
      </c>
      <c r="B1547" s="21">
        <v>45660</v>
      </c>
      <c r="C1547" s="806" t="s">
        <v>1219</v>
      </c>
      <c r="D1547" s="807"/>
      <c r="E1547" s="11" t="s">
        <v>102</v>
      </c>
      <c r="F1547" s="12">
        <v>2</v>
      </c>
      <c r="G1547" s="12">
        <v>12.71</v>
      </c>
      <c r="H1547" s="12">
        <v>16.22</v>
      </c>
      <c r="I1547" s="13">
        <f t="shared" si="136"/>
        <v>25.42</v>
      </c>
      <c r="J1547" s="13">
        <f t="shared" si="137"/>
        <v>32.44</v>
      </c>
    </row>
    <row r="1548" spans="1:10" s="1" customFormat="1" ht="25.5" customHeight="1" x14ac:dyDescent="0.2">
      <c r="A1548" s="11" t="s">
        <v>308</v>
      </c>
      <c r="B1548" s="21">
        <v>45661</v>
      </c>
      <c r="C1548" s="806" t="s">
        <v>1220</v>
      </c>
      <c r="D1548" s="807"/>
      <c r="E1548" s="11" t="s">
        <v>102</v>
      </c>
      <c r="F1548" s="12">
        <v>5</v>
      </c>
      <c r="G1548" s="12">
        <v>150</v>
      </c>
      <c r="H1548" s="12">
        <v>191.39</v>
      </c>
      <c r="I1548" s="13">
        <f t="shared" si="136"/>
        <v>750</v>
      </c>
      <c r="J1548" s="13">
        <f t="shared" si="137"/>
        <v>956.94999999999993</v>
      </c>
    </row>
    <row r="1549" spans="1:10" s="1" customFormat="1" ht="25.5" customHeight="1" x14ac:dyDescent="0.2">
      <c r="A1549" s="11" t="s">
        <v>308</v>
      </c>
      <c r="B1549" s="21">
        <v>45662</v>
      </c>
      <c r="C1549" s="806" t="s">
        <v>1221</v>
      </c>
      <c r="D1549" s="807"/>
      <c r="E1549" s="11" t="s">
        <v>102</v>
      </c>
      <c r="F1549" s="12">
        <v>38</v>
      </c>
      <c r="G1549" s="12">
        <v>59.9</v>
      </c>
      <c r="H1549" s="12">
        <v>76.430000000000007</v>
      </c>
      <c r="I1549" s="13">
        <f t="shared" si="136"/>
        <v>2276.1999999999998</v>
      </c>
      <c r="J1549" s="13">
        <f t="shared" si="137"/>
        <v>2904.34</v>
      </c>
    </row>
    <row r="1550" spans="1:10" s="1" customFormat="1" ht="25.5" customHeight="1" x14ac:dyDescent="0.2">
      <c r="A1550" s="11" t="s">
        <v>308</v>
      </c>
      <c r="B1550" s="21">
        <v>45663</v>
      </c>
      <c r="C1550" s="806" t="s">
        <v>1222</v>
      </c>
      <c r="D1550" s="807"/>
      <c r="E1550" s="11" t="s">
        <v>102</v>
      </c>
      <c r="F1550" s="12">
        <v>2</v>
      </c>
      <c r="G1550" s="12">
        <v>219</v>
      </c>
      <c r="H1550" s="12">
        <v>279.42</v>
      </c>
      <c r="I1550" s="13">
        <f t="shared" si="136"/>
        <v>438</v>
      </c>
      <c r="J1550" s="13">
        <f t="shared" si="137"/>
        <v>558.84</v>
      </c>
    </row>
    <row r="1551" spans="1:10" s="1" customFormat="1" ht="25.5" customHeight="1" x14ac:dyDescent="0.2">
      <c r="A1551" s="11" t="s">
        <v>308</v>
      </c>
      <c r="B1551" s="21">
        <v>45664</v>
      </c>
      <c r="C1551" s="806" t="s">
        <v>1223</v>
      </c>
      <c r="D1551" s="807"/>
      <c r="E1551" s="11" t="s">
        <v>102</v>
      </c>
      <c r="F1551" s="12">
        <v>9</v>
      </c>
      <c r="G1551" s="12">
        <v>19.3</v>
      </c>
      <c r="H1551" s="12">
        <v>24.62</v>
      </c>
      <c r="I1551" s="13">
        <f t="shared" si="136"/>
        <v>173.70000000000002</v>
      </c>
      <c r="J1551" s="13">
        <f t="shared" si="137"/>
        <v>221.58</v>
      </c>
    </row>
    <row r="1552" spans="1:10" s="1" customFormat="1" ht="25.5" customHeight="1" x14ac:dyDescent="0.2">
      <c r="A1552" s="11" t="s">
        <v>308</v>
      </c>
      <c r="B1552" s="21">
        <v>45665</v>
      </c>
      <c r="C1552" s="806" t="s">
        <v>1224</v>
      </c>
      <c r="D1552" s="807"/>
      <c r="E1552" s="11" t="s">
        <v>102</v>
      </c>
      <c r="F1552" s="12">
        <v>8</v>
      </c>
      <c r="G1552" s="12">
        <v>19.3</v>
      </c>
      <c r="H1552" s="12">
        <v>24.62</v>
      </c>
      <c r="I1552" s="13">
        <f t="shared" si="136"/>
        <v>154.4</v>
      </c>
      <c r="J1552" s="13">
        <f t="shared" si="137"/>
        <v>196.96</v>
      </c>
    </row>
    <row r="1553" spans="1:11" s="1" customFormat="1" ht="25.5" customHeight="1" x14ac:dyDescent="0.2">
      <c r="A1553" s="11" t="s">
        <v>308</v>
      </c>
      <c r="B1553" s="21">
        <v>45666</v>
      </c>
      <c r="C1553" s="806" t="s">
        <v>1225</v>
      </c>
      <c r="D1553" s="807"/>
      <c r="E1553" s="11" t="s">
        <v>102</v>
      </c>
      <c r="F1553" s="12">
        <v>8</v>
      </c>
      <c r="G1553" s="12">
        <v>9.9</v>
      </c>
      <c r="H1553" s="12">
        <v>12.63</v>
      </c>
      <c r="I1553" s="13">
        <f t="shared" si="136"/>
        <v>79.2</v>
      </c>
      <c r="J1553" s="13">
        <f t="shared" si="137"/>
        <v>101.04</v>
      </c>
    </row>
    <row r="1554" spans="1:11" s="1" customFormat="1" ht="25.5" customHeight="1" x14ac:dyDescent="0.2">
      <c r="A1554" s="11" t="s">
        <v>308</v>
      </c>
      <c r="B1554" s="34">
        <v>40203</v>
      </c>
      <c r="C1554" s="806" t="s">
        <v>1226</v>
      </c>
      <c r="D1554" s="807"/>
      <c r="E1554" s="11" t="s">
        <v>102</v>
      </c>
      <c r="F1554" s="12">
        <v>1</v>
      </c>
      <c r="G1554" s="12">
        <v>11.57</v>
      </c>
      <c r="H1554" s="12">
        <v>14.76</v>
      </c>
      <c r="I1554" s="13">
        <f t="shared" si="136"/>
        <v>11.57</v>
      </c>
      <c r="J1554" s="13">
        <f t="shared" si="137"/>
        <v>14.76</v>
      </c>
    </row>
    <row r="1555" spans="1:11" s="1" customFormat="1" ht="25.5" customHeight="1" x14ac:dyDescent="0.2">
      <c r="A1555" s="10">
        <v>38061</v>
      </c>
      <c r="B1555" s="34">
        <v>40568</v>
      </c>
      <c r="C1555" s="806" t="s">
        <v>1227</v>
      </c>
      <c r="D1555" s="807"/>
      <c r="E1555" s="11" t="s">
        <v>102</v>
      </c>
      <c r="F1555" s="12">
        <v>1</v>
      </c>
      <c r="G1555" s="12">
        <v>39.15</v>
      </c>
      <c r="H1555" s="12">
        <v>49.95</v>
      </c>
      <c r="I1555" s="13">
        <f t="shared" si="136"/>
        <v>39.15</v>
      </c>
      <c r="J1555" s="13">
        <f t="shared" si="137"/>
        <v>49.95</v>
      </c>
    </row>
    <row r="1556" spans="1:11" s="1" customFormat="1" ht="25.5" customHeight="1" x14ac:dyDescent="0.2">
      <c r="A1556" s="10">
        <v>38061</v>
      </c>
      <c r="B1556" s="34">
        <v>40933</v>
      </c>
      <c r="C1556" s="806" t="s">
        <v>1228</v>
      </c>
      <c r="D1556" s="807"/>
      <c r="E1556" s="11" t="s">
        <v>102</v>
      </c>
      <c r="F1556" s="12">
        <v>1</v>
      </c>
      <c r="G1556" s="12">
        <v>39.15</v>
      </c>
      <c r="H1556" s="12">
        <v>49.95</v>
      </c>
      <c r="I1556" s="13">
        <f t="shared" si="136"/>
        <v>39.15</v>
      </c>
      <c r="J1556" s="13">
        <f t="shared" si="137"/>
        <v>49.95</v>
      </c>
    </row>
    <row r="1557" spans="1:11" s="1" customFormat="1" ht="25.5" customHeight="1" x14ac:dyDescent="0.2">
      <c r="A1557" s="10">
        <v>38061</v>
      </c>
      <c r="B1557" s="34">
        <v>41299</v>
      </c>
      <c r="C1557" s="806" t="s">
        <v>1229</v>
      </c>
      <c r="D1557" s="807"/>
      <c r="E1557" s="11" t="s">
        <v>102</v>
      </c>
      <c r="F1557" s="12">
        <v>8</v>
      </c>
      <c r="G1557" s="12">
        <v>39.15</v>
      </c>
      <c r="H1557" s="12">
        <v>49.95</v>
      </c>
      <c r="I1557" s="13">
        <f t="shared" si="136"/>
        <v>313.2</v>
      </c>
      <c r="J1557" s="13">
        <f t="shared" si="137"/>
        <v>399.6</v>
      </c>
    </row>
    <row r="1558" spans="1:11" s="1" customFormat="1" ht="25.5" customHeight="1" x14ac:dyDescent="0.2">
      <c r="A1558" s="8"/>
      <c r="B1558" s="803" t="s">
        <v>1230</v>
      </c>
      <c r="C1558" s="804"/>
      <c r="D1558" s="804"/>
      <c r="E1558" s="804"/>
      <c r="F1558" s="804"/>
      <c r="G1558" s="805"/>
      <c r="H1558" s="8"/>
      <c r="I1558" s="14">
        <f>SUM(I1545:I1557)-0.02</f>
        <v>5143.569999999997</v>
      </c>
      <c r="J1558" s="15">
        <f>SUM(J1545:J1557)-0.05</f>
        <v>6562.68</v>
      </c>
    </row>
    <row r="1559" spans="1:11" s="1" customFormat="1" ht="25.5" customHeight="1" x14ac:dyDescent="0.2">
      <c r="A1559" s="8"/>
      <c r="B1559" s="821"/>
      <c r="C1559" s="825"/>
      <c r="D1559" s="825"/>
      <c r="E1559" s="825"/>
      <c r="F1559" s="825"/>
      <c r="G1559" s="825"/>
      <c r="H1559" s="825"/>
      <c r="I1559" s="822"/>
      <c r="J1559" s="8"/>
    </row>
    <row r="1560" spans="1:11" s="1" customFormat="1" ht="25.5" customHeight="1" x14ac:dyDescent="0.2">
      <c r="A1560" s="8"/>
      <c r="B1560" s="9" t="s">
        <v>1231</v>
      </c>
      <c r="C1560" s="808" t="s">
        <v>1232</v>
      </c>
      <c r="D1560" s="809"/>
      <c r="E1560" s="8"/>
      <c r="F1560" s="8"/>
      <c r="G1560" s="8"/>
      <c r="H1560" s="8"/>
      <c r="I1560" s="8"/>
      <c r="J1560" s="8"/>
    </row>
    <row r="1561" spans="1:11" s="1" customFormat="1" ht="25.5" customHeight="1" x14ac:dyDescent="0.2">
      <c r="A1561" s="10">
        <v>9537</v>
      </c>
      <c r="B1561" s="11" t="s">
        <v>1233</v>
      </c>
      <c r="C1561" s="806" t="s">
        <v>1234</v>
      </c>
      <c r="D1561" s="807"/>
      <c r="E1561" s="11" t="s">
        <v>14</v>
      </c>
      <c r="F1561" s="13">
        <v>1118.48</v>
      </c>
      <c r="G1561" s="12">
        <v>1.89</v>
      </c>
      <c r="H1561" s="12">
        <v>2.41</v>
      </c>
      <c r="I1561" s="13">
        <f>F1561*G1561</f>
        <v>2113.9272000000001</v>
      </c>
      <c r="J1561" s="13">
        <f>F1561*H1561</f>
        <v>2695.5368000000003</v>
      </c>
    </row>
    <row r="1562" spans="1:11" s="1" customFormat="1" ht="25.5" customHeight="1" x14ac:dyDescent="0.2">
      <c r="A1562" s="8"/>
      <c r="B1562" s="803" t="s">
        <v>1235</v>
      </c>
      <c r="C1562" s="804"/>
      <c r="D1562" s="804"/>
      <c r="E1562" s="804"/>
      <c r="F1562" s="804"/>
      <c r="G1562" s="805"/>
      <c r="H1562" s="8"/>
      <c r="I1562" s="14">
        <f>SUM(I1561)</f>
        <v>2113.9272000000001</v>
      </c>
      <c r="J1562" s="15">
        <f>SUM(J1561)+1.62</f>
        <v>2697.1568000000002</v>
      </c>
      <c r="K1562" s="49"/>
    </row>
    <row r="1563" spans="1:11" s="1" customFormat="1" ht="25.5" customHeight="1" x14ac:dyDescent="0.2">
      <c r="A1563" s="8"/>
      <c r="B1563" s="821"/>
      <c r="C1563" s="825"/>
      <c r="D1563" s="825"/>
      <c r="E1563" s="825"/>
      <c r="F1563" s="825"/>
      <c r="G1563" s="825"/>
      <c r="H1563" s="825"/>
      <c r="I1563" s="822"/>
      <c r="J1563" s="8"/>
    </row>
    <row r="1564" spans="1:11" s="1" customFormat="1" ht="25.5" customHeight="1" x14ac:dyDescent="0.2">
      <c r="A1564" s="8"/>
      <c r="B1564" s="9" t="s">
        <v>1236</v>
      </c>
      <c r="C1564" s="808" t="s">
        <v>1237</v>
      </c>
      <c r="D1564" s="809"/>
      <c r="E1564" s="8"/>
      <c r="F1564" s="8"/>
      <c r="G1564" s="8"/>
      <c r="H1564" s="8"/>
      <c r="I1564" s="8"/>
      <c r="J1564" s="8"/>
    </row>
    <row r="1565" spans="1:11" s="1" customFormat="1" ht="25.5" customHeight="1" x14ac:dyDescent="0.2">
      <c r="A1565" s="8"/>
      <c r="B1565" s="9" t="s">
        <v>1238</v>
      </c>
      <c r="C1565" s="808" t="s">
        <v>1239</v>
      </c>
      <c r="D1565" s="809"/>
      <c r="E1565" s="8"/>
      <c r="F1565" s="8"/>
      <c r="G1565" s="8"/>
      <c r="H1565" s="8"/>
      <c r="I1565" s="8"/>
      <c r="J1565" s="8"/>
    </row>
    <row r="1566" spans="1:11" s="1" customFormat="1" ht="25.5" customHeight="1" x14ac:dyDescent="0.2">
      <c r="A1566" s="10">
        <v>96523</v>
      </c>
      <c r="B1566" s="21">
        <v>46388</v>
      </c>
      <c r="C1566" s="806" t="s">
        <v>1240</v>
      </c>
      <c r="D1566" s="807"/>
      <c r="E1566" s="11" t="s">
        <v>14</v>
      </c>
      <c r="F1566" s="12">
        <v>43.47</v>
      </c>
      <c r="G1566" s="12">
        <v>59.37</v>
      </c>
      <c r="H1566" s="12">
        <v>75.75</v>
      </c>
      <c r="I1566" s="13">
        <f t="shared" ref="I1566:I1578" si="138">F1566*G1566</f>
        <v>2580.8138999999996</v>
      </c>
      <c r="J1566" s="13">
        <f t="shared" ref="J1566:J1578" si="139">F1566*H1566</f>
        <v>3292.8525</v>
      </c>
    </row>
    <row r="1567" spans="1:11" s="1" customFormat="1" ht="25.5" customHeight="1" x14ac:dyDescent="0.2">
      <c r="A1567" s="10">
        <v>96616</v>
      </c>
      <c r="B1567" s="21">
        <v>46389</v>
      </c>
      <c r="C1567" s="806" t="s">
        <v>1241</v>
      </c>
      <c r="D1567" s="807"/>
      <c r="E1567" s="16" t="s">
        <v>171</v>
      </c>
      <c r="F1567" s="12">
        <v>2.0699999999999998</v>
      </c>
      <c r="G1567" s="12">
        <v>395.1</v>
      </c>
      <c r="H1567" s="12">
        <v>504.11</v>
      </c>
      <c r="I1567" s="13">
        <f t="shared" si="138"/>
        <v>817.85699999999997</v>
      </c>
      <c r="J1567" s="13">
        <f t="shared" si="139"/>
        <v>1043.5076999999999</v>
      </c>
    </row>
    <row r="1568" spans="1:11" s="1" customFormat="1" ht="25.5" customHeight="1" x14ac:dyDescent="0.2">
      <c r="A1568" s="10">
        <v>95592</v>
      </c>
      <c r="B1568" s="21">
        <v>46390</v>
      </c>
      <c r="C1568" s="806" t="s">
        <v>1242</v>
      </c>
      <c r="D1568" s="807"/>
      <c r="E1568" s="11" t="s">
        <v>35</v>
      </c>
      <c r="F1568" s="13">
        <v>1051.68</v>
      </c>
      <c r="G1568" s="12">
        <v>12.22</v>
      </c>
      <c r="H1568" s="12">
        <v>15.59</v>
      </c>
      <c r="I1568" s="13">
        <f t="shared" si="138"/>
        <v>12851.529600000002</v>
      </c>
      <c r="J1568" s="13">
        <f t="shared" si="139"/>
        <v>16395.691200000001</v>
      </c>
    </row>
    <row r="1569" spans="1:10" s="1" customFormat="1" ht="25.5" customHeight="1" x14ac:dyDescent="0.2">
      <c r="A1569" s="10">
        <v>95585</v>
      </c>
      <c r="B1569" s="21">
        <v>46391</v>
      </c>
      <c r="C1569" s="806" t="s">
        <v>1243</v>
      </c>
      <c r="D1569" s="807"/>
      <c r="E1569" s="11" t="s">
        <v>35</v>
      </c>
      <c r="F1569" s="12">
        <v>1956.11</v>
      </c>
      <c r="G1569" s="12">
        <v>7.67</v>
      </c>
      <c r="H1569" s="12">
        <v>9.7799999999999994</v>
      </c>
      <c r="I1569" s="13">
        <f t="shared" si="138"/>
        <v>15003.3637</v>
      </c>
      <c r="J1569" s="13">
        <f t="shared" si="139"/>
        <v>19130.755799999999</v>
      </c>
    </row>
    <row r="1570" spans="1:10" s="1" customFormat="1" ht="25.5" customHeight="1" x14ac:dyDescent="0.2">
      <c r="A1570" s="10">
        <v>94965</v>
      </c>
      <c r="B1570" s="21">
        <v>46392</v>
      </c>
      <c r="C1570" s="806" t="s">
        <v>1244</v>
      </c>
      <c r="D1570" s="807"/>
      <c r="E1570" s="16" t="s">
        <v>171</v>
      </c>
      <c r="F1570" s="12">
        <v>26.73</v>
      </c>
      <c r="G1570" s="12">
        <v>302.64</v>
      </c>
      <c r="H1570" s="12">
        <v>386.14</v>
      </c>
      <c r="I1570" s="13">
        <f t="shared" si="138"/>
        <v>8089.5671999999995</v>
      </c>
      <c r="J1570" s="13">
        <f t="shared" si="139"/>
        <v>10321.522199999999</v>
      </c>
    </row>
    <row r="1571" spans="1:10" s="1" customFormat="1" ht="25.5" customHeight="1" x14ac:dyDescent="0.2">
      <c r="A1571" s="10">
        <v>92873</v>
      </c>
      <c r="B1571" s="21">
        <v>46393</v>
      </c>
      <c r="C1571" s="806" t="s">
        <v>1245</v>
      </c>
      <c r="D1571" s="807"/>
      <c r="E1571" s="16" t="s">
        <v>171</v>
      </c>
      <c r="F1571" s="12">
        <v>26.73</v>
      </c>
      <c r="G1571" s="12">
        <v>135.94</v>
      </c>
      <c r="H1571" s="12">
        <v>173.44</v>
      </c>
      <c r="I1571" s="13">
        <f t="shared" si="138"/>
        <v>3633.6761999999999</v>
      </c>
      <c r="J1571" s="13">
        <f t="shared" si="139"/>
        <v>4636.0511999999999</v>
      </c>
    </row>
    <row r="1572" spans="1:10" s="1" customFormat="1" ht="25.5" customHeight="1" x14ac:dyDescent="0.2">
      <c r="A1572" s="10">
        <v>96995</v>
      </c>
      <c r="B1572" s="21">
        <v>46394</v>
      </c>
      <c r="C1572" s="806" t="s">
        <v>1246</v>
      </c>
      <c r="D1572" s="807"/>
      <c r="E1572" s="16" t="s">
        <v>171</v>
      </c>
      <c r="F1572" s="39">
        <v>41.112499999999997</v>
      </c>
      <c r="G1572" s="12">
        <v>29.88</v>
      </c>
      <c r="H1572" s="12">
        <v>38.119999999999997</v>
      </c>
      <c r="I1572" s="13">
        <f t="shared" si="138"/>
        <v>1228.4414999999999</v>
      </c>
      <c r="J1572" s="13">
        <f t="shared" si="139"/>
        <v>1567.2084999999997</v>
      </c>
    </row>
    <row r="1573" spans="1:10" s="1" customFormat="1" ht="25.5" customHeight="1" x14ac:dyDescent="0.2">
      <c r="A1573" s="10">
        <v>68054</v>
      </c>
      <c r="B1573" s="21">
        <v>46395</v>
      </c>
      <c r="C1573" s="806" t="s">
        <v>1247</v>
      </c>
      <c r="D1573" s="807"/>
      <c r="E1573" s="11" t="s">
        <v>14</v>
      </c>
      <c r="F1573" s="12">
        <v>15.5</v>
      </c>
      <c r="G1573" s="12">
        <v>181.93</v>
      </c>
      <c r="H1573" s="12">
        <v>232.12</v>
      </c>
      <c r="I1573" s="13">
        <f t="shared" si="138"/>
        <v>2819.915</v>
      </c>
      <c r="J1573" s="13">
        <f t="shared" si="139"/>
        <v>3597.86</v>
      </c>
    </row>
    <row r="1574" spans="1:10" s="1" customFormat="1" ht="25.5" customHeight="1" x14ac:dyDescent="0.2">
      <c r="A1574" s="44">
        <v>87478</v>
      </c>
      <c r="B1574" s="30">
        <v>46396</v>
      </c>
      <c r="C1574" s="806" t="s">
        <v>1248</v>
      </c>
      <c r="D1574" s="807"/>
      <c r="E1574" s="31" t="s">
        <v>14</v>
      </c>
      <c r="F1574" s="32">
        <v>569.25</v>
      </c>
      <c r="G1574" s="32">
        <v>30.11</v>
      </c>
      <c r="H1574" s="32">
        <v>38.42</v>
      </c>
      <c r="I1574" s="13">
        <f t="shared" si="138"/>
        <v>17140.1175</v>
      </c>
      <c r="J1574" s="13">
        <f t="shared" si="139"/>
        <v>21870.585000000003</v>
      </c>
    </row>
    <row r="1575" spans="1:10" s="1" customFormat="1" ht="25.5" customHeight="1" x14ac:dyDescent="0.2">
      <c r="A1575" s="11" t="s">
        <v>1249</v>
      </c>
      <c r="B1575" s="34">
        <v>40205</v>
      </c>
      <c r="C1575" s="806" t="s">
        <v>1250</v>
      </c>
      <c r="D1575" s="807"/>
      <c r="E1575" s="11" t="s">
        <v>14</v>
      </c>
      <c r="F1575" s="12">
        <v>65.25</v>
      </c>
      <c r="G1575" s="12">
        <v>76.17</v>
      </c>
      <c r="H1575" s="12">
        <v>97.18</v>
      </c>
      <c r="I1575" s="13">
        <f t="shared" si="138"/>
        <v>4970.0924999999997</v>
      </c>
      <c r="J1575" s="13">
        <f t="shared" si="139"/>
        <v>6340.9950000000008</v>
      </c>
    </row>
    <row r="1576" spans="1:10" s="1" customFormat="1" ht="25.5" customHeight="1" x14ac:dyDescent="0.2">
      <c r="A1576" s="10">
        <v>87878</v>
      </c>
      <c r="B1576" s="34">
        <v>40570</v>
      </c>
      <c r="C1576" s="806" t="s">
        <v>1251</v>
      </c>
      <c r="D1576" s="807"/>
      <c r="E1576" s="11" t="s">
        <v>14</v>
      </c>
      <c r="F1576" s="12">
        <v>1138.5</v>
      </c>
      <c r="G1576" s="12">
        <v>2.97</v>
      </c>
      <c r="H1576" s="12">
        <v>3.79</v>
      </c>
      <c r="I1576" s="13">
        <f t="shared" si="138"/>
        <v>3381.3450000000003</v>
      </c>
      <c r="J1576" s="13">
        <f t="shared" si="139"/>
        <v>4314.915</v>
      </c>
    </row>
    <row r="1577" spans="1:10" s="1" customFormat="1" ht="25.5" customHeight="1" x14ac:dyDescent="0.2">
      <c r="A1577" s="11" t="s">
        <v>229</v>
      </c>
      <c r="B1577" s="34">
        <v>40935</v>
      </c>
      <c r="C1577" s="806" t="s">
        <v>1252</v>
      </c>
      <c r="D1577" s="807"/>
      <c r="E1577" s="11" t="s">
        <v>14</v>
      </c>
      <c r="F1577" s="12">
        <v>1138.5</v>
      </c>
      <c r="G1577" s="12">
        <v>21.63</v>
      </c>
      <c r="H1577" s="12">
        <v>27.59</v>
      </c>
      <c r="I1577" s="13">
        <f t="shared" si="138"/>
        <v>24625.754999999997</v>
      </c>
      <c r="J1577" s="13">
        <f t="shared" si="139"/>
        <v>31411.215</v>
      </c>
    </row>
    <row r="1578" spans="1:10" s="1" customFormat="1" ht="25.5" customHeight="1" x14ac:dyDescent="0.2">
      <c r="A1578" s="10">
        <v>88489</v>
      </c>
      <c r="B1578" s="34">
        <v>41301</v>
      </c>
      <c r="C1578" s="806" t="s">
        <v>1253</v>
      </c>
      <c r="D1578" s="807"/>
      <c r="E1578" s="11" t="s">
        <v>14</v>
      </c>
      <c r="F1578" s="12">
        <v>1269</v>
      </c>
      <c r="G1578" s="12">
        <v>8.41</v>
      </c>
      <c r="H1578" s="12">
        <v>10.73</v>
      </c>
      <c r="I1578" s="13">
        <f t="shared" si="138"/>
        <v>10672.29</v>
      </c>
      <c r="J1578" s="13">
        <f t="shared" si="139"/>
        <v>13616.37</v>
      </c>
    </row>
    <row r="1579" spans="1:10" s="1" customFormat="1" ht="25.5" customHeight="1" x14ac:dyDescent="0.2">
      <c r="A1579" s="8"/>
      <c r="B1579" s="803" t="s">
        <v>1269</v>
      </c>
      <c r="C1579" s="804"/>
      <c r="D1579" s="804"/>
      <c r="E1579" s="804"/>
      <c r="F1579" s="804"/>
      <c r="G1579" s="805"/>
      <c r="H1579" s="8"/>
      <c r="I1579" s="18">
        <f>SUM(I1566:I1578)</f>
        <v>107814.7641</v>
      </c>
      <c r="J1579" s="18">
        <f>SUM(J1566:J1578)</f>
        <v>137539.52909999999</v>
      </c>
    </row>
    <row r="1580" spans="1:10" s="1" customFormat="1" ht="25.5" customHeight="1" x14ac:dyDescent="0.2">
      <c r="A1580" s="8"/>
      <c r="B1580" s="9" t="s">
        <v>1255</v>
      </c>
      <c r="C1580" s="808" t="s">
        <v>1270</v>
      </c>
      <c r="D1580" s="809"/>
      <c r="E1580" s="8"/>
      <c r="F1580" s="8"/>
      <c r="G1580" s="8"/>
      <c r="H1580" s="8"/>
      <c r="I1580" s="8"/>
      <c r="J1580" s="8"/>
    </row>
    <row r="1581" spans="1:10" s="1" customFormat="1" ht="25.5" customHeight="1" x14ac:dyDescent="0.2">
      <c r="A1581" s="10">
        <v>97627</v>
      </c>
      <c r="B1581" s="21">
        <v>46419</v>
      </c>
      <c r="C1581" s="806" t="s">
        <v>1271</v>
      </c>
      <c r="D1581" s="807"/>
      <c r="E1581" s="16" t="s">
        <v>171</v>
      </c>
      <c r="F1581" s="12">
        <v>16.77</v>
      </c>
      <c r="G1581" s="12">
        <v>184.77</v>
      </c>
      <c r="H1581" s="12">
        <v>235.75</v>
      </c>
      <c r="I1581" s="13">
        <f>F1581*G1581</f>
        <v>3098.5929000000001</v>
      </c>
      <c r="J1581" s="13">
        <f>F1581*H1581</f>
        <v>3953.5274999999997</v>
      </c>
    </row>
    <row r="1582" spans="1:10" s="1" customFormat="1" ht="25.5" customHeight="1" x14ac:dyDescent="0.2">
      <c r="A1582" s="10">
        <v>72897</v>
      </c>
      <c r="B1582" s="21">
        <v>46420</v>
      </c>
      <c r="C1582" s="806" t="s">
        <v>1272</v>
      </c>
      <c r="D1582" s="807"/>
      <c r="E1582" s="16" t="s">
        <v>171</v>
      </c>
      <c r="F1582" s="12">
        <v>20.97</v>
      </c>
      <c r="G1582" s="12">
        <v>16.57</v>
      </c>
      <c r="H1582" s="12">
        <v>21.14</v>
      </c>
      <c r="I1582" s="13">
        <f>F1582*G1582</f>
        <v>347.47289999999998</v>
      </c>
      <c r="J1582" s="13">
        <f>F1582*H1582</f>
        <v>443.30579999999998</v>
      </c>
    </row>
    <row r="1583" spans="1:10" s="1" customFormat="1" ht="25.5" customHeight="1" x14ac:dyDescent="0.2">
      <c r="A1583" s="8"/>
      <c r="B1583" s="803" t="s">
        <v>1273</v>
      </c>
      <c r="C1583" s="804"/>
      <c r="D1583" s="804"/>
      <c r="E1583" s="804"/>
      <c r="F1583" s="804"/>
      <c r="G1583" s="805"/>
      <c r="H1583" s="8"/>
      <c r="I1583" s="18">
        <f>SUM(I1581:I1582)</f>
        <v>3446.0658000000003</v>
      </c>
      <c r="J1583" s="18">
        <f>SUM(J1581:J1582)</f>
        <v>4396.8332999999993</v>
      </c>
    </row>
    <row r="1584" spans="1:10" s="1" customFormat="1" ht="25.5" customHeight="1" x14ac:dyDescent="0.2">
      <c r="A1584" s="8"/>
      <c r="B1584" s="46"/>
      <c r="C1584" s="821"/>
      <c r="D1584" s="822"/>
      <c r="E1584" s="8"/>
      <c r="F1584" s="8"/>
      <c r="G1584" s="8"/>
      <c r="H1584" s="8"/>
      <c r="I1584" s="8"/>
      <c r="J1584" s="8"/>
    </row>
    <row r="1585" spans="1:11" s="1" customFormat="1" ht="25.5" customHeight="1" x14ac:dyDescent="0.2">
      <c r="A1585" s="8"/>
      <c r="B1585" s="46"/>
      <c r="C1585" s="821"/>
      <c r="D1585" s="822"/>
      <c r="E1585" s="8"/>
      <c r="F1585" s="8"/>
      <c r="G1585" s="8"/>
      <c r="H1585" s="8"/>
      <c r="I1585" s="8"/>
      <c r="J1585" s="8"/>
    </row>
    <row r="1586" spans="1:11" s="1" customFormat="1" ht="25.5" customHeight="1" x14ac:dyDescent="0.2">
      <c r="A1586" s="8"/>
      <c r="B1586" s="46"/>
      <c r="C1586" s="821"/>
      <c r="D1586" s="822"/>
      <c r="E1586" s="8"/>
      <c r="F1586" s="8"/>
      <c r="G1586" s="8"/>
      <c r="H1586" s="8"/>
      <c r="I1586" s="8"/>
      <c r="J1586" s="8"/>
    </row>
    <row r="1587" spans="1:11" s="1" customFormat="1" ht="25.5" customHeight="1" x14ac:dyDescent="0.2">
      <c r="A1587" s="8"/>
      <c r="B1587" s="803" t="s">
        <v>1260</v>
      </c>
      <c r="C1587" s="804"/>
      <c r="D1587" s="804"/>
      <c r="E1587" s="804"/>
      <c r="F1587" s="804"/>
      <c r="G1587" s="805"/>
      <c r="H1587" s="8"/>
      <c r="I1587" s="14">
        <f>SUM(I1583,I1579,)-8.18</f>
        <v>111252.6499</v>
      </c>
      <c r="J1587" s="15">
        <f>SUM(J1583,J1579)+10.9</f>
        <v>141947.26239999998</v>
      </c>
      <c r="K1587" s="49"/>
    </row>
    <row r="1588" spans="1:11" s="1" customFormat="1" ht="25.5" customHeight="1" x14ac:dyDescent="0.2">
      <c r="A1588" s="35"/>
      <c r="B1588" s="803" t="s">
        <v>1261</v>
      </c>
      <c r="C1588" s="804"/>
      <c r="D1588" s="804"/>
      <c r="E1588" s="804"/>
      <c r="F1588" s="804"/>
      <c r="G1588" s="805"/>
      <c r="H1588" s="35"/>
      <c r="I1588" s="18">
        <f>SUM(I1587,I1562,I1558,I1542,I1504,I1481,I1408,I1247,I1172,I1153,I1126,I1100,I1095,I1039,I973,I950,I935,I929,I920,I903,I898,I890,I886,I846,I836,I814,I802)-9.99</f>
        <v>1404494.6165</v>
      </c>
      <c r="J1588" s="18">
        <f>SUM(J1587,J1562,J1558,J1542,J1504,J1481,J1408,J1247,J1172,J1153,J1126,J1100,J1095,J1039,J973,J950,J935,J929,J920,J903,J898,J890,J886,J846,J836,J814,J802)-0.18</f>
        <v>1791994.6686999998</v>
      </c>
      <c r="K1588" s="49"/>
    </row>
    <row r="1589" spans="1:11" s="1" customFormat="1" ht="25.5" customHeight="1" x14ac:dyDescent="0.2">
      <c r="A1589" s="806" t="s">
        <v>1276</v>
      </c>
      <c r="B1589" s="810"/>
      <c r="C1589" s="810"/>
      <c r="D1589" s="807"/>
      <c r="E1589" s="806" t="s">
        <v>1277</v>
      </c>
      <c r="F1589" s="810"/>
      <c r="G1589" s="810"/>
      <c r="H1589" s="810"/>
      <c r="I1589" s="810"/>
      <c r="J1589" s="807"/>
    </row>
    <row r="1590" spans="1:11" s="1" customFormat="1" ht="25.5" customHeight="1" x14ac:dyDescent="0.2">
      <c r="A1590" s="811" t="s">
        <v>2</v>
      </c>
      <c r="B1590" s="812"/>
      <c r="C1590" s="813">
        <v>25074</v>
      </c>
      <c r="D1590" s="814"/>
      <c r="E1590" s="2" t="s">
        <v>3</v>
      </c>
      <c r="F1590" s="815">
        <v>0.27589999999999998</v>
      </c>
      <c r="G1590" s="816"/>
      <c r="H1590" s="816"/>
      <c r="I1590" s="816"/>
      <c r="J1590" s="817"/>
    </row>
    <row r="1591" spans="1:11" s="1" customFormat="1" ht="25.5" customHeight="1" x14ac:dyDescent="0.2">
      <c r="A1591" s="3" t="s">
        <v>166</v>
      </c>
      <c r="B1591" s="4" t="s">
        <v>4</v>
      </c>
      <c r="C1591" s="818" t="s">
        <v>5</v>
      </c>
      <c r="D1591" s="819"/>
      <c r="E1591" s="5" t="s">
        <v>6</v>
      </c>
      <c r="F1591" s="5" t="s">
        <v>7</v>
      </c>
      <c r="G1591" s="6" t="s">
        <v>167</v>
      </c>
      <c r="H1591" s="7" t="s">
        <v>168</v>
      </c>
      <c r="I1591" s="6" t="s">
        <v>169</v>
      </c>
      <c r="J1591" s="6" t="s">
        <v>170</v>
      </c>
    </row>
    <row r="1592" spans="1:11" s="1" customFormat="1" ht="25.5" customHeight="1" x14ac:dyDescent="0.2">
      <c r="A1592" s="8"/>
      <c r="B1592" s="9" t="s">
        <v>8</v>
      </c>
      <c r="C1592" s="808" t="s">
        <v>9</v>
      </c>
      <c r="D1592" s="809"/>
      <c r="E1592" s="8"/>
      <c r="F1592" s="8"/>
      <c r="G1592" s="8"/>
      <c r="H1592" s="8"/>
      <c r="I1592" s="8"/>
      <c r="J1592" s="8"/>
    </row>
    <row r="1593" spans="1:11" s="1" customFormat="1" ht="25.5" customHeight="1" x14ac:dyDescent="0.2">
      <c r="A1593" s="8"/>
      <c r="B1593" s="9" t="s">
        <v>10</v>
      </c>
      <c r="C1593" s="808" t="s">
        <v>11</v>
      </c>
      <c r="D1593" s="809"/>
      <c r="E1593" s="8"/>
      <c r="F1593" s="8"/>
      <c r="G1593" s="8"/>
      <c r="H1593" s="8"/>
      <c r="I1593" s="8"/>
      <c r="J1593" s="8"/>
    </row>
    <row r="1594" spans="1:11" s="1" customFormat="1" ht="25.5" customHeight="1" x14ac:dyDescent="0.2">
      <c r="A1594" s="10">
        <v>93207</v>
      </c>
      <c r="B1594" s="11" t="s">
        <v>12</v>
      </c>
      <c r="C1594" s="806" t="s">
        <v>13</v>
      </c>
      <c r="D1594" s="807"/>
      <c r="E1594" s="11" t="s">
        <v>14</v>
      </c>
      <c r="F1594" s="12">
        <v>25.41</v>
      </c>
      <c r="G1594" s="12">
        <v>597.70000000000005</v>
      </c>
      <c r="H1594" s="12">
        <v>762.6</v>
      </c>
      <c r="I1594" s="13">
        <f>F1594*G1594</f>
        <v>15187.557000000001</v>
      </c>
      <c r="J1594" s="13">
        <f>F1594*H1594</f>
        <v>19377.666000000001</v>
      </c>
    </row>
    <row r="1595" spans="1:11" s="1" customFormat="1" ht="25.5" customHeight="1" x14ac:dyDescent="0.2">
      <c r="A1595" s="11" t="s">
        <v>15</v>
      </c>
      <c r="B1595" s="11" t="s">
        <v>16</v>
      </c>
      <c r="C1595" s="806" t="s">
        <v>17</v>
      </c>
      <c r="D1595" s="807"/>
      <c r="E1595" s="11" t="s">
        <v>14</v>
      </c>
      <c r="F1595" s="12">
        <v>3</v>
      </c>
      <c r="G1595" s="12">
        <v>256.73</v>
      </c>
      <c r="H1595" s="12">
        <v>327.57</v>
      </c>
      <c r="I1595" s="13">
        <f>F1595*G1595</f>
        <v>770.19</v>
      </c>
      <c r="J1595" s="13">
        <f>F1595*H1595</f>
        <v>982.71</v>
      </c>
    </row>
    <row r="1596" spans="1:11" s="1" customFormat="1" ht="25.5" customHeight="1" x14ac:dyDescent="0.2">
      <c r="A1596" s="10">
        <v>92235</v>
      </c>
      <c r="B1596" s="11" t="s">
        <v>18</v>
      </c>
      <c r="C1596" s="806" t="s">
        <v>19</v>
      </c>
      <c r="D1596" s="807"/>
      <c r="E1596" s="11" t="s">
        <v>14</v>
      </c>
      <c r="F1596" s="12">
        <v>650</v>
      </c>
      <c r="G1596" s="12">
        <v>49.62</v>
      </c>
      <c r="H1596" s="12">
        <v>63.31</v>
      </c>
      <c r="I1596" s="13">
        <f>F1596*G1596</f>
        <v>32253</v>
      </c>
      <c r="J1596" s="13">
        <f>F1596*H1596</f>
        <v>41151.5</v>
      </c>
    </row>
    <row r="1597" spans="1:11" s="1" customFormat="1" ht="25.5" customHeight="1" x14ac:dyDescent="0.2">
      <c r="A1597" s="11" t="s">
        <v>20</v>
      </c>
      <c r="B1597" s="11" t="s">
        <v>21</v>
      </c>
      <c r="C1597" s="806" t="s">
        <v>22</v>
      </c>
      <c r="D1597" s="807"/>
      <c r="E1597" s="11" t="s">
        <v>23</v>
      </c>
      <c r="F1597" s="13">
        <v>1118.48</v>
      </c>
      <c r="G1597" s="12">
        <v>5.2</v>
      </c>
      <c r="H1597" s="12">
        <v>6.64</v>
      </c>
      <c r="I1597" s="13">
        <f>F1597*G1597</f>
        <v>5816.0960000000005</v>
      </c>
      <c r="J1597" s="13">
        <f>F1597*H1597</f>
        <v>7426.7071999999998</v>
      </c>
    </row>
    <row r="1598" spans="1:11" s="1" customFormat="1" ht="25.5" customHeight="1" x14ac:dyDescent="0.2">
      <c r="A1598" s="8"/>
      <c r="B1598" s="803" t="s">
        <v>24</v>
      </c>
      <c r="C1598" s="804"/>
      <c r="D1598" s="804"/>
      <c r="E1598" s="804"/>
      <c r="F1598" s="804"/>
      <c r="G1598" s="805"/>
      <c r="H1598" s="8"/>
      <c r="I1598" s="14">
        <f>SUM(I1594:I1597)+0.05</f>
        <v>54026.893000000004</v>
      </c>
      <c r="J1598" s="15">
        <f>SUM(J1594:J1597)-5.5</f>
        <v>68933.083200000008</v>
      </c>
    </row>
    <row r="1599" spans="1:11" s="1" customFormat="1" ht="25.5" customHeight="1" x14ac:dyDescent="0.2">
      <c r="A1599" s="8"/>
      <c r="B1599" s="9" t="s">
        <v>25</v>
      </c>
      <c r="C1599" s="808" t="s">
        <v>26</v>
      </c>
      <c r="D1599" s="809"/>
      <c r="E1599" s="8"/>
      <c r="F1599" s="8"/>
      <c r="G1599" s="8"/>
      <c r="H1599" s="8"/>
      <c r="I1599" s="8"/>
      <c r="J1599" s="8"/>
    </row>
    <row r="1600" spans="1:11" s="1" customFormat="1" ht="25.5" customHeight="1" x14ac:dyDescent="0.2">
      <c r="A1600" s="8"/>
      <c r="B1600" s="9" t="s">
        <v>27</v>
      </c>
      <c r="C1600" s="808" t="s">
        <v>1262</v>
      </c>
      <c r="D1600" s="809"/>
      <c r="E1600" s="8"/>
      <c r="F1600" s="8"/>
      <c r="G1600" s="8"/>
      <c r="H1600" s="8"/>
      <c r="I1600" s="8"/>
      <c r="J1600" s="8"/>
    </row>
    <row r="1601" spans="1:10" s="1" customFormat="1" ht="25.5" customHeight="1" x14ac:dyDescent="0.2">
      <c r="A1601" s="10">
        <v>94965</v>
      </c>
      <c r="B1601" s="11" t="s">
        <v>29</v>
      </c>
      <c r="C1601" s="806" t="s">
        <v>30</v>
      </c>
      <c r="D1601" s="807"/>
      <c r="E1601" s="16" t="s">
        <v>171</v>
      </c>
      <c r="F1601" s="12">
        <v>7.82</v>
      </c>
      <c r="G1601" s="12">
        <v>302.64</v>
      </c>
      <c r="H1601" s="12">
        <v>386.14</v>
      </c>
      <c r="I1601" s="13">
        <f>F1601*G1601</f>
        <v>2366.6448</v>
      </c>
      <c r="J1601" s="13">
        <f>F1601*H1601</f>
        <v>3019.6147999999998</v>
      </c>
    </row>
    <row r="1602" spans="1:10" s="1" customFormat="1" ht="25.5" customHeight="1" x14ac:dyDescent="0.2">
      <c r="A1602" s="10">
        <v>92873</v>
      </c>
      <c r="B1602" s="11" t="s">
        <v>31</v>
      </c>
      <c r="C1602" s="806" t="s">
        <v>32</v>
      </c>
      <c r="D1602" s="807"/>
      <c r="E1602" s="16" t="s">
        <v>171</v>
      </c>
      <c r="F1602" s="12">
        <v>7.82</v>
      </c>
      <c r="G1602" s="12">
        <v>135.94</v>
      </c>
      <c r="H1602" s="12">
        <v>173.44</v>
      </c>
      <c r="I1602" s="13">
        <f>F1602*G1602</f>
        <v>1063.0508</v>
      </c>
      <c r="J1602" s="13">
        <f>F1602*H1602</f>
        <v>1356.3008</v>
      </c>
    </row>
    <row r="1603" spans="1:10" s="1" customFormat="1" ht="25.5" customHeight="1" x14ac:dyDescent="0.2">
      <c r="A1603" s="10">
        <v>92762</v>
      </c>
      <c r="B1603" s="11" t="s">
        <v>33</v>
      </c>
      <c r="C1603" s="806" t="s">
        <v>34</v>
      </c>
      <c r="D1603" s="807"/>
      <c r="E1603" s="11" t="s">
        <v>35</v>
      </c>
      <c r="F1603" s="12">
        <v>106.97</v>
      </c>
      <c r="G1603" s="12">
        <v>5.86</v>
      </c>
      <c r="H1603" s="12">
        <v>7.48</v>
      </c>
      <c r="I1603" s="13">
        <f>F1603*G1603</f>
        <v>626.8442</v>
      </c>
      <c r="J1603" s="13">
        <f>F1603*H1603</f>
        <v>800.13560000000007</v>
      </c>
    </row>
    <row r="1604" spans="1:10" s="1" customFormat="1" ht="25.5" customHeight="1" x14ac:dyDescent="0.2">
      <c r="A1604" s="10">
        <v>96523</v>
      </c>
      <c r="B1604" s="11" t="s">
        <v>36</v>
      </c>
      <c r="C1604" s="806" t="s">
        <v>37</v>
      </c>
      <c r="D1604" s="807"/>
      <c r="E1604" s="16" t="s">
        <v>171</v>
      </c>
      <c r="F1604" s="12">
        <v>17.05</v>
      </c>
      <c r="G1604" s="12">
        <v>59.37</v>
      </c>
      <c r="H1604" s="12">
        <v>75.75</v>
      </c>
      <c r="I1604" s="13">
        <f>F1604*G1604</f>
        <v>1012.2585</v>
      </c>
      <c r="J1604" s="13">
        <f>F1604*H1604</f>
        <v>1291.5375000000001</v>
      </c>
    </row>
    <row r="1605" spans="1:10" s="1" customFormat="1" ht="25.5" customHeight="1" x14ac:dyDescent="0.2">
      <c r="A1605" s="8"/>
      <c r="B1605" s="9" t="s">
        <v>1263</v>
      </c>
      <c r="C1605" s="808" t="s">
        <v>28</v>
      </c>
      <c r="D1605" s="809"/>
      <c r="E1605" s="8"/>
      <c r="F1605" s="8"/>
      <c r="G1605" s="8"/>
      <c r="H1605" s="8"/>
      <c r="I1605" s="8"/>
      <c r="J1605" s="8"/>
    </row>
    <row r="1606" spans="1:10" s="1" customFormat="1" ht="25.5" customHeight="1" x14ac:dyDescent="0.2">
      <c r="A1606" s="10">
        <v>94965</v>
      </c>
      <c r="B1606" s="11" t="s">
        <v>1264</v>
      </c>
      <c r="C1606" s="806" t="s">
        <v>30</v>
      </c>
      <c r="D1606" s="807"/>
      <c r="E1606" s="16" t="s">
        <v>171</v>
      </c>
      <c r="F1606" s="12">
        <v>6.16</v>
      </c>
      <c r="G1606" s="12">
        <v>302.64</v>
      </c>
      <c r="H1606" s="12">
        <v>386.14</v>
      </c>
      <c r="I1606" s="13">
        <f>F1606*G1606</f>
        <v>1864.2624000000001</v>
      </c>
      <c r="J1606" s="13">
        <f>F1606*H1606</f>
        <v>2378.6224000000002</v>
      </c>
    </row>
    <row r="1607" spans="1:10" s="1" customFormat="1" ht="25.5" customHeight="1" x14ac:dyDescent="0.2">
      <c r="A1607" s="10">
        <v>92873</v>
      </c>
      <c r="B1607" s="11" t="s">
        <v>1265</v>
      </c>
      <c r="C1607" s="806" t="s">
        <v>32</v>
      </c>
      <c r="D1607" s="807"/>
      <c r="E1607" s="16" t="s">
        <v>171</v>
      </c>
      <c r="F1607" s="12">
        <v>6.16</v>
      </c>
      <c r="G1607" s="12">
        <v>135.94</v>
      </c>
      <c r="H1607" s="12">
        <v>173.44</v>
      </c>
      <c r="I1607" s="13">
        <f>F1607*G1607</f>
        <v>837.3904</v>
      </c>
      <c r="J1607" s="13">
        <f>F1607*H1607</f>
        <v>1068.3904</v>
      </c>
    </row>
    <row r="1608" spans="1:10" s="1" customFormat="1" ht="25.5" customHeight="1" x14ac:dyDescent="0.2">
      <c r="A1608" s="10">
        <v>92762</v>
      </c>
      <c r="B1608" s="11" t="s">
        <v>1266</v>
      </c>
      <c r="C1608" s="806" t="s">
        <v>34</v>
      </c>
      <c r="D1608" s="807"/>
      <c r="E1608" s="11" t="s">
        <v>35</v>
      </c>
      <c r="F1608" s="12">
        <v>296</v>
      </c>
      <c r="G1608" s="12">
        <v>5.86</v>
      </c>
      <c r="H1608" s="12">
        <v>7.48</v>
      </c>
      <c r="I1608" s="13">
        <f>F1608*G1608</f>
        <v>1734.5600000000002</v>
      </c>
      <c r="J1608" s="13">
        <f>F1608*H1608</f>
        <v>2214.08</v>
      </c>
    </row>
    <row r="1609" spans="1:10" s="1" customFormat="1" ht="25.5" customHeight="1" x14ac:dyDescent="0.2">
      <c r="A1609" s="10">
        <v>96523</v>
      </c>
      <c r="B1609" s="11" t="s">
        <v>1267</v>
      </c>
      <c r="C1609" s="806" t="s">
        <v>37</v>
      </c>
      <c r="D1609" s="807"/>
      <c r="E1609" s="16" t="s">
        <v>171</v>
      </c>
      <c r="F1609" s="12">
        <v>88</v>
      </c>
      <c r="G1609" s="12">
        <v>59.37</v>
      </c>
      <c r="H1609" s="12">
        <v>75.75</v>
      </c>
      <c r="I1609" s="13">
        <f>F1609*G1609</f>
        <v>5224.5599999999995</v>
      </c>
      <c r="J1609" s="13">
        <f>F1609*H1609</f>
        <v>6666</v>
      </c>
    </row>
    <row r="1610" spans="1:10" s="1" customFormat="1" ht="25.5" customHeight="1" x14ac:dyDescent="0.2">
      <c r="A1610" s="8"/>
      <c r="B1610" s="803" t="s">
        <v>38</v>
      </c>
      <c r="C1610" s="804"/>
      <c r="D1610" s="804"/>
      <c r="E1610" s="804"/>
      <c r="F1610" s="804"/>
      <c r="G1610" s="805"/>
      <c r="H1610" s="8"/>
      <c r="I1610" s="14">
        <f>SUM(I1601:I1609)-0.1</f>
        <v>14729.471099999999</v>
      </c>
      <c r="J1610" s="17">
        <f>SUM(J1601:J1609)-1.6</f>
        <v>18793.0815</v>
      </c>
    </row>
    <row r="1611" spans="1:10" s="1" customFormat="1" ht="25.5" customHeight="1" x14ac:dyDescent="0.2">
      <c r="A1611" s="8"/>
      <c r="B1611" s="9" t="s">
        <v>39</v>
      </c>
      <c r="C1611" s="808" t="s">
        <v>40</v>
      </c>
      <c r="D1611" s="809"/>
      <c r="E1611" s="8"/>
      <c r="F1611" s="8"/>
      <c r="G1611" s="8"/>
      <c r="H1611" s="8"/>
      <c r="I1611" s="8"/>
      <c r="J1611" s="8"/>
    </row>
    <row r="1612" spans="1:10" s="1" customFormat="1" ht="25.5" customHeight="1" x14ac:dyDescent="0.2">
      <c r="A1612" s="8"/>
      <c r="B1612" s="9" t="s">
        <v>41</v>
      </c>
      <c r="C1612" s="808" t="s">
        <v>42</v>
      </c>
      <c r="D1612" s="809"/>
      <c r="E1612" s="8"/>
      <c r="F1612" s="8"/>
      <c r="G1612" s="8"/>
      <c r="H1612" s="8"/>
      <c r="I1612" s="8"/>
      <c r="J1612" s="8"/>
    </row>
    <row r="1613" spans="1:10" s="1" customFormat="1" ht="25.5" customHeight="1" x14ac:dyDescent="0.2">
      <c r="A1613" s="10">
        <v>92265</v>
      </c>
      <c r="B1613" s="11" t="s">
        <v>43</v>
      </c>
      <c r="C1613" s="806" t="s">
        <v>44</v>
      </c>
      <c r="D1613" s="807"/>
      <c r="E1613" s="11" t="s">
        <v>14</v>
      </c>
      <c r="F1613" s="12">
        <v>142.72</v>
      </c>
      <c r="G1613" s="12">
        <v>60.66</v>
      </c>
      <c r="H1613" s="12">
        <v>77.400000000000006</v>
      </c>
      <c r="I1613" s="13">
        <f>F1613*G1613</f>
        <v>8657.395199999999</v>
      </c>
      <c r="J1613" s="13">
        <f>F1613*H1613</f>
        <v>11046.528</v>
      </c>
    </row>
    <row r="1614" spans="1:10" s="1" customFormat="1" ht="25.5" customHeight="1" x14ac:dyDescent="0.2">
      <c r="A1614" s="10">
        <v>92762</v>
      </c>
      <c r="B1614" s="11" t="s">
        <v>45</v>
      </c>
      <c r="C1614" s="806" t="s">
        <v>46</v>
      </c>
      <c r="D1614" s="807"/>
      <c r="E1614" s="11" t="s">
        <v>35</v>
      </c>
      <c r="F1614" s="12">
        <v>884.82</v>
      </c>
      <c r="G1614" s="12">
        <v>5.86</v>
      </c>
      <c r="H1614" s="12">
        <v>7.48</v>
      </c>
      <c r="I1614" s="13">
        <f>F1614*G1614</f>
        <v>5185.0452000000005</v>
      </c>
      <c r="J1614" s="13">
        <f>F1614*H1614</f>
        <v>6618.4536000000007</v>
      </c>
    </row>
    <row r="1615" spans="1:10" s="1" customFormat="1" ht="25.5" customHeight="1" x14ac:dyDescent="0.2">
      <c r="A1615" s="10">
        <v>94965</v>
      </c>
      <c r="B1615" s="11" t="s">
        <v>47</v>
      </c>
      <c r="C1615" s="806" t="s">
        <v>30</v>
      </c>
      <c r="D1615" s="807"/>
      <c r="E1615" s="11" t="s">
        <v>48</v>
      </c>
      <c r="F1615" s="12">
        <v>10.88</v>
      </c>
      <c r="G1615" s="12">
        <v>302.64</v>
      </c>
      <c r="H1615" s="12">
        <v>386.14</v>
      </c>
      <c r="I1615" s="13">
        <f>F1615*G1615</f>
        <v>3292.7231999999999</v>
      </c>
      <c r="J1615" s="13">
        <f>F1615*H1615</f>
        <v>4201.2031999999999</v>
      </c>
    </row>
    <row r="1616" spans="1:10" s="1" customFormat="1" ht="25.5" customHeight="1" x14ac:dyDescent="0.2">
      <c r="A1616" s="10">
        <v>92873</v>
      </c>
      <c r="B1616" s="11" t="s">
        <v>49</v>
      </c>
      <c r="C1616" s="806" t="s">
        <v>32</v>
      </c>
      <c r="D1616" s="807"/>
      <c r="E1616" s="11" t="s">
        <v>48</v>
      </c>
      <c r="F1616" s="12">
        <v>10.88</v>
      </c>
      <c r="G1616" s="12">
        <v>135.94</v>
      </c>
      <c r="H1616" s="12">
        <v>173.44</v>
      </c>
      <c r="I1616" s="13">
        <f>F1616*G1616</f>
        <v>1479.0272</v>
      </c>
      <c r="J1616" s="13">
        <f>F1616*H1616</f>
        <v>1887.0272000000002</v>
      </c>
    </row>
    <row r="1617" spans="1:11" s="1" customFormat="1" ht="25.5" customHeight="1" x14ac:dyDescent="0.2">
      <c r="A1617" s="8"/>
      <c r="B1617" s="9" t="s">
        <v>50</v>
      </c>
      <c r="C1617" s="808" t="s">
        <v>51</v>
      </c>
      <c r="D1617" s="809"/>
      <c r="E1617" s="8"/>
      <c r="F1617" s="8"/>
      <c r="G1617" s="8"/>
      <c r="H1617" s="8"/>
      <c r="I1617" s="8"/>
      <c r="J1617" s="8"/>
    </row>
    <row r="1618" spans="1:11" s="1" customFormat="1" ht="25.5" customHeight="1" x14ac:dyDescent="0.2">
      <c r="A1618" s="10">
        <v>92265</v>
      </c>
      <c r="B1618" s="11" t="s">
        <v>52</v>
      </c>
      <c r="C1618" s="806" t="s">
        <v>44</v>
      </c>
      <c r="D1618" s="807"/>
      <c r="E1618" s="11" t="s">
        <v>14</v>
      </c>
      <c r="F1618" s="13">
        <v>1803.2</v>
      </c>
      <c r="G1618" s="12">
        <v>60.66</v>
      </c>
      <c r="H1618" s="12">
        <v>77.400000000000006</v>
      </c>
      <c r="I1618" s="13">
        <f>F1618*G1618</f>
        <v>109382.11199999999</v>
      </c>
      <c r="J1618" s="13">
        <f>F1618*H1618</f>
        <v>139567.68000000002</v>
      </c>
    </row>
    <row r="1619" spans="1:11" s="1" customFormat="1" ht="25.5" customHeight="1" x14ac:dyDescent="0.2">
      <c r="A1619" s="10">
        <v>92762</v>
      </c>
      <c r="B1619" s="11" t="s">
        <v>53</v>
      </c>
      <c r="C1619" s="806" t="s">
        <v>46</v>
      </c>
      <c r="D1619" s="807"/>
      <c r="E1619" s="11" t="s">
        <v>35</v>
      </c>
      <c r="F1619" s="13">
        <v>6098.63</v>
      </c>
      <c r="G1619" s="12">
        <v>5.86</v>
      </c>
      <c r="H1619" s="12">
        <v>7.48</v>
      </c>
      <c r="I1619" s="13">
        <f>F1619*G1619</f>
        <v>35737.971799999999</v>
      </c>
      <c r="J1619" s="13">
        <f>F1619*H1619</f>
        <v>45617.752400000005</v>
      </c>
    </row>
    <row r="1620" spans="1:11" s="1" customFormat="1" ht="25.5" customHeight="1" x14ac:dyDescent="0.2">
      <c r="A1620" s="10">
        <v>94965</v>
      </c>
      <c r="B1620" s="11" t="s">
        <v>54</v>
      </c>
      <c r="C1620" s="806" t="s">
        <v>30</v>
      </c>
      <c r="D1620" s="807"/>
      <c r="E1620" s="11" t="s">
        <v>48</v>
      </c>
      <c r="F1620" s="12">
        <v>112.67</v>
      </c>
      <c r="G1620" s="12">
        <v>302.64</v>
      </c>
      <c r="H1620" s="12">
        <v>386.14</v>
      </c>
      <c r="I1620" s="13">
        <f>F1620*G1620</f>
        <v>34098.448799999998</v>
      </c>
      <c r="J1620" s="13">
        <f>F1620*H1620</f>
        <v>43506.393799999998</v>
      </c>
    </row>
    <row r="1621" spans="1:11" s="1" customFormat="1" ht="25.5" customHeight="1" x14ac:dyDescent="0.2">
      <c r="A1621" s="10">
        <v>92873</v>
      </c>
      <c r="B1621" s="11" t="s">
        <v>55</v>
      </c>
      <c r="C1621" s="806" t="s">
        <v>32</v>
      </c>
      <c r="D1621" s="807"/>
      <c r="E1621" s="11" t="s">
        <v>48</v>
      </c>
      <c r="F1621" s="12">
        <v>112.67</v>
      </c>
      <c r="G1621" s="12">
        <v>135.94</v>
      </c>
      <c r="H1621" s="12">
        <v>173.44</v>
      </c>
      <c r="I1621" s="13">
        <f>F1621*G1621</f>
        <v>15316.3598</v>
      </c>
      <c r="J1621" s="13">
        <f>F1621*H1621</f>
        <v>19541.484799999998</v>
      </c>
    </row>
    <row r="1622" spans="1:11" s="1" customFormat="1" ht="25.5" customHeight="1" x14ac:dyDescent="0.2">
      <c r="A1622" s="8"/>
      <c r="B1622" s="9" t="s">
        <v>56</v>
      </c>
      <c r="C1622" s="808" t="s">
        <v>57</v>
      </c>
      <c r="D1622" s="809"/>
      <c r="E1622" s="8"/>
      <c r="F1622" s="8"/>
      <c r="G1622" s="8"/>
      <c r="H1622" s="8"/>
      <c r="I1622" s="8"/>
      <c r="J1622" s="8"/>
    </row>
    <row r="1623" spans="1:11" s="1" customFormat="1" ht="25.5" customHeight="1" x14ac:dyDescent="0.2">
      <c r="A1623" s="11" t="s">
        <v>58</v>
      </c>
      <c r="B1623" s="11" t="s">
        <v>59</v>
      </c>
      <c r="C1623" s="806" t="s">
        <v>60</v>
      </c>
      <c r="D1623" s="807"/>
      <c r="E1623" s="11" t="s">
        <v>14</v>
      </c>
      <c r="F1623" s="13">
        <v>1036</v>
      </c>
      <c r="G1623" s="12">
        <v>62.75</v>
      </c>
      <c r="H1623" s="12">
        <v>80.06</v>
      </c>
      <c r="I1623" s="13">
        <f>F1623*G1623</f>
        <v>65009</v>
      </c>
      <c r="J1623" s="13">
        <f>F1623*H1623</f>
        <v>82942.16</v>
      </c>
    </row>
    <row r="1624" spans="1:11" s="1" customFormat="1" ht="25.5" customHeight="1" x14ac:dyDescent="0.2">
      <c r="A1624" s="10">
        <v>92763</v>
      </c>
      <c r="B1624" s="11" t="s">
        <v>61</v>
      </c>
      <c r="C1624" s="806" t="s">
        <v>62</v>
      </c>
      <c r="D1624" s="807"/>
      <c r="E1624" s="11" t="s">
        <v>35</v>
      </c>
      <c r="F1624" s="13">
        <v>3423</v>
      </c>
      <c r="G1624" s="12">
        <v>5.22</v>
      </c>
      <c r="H1624" s="12">
        <v>6.66</v>
      </c>
      <c r="I1624" s="13">
        <f>F1624*G1624</f>
        <v>17868.059999999998</v>
      </c>
      <c r="J1624" s="13">
        <f>F1624*H1624</f>
        <v>22797.18</v>
      </c>
    </row>
    <row r="1625" spans="1:11" s="1" customFormat="1" ht="25.5" customHeight="1" x14ac:dyDescent="0.2">
      <c r="A1625" s="10">
        <v>94965</v>
      </c>
      <c r="B1625" s="11" t="s">
        <v>63</v>
      </c>
      <c r="C1625" s="806" t="s">
        <v>30</v>
      </c>
      <c r="D1625" s="807"/>
      <c r="E1625" s="11" t="s">
        <v>48</v>
      </c>
      <c r="F1625" s="12">
        <v>47.9</v>
      </c>
      <c r="G1625" s="12">
        <v>302.64</v>
      </c>
      <c r="H1625" s="12">
        <v>386.14</v>
      </c>
      <c r="I1625" s="13">
        <f>F1625*G1625</f>
        <v>14496.455999999998</v>
      </c>
      <c r="J1625" s="13">
        <f>F1625*H1625</f>
        <v>18496.106</v>
      </c>
    </row>
    <row r="1626" spans="1:11" s="1" customFormat="1" ht="25.5" customHeight="1" x14ac:dyDescent="0.2">
      <c r="A1626" s="10">
        <v>92873</v>
      </c>
      <c r="B1626" s="11" t="s">
        <v>64</v>
      </c>
      <c r="C1626" s="806" t="s">
        <v>32</v>
      </c>
      <c r="D1626" s="807"/>
      <c r="E1626" s="11" t="s">
        <v>48</v>
      </c>
      <c r="F1626" s="12">
        <v>47.9</v>
      </c>
      <c r="G1626" s="12">
        <v>135.94</v>
      </c>
      <c r="H1626" s="12">
        <v>173.44</v>
      </c>
      <c r="I1626" s="13">
        <f>F1626*G1626</f>
        <v>6511.5259999999998</v>
      </c>
      <c r="J1626" s="13">
        <f>F1626*H1626</f>
        <v>8307.7759999999998</v>
      </c>
    </row>
    <row r="1627" spans="1:11" s="1" customFormat="1" ht="25.5" customHeight="1" x14ac:dyDescent="0.2">
      <c r="A1627" s="8"/>
      <c r="B1627" s="9" t="s">
        <v>65</v>
      </c>
      <c r="C1627" s="808" t="s">
        <v>66</v>
      </c>
      <c r="D1627" s="809"/>
      <c r="E1627" s="8"/>
      <c r="F1627" s="8"/>
      <c r="G1627" s="8"/>
      <c r="H1627" s="8"/>
      <c r="I1627" s="8"/>
      <c r="J1627" s="8"/>
    </row>
    <row r="1628" spans="1:11" s="1" customFormat="1" ht="25.5" customHeight="1" x14ac:dyDescent="0.2">
      <c r="A1628" s="10">
        <v>92265</v>
      </c>
      <c r="B1628" s="11" t="s">
        <v>67</v>
      </c>
      <c r="C1628" s="806" t="s">
        <v>44</v>
      </c>
      <c r="D1628" s="807"/>
      <c r="E1628" s="11" t="s">
        <v>14</v>
      </c>
      <c r="F1628" s="12">
        <v>370.9</v>
      </c>
      <c r="G1628" s="12">
        <v>60.66</v>
      </c>
      <c r="H1628" s="12">
        <v>77.400000000000006</v>
      </c>
      <c r="I1628" s="13">
        <f>F1628*G1628</f>
        <v>22498.793999999998</v>
      </c>
      <c r="J1628" s="13">
        <f>F1628*H1628</f>
        <v>28707.66</v>
      </c>
    </row>
    <row r="1629" spans="1:11" s="1" customFormat="1" ht="25.5" customHeight="1" x14ac:dyDescent="0.2">
      <c r="A1629" s="10">
        <v>92762</v>
      </c>
      <c r="B1629" s="11" t="s">
        <v>68</v>
      </c>
      <c r="C1629" s="806" t="s">
        <v>46</v>
      </c>
      <c r="D1629" s="807"/>
      <c r="E1629" s="11" t="s">
        <v>35</v>
      </c>
      <c r="F1629" s="13">
        <v>6724.2</v>
      </c>
      <c r="G1629" s="12">
        <v>5.86</v>
      </c>
      <c r="H1629" s="12">
        <v>7.48</v>
      </c>
      <c r="I1629" s="13">
        <f>F1629*G1629</f>
        <v>39403.811999999998</v>
      </c>
      <c r="J1629" s="13">
        <f>F1629*H1629</f>
        <v>50297.016000000003</v>
      </c>
    </row>
    <row r="1630" spans="1:11" s="1" customFormat="1" ht="25.5" customHeight="1" x14ac:dyDescent="0.2">
      <c r="A1630" s="10">
        <v>94965</v>
      </c>
      <c r="B1630" s="11" t="s">
        <v>69</v>
      </c>
      <c r="C1630" s="806" t="s">
        <v>30</v>
      </c>
      <c r="D1630" s="807"/>
      <c r="E1630" s="11" t="s">
        <v>48</v>
      </c>
      <c r="F1630" s="12">
        <v>35.9</v>
      </c>
      <c r="G1630" s="12">
        <v>302.64</v>
      </c>
      <c r="H1630" s="12">
        <v>386.14</v>
      </c>
      <c r="I1630" s="13">
        <f>F1630*G1630</f>
        <v>10864.776</v>
      </c>
      <c r="J1630" s="13">
        <f>F1630*H1630</f>
        <v>13862.425999999999</v>
      </c>
    </row>
    <row r="1631" spans="1:11" s="1" customFormat="1" ht="25.5" customHeight="1" x14ac:dyDescent="0.2">
      <c r="A1631" s="10">
        <v>92873</v>
      </c>
      <c r="B1631" s="11" t="s">
        <v>70</v>
      </c>
      <c r="C1631" s="806" t="s">
        <v>32</v>
      </c>
      <c r="D1631" s="807"/>
      <c r="E1631" s="11" t="s">
        <v>48</v>
      </c>
      <c r="F1631" s="12">
        <v>35.9</v>
      </c>
      <c r="G1631" s="12">
        <v>135.94</v>
      </c>
      <c r="H1631" s="12">
        <v>173.44</v>
      </c>
      <c r="I1631" s="13">
        <f>F1631*G1631</f>
        <v>4880.2460000000001</v>
      </c>
      <c r="J1631" s="13">
        <f>F1631*H1631</f>
        <v>6226.4960000000001</v>
      </c>
    </row>
    <row r="1632" spans="1:11" s="1" customFormat="1" ht="25.5" customHeight="1" x14ac:dyDescent="0.2">
      <c r="A1632" s="8"/>
      <c r="B1632" s="803" t="s">
        <v>71</v>
      </c>
      <c r="C1632" s="804"/>
      <c r="D1632" s="804"/>
      <c r="E1632" s="804"/>
      <c r="F1632" s="804"/>
      <c r="G1632" s="805"/>
      <c r="H1632" s="8"/>
      <c r="I1632" s="14">
        <f>SUM(I1613:I1631)-15.98</f>
        <v>394665.7732</v>
      </c>
      <c r="J1632" s="15">
        <f>SUM(J1613:J1631)-69.29</f>
        <v>503554.0529999999</v>
      </c>
      <c r="K1632" s="49">
        <f>J1632-503554.05</f>
        <v>2.9999999096617103E-3</v>
      </c>
    </row>
    <row r="1633" spans="1:10" s="1" customFormat="1" ht="25.5" customHeight="1" x14ac:dyDescent="0.2">
      <c r="A1633" s="8"/>
      <c r="B1633" s="9" t="s">
        <v>72</v>
      </c>
      <c r="C1633" s="808" t="s">
        <v>73</v>
      </c>
      <c r="D1633" s="809"/>
      <c r="E1633" s="8"/>
      <c r="F1633" s="8"/>
      <c r="G1633" s="8"/>
      <c r="H1633" s="8"/>
      <c r="I1633" s="8"/>
      <c r="J1633" s="8"/>
    </row>
    <row r="1634" spans="1:10" s="1" customFormat="1" ht="25.5" customHeight="1" x14ac:dyDescent="0.2">
      <c r="A1634" s="8"/>
      <c r="B1634" s="11" t="s">
        <v>74</v>
      </c>
      <c r="C1634" s="808" t="s">
        <v>75</v>
      </c>
      <c r="D1634" s="809"/>
      <c r="E1634" s="8"/>
      <c r="F1634" s="8"/>
      <c r="G1634" s="8"/>
      <c r="H1634" s="8"/>
      <c r="I1634" s="8"/>
      <c r="J1634" s="8"/>
    </row>
    <row r="1635" spans="1:10" s="1" customFormat="1" ht="25.5" customHeight="1" x14ac:dyDescent="0.2">
      <c r="A1635" s="11" t="s">
        <v>78</v>
      </c>
      <c r="B1635" s="11" t="s">
        <v>76</v>
      </c>
      <c r="C1635" s="806" t="s">
        <v>1274</v>
      </c>
      <c r="D1635" s="807"/>
      <c r="E1635" s="11" t="s">
        <v>81</v>
      </c>
      <c r="F1635" s="12">
        <v>129.71</v>
      </c>
      <c r="G1635" s="12">
        <v>7.91</v>
      </c>
      <c r="H1635" s="12">
        <v>10.09</v>
      </c>
      <c r="I1635" s="13">
        <f t="shared" ref="I1635:I1642" si="140">F1635*G1635</f>
        <v>1026.0061000000001</v>
      </c>
      <c r="J1635" s="13">
        <f t="shared" ref="J1635:J1642" si="141">F1635*H1635</f>
        <v>1308.7739000000001</v>
      </c>
    </row>
    <row r="1636" spans="1:10" s="1" customFormat="1" ht="25.5" customHeight="1" x14ac:dyDescent="0.2">
      <c r="A1636" s="10">
        <v>87479</v>
      </c>
      <c r="B1636" s="11" t="s">
        <v>79</v>
      </c>
      <c r="C1636" s="806" t="s">
        <v>77</v>
      </c>
      <c r="D1636" s="807"/>
      <c r="E1636" s="11" t="s">
        <v>14</v>
      </c>
      <c r="F1636" s="12">
        <v>606.54999999999995</v>
      </c>
      <c r="G1636" s="12">
        <v>41.64</v>
      </c>
      <c r="H1636" s="12">
        <v>53.13</v>
      </c>
      <c r="I1636" s="13">
        <f t="shared" si="140"/>
        <v>25256.741999999998</v>
      </c>
      <c r="J1636" s="13">
        <f t="shared" si="141"/>
        <v>32226.001499999998</v>
      </c>
    </row>
    <row r="1637" spans="1:10" s="1" customFormat="1" ht="25.5" customHeight="1" x14ac:dyDescent="0.2">
      <c r="A1637" s="11" t="s">
        <v>78</v>
      </c>
      <c r="B1637" s="11" t="s">
        <v>83</v>
      </c>
      <c r="C1637" s="806" t="s">
        <v>80</v>
      </c>
      <c r="D1637" s="807"/>
      <c r="E1637" s="11" t="s">
        <v>81</v>
      </c>
      <c r="F1637" s="12">
        <v>650</v>
      </c>
      <c r="G1637" s="12">
        <v>7.91</v>
      </c>
      <c r="H1637" s="12">
        <v>10.09</v>
      </c>
      <c r="I1637" s="13">
        <f t="shared" si="140"/>
        <v>5141.5</v>
      </c>
      <c r="J1637" s="13">
        <f t="shared" si="141"/>
        <v>6558.5</v>
      </c>
    </row>
    <row r="1638" spans="1:10" s="1" customFormat="1" ht="25.5" customHeight="1" x14ac:dyDescent="0.2">
      <c r="A1638" s="11" t="s">
        <v>82</v>
      </c>
      <c r="B1638" s="11" t="s">
        <v>86</v>
      </c>
      <c r="C1638" s="806" t="s">
        <v>84</v>
      </c>
      <c r="D1638" s="807"/>
      <c r="E1638" s="11" t="s">
        <v>14</v>
      </c>
      <c r="F1638" s="12">
        <v>27.15</v>
      </c>
      <c r="G1638" s="12">
        <v>53.52</v>
      </c>
      <c r="H1638" s="12">
        <v>68.290000000000006</v>
      </c>
      <c r="I1638" s="13">
        <f t="shared" si="140"/>
        <v>1453.068</v>
      </c>
      <c r="J1638" s="13">
        <f t="shared" si="141"/>
        <v>1854.0735</v>
      </c>
    </row>
    <row r="1639" spans="1:10" s="1" customFormat="1" ht="25.5" customHeight="1" x14ac:dyDescent="0.2">
      <c r="A1639" s="11" t="s">
        <v>85</v>
      </c>
      <c r="B1639" s="11" t="s">
        <v>89</v>
      </c>
      <c r="C1639" s="806" t="s">
        <v>87</v>
      </c>
      <c r="D1639" s="807"/>
      <c r="E1639" s="11" t="s">
        <v>14</v>
      </c>
      <c r="F1639" s="12">
        <v>45.99</v>
      </c>
      <c r="G1639" s="12">
        <v>203.72</v>
      </c>
      <c r="H1639" s="12">
        <v>259.93</v>
      </c>
      <c r="I1639" s="13">
        <f t="shared" si="140"/>
        <v>9369.0828000000001</v>
      </c>
      <c r="J1639" s="13">
        <f t="shared" si="141"/>
        <v>11954.180700000001</v>
      </c>
    </row>
    <row r="1640" spans="1:10" s="1" customFormat="1" ht="25.5" customHeight="1" x14ac:dyDescent="0.2">
      <c r="A1640" s="11" t="s">
        <v>88</v>
      </c>
      <c r="B1640" s="11" t="s">
        <v>91</v>
      </c>
      <c r="C1640" s="806" t="s">
        <v>90</v>
      </c>
      <c r="D1640" s="807"/>
      <c r="E1640" s="11" t="s">
        <v>14</v>
      </c>
      <c r="F1640" s="12">
        <v>52.74</v>
      </c>
      <c r="G1640" s="12">
        <v>310.44</v>
      </c>
      <c r="H1640" s="12">
        <v>396.09</v>
      </c>
      <c r="I1640" s="13">
        <f t="shared" si="140"/>
        <v>16372.605600000001</v>
      </c>
      <c r="J1640" s="13">
        <f t="shared" si="141"/>
        <v>20889.786599999999</v>
      </c>
    </row>
    <row r="1641" spans="1:10" s="1" customFormat="1" ht="25.5" customHeight="1" x14ac:dyDescent="0.2">
      <c r="A1641" s="10">
        <v>93187</v>
      </c>
      <c r="B1641" s="11" t="s">
        <v>93</v>
      </c>
      <c r="C1641" s="806" t="s">
        <v>92</v>
      </c>
      <c r="D1641" s="807"/>
      <c r="E1641" s="11" t="s">
        <v>81</v>
      </c>
      <c r="F1641" s="12">
        <v>228</v>
      </c>
      <c r="G1641" s="12">
        <v>52.6</v>
      </c>
      <c r="H1641" s="12">
        <v>67.11</v>
      </c>
      <c r="I1641" s="13">
        <f t="shared" si="140"/>
        <v>11992.800000000001</v>
      </c>
      <c r="J1641" s="13">
        <f t="shared" si="141"/>
        <v>15301.08</v>
      </c>
    </row>
    <row r="1642" spans="1:10" s="1" customFormat="1" ht="25.5" customHeight="1" x14ac:dyDescent="0.2">
      <c r="A1642" s="10">
        <v>93197</v>
      </c>
      <c r="B1642" s="11" t="s">
        <v>1275</v>
      </c>
      <c r="C1642" s="806" t="s">
        <v>94</v>
      </c>
      <c r="D1642" s="807"/>
      <c r="E1642" s="11" t="s">
        <v>81</v>
      </c>
      <c r="F1642" s="12">
        <v>88.7</v>
      </c>
      <c r="G1642" s="12">
        <v>49.48</v>
      </c>
      <c r="H1642" s="12">
        <v>63.13</v>
      </c>
      <c r="I1642" s="13">
        <f t="shared" si="140"/>
        <v>4388.8760000000002</v>
      </c>
      <c r="J1642" s="13">
        <f t="shared" si="141"/>
        <v>5599.6310000000003</v>
      </c>
    </row>
    <row r="1643" spans="1:10" s="1" customFormat="1" ht="25.5" customHeight="1" x14ac:dyDescent="0.2">
      <c r="A1643" s="8"/>
      <c r="B1643" s="803" t="s">
        <v>95</v>
      </c>
      <c r="C1643" s="804"/>
      <c r="D1643" s="804"/>
      <c r="E1643" s="804"/>
      <c r="F1643" s="804"/>
      <c r="G1643" s="805"/>
      <c r="H1643" s="8"/>
      <c r="I1643" s="14">
        <f>SUM(I1635:I1642)+1.8</f>
        <v>75002.480500000005</v>
      </c>
      <c r="J1643" s="15">
        <f>SUM(J1635:J1642)+3</f>
        <v>95695.027199999997</v>
      </c>
    </row>
    <row r="1644" spans="1:10" s="1" customFormat="1" ht="25.5" customHeight="1" x14ac:dyDescent="0.2">
      <c r="A1644" s="8"/>
      <c r="B1644" s="9" t="s">
        <v>96</v>
      </c>
      <c r="C1644" s="808" t="s">
        <v>97</v>
      </c>
      <c r="D1644" s="809"/>
      <c r="E1644" s="8"/>
      <c r="F1644" s="8"/>
      <c r="G1644" s="8"/>
      <c r="H1644" s="8"/>
      <c r="I1644" s="8"/>
      <c r="J1644" s="8"/>
    </row>
    <row r="1645" spans="1:10" s="1" customFormat="1" ht="25.5" customHeight="1" x14ac:dyDescent="0.2">
      <c r="A1645" s="8"/>
      <c r="B1645" s="11" t="s">
        <v>98</v>
      </c>
      <c r="C1645" s="808" t="s">
        <v>99</v>
      </c>
      <c r="D1645" s="809"/>
      <c r="E1645" s="8"/>
      <c r="F1645" s="8"/>
      <c r="G1645" s="8"/>
      <c r="H1645" s="8"/>
      <c r="I1645" s="8"/>
      <c r="J1645" s="8"/>
    </row>
    <row r="1646" spans="1:10" s="1" customFormat="1" ht="25.5" customHeight="1" x14ac:dyDescent="0.2">
      <c r="A1646" s="10">
        <v>90822</v>
      </c>
      <c r="B1646" s="11" t="s">
        <v>100</v>
      </c>
      <c r="C1646" s="806" t="s">
        <v>101</v>
      </c>
      <c r="D1646" s="807"/>
      <c r="E1646" s="11" t="s">
        <v>102</v>
      </c>
      <c r="F1646" s="12">
        <v>14</v>
      </c>
      <c r="G1646" s="12">
        <v>329.55</v>
      </c>
      <c r="H1646" s="12">
        <v>420.47</v>
      </c>
      <c r="I1646" s="13">
        <f t="shared" ref="I1646:I1652" si="142">F1646*G1646</f>
        <v>4613.7</v>
      </c>
      <c r="J1646" s="13">
        <f t="shared" ref="J1646:J1652" si="143">F1646*H1646</f>
        <v>5886.58</v>
      </c>
    </row>
    <row r="1647" spans="1:10" s="1" customFormat="1" ht="25.5" customHeight="1" x14ac:dyDescent="0.2">
      <c r="A1647" s="11" t="s">
        <v>78</v>
      </c>
      <c r="B1647" s="11" t="s">
        <v>103</v>
      </c>
      <c r="C1647" s="806" t="s">
        <v>104</v>
      </c>
      <c r="D1647" s="807"/>
      <c r="E1647" s="11" t="s">
        <v>102</v>
      </c>
      <c r="F1647" s="12">
        <v>4</v>
      </c>
      <c r="G1647" s="12">
        <v>395.46</v>
      </c>
      <c r="H1647" s="12">
        <v>504.57</v>
      </c>
      <c r="I1647" s="13">
        <f t="shared" si="142"/>
        <v>1581.84</v>
      </c>
      <c r="J1647" s="13">
        <f t="shared" si="143"/>
        <v>2018.28</v>
      </c>
    </row>
    <row r="1648" spans="1:10" s="1" customFormat="1" ht="25.5" customHeight="1" x14ac:dyDescent="0.2">
      <c r="A1648" s="11" t="s">
        <v>78</v>
      </c>
      <c r="B1648" s="11" t="s">
        <v>105</v>
      </c>
      <c r="C1648" s="806" t="s">
        <v>106</v>
      </c>
      <c r="D1648" s="807"/>
      <c r="E1648" s="11" t="s">
        <v>102</v>
      </c>
      <c r="F1648" s="12">
        <v>14</v>
      </c>
      <c r="G1648" s="12">
        <v>222.6</v>
      </c>
      <c r="H1648" s="12">
        <v>284.02</v>
      </c>
      <c r="I1648" s="13">
        <f t="shared" si="142"/>
        <v>3116.4</v>
      </c>
      <c r="J1648" s="13">
        <f t="shared" si="143"/>
        <v>3976.2799999999997</v>
      </c>
    </row>
    <row r="1649" spans="1:10" s="1" customFormat="1" ht="25.5" customHeight="1" x14ac:dyDescent="0.2">
      <c r="A1649" s="11" t="s">
        <v>78</v>
      </c>
      <c r="B1649" s="11" t="s">
        <v>107</v>
      </c>
      <c r="C1649" s="806" t="s">
        <v>108</v>
      </c>
      <c r="D1649" s="807"/>
      <c r="E1649" s="11" t="s">
        <v>102</v>
      </c>
      <c r="F1649" s="12">
        <v>6</v>
      </c>
      <c r="G1649" s="12">
        <v>222.6</v>
      </c>
      <c r="H1649" s="12">
        <v>284.02</v>
      </c>
      <c r="I1649" s="13">
        <f t="shared" si="142"/>
        <v>1335.6</v>
      </c>
      <c r="J1649" s="13">
        <f t="shared" si="143"/>
        <v>1704.12</v>
      </c>
    </row>
    <row r="1650" spans="1:10" s="1" customFormat="1" ht="25.5" customHeight="1" x14ac:dyDescent="0.2">
      <c r="A1650" s="10">
        <v>90820</v>
      </c>
      <c r="B1650" s="11" t="s">
        <v>109</v>
      </c>
      <c r="C1650" s="806" t="s">
        <v>110</v>
      </c>
      <c r="D1650" s="807"/>
      <c r="E1650" s="11" t="s">
        <v>102</v>
      </c>
      <c r="F1650" s="12">
        <v>4</v>
      </c>
      <c r="G1650" s="12">
        <v>308.93</v>
      </c>
      <c r="H1650" s="12">
        <v>394.16</v>
      </c>
      <c r="I1650" s="13">
        <f t="shared" si="142"/>
        <v>1235.72</v>
      </c>
      <c r="J1650" s="13">
        <f t="shared" si="143"/>
        <v>1576.64</v>
      </c>
    </row>
    <row r="1651" spans="1:10" s="1" customFormat="1" ht="25.5" customHeight="1" x14ac:dyDescent="0.2">
      <c r="A1651" s="11" t="s">
        <v>78</v>
      </c>
      <c r="B1651" s="11" t="s">
        <v>111</v>
      </c>
      <c r="C1651" s="806" t="s">
        <v>112</v>
      </c>
      <c r="D1651" s="807"/>
      <c r="E1651" s="11" t="s">
        <v>102</v>
      </c>
      <c r="F1651" s="12">
        <v>18</v>
      </c>
      <c r="G1651" s="12">
        <v>378.98</v>
      </c>
      <c r="H1651" s="12">
        <v>483.54</v>
      </c>
      <c r="I1651" s="13">
        <f t="shared" si="142"/>
        <v>6821.64</v>
      </c>
      <c r="J1651" s="13">
        <f t="shared" si="143"/>
        <v>8703.7200000000012</v>
      </c>
    </row>
    <row r="1652" spans="1:10" s="1" customFormat="1" ht="25.5" customHeight="1" x14ac:dyDescent="0.2">
      <c r="A1652" s="11" t="s">
        <v>78</v>
      </c>
      <c r="B1652" s="11" t="s">
        <v>113</v>
      </c>
      <c r="C1652" s="806" t="s">
        <v>114</v>
      </c>
      <c r="D1652" s="807"/>
      <c r="E1652" s="11" t="s">
        <v>102</v>
      </c>
      <c r="F1652" s="12">
        <v>6</v>
      </c>
      <c r="G1652" s="12">
        <v>421.82</v>
      </c>
      <c r="H1652" s="12">
        <v>538.20000000000005</v>
      </c>
      <c r="I1652" s="13">
        <f t="shared" si="142"/>
        <v>2530.92</v>
      </c>
      <c r="J1652" s="13">
        <f t="shared" si="143"/>
        <v>3229.2000000000003</v>
      </c>
    </row>
    <row r="1653" spans="1:10" s="1" customFormat="1" ht="25.5" customHeight="1" x14ac:dyDescent="0.2">
      <c r="A1653" s="8"/>
      <c r="B1653" s="803" t="s">
        <v>115</v>
      </c>
      <c r="C1653" s="804"/>
      <c r="D1653" s="804"/>
      <c r="E1653" s="804"/>
      <c r="F1653" s="804"/>
      <c r="G1653" s="805"/>
      <c r="H1653" s="8"/>
      <c r="I1653" s="18">
        <f>SUM(I1646:I1652)</f>
        <v>21235.82</v>
      </c>
      <c r="J1653" s="18">
        <f>SUM(J1646:J1652)</f>
        <v>27094.82</v>
      </c>
    </row>
    <row r="1654" spans="1:10" s="1" customFormat="1" ht="25.5" customHeight="1" x14ac:dyDescent="0.2">
      <c r="A1654" s="8"/>
      <c r="B1654" s="9" t="s">
        <v>116</v>
      </c>
      <c r="C1654" s="808" t="s">
        <v>117</v>
      </c>
      <c r="D1654" s="820"/>
      <c r="E1654" s="820"/>
      <c r="F1654" s="820"/>
      <c r="G1654" s="820"/>
      <c r="H1654" s="820"/>
      <c r="I1654" s="809"/>
      <c r="J1654" s="8"/>
    </row>
    <row r="1655" spans="1:10" s="1" customFormat="1" ht="25.5" customHeight="1" x14ac:dyDescent="0.2">
      <c r="A1655" s="8"/>
      <c r="B1655" s="9" t="s">
        <v>118</v>
      </c>
      <c r="C1655" s="808" t="s">
        <v>119</v>
      </c>
      <c r="D1655" s="809"/>
      <c r="E1655" s="8"/>
      <c r="F1655" s="8"/>
      <c r="G1655" s="8"/>
      <c r="H1655" s="8"/>
      <c r="I1655" s="8"/>
      <c r="J1655" s="8"/>
    </row>
    <row r="1656" spans="1:10" s="1" customFormat="1" ht="25.5" customHeight="1" x14ac:dyDescent="0.2">
      <c r="A1656" s="11" t="s">
        <v>120</v>
      </c>
      <c r="B1656" s="11" t="s">
        <v>121</v>
      </c>
      <c r="C1656" s="806" t="s">
        <v>122</v>
      </c>
      <c r="D1656" s="807"/>
      <c r="E1656" s="11" t="s">
        <v>102</v>
      </c>
      <c r="F1656" s="12">
        <v>2</v>
      </c>
      <c r="G1656" s="12">
        <v>329.82</v>
      </c>
      <c r="H1656" s="12">
        <v>420.82</v>
      </c>
      <c r="I1656" s="13">
        <f>F1656*G1656</f>
        <v>659.64</v>
      </c>
      <c r="J1656" s="13">
        <f>F1656*H1656</f>
        <v>841.64</v>
      </c>
    </row>
    <row r="1657" spans="1:10" s="1" customFormat="1" ht="25.5" customHeight="1" x14ac:dyDescent="0.2">
      <c r="A1657" s="8"/>
      <c r="B1657" s="9" t="s">
        <v>123</v>
      </c>
      <c r="C1657" s="808" t="s">
        <v>124</v>
      </c>
      <c r="D1657" s="809"/>
      <c r="E1657" s="8"/>
      <c r="F1657" s="8"/>
      <c r="G1657" s="8"/>
      <c r="H1657" s="8"/>
      <c r="I1657" s="8"/>
      <c r="J1657" s="8"/>
    </row>
    <row r="1658" spans="1:10" s="1" customFormat="1" ht="25.5" customHeight="1" x14ac:dyDescent="0.2">
      <c r="A1658" s="11" t="s">
        <v>78</v>
      </c>
      <c r="B1658" s="11" t="s">
        <v>125</v>
      </c>
      <c r="C1658" s="806" t="s">
        <v>126</v>
      </c>
      <c r="D1658" s="807"/>
      <c r="E1658" s="11" t="s">
        <v>102</v>
      </c>
      <c r="F1658" s="12">
        <v>6</v>
      </c>
      <c r="G1658" s="12">
        <v>179.33</v>
      </c>
      <c r="H1658" s="12">
        <v>228.8</v>
      </c>
      <c r="I1658" s="13">
        <f t="shared" ref="I1658:I1677" si="144">F1658*G1658</f>
        <v>1075.98</v>
      </c>
      <c r="J1658" s="13">
        <f t="shared" ref="J1658:J1677" si="145">F1658*H1658</f>
        <v>1372.8000000000002</v>
      </c>
    </row>
    <row r="1659" spans="1:10" s="1" customFormat="1" ht="25.5" customHeight="1" x14ac:dyDescent="0.2">
      <c r="A1659" s="11" t="s">
        <v>78</v>
      </c>
      <c r="B1659" s="11" t="s">
        <v>127</v>
      </c>
      <c r="C1659" s="806" t="s">
        <v>128</v>
      </c>
      <c r="D1659" s="807"/>
      <c r="E1659" s="11" t="s">
        <v>102</v>
      </c>
      <c r="F1659" s="12">
        <v>15</v>
      </c>
      <c r="G1659" s="12">
        <v>268.98</v>
      </c>
      <c r="H1659" s="12">
        <v>343.2</v>
      </c>
      <c r="I1659" s="13">
        <f t="shared" si="144"/>
        <v>4034.7000000000003</v>
      </c>
      <c r="J1659" s="13">
        <f t="shared" si="145"/>
        <v>5148</v>
      </c>
    </row>
    <row r="1660" spans="1:10" s="1" customFormat="1" ht="25.5" customHeight="1" x14ac:dyDescent="0.2">
      <c r="A1660" s="11" t="s">
        <v>78</v>
      </c>
      <c r="B1660" s="11" t="s">
        <v>129</v>
      </c>
      <c r="C1660" s="806" t="s">
        <v>130</v>
      </c>
      <c r="D1660" s="807"/>
      <c r="E1660" s="11" t="s">
        <v>102</v>
      </c>
      <c r="F1660" s="12">
        <v>2</v>
      </c>
      <c r="G1660" s="12">
        <v>134.49</v>
      </c>
      <c r="H1660" s="12">
        <v>171.59</v>
      </c>
      <c r="I1660" s="13">
        <f t="shared" si="144"/>
        <v>268.98</v>
      </c>
      <c r="J1660" s="13">
        <f t="shared" si="145"/>
        <v>343.18</v>
      </c>
    </row>
    <row r="1661" spans="1:10" s="1" customFormat="1" ht="25.5" customHeight="1" x14ac:dyDescent="0.2">
      <c r="A1661" s="11" t="s">
        <v>78</v>
      </c>
      <c r="B1661" s="11" t="s">
        <v>131</v>
      </c>
      <c r="C1661" s="806" t="s">
        <v>132</v>
      </c>
      <c r="D1661" s="807"/>
      <c r="E1661" s="11" t="s">
        <v>102</v>
      </c>
      <c r="F1661" s="12">
        <v>10</v>
      </c>
      <c r="G1661" s="12">
        <v>313.92</v>
      </c>
      <c r="H1661" s="12">
        <v>400.53</v>
      </c>
      <c r="I1661" s="13">
        <f t="shared" si="144"/>
        <v>3139.2000000000003</v>
      </c>
      <c r="J1661" s="13">
        <f t="shared" si="145"/>
        <v>4005.2999999999997</v>
      </c>
    </row>
    <row r="1662" spans="1:10" s="1" customFormat="1" ht="25.5" customHeight="1" x14ac:dyDescent="0.2">
      <c r="A1662" s="11" t="s">
        <v>78</v>
      </c>
      <c r="B1662" s="11" t="s">
        <v>133</v>
      </c>
      <c r="C1662" s="806" t="s">
        <v>134</v>
      </c>
      <c r="D1662" s="807"/>
      <c r="E1662" s="11" t="s">
        <v>102</v>
      </c>
      <c r="F1662" s="12">
        <v>8</v>
      </c>
      <c r="G1662" s="12">
        <v>627.62</v>
      </c>
      <c r="H1662" s="12">
        <v>800.79</v>
      </c>
      <c r="I1662" s="13">
        <f t="shared" si="144"/>
        <v>5020.96</v>
      </c>
      <c r="J1662" s="13">
        <f t="shared" si="145"/>
        <v>6406.32</v>
      </c>
    </row>
    <row r="1663" spans="1:10" s="1" customFormat="1" ht="25.5" customHeight="1" x14ac:dyDescent="0.2">
      <c r="A1663" s="11" t="s">
        <v>78</v>
      </c>
      <c r="B1663" s="11" t="s">
        <v>135</v>
      </c>
      <c r="C1663" s="806" t="s">
        <v>136</v>
      </c>
      <c r="D1663" s="807"/>
      <c r="E1663" s="11" t="s">
        <v>102</v>
      </c>
      <c r="F1663" s="12">
        <v>2</v>
      </c>
      <c r="G1663" s="12">
        <v>358.64</v>
      </c>
      <c r="H1663" s="12">
        <v>457.59</v>
      </c>
      <c r="I1663" s="13">
        <f t="shared" si="144"/>
        <v>717.28</v>
      </c>
      <c r="J1663" s="13">
        <f t="shared" si="145"/>
        <v>915.18</v>
      </c>
    </row>
    <row r="1664" spans="1:10" s="1" customFormat="1" ht="25.5" customHeight="1" x14ac:dyDescent="0.2">
      <c r="A1664" s="11" t="s">
        <v>78</v>
      </c>
      <c r="B1664" s="11" t="s">
        <v>137</v>
      </c>
      <c r="C1664" s="806" t="s">
        <v>138</v>
      </c>
      <c r="D1664" s="807"/>
      <c r="E1664" s="11" t="s">
        <v>102</v>
      </c>
      <c r="F1664" s="12">
        <v>2</v>
      </c>
      <c r="G1664" s="12">
        <v>448.3</v>
      </c>
      <c r="H1664" s="12">
        <v>571.98</v>
      </c>
      <c r="I1664" s="13">
        <f t="shared" si="144"/>
        <v>896.6</v>
      </c>
      <c r="J1664" s="13">
        <f t="shared" si="145"/>
        <v>1143.96</v>
      </c>
    </row>
    <row r="1665" spans="1:10" s="1" customFormat="1" ht="25.5" customHeight="1" x14ac:dyDescent="0.2">
      <c r="A1665" s="11" t="s">
        <v>78</v>
      </c>
      <c r="B1665" s="11" t="s">
        <v>139</v>
      </c>
      <c r="C1665" s="806" t="s">
        <v>140</v>
      </c>
      <c r="D1665" s="807"/>
      <c r="E1665" s="11" t="s">
        <v>102</v>
      </c>
      <c r="F1665" s="12">
        <v>14</v>
      </c>
      <c r="G1665" s="12">
        <v>124.52</v>
      </c>
      <c r="H1665" s="12">
        <v>158.88</v>
      </c>
      <c r="I1665" s="13">
        <f t="shared" si="144"/>
        <v>1743.28</v>
      </c>
      <c r="J1665" s="13">
        <f t="shared" si="145"/>
        <v>2224.3199999999997</v>
      </c>
    </row>
    <row r="1666" spans="1:10" s="1" customFormat="1" ht="25.5" customHeight="1" x14ac:dyDescent="0.2">
      <c r="A1666" s="11" t="s">
        <v>78</v>
      </c>
      <c r="B1666" s="11" t="s">
        <v>141</v>
      </c>
      <c r="C1666" s="806" t="s">
        <v>142</v>
      </c>
      <c r="D1666" s="807"/>
      <c r="E1666" s="11" t="s">
        <v>102</v>
      </c>
      <c r="F1666" s="12">
        <v>1</v>
      </c>
      <c r="G1666" s="12">
        <v>390.13</v>
      </c>
      <c r="H1666" s="12">
        <v>497.77</v>
      </c>
      <c r="I1666" s="13">
        <f t="shared" si="144"/>
        <v>390.13</v>
      </c>
      <c r="J1666" s="13">
        <f t="shared" si="145"/>
        <v>497.77</v>
      </c>
    </row>
    <row r="1667" spans="1:10" s="1" customFormat="1" ht="25.5" customHeight="1" x14ac:dyDescent="0.2">
      <c r="A1667" s="11" t="s">
        <v>78</v>
      </c>
      <c r="B1667" s="11" t="s">
        <v>143</v>
      </c>
      <c r="C1667" s="806" t="s">
        <v>144</v>
      </c>
      <c r="D1667" s="807"/>
      <c r="E1667" s="11" t="s">
        <v>102</v>
      </c>
      <c r="F1667" s="12">
        <v>1</v>
      </c>
      <c r="G1667" s="12">
        <v>975.33</v>
      </c>
      <c r="H1667" s="13">
        <v>1244.42</v>
      </c>
      <c r="I1667" s="13">
        <f t="shared" si="144"/>
        <v>975.33</v>
      </c>
      <c r="J1667" s="13">
        <f t="shared" si="145"/>
        <v>1244.42</v>
      </c>
    </row>
    <row r="1668" spans="1:10" s="1" customFormat="1" ht="25.5" customHeight="1" x14ac:dyDescent="0.2">
      <c r="A1668" s="11" t="s">
        <v>78</v>
      </c>
      <c r="B1668" s="11" t="s">
        <v>145</v>
      </c>
      <c r="C1668" s="806" t="s">
        <v>146</v>
      </c>
      <c r="D1668" s="807"/>
      <c r="E1668" s="11" t="s">
        <v>102</v>
      </c>
      <c r="F1668" s="12">
        <v>2</v>
      </c>
      <c r="G1668" s="12">
        <v>585.20000000000005</v>
      </c>
      <c r="H1668" s="12">
        <v>746.65</v>
      </c>
      <c r="I1668" s="13">
        <f t="shared" si="144"/>
        <v>1170.4000000000001</v>
      </c>
      <c r="J1668" s="13">
        <f t="shared" si="145"/>
        <v>1493.3</v>
      </c>
    </row>
    <row r="1669" spans="1:10" s="1" customFormat="1" ht="25.5" customHeight="1" x14ac:dyDescent="0.2">
      <c r="A1669" s="11" t="s">
        <v>78</v>
      </c>
      <c r="B1669" s="11" t="s">
        <v>147</v>
      </c>
      <c r="C1669" s="806" t="s">
        <v>148</v>
      </c>
      <c r="D1669" s="807"/>
      <c r="E1669" s="11" t="s">
        <v>102</v>
      </c>
      <c r="F1669" s="12">
        <v>1</v>
      </c>
      <c r="G1669" s="12">
        <v>877.8</v>
      </c>
      <c r="H1669" s="13">
        <v>1119.98</v>
      </c>
      <c r="I1669" s="13">
        <f t="shared" si="144"/>
        <v>877.8</v>
      </c>
      <c r="J1669" s="13">
        <f t="shared" si="145"/>
        <v>1119.98</v>
      </c>
    </row>
    <row r="1670" spans="1:10" s="1" customFormat="1" ht="25.5" customHeight="1" x14ac:dyDescent="0.2">
      <c r="A1670" s="11" t="s">
        <v>78</v>
      </c>
      <c r="B1670" s="11" t="s">
        <v>149</v>
      </c>
      <c r="C1670" s="806" t="s">
        <v>150</v>
      </c>
      <c r="D1670" s="807"/>
      <c r="E1670" s="11" t="s">
        <v>102</v>
      </c>
      <c r="F1670" s="12">
        <v>1</v>
      </c>
      <c r="G1670" s="13">
        <v>1170.4100000000001</v>
      </c>
      <c r="H1670" s="13">
        <v>1493.32</v>
      </c>
      <c r="I1670" s="13">
        <f t="shared" si="144"/>
        <v>1170.4100000000001</v>
      </c>
      <c r="J1670" s="13">
        <f t="shared" si="145"/>
        <v>1493.32</v>
      </c>
    </row>
    <row r="1671" spans="1:10" s="1" customFormat="1" ht="25.5" customHeight="1" x14ac:dyDescent="0.2">
      <c r="A1671" s="11" t="s">
        <v>78</v>
      </c>
      <c r="B1671" s="11" t="s">
        <v>151</v>
      </c>
      <c r="C1671" s="806" t="s">
        <v>152</v>
      </c>
      <c r="D1671" s="807"/>
      <c r="E1671" s="11" t="s">
        <v>102</v>
      </c>
      <c r="F1671" s="12">
        <v>2</v>
      </c>
      <c r="G1671" s="13">
        <v>1560.54</v>
      </c>
      <c r="H1671" s="13">
        <v>1991.09</v>
      </c>
      <c r="I1671" s="13">
        <f t="shared" si="144"/>
        <v>3121.08</v>
      </c>
      <c r="J1671" s="13">
        <f t="shared" si="145"/>
        <v>3982.18</v>
      </c>
    </row>
    <row r="1672" spans="1:10" s="1" customFormat="1" ht="25.5" customHeight="1" x14ac:dyDescent="0.2">
      <c r="A1672" s="11" t="s">
        <v>78</v>
      </c>
      <c r="B1672" s="11" t="s">
        <v>153</v>
      </c>
      <c r="C1672" s="806" t="s">
        <v>154</v>
      </c>
      <c r="D1672" s="807"/>
      <c r="E1672" s="11" t="s">
        <v>102</v>
      </c>
      <c r="F1672" s="12">
        <v>2</v>
      </c>
      <c r="G1672" s="13">
        <v>1950.67</v>
      </c>
      <c r="H1672" s="13">
        <v>2488.86</v>
      </c>
      <c r="I1672" s="13">
        <f t="shared" si="144"/>
        <v>3901.34</v>
      </c>
      <c r="J1672" s="13">
        <f t="shared" si="145"/>
        <v>4977.72</v>
      </c>
    </row>
    <row r="1673" spans="1:10" s="1" customFormat="1" ht="25.5" customHeight="1" x14ac:dyDescent="0.2">
      <c r="A1673" s="11" t="s">
        <v>78</v>
      </c>
      <c r="B1673" s="11" t="s">
        <v>155</v>
      </c>
      <c r="C1673" s="806" t="s">
        <v>156</v>
      </c>
      <c r="D1673" s="807"/>
      <c r="E1673" s="11" t="s">
        <v>102</v>
      </c>
      <c r="F1673" s="12">
        <v>5</v>
      </c>
      <c r="G1673" s="13">
        <v>2340.81</v>
      </c>
      <c r="H1673" s="13">
        <v>2986.64</v>
      </c>
      <c r="I1673" s="13">
        <f t="shared" si="144"/>
        <v>11704.05</v>
      </c>
      <c r="J1673" s="13">
        <f t="shared" si="145"/>
        <v>14933.199999999999</v>
      </c>
    </row>
    <row r="1674" spans="1:10" s="1" customFormat="1" ht="25.5" customHeight="1" x14ac:dyDescent="0.2">
      <c r="A1674" s="11" t="s">
        <v>78</v>
      </c>
      <c r="B1674" s="11" t="s">
        <v>157</v>
      </c>
      <c r="C1674" s="806" t="s">
        <v>158</v>
      </c>
      <c r="D1674" s="807"/>
      <c r="E1674" s="11" t="s">
        <v>102</v>
      </c>
      <c r="F1674" s="12">
        <v>4</v>
      </c>
      <c r="G1674" s="13">
        <v>3121.08</v>
      </c>
      <c r="H1674" s="13">
        <v>3982.19</v>
      </c>
      <c r="I1674" s="13">
        <f t="shared" si="144"/>
        <v>12484.32</v>
      </c>
      <c r="J1674" s="13">
        <f t="shared" si="145"/>
        <v>15928.76</v>
      </c>
    </row>
    <row r="1675" spans="1:10" s="1" customFormat="1" ht="25.5" customHeight="1" x14ac:dyDescent="0.2">
      <c r="A1675" s="11" t="s">
        <v>78</v>
      </c>
      <c r="B1675" s="11" t="s">
        <v>159</v>
      </c>
      <c r="C1675" s="806" t="s">
        <v>160</v>
      </c>
      <c r="D1675" s="807"/>
      <c r="E1675" s="11" t="s">
        <v>102</v>
      </c>
      <c r="F1675" s="12">
        <v>1</v>
      </c>
      <c r="G1675" s="13">
        <v>1137.9000000000001</v>
      </c>
      <c r="H1675" s="13">
        <v>1451.84</v>
      </c>
      <c r="I1675" s="13">
        <f t="shared" si="144"/>
        <v>1137.9000000000001</v>
      </c>
      <c r="J1675" s="13">
        <f t="shared" si="145"/>
        <v>1451.84</v>
      </c>
    </row>
    <row r="1676" spans="1:10" s="1" customFormat="1" ht="25.5" customHeight="1" x14ac:dyDescent="0.2">
      <c r="A1676" s="11" t="s">
        <v>161</v>
      </c>
      <c r="B1676" s="11" t="s">
        <v>162</v>
      </c>
      <c r="C1676" s="806" t="s">
        <v>163</v>
      </c>
      <c r="D1676" s="807"/>
      <c r="E1676" s="11" t="s">
        <v>14</v>
      </c>
      <c r="F1676" s="12">
        <v>10.26</v>
      </c>
      <c r="G1676" s="12">
        <v>18.63</v>
      </c>
      <c r="H1676" s="12">
        <v>23.77</v>
      </c>
      <c r="I1676" s="13">
        <f t="shared" si="144"/>
        <v>191.1438</v>
      </c>
      <c r="J1676" s="13">
        <f t="shared" si="145"/>
        <v>243.8802</v>
      </c>
    </row>
    <row r="1677" spans="1:10" s="1" customFormat="1" ht="25.5" customHeight="1" x14ac:dyDescent="0.2">
      <c r="A1677" s="11" t="s">
        <v>120</v>
      </c>
      <c r="B1677" s="11" t="s">
        <v>164</v>
      </c>
      <c r="C1677" s="806" t="s">
        <v>165</v>
      </c>
      <c r="D1677" s="807"/>
      <c r="E1677" s="11" t="s">
        <v>102</v>
      </c>
      <c r="F1677" s="12">
        <v>9</v>
      </c>
      <c r="G1677" s="12">
        <v>582.46</v>
      </c>
      <c r="H1677" s="12">
        <v>743.16</v>
      </c>
      <c r="I1677" s="13">
        <f t="shared" si="144"/>
        <v>5242.1400000000003</v>
      </c>
      <c r="J1677" s="13">
        <f t="shared" si="145"/>
        <v>6688.44</v>
      </c>
    </row>
    <row r="1678" spans="1:10" s="1" customFormat="1" ht="25.5" customHeight="1" x14ac:dyDescent="0.2">
      <c r="A1678" s="8"/>
      <c r="B1678" s="9" t="s">
        <v>172</v>
      </c>
      <c r="C1678" s="808" t="s">
        <v>173</v>
      </c>
      <c r="D1678" s="809"/>
      <c r="E1678" s="8"/>
      <c r="F1678" s="8"/>
      <c r="G1678" s="8"/>
      <c r="H1678" s="8"/>
      <c r="I1678" s="8"/>
      <c r="J1678" s="8"/>
    </row>
    <row r="1679" spans="1:10" s="1" customFormat="1" ht="25.5" customHeight="1" x14ac:dyDescent="0.2">
      <c r="A1679" s="10">
        <v>68054</v>
      </c>
      <c r="B1679" s="11" t="s">
        <v>174</v>
      </c>
      <c r="C1679" s="806" t="s">
        <v>175</v>
      </c>
      <c r="D1679" s="807"/>
      <c r="E1679" s="11" t="s">
        <v>102</v>
      </c>
      <c r="F1679" s="12">
        <v>5</v>
      </c>
      <c r="G1679" s="12">
        <v>180.11</v>
      </c>
      <c r="H1679" s="12">
        <v>229.8</v>
      </c>
      <c r="I1679" s="13">
        <f>F1679*G1679</f>
        <v>900.55000000000007</v>
      </c>
      <c r="J1679" s="13">
        <f>F1679*H1679</f>
        <v>1149</v>
      </c>
    </row>
    <row r="1680" spans="1:10" s="1" customFormat="1" ht="25.5" customHeight="1" x14ac:dyDescent="0.2">
      <c r="A1680" s="10">
        <v>68054</v>
      </c>
      <c r="B1680" s="11" t="s">
        <v>176</v>
      </c>
      <c r="C1680" s="806" t="s">
        <v>177</v>
      </c>
      <c r="D1680" s="807"/>
      <c r="E1680" s="11" t="s">
        <v>102</v>
      </c>
      <c r="F1680" s="12">
        <v>1</v>
      </c>
      <c r="G1680" s="12">
        <v>327.47000000000003</v>
      </c>
      <c r="H1680" s="12">
        <v>417.81</v>
      </c>
      <c r="I1680" s="13">
        <f>F1680*G1680</f>
        <v>327.47000000000003</v>
      </c>
      <c r="J1680" s="13">
        <f>F1680*H1680</f>
        <v>417.81</v>
      </c>
    </row>
    <row r="1681" spans="1:10" s="1" customFormat="1" ht="25.5" customHeight="1" x14ac:dyDescent="0.2">
      <c r="A1681" s="11" t="s">
        <v>178</v>
      </c>
      <c r="B1681" s="11" t="s">
        <v>179</v>
      </c>
      <c r="C1681" s="806" t="s">
        <v>180</v>
      </c>
      <c r="D1681" s="807"/>
      <c r="E1681" s="11" t="s">
        <v>14</v>
      </c>
      <c r="F1681" s="12">
        <v>12.6</v>
      </c>
      <c r="G1681" s="12">
        <v>381.87</v>
      </c>
      <c r="H1681" s="12">
        <v>487.23</v>
      </c>
      <c r="I1681" s="13">
        <f>F1681*G1681</f>
        <v>4811.5619999999999</v>
      </c>
      <c r="J1681" s="13">
        <f>F1681*H1681</f>
        <v>6139.098</v>
      </c>
    </row>
    <row r="1682" spans="1:10" s="1" customFormat="1" ht="25.5" customHeight="1" x14ac:dyDescent="0.2">
      <c r="A1682" s="8"/>
      <c r="B1682" s="803" t="s">
        <v>181</v>
      </c>
      <c r="C1682" s="804"/>
      <c r="D1682" s="804"/>
      <c r="E1682" s="804"/>
      <c r="F1682" s="804"/>
      <c r="G1682" s="805"/>
      <c r="H1682" s="8"/>
      <c r="I1682" s="18">
        <f>SUM(I1656:I1681)</f>
        <v>65962.245800000004</v>
      </c>
      <c r="J1682" s="18">
        <f>SUM(J1656:J1681)</f>
        <v>84161.418199999986</v>
      </c>
    </row>
    <row r="1683" spans="1:10" s="1" customFormat="1" ht="25.5" customHeight="1" x14ac:dyDescent="0.2">
      <c r="A1683" s="8"/>
      <c r="B1683" s="46"/>
      <c r="C1683" s="803" t="s">
        <v>182</v>
      </c>
      <c r="D1683" s="804"/>
      <c r="E1683" s="804"/>
      <c r="F1683" s="804"/>
      <c r="G1683" s="805"/>
      <c r="H1683" s="8"/>
      <c r="I1683" s="14">
        <f>SUM(I1682,I1653,)</f>
        <v>87198.065800000011</v>
      </c>
      <c r="J1683" s="15">
        <f>SUM(J1682,J1653)-0.1</f>
        <v>111256.13819999999</v>
      </c>
    </row>
    <row r="1684" spans="1:10" s="1" customFormat="1" ht="25.5" customHeight="1" x14ac:dyDescent="0.2">
      <c r="A1684" s="8"/>
      <c r="B1684" s="9" t="s">
        <v>183</v>
      </c>
      <c r="C1684" s="808" t="s">
        <v>184</v>
      </c>
      <c r="D1684" s="820"/>
      <c r="E1684" s="820"/>
      <c r="F1684" s="820"/>
      <c r="G1684" s="820"/>
      <c r="H1684" s="820"/>
      <c r="I1684" s="809"/>
      <c r="J1684" s="8"/>
    </row>
    <row r="1685" spans="1:10" s="1" customFormat="1" ht="25.5" customHeight="1" x14ac:dyDescent="0.2">
      <c r="A1685" s="11" t="s">
        <v>185</v>
      </c>
      <c r="B1685" s="11" t="s">
        <v>186</v>
      </c>
      <c r="C1685" s="806" t="s">
        <v>187</v>
      </c>
      <c r="D1685" s="807"/>
      <c r="E1685" s="11" t="s">
        <v>14</v>
      </c>
      <c r="F1685" s="12">
        <v>13.8</v>
      </c>
      <c r="G1685" s="12">
        <v>319.5</v>
      </c>
      <c r="H1685" s="12">
        <v>407.65</v>
      </c>
      <c r="I1685" s="13">
        <f>F1685*G1685</f>
        <v>4409.1000000000004</v>
      </c>
      <c r="J1685" s="13">
        <f>F1685*H1685</f>
        <v>5625.57</v>
      </c>
    </row>
    <row r="1686" spans="1:10" s="1" customFormat="1" ht="25.5" customHeight="1" x14ac:dyDescent="0.2">
      <c r="A1686" s="10">
        <v>85005</v>
      </c>
      <c r="B1686" s="11" t="s">
        <v>188</v>
      </c>
      <c r="C1686" s="806" t="s">
        <v>189</v>
      </c>
      <c r="D1686" s="807"/>
      <c r="E1686" s="11" t="s">
        <v>14</v>
      </c>
      <c r="F1686" s="12">
        <v>7</v>
      </c>
      <c r="G1686" s="12">
        <v>347.14</v>
      </c>
      <c r="H1686" s="12">
        <v>442.91</v>
      </c>
      <c r="I1686" s="13">
        <f>F1686*G1686</f>
        <v>2429.98</v>
      </c>
      <c r="J1686" s="13">
        <f>F1686*H1686</f>
        <v>3100.3700000000003</v>
      </c>
    </row>
    <row r="1687" spans="1:10" s="1" customFormat="1" ht="25.5" customHeight="1" x14ac:dyDescent="0.2">
      <c r="A1687" s="8"/>
      <c r="B1687" s="803" t="s">
        <v>190</v>
      </c>
      <c r="C1687" s="804"/>
      <c r="D1687" s="804"/>
      <c r="E1687" s="804"/>
      <c r="F1687" s="804"/>
      <c r="G1687" s="805"/>
      <c r="H1687" s="8"/>
      <c r="I1687" s="14">
        <f>SUM(I1685:I1686)-0.01</f>
        <v>6839.07</v>
      </c>
      <c r="J1687" s="15">
        <f>SUM(J1685:J1686)</f>
        <v>8725.94</v>
      </c>
    </row>
    <row r="1688" spans="1:10" s="1" customFormat="1" ht="25.5" customHeight="1" x14ac:dyDescent="0.2">
      <c r="A1688" s="8"/>
      <c r="B1688" s="9" t="s">
        <v>191</v>
      </c>
      <c r="C1688" s="808" t="s">
        <v>192</v>
      </c>
      <c r="D1688" s="820"/>
      <c r="E1688" s="820"/>
      <c r="F1688" s="820"/>
      <c r="G1688" s="820"/>
      <c r="H1688" s="820"/>
      <c r="I1688" s="809"/>
      <c r="J1688" s="8"/>
    </row>
    <row r="1689" spans="1:10" s="1" customFormat="1" ht="25.5" customHeight="1" x14ac:dyDescent="0.2">
      <c r="A1689" s="10">
        <v>92539</v>
      </c>
      <c r="B1689" s="11" t="s">
        <v>193</v>
      </c>
      <c r="C1689" s="806" t="s">
        <v>194</v>
      </c>
      <c r="D1689" s="807"/>
      <c r="E1689" s="11" t="s">
        <v>14</v>
      </c>
      <c r="F1689" s="13">
        <v>1271.78</v>
      </c>
      <c r="G1689" s="12">
        <v>52.1</v>
      </c>
      <c r="H1689" s="12">
        <v>66.48</v>
      </c>
      <c r="I1689" s="13">
        <f t="shared" ref="I1689:I1694" si="146">F1689*G1689</f>
        <v>66259.737999999998</v>
      </c>
      <c r="J1689" s="13">
        <f t="shared" ref="J1689:J1694" si="147">F1689*H1689</f>
        <v>84547.934399999998</v>
      </c>
    </row>
    <row r="1690" spans="1:10" s="1" customFormat="1" ht="25.5" customHeight="1" x14ac:dyDescent="0.2">
      <c r="A1690" s="10">
        <v>94195</v>
      </c>
      <c r="B1690" s="11" t="s">
        <v>195</v>
      </c>
      <c r="C1690" s="806" t="s">
        <v>196</v>
      </c>
      <c r="D1690" s="807"/>
      <c r="E1690" s="11" t="s">
        <v>14</v>
      </c>
      <c r="F1690" s="13">
        <v>1264.78</v>
      </c>
      <c r="G1690" s="12">
        <v>15.24</v>
      </c>
      <c r="H1690" s="12">
        <v>19.440000000000001</v>
      </c>
      <c r="I1690" s="13">
        <f t="shared" si="146"/>
        <v>19275.247200000002</v>
      </c>
      <c r="J1690" s="13">
        <f t="shared" si="147"/>
        <v>24587.323200000003</v>
      </c>
    </row>
    <row r="1691" spans="1:10" s="1" customFormat="1" ht="25.5" customHeight="1" x14ac:dyDescent="0.2">
      <c r="A1691" s="10">
        <v>94444</v>
      </c>
      <c r="B1691" s="11" t="s">
        <v>197</v>
      </c>
      <c r="C1691" s="806" t="s">
        <v>198</v>
      </c>
      <c r="D1691" s="807"/>
      <c r="E1691" s="11" t="s">
        <v>14</v>
      </c>
      <c r="F1691" s="12">
        <v>7</v>
      </c>
      <c r="G1691" s="12">
        <v>584.54999999999995</v>
      </c>
      <c r="H1691" s="12">
        <v>745.83</v>
      </c>
      <c r="I1691" s="13">
        <f t="shared" si="146"/>
        <v>4091.8499999999995</v>
      </c>
      <c r="J1691" s="13">
        <f t="shared" si="147"/>
        <v>5220.8100000000004</v>
      </c>
    </row>
    <row r="1692" spans="1:10" s="1" customFormat="1" ht="25.5" customHeight="1" x14ac:dyDescent="0.2">
      <c r="A1692" s="10">
        <v>94219</v>
      </c>
      <c r="B1692" s="11" t="s">
        <v>199</v>
      </c>
      <c r="C1692" s="806" t="s">
        <v>200</v>
      </c>
      <c r="D1692" s="807"/>
      <c r="E1692" s="11" t="s">
        <v>81</v>
      </c>
      <c r="F1692" s="12">
        <v>154.99</v>
      </c>
      <c r="G1692" s="12">
        <v>18.86</v>
      </c>
      <c r="H1692" s="12">
        <v>24.07</v>
      </c>
      <c r="I1692" s="13">
        <f t="shared" si="146"/>
        <v>2923.1114000000002</v>
      </c>
      <c r="J1692" s="13">
        <f t="shared" si="147"/>
        <v>3730.6093000000001</v>
      </c>
    </row>
    <row r="1693" spans="1:10" s="1" customFormat="1" ht="25.5" customHeight="1" x14ac:dyDescent="0.2">
      <c r="A1693" s="10">
        <v>94228</v>
      </c>
      <c r="B1693" s="11" t="s">
        <v>201</v>
      </c>
      <c r="C1693" s="806" t="s">
        <v>202</v>
      </c>
      <c r="D1693" s="807"/>
      <c r="E1693" s="11" t="s">
        <v>81</v>
      </c>
      <c r="F1693" s="12">
        <v>2.5</v>
      </c>
      <c r="G1693" s="12">
        <v>42.78</v>
      </c>
      <c r="H1693" s="12">
        <v>54.58</v>
      </c>
      <c r="I1693" s="13">
        <f t="shared" si="146"/>
        <v>106.95</v>
      </c>
      <c r="J1693" s="13">
        <f t="shared" si="147"/>
        <v>136.44999999999999</v>
      </c>
    </row>
    <row r="1694" spans="1:10" s="1" customFormat="1" ht="25.5" customHeight="1" x14ac:dyDescent="0.2">
      <c r="A1694" s="11" t="s">
        <v>203</v>
      </c>
      <c r="B1694" s="11" t="s">
        <v>204</v>
      </c>
      <c r="C1694" s="806" t="s">
        <v>205</v>
      </c>
      <c r="D1694" s="807"/>
      <c r="E1694" s="11" t="s">
        <v>81</v>
      </c>
      <c r="F1694" s="12">
        <v>107</v>
      </c>
      <c r="G1694" s="12">
        <v>20.81</v>
      </c>
      <c r="H1694" s="12">
        <v>26.55</v>
      </c>
      <c r="I1694" s="13">
        <f t="shared" si="146"/>
        <v>2226.67</v>
      </c>
      <c r="J1694" s="13">
        <f t="shared" si="147"/>
        <v>2840.85</v>
      </c>
    </row>
    <row r="1695" spans="1:10" s="1" customFormat="1" ht="25.5" customHeight="1" x14ac:dyDescent="0.2">
      <c r="A1695" s="8"/>
      <c r="B1695" s="803" t="s">
        <v>206</v>
      </c>
      <c r="C1695" s="804"/>
      <c r="D1695" s="804"/>
      <c r="E1695" s="804"/>
      <c r="F1695" s="804"/>
      <c r="G1695" s="805"/>
      <c r="H1695" s="8"/>
      <c r="I1695" s="14">
        <f>SUM(I1689:I1694)-2.4</f>
        <v>94881.166599999997</v>
      </c>
      <c r="J1695" s="15">
        <f>SUM(J1689:J1694)-4.9</f>
        <v>121059.0769</v>
      </c>
    </row>
    <row r="1696" spans="1:10" s="1" customFormat="1" ht="25.5" customHeight="1" x14ac:dyDescent="0.2">
      <c r="A1696" s="8"/>
      <c r="B1696" s="9" t="s">
        <v>207</v>
      </c>
      <c r="C1696" s="808" t="s">
        <v>208</v>
      </c>
      <c r="D1696" s="820"/>
      <c r="E1696" s="820"/>
      <c r="F1696" s="820"/>
      <c r="G1696" s="820"/>
      <c r="H1696" s="820"/>
      <c r="I1696" s="809"/>
      <c r="J1696" s="8"/>
    </row>
    <row r="1697" spans="1:10" s="1" customFormat="1" ht="25.5" customHeight="1" x14ac:dyDescent="0.2">
      <c r="A1697" s="11" t="s">
        <v>209</v>
      </c>
      <c r="B1697" s="11" t="s">
        <v>210</v>
      </c>
      <c r="C1697" s="806" t="s">
        <v>211</v>
      </c>
      <c r="D1697" s="807"/>
      <c r="E1697" s="11" t="s">
        <v>14</v>
      </c>
      <c r="F1697" s="12">
        <v>755</v>
      </c>
      <c r="G1697" s="12">
        <v>7.73</v>
      </c>
      <c r="H1697" s="12">
        <v>9.86</v>
      </c>
      <c r="I1697" s="13">
        <f>F1697*G1697</f>
        <v>5836.1500000000005</v>
      </c>
      <c r="J1697" s="13">
        <f>F1697*H1697</f>
        <v>7444.2999999999993</v>
      </c>
    </row>
    <row r="1698" spans="1:10" s="1" customFormat="1" ht="25.5" customHeight="1" x14ac:dyDescent="0.2">
      <c r="A1698" s="11" t="s">
        <v>212</v>
      </c>
      <c r="B1698" s="11" t="s">
        <v>213</v>
      </c>
      <c r="C1698" s="806" t="s">
        <v>214</v>
      </c>
      <c r="D1698" s="807"/>
      <c r="E1698" s="11" t="s">
        <v>14</v>
      </c>
      <c r="F1698" s="12">
        <v>77</v>
      </c>
      <c r="G1698" s="12">
        <v>29.51</v>
      </c>
      <c r="H1698" s="12">
        <v>37.65</v>
      </c>
      <c r="I1698" s="13">
        <f>F1698*G1698</f>
        <v>2272.27</v>
      </c>
      <c r="J1698" s="13">
        <f>F1698*H1698</f>
        <v>2899.0499999999997</v>
      </c>
    </row>
    <row r="1699" spans="1:10" s="1" customFormat="1" ht="25.5" customHeight="1" x14ac:dyDescent="0.2">
      <c r="A1699" s="11" t="s">
        <v>215</v>
      </c>
      <c r="B1699" s="11" t="s">
        <v>216</v>
      </c>
      <c r="C1699" s="806" t="s">
        <v>217</v>
      </c>
      <c r="D1699" s="807"/>
      <c r="E1699" s="11" t="s">
        <v>14</v>
      </c>
      <c r="F1699" s="12">
        <v>105</v>
      </c>
      <c r="G1699" s="12">
        <v>14.07</v>
      </c>
      <c r="H1699" s="12">
        <v>17.95</v>
      </c>
      <c r="I1699" s="13">
        <f>F1699*G1699</f>
        <v>1477.3500000000001</v>
      </c>
      <c r="J1699" s="13">
        <f>F1699*H1699</f>
        <v>1884.75</v>
      </c>
    </row>
    <row r="1700" spans="1:10" s="1" customFormat="1" ht="25.5" customHeight="1" x14ac:dyDescent="0.2">
      <c r="A1700" s="11" t="s">
        <v>215</v>
      </c>
      <c r="B1700" s="11" t="s">
        <v>218</v>
      </c>
      <c r="C1700" s="806" t="s">
        <v>219</v>
      </c>
      <c r="D1700" s="807"/>
      <c r="E1700" s="11" t="s">
        <v>14</v>
      </c>
      <c r="F1700" s="12">
        <v>221.45</v>
      </c>
      <c r="G1700" s="12">
        <v>14.07</v>
      </c>
      <c r="H1700" s="12">
        <v>17.95</v>
      </c>
      <c r="I1700" s="13">
        <f>F1700*G1700</f>
        <v>3115.8015</v>
      </c>
      <c r="J1700" s="13">
        <f>F1700*H1700</f>
        <v>3975.0274999999997</v>
      </c>
    </row>
    <row r="1701" spans="1:10" s="1" customFormat="1" ht="25.5" customHeight="1" x14ac:dyDescent="0.2">
      <c r="A1701" s="8"/>
      <c r="B1701" s="803" t="s">
        <v>220</v>
      </c>
      <c r="C1701" s="804"/>
      <c r="D1701" s="804"/>
      <c r="E1701" s="804"/>
      <c r="F1701" s="804"/>
      <c r="G1701" s="805"/>
      <c r="H1701" s="8"/>
      <c r="I1701" s="14">
        <f>SUM(I1697:I1700)-0.2</f>
        <v>12701.371499999999</v>
      </c>
      <c r="J1701" s="15">
        <f>SUM(J1697:J1700)</f>
        <v>16203.127499999999</v>
      </c>
    </row>
    <row r="1702" spans="1:10" s="1" customFormat="1" ht="25.5" customHeight="1" x14ac:dyDescent="0.2">
      <c r="A1702" s="8"/>
      <c r="B1702" s="9" t="s">
        <v>221</v>
      </c>
      <c r="C1702" s="808" t="s">
        <v>222</v>
      </c>
      <c r="D1702" s="820"/>
      <c r="E1702" s="820"/>
      <c r="F1702" s="820"/>
      <c r="G1702" s="820"/>
      <c r="H1702" s="820"/>
      <c r="I1702" s="809"/>
      <c r="J1702" s="8"/>
    </row>
    <row r="1703" spans="1:10" s="1" customFormat="1" ht="25.5" customHeight="1" x14ac:dyDescent="0.2">
      <c r="A1703" s="8"/>
      <c r="B1703" s="9" t="s">
        <v>223</v>
      </c>
      <c r="C1703" s="808" t="s">
        <v>224</v>
      </c>
      <c r="D1703" s="820"/>
      <c r="E1703" s="820"/>
      <c r="F1703" s="820"/>
      <c r="G1703" s="820"/>
      <c r="H1703" s="820"/>
      <c r="I1703" s="809"/>
      <c r="J1703" s="8"/>
    </row>
    <row r="1704" spans="1:10" s="1" customFormat="1" ht="25.5" customHeight="1" x14ac:dyDescent="0.2">
      <c r="A1704" s="8"/>
      <c r="B1704" s="9" t="s">
        <v>225</v>
      </c>
      <c r="C1704" s="808" t="s">
        <v>226</v>
      </c>
      <c r="D1704" s="809"/>
      <c r="E1704" s="8"/>
      <c r="F1704" s="8"/>
      <c r="G1704" s="8"/>
      <c r="H1704" s="8"/>
      <c r="I1704" s="8"/>
      <c r="J1704" s="8"/>
    </row>
    <row r="1705" spans="1:10" s="1" customFormat="1" ht="25.5" customHeight="1" x14ac:dyDescent="0.2">
      <c r="A1705" s="10">
        <v>87775</v>
      </c>
      <c r="B1705" s="11" t="s">
        <v>227</v>
      </c>
      <c r="C1705" s="806" t="s">
        <v>228</v>
      </c>
      <c r="D1705" s="807"/>
      <c r="E1705" s="11" t="s">
        <v>14</v>
      </c>
      <c r="F1705" s="12">
        <v>959.21</v>
      </c>
      <c r="G1705" s="12">
        <v>37.78</v>
      </c>
      <c r="H1705" s="12">
        <v>48.21</v>
      </c>
      <c r="I1705" s="13">
        <f>F1705*G1705</f>
        <v>36238.953800000003</v>
      </c>
      <c r="J1705" s="13">
        <f>F1705*H1705</f>
        <v>46243.5141</v>
      </c>
    </row>
    <row r="1706" spans="1:10" s="1" customFormat="1" ht="25.5" customHeight="1" x14ac:dyDescent="0.2">
      <c r="A1706" s="11" t="s">
        <v>229</v>
      </c>
      <c r="B1706" s="11" t="s">
        <v>230</v>
      </c>
      <c r="C1706" s="806" t="s">
        <v>231</v>
      </c>
      <c r="D1706" s="807"/>
      <c r="E1706" s="11" t="s">
        <v>14</v>
      </c>
      <c r="F1706" s="12">
        <v>809.07</v>
      </c>
      <c r="G1706" s="12">
        <v>21.63</v>
      </c>
      <c r="H1706" s="12">
        <v>27.59</v>
      </c>
      <c r="I1706" s="13">
        <f>F1706*G1706</f>
        <v>17500.184099999999</v>
      </c>
      <c r="J1706" s="13">
        <f>F1706*H1706</f>
        <v>22322.241300000002</v>
      </c>
    </row>
    <row r="1707" spans="1:10" s="1" customFormat="1" ht="25.5" customHeight="1" x14ac:dyDescent="0.2">
      <c r="A1707" s="10">
        <v>87265</v>
      </c>
      <c r="B1707" s="11" t="s">
        <v>232</v>
      </c>
      <c r="C1707" s="806" t="s">
        <v>233</v>
      </c>
      <c r="D1707" s="807"/>
      <c r="E1707" s="11" t="s">
        <v>14</v>
      </c>
      <c r="F1707" s="12">
        <v>959.21</v>
      </c>
      <c r="G1707" s="12">
        <v>31.09</v>
      </c>
      <c r="H1707" s="12">
        <v>39.659999999999997</v>
      </c>
      <c r="I1707" s="13">
        <f>F1707*G1707</f>
        <v>29821.838900000002</v>
      </c>
      <c r="J1707" s="13">
        <f>F1707*H1707</f>
        <v>38042.268599999996</v>
      </c>
    </row>
    <row r="1708" spans="1:10" s="1" customFormat="1" ht="25.5" customHeight="1" x14ac:dyDescent="0.2">
      <c r="A1708" s="8"/>
      <c r="B1708" s="9" t="s">
        <v>234</v>
      </c>
      <c r="C1708" s="808" t="s">
        <v>235</v>
      </c>
      <c r="D1708" s="809"/>
      <c r="E1708" s="8"/>
      <c r="F1708" s="8"/>
      <c r="G1708" s="8"/>
      <c r="H1708" s="8"/>
      <c r="I1708" s="8"/>
      <c r="J1708" s="8"/>
    </row>
    <row r="1709" spans="1:10" s="1" customFormat="1" ht="25.5" customHeight="1" x14ac:dyDescent="0.2">
      <c r="A1709" s="11" t="s">
        <v>236</v>
      </c>
      <c r="B1709" s="11" t="s">
        <v>237</v>
      </c>
      <c r="C1709" s="806" t="s">
        <v>231</v>
      </c>
      <c r="D1709" s="807"/>
      <c r="E1709" s="11" t="s">
        <v>14</v>
      </c>
      <c r="F1709" s="12">
        <v>724.74</v>
      </c>
      <c r="G1709" s="12">
        <v>22.03</v>
      </c>
      <c r="H1709" s="12">
        <v>28.11</v>
      </c>
      <c r="I1709" s="13">
        <f>F1709*G1709</f>
        <v>15966.022200000001</v>
      </c>
      <c r="J1709" s="13">
        <f>F1709*H1709</f>
        <v>20372.4414</v>
      </c>
    </row>
    <row r="1710" spans="1:10" s="1" customFormat="1" ht="25.5" customHeight="1" x14ac:dyDescent="0.2">
      <c r="A1710" s="8"/>
      <c r="B1710" s="803" t="s">
        <v>238</v>
      </c>
      <c r="C1710" s="804"/>
      <c r="D1710" s="804"/>
      <c r="E1710" s="804"/>
      <c r="F1710" s="804"/>
      <c r="G1710" s="805"/>
      <c r="H1710" s="8"/>
      <c r="I1710" s="18">
        <f>SUM(I1705:I1709)</f>
        <v>99526.999000000011</v>
      </c>
      <c r="J1710" s="18">
        <f>SUM(J1705:J1709)</f>
        <v>126980.46539999999</v>
      </c>
    </row>
    <row r="1711" spans="1:10" s="1" customFormat="1" ht="25.5" customHeight="1" x14ac:dyDescent="0.2">
      <c r="A1711" s="8"/>
      <c r="B1711" s="9" t="s">
        <v>239</v>
      </c>
      <c r="C1711" s="808" t="s">
        <v>240</v>
      </c>
      <c r="D1711" s="820"/>
      <c r="E1711" s="820"/>
      <c r="F1711" s="820"/>
      <c r="G1711" s="820"/>
      <c r="H1711" s="820"/>
      <c r="I1711" s="809"/>
      <c r="J1711" s="8"/>
    </row>
    <row r="1712" spans="1:10" s="1" customFormat="1" ht="25.5" customHeight="1" x14ac:dyDescent="0.2">
      <c r="A1712" s="8"/>
      <c r="B1712" s="9" t="s">
        <v>241</v>
      </c>
      <c r="C1712" s="808" t="s">
        <v>242</v>
      </c>
      <c r="D1712" s="809"/>
      <c r="E1712" s="8"/>
      <c r="F1712" s="8"/>
      <c r="G1712" s="8"/>
      <c r="H1712" s="8"/>
      <c r="I1712" s="8"/>
      <c r="J1712" s="8"/>
    </row>
    <row r="1713" spans="1:11" s="1" customFormat="1" ht="25.5" customHeight="1" x14ac:dyDescent="0.2">
      <c r="A1713" s="10">
        <v>87905</v>
      </c>
      <c r="B1713" s="11" t="s">
        <v>243</v>
      </c>
      <c r="C1713" s="806" t="s">
        <v>244</v>
      </c>
      <c r="D1713" s="807"/>
      <c r="E1713" s="11" t="s">
        <v>14</v>
      </c>
      <c r="F1713" s="13">
        <v>1036.82</v>
      </c>
      <c r="G1713" s="12">
        <v>5.81</v>
      </c>
      <c r="H1713" s="12">
        <v>7.41</v>
      </c>
      <c r="I1713" s="13">
        <f>F1713*G1713</f>
        <v>6023.9241999999995</v>
      </c>
      <c r="J1713" s="13">
        <f>F1713*H1713</f>
        <v>7682.8361999999997</v>
      </c>
    </row>
    <row r="1714" spans="1:11" s="1" customFormat="1" ht="25.5" customHeight="1" x14ac:dyDescent="0.2">
      <c r="A1714" s="10">
        <v>87775</v>
      </c>
      <c r="B1714" s="11" t="s">
        <v>245</v>
      </c>
      <c r="C1714" s="806" t="s">
        <v>228</v>
      </c>
      <c r="D1714" s="807"/>
      <c r="E1714" s="11" t="s">
        <v>14</v>
      </c>
      <c r="F1714" s="12">
        <v>460.27</v>
      </c>
      <c r="G1714" s="12">
        <v>37.78</v>
      </c>
      <c r="H1714" s="12">
        <v>48.21</v>
      </c>
      <c r="I1714" s="13">
        <f>F1714*G1714</f>
        <v>17389.000599999999</v>
      </c>
      <c r="J1714" s="13">
        <f>F1714*H1714</f>
        <v>22189.616699999999</v>
      </c>
    </row>
    <row r="1715" spans="1:11" s="1" customFormat="1" ht="25.5" customHeight="1" x14ac:dyDescent="0.2">
      <c r="A1715" s="11" t="s">
        <v>229</v>
      </c>
      <c r="B1715" s="11" t="s">
        <v>246</v>
      </c>
      <c r="C1715" s="806" t="s">
        <v>231</v>
      </c>
      <c r="D1715" s="807"/>
      <c r="E1715" s="11" t="s">
        <v>14</v>
      </c>
      <c r="F1715" s="12">
        <v>576.54999999999995</v>
      </c>
      <c r="G1715" s="12">
        <v>21.63</v>
      </c>
      <c r="H1715" s="12">
        <v>27.59</v>
      </c>
      <c r="I1715" s="13">
        <f>F1715*G1715</f>
        <v>12470.776499999998</v>
      </c>
      <c r="J1715" s="13">
        <f>F1715*H1715</f>
        <v>15907.014499999999</v>
      </c>
    </row>
    <row r="1716" spans="1:11" s="1" customFormat="1" ht="25.5" customHeight="1" x14ac:dyDescent="0.2">
      <c r="A1716" s="11" t="s">
        <v>247</v>
      </c>
      <c r="B1716" s="11" t="s">
        <v>248</v>
      </c>
      <c r="C1716" s="806" t="s">
        <v>249</v>
      </c>
      <c r="D1716" s="807"/>
      <c r="E1716" s="11" t="s">
        <v>14</v>
      </c>
      <c r="F1716" s="12">
        <v>460.27</v>
      </c>
      <c r="G1716" s="12">
        <v>38.770000000000003</v>
      </c>
      <c r="H1716" s="12">
        <v>49.47</v>
      </c>
      <c r="I1716" s="13">
        <f>F1716*G1716</f>
        <v>17844.6679</v>
      </c>
      <c r="J1716" s="13">
        <f>F1716*H1716</f>
        <v>22769.5569</v>
      </c>
    </row>
    <row r="1717" spans="1:11" s="1" customFormat="1" ht="25.5" customHeight="1" x14ac:dyDescent="0.2">
      <c r="A1717" s="8"/>
      <c r="B1717" s="803" t="s">
        <v>250</v>
      </c>
      <c r="C1717" s="804"/>
      <c r="D1717" s="804"/>
      <c r="E1717" s="804"/>
      <c r="F1717" s="804"/>
      <c r="G1717" s="805"/>
      <c r="H1717" s="8"/>
      <c r="I1717" s="18">
        <f>SUM(I1713:I1716)</f>
        <v>53728.369200000001</v>
      </c>
      <c r="J1717" s="18">
        <f>SUM(J1713:J1716)</f>
        <v>68549.02429999999</v>
      </c>
    </row>
    <row r="1718" spans="1:11" s="1" customFormat="1" ht="25.5" customHeight="1" x14ac:dyDescent="0.2">
      <c r="A1718" s="8"/>
      <c r="B1718" s="803" t="s">
        <v>251</v>
      </c>
      <c r="C1718" s="804"/>
      <c r="D1718" s="804"/>
      <c r="E1718" s="804"/>
      <c r="F1718" s="804"/>
      <c r="G1718" s="805"/>
      <c r="H1718" s="8"/>
      <c r="I1718" s="14">
        <f>SUM(I1710,I1717)-7.97</f>
        <v>153247.39820000003</v>
      </c>
      <c r="J1718" s="15">
        <f>SUM(J1710,J1717)-1.3</f>
        <v>195528.18969999999</v>
      </c>
      <c r="K1718" s="49"/>
    </row>
    <row r="1719" spans="1:11" s="1" customFormat="1" ht="25.5" customHeight="1" x14ac:dyDescent="0.2">
      <c r="A1719" s="8"/>
      <c r="B1719" s="9" t="s">
        <v>252</v>
      </c>
      <c r="C1719" s="808" t="s">
        <v>253</v>
      </c>
      <c r="D1719" s="820"/>
      <c r="E1719" s="820"/>
      <c r="F1719" s="820"/>
      <c r="G1719" s="820"/>
      <c r="H1719" s="820"/>
      <c r="I1719" s="809"/>
      <c r="J1719" s="8"/>
    </row>
    <row r="1720" spans="1:11" s="1" customFormat="1" ht="25.5" customHeight="1" x14ac:dyDescent="0.2">
      <c r="A1720" s="10">
        <v>98572</v>
      </c>
      <c r="B1720" s="11" t="s">
        <v>254</v>
      </c>
      <c r="C1720" s="806" t="s">
        <v>255</v>
      </c>
      <c r="D1720" s="807"/>
      <c r="E1720" s="11" t="s">
        <v>14</v>
      </c>
      <c r="F1720" s="13">
        <v>1707</v>
      </c>
      <c r="G1720" s="12">
        <v>29.86</v>
      </c>
      <c r="H1720" s="12">
        <v>38.1</v>
      </c>
      <c r="I1720" s="13">
        <f t="shared" ref="I1720:I1726" si="148">F1720*G1720</f>
        <v>50971.02</v>
      </c>
      <c r="J1720" s="13">
        <f t="shared" ref="J1720:J1726" si="149">F1720*H1720</f>
        <v>65036.700000000004</v>
      </c>
    </row>
    <row r="1721" spans="1:11" s="1" customFormat="1" ht="25.5" customHeight="1" x14ac:dyDescent="0.2">
      <c r="A1721" s="10">
        <v>98560</v>
      </c>
      <c r="B1721" s="11" t="s">
        <v>256</v>
      </c>
      <c r="C1721" s="806" t="s">
        <v>257</v>
      </c>
      <c r="D1721" s="807"/>
      <c r="E1721" s="11" t="s">
        <v>14</v>
      </c>
      <c r="F1721" s="13">
        <v>1304.0999999999999</v>
      </c>
      <c r="G1721" s="12">
        <v>32.090000000000003</v>
      </c>
      <c r="H1721" s="12">
        <v>40.94</v>
      </c>
      <c r="I1721" s="13">
        <f t="shared" si="148"/>
        <v>41848.569000000003</v>
      </c>
      <c r="J1721" s="13">
        <f t="shared" si="149"/>
        <v>53389.853999999992</v>
      </c>
    </row>
    <row r="1722" spans="1:11" s="1" customFormat="1" ht="25.5" customHeight="1" x14ac:dyDescent="0.2">
      <c r="A1722" s="10">
        <v>92391</v>
      </c>
      <c r="B1722" s="11" t="s">
        <v>258</v>
      </c>
      <c r="C1722" s="806" t="s">
        <v>259</v>
      </c>
      <c r="D1722" s="807"/>
      <c r="E1722" s="11" t="s">
        <v>14</v>
      </c>
      <c r="F1722" s="12">
        <v>224</v>
      </c>
      <c r="G1722" s="12">
        <v>46.88</v>
      </c>
      <c r="H1722" s="12">
        <v>59.82</v>
      </c>
      <c r="I1722" s="13">
        <f t="shared" si="148"/>
        <v>10501.12</v>
      </c>
      <c r="J1722" s="13">
        <f t="shared" si="149"/>
        <v>13399.68</v>
      </c>
    </row>
    <row r="1723" spans="1:11" s="1" customFormat="1" ht="25.5" customHeight="1" x14ac:dyDescent="0.2">
      <c r="A1723" s="11" t="s">
        <v>260</v>
      </c>
      <c r="B1723" s="11" t="s">
        <v>261</v>
      </c>
      <c r="C1723" s="806" t="s">
        <v>262</v>
      </c>
      <c r="D1723" s="807"/>
      <c r="E1723" s="11" t="s">
        <v>14</v>
      </c>
      <c r="F1723" s="12">
        <v>36</v>
      </c>
      <c r="G1723" s="12">
        <v>31.2</v>
      </c>
      <c r="H1723" s="12">
        <v>39.81</v>
      </c>
      <c r="I1723" s="13">
        <f t="shared" si="148"/>
        <v>1123.2</v>
      </c>
      <c r="J1723" s="13">
        <f t="shared" si="149"/>
        <v>1433.16</v>
      </c>
    </row>
    <row r="1724" spans="1:11" s="1" customFormat="1" ht="25.5" customHeight="1" x14ac:dyDescent="0.2">
      <c r="A1724" s="10">
        <v>88477</v>
      </c>
      <c r="B1724" s="11" t="s">
        <v>265</v>
      </c>
      <c r="C1724" s="806" t="s">
        <v>264</v>
      </c>
      <c r="D1724" s="807"/>
      <c r="E1724" s="11" t="s">
        <v>14</v>
      </c>
      <c r="F1724" s="12">
        <v>470</v>
      </c>
      <c r="G1724" s="12">
        <v>19.170000000000002</v>
      </c>
      <c r="H1724" s="12">
        <v>24.46</v>
      </c>
      <c r="I1724" s="13">
        <f t="shared" si="148"/>
        <v>9009.9000000000015</v>
      </c>
      <c r="J1724" s="13">
        <f t="shared" si="149"/>
        <v>11496.2</v>
      </c>
    </row>
    <row r="1725" spans="1:11" s="1" customFormat="1" ht="25.5" customHeight="1" x14ac:dyDescent="0.2">
      <c r="A1725" s="10">
        <v>84191</v>
      </c>
      <c r="B1725" s="11" t="s">
        <v>268</v>
      </c>
      <c r="C1725" s="806" t="s">
        <v>266</v>
      </c>
      <c r="D1725" s="807"/>
      <c r="E1725" s="11" t="s">
        <v>14</v>
      </c>
      <c r="F1725" s="12">
        <v>885</v>
      </c>
      <c r="G1725" s="12">
        <v>98.11</v>
      </c>
      <c r="H1725" s="12">
        <v>125.18</v>
      </c>
      <c r="I1725" s="13">
        <f t="shared" si="148"/>
        <v>86827.35</v>
      </c>
      <c r="J1725" s="13">
        <f t="shared" si="149"/>
        <v>110784.3</v>
      </c>
    </row>
    <row r="1726" spans="1:11" s="1" customFormat="1" ht="25.5" customHeight="1" x14ac:dyDescent="0.2">
      <c r="A1726" s="11" t="s">
        <v>267</v>
      </c>
      <c r="B1726" s="11" t="s">
        <v>1268</v>
      </c>
      <c r="C1726" s="806" t="s">
        <v>269</v>
      </c>
      <c r="D1726" s="807"/>
      <c r="E1726" s="11" t="s">
        <v>81</v>
      </c>
      <c r="F1726" s="12">
        <v>77</v>
      </c>
      <c r="G1726" s="12">
        <v>174.65</v>
      </c>
      <c r="H1726" s="12">
        <v>222.84</v>
      </c>
      <c r="I1726" s="13">
        <f t="shared" si="148"/>
        <v>13448.050000000001</v>
      </c>
      <c r="J1726" s="13">
        <f t="shared" si="149"/>
        <v>17158.68</v>
      </c>
    </row>
    <row r="1727" spans="1:11" s="1" customFormat="1" ht="25.5" customHeight="1" x14ac:dyDescent="0.2">
      <c r="A1727" s="8"/>
      <c r="B1727" s="803" t="s">
        <v>270</v>
      </c>
      <c r="C1727" s="804"/>
      <c r="D1727" s="804"/>
      <c r="E1727" s="804"/>
      <c r="F1727" s="804"/>
      <c r="G1727" s="805"/>
      <c r="H1727" s="8"/>
      <c r="I1727" s="14">
        <f>SUM(I1720:I1726)-4</f>
        <v>213725.209</v>
      </c>
      <c r="J1727" s="15">
        <f>SUM(J1720:J1726)-6</f>
        <v>272692.57400000002</v>
      </c>
    </row>
    <row r="1728" spans="1:11" s="1" customFormat="1" ht="25.5" customHeight="1" x14ac:dyDescent="0.2">
      <c r="A1728" s="8"/>
      <c r="B1728" s="9" t="s">
        <v>271</v>
      </c>
      <c r="C1728" s="808" t="s">
        <v>272</v>
      </c>
      <c r="D1728" s="820"/>
      <c r="E1728" s="820"/>
      <c r="F1728" s="820"/>
      <c r="G1728" s="820"/>
      <c r="H1728" s="820"/>
      <c r="I1728" s="809"/>
      <c r="J1728" s="8"/>
    </row>
    <row r="1729" spans="1:10" s="1" customFormat="1" ht="25.5" customHeight="1" x14ac:dyDescent="0.2">
      <c r="A1729" s="11" t="s">
        <v>273</v>
      </c>
      <c r="B1729" s="11" t="s">
        <v>274</v>
      </c>
      <c r="C1729" s="806" t="s">
        <v>275</v>
      </c>
      <c r="D1729" s="807"/>
      <c r="E1729" s="11" t="s">
        <v>81</v>
      </c>
      <c r="F1729" s="12">
        <v>32.799999999999997</v>
      </c>
      <c r="G1729" s="12">
        <v>33.909999999999997</v>
      </c>
      <c r="H1729" s="12">
        <v>43.27</v>
      </c>
      <c r="I1729" s="13">
        <f>F1729*G1729</f>
        <v>1112.2479999999998</v>
      </c>
      <c r="J1729" s="13">
        <f>F1729*H1729</f>
        <v>1419.2560000000001</v>
      </c>
    </row>
    <row r="1730" spans="1:10" s="1" customFormat="1" ht="25.5" customHeight="1" x14ac:dyDescent="0.2">
      <c r="A1730" s="10">
        <v>96467</v>
      </c>
      <c r="B1730" s="11" t="s">
        <v>276</v>
      </c>
      <c r="C1730" s="806" t="s">
        <v>277</v>
      </c>
      <c r="D1730" s="807"/>
      <c r="E1730" s="11" t="s">
        <v>81</v>
      </c>
      <c r="F1730" s="12">
        <v>648</v>
      </c>
      <c r="G1730" s="12">
        <v>4.1100000000000003</v>
      </c>
      <c r="H1730" s="12">
        <v>5.25</v>
      </c>
      <c r="I1730" s="13">
        <f>F1730*G1730</f>
        <v>2663.28</v>
      </c>
      <c r="J1730" s="13">
        <f>F1730*H1730</f>
        <v>3402</v>
      </c>
    </row>
    <row r="1731" spans="1:10" s="1" customFormat="1" ht="25.5" customHeight="1" x14ac:dyDescent="0.2">
      <c r="A1731" s="11" t="s">
        <v>78</v>
      </c>
      <c r="B1731" s="11" t="s">
        <v>278</v>
      </c>
      <c r="C1731" s="806" t="s">
        <v>279</v>
      </c>
      <c r="D1731" s="807"/>
      <c r="E1731" s="11" t="s">
        <v>81</v>
      </c>
      <c r="F1731" s="12">
        <v>100</v>
      </c>
      <c r="G1731" s="12">
        <v>9.81</v>
      </c>
      <c r="H1731" s="12">
        <v>12.52</v>
      </c>
      <c r="I1731" s="13">
        <f>F1731*G1731</f>
        <v>981</v>
      </c>
      <c r="J1731" s="13">
        <f>F1731*H1731</f>
        <v>1252</v>
      </c>
    </row>
    <row r="1732" spans="1:10" s="1" customFormat="1" ht="25.5" customHeight="1" x14ac:dyDescent="0.2">
      <c r="A1732" s="11" t="s">
        <v>280</v>
      </c>
      <c r="B1732" s="11" t="s">
        <v>281</v>
      </c>
      <c r="C1732" s="806" t="s">
        <v>282</v>
      </c>
      <c r="D1732" s="807"/>
      <c r="E1732" s="11" t="s">
        <v>81</v>
      </c>
      <c r="F1732" s="12">
        <v>548</v>
      </c>
      <c r="G1732" s="12">
        <v>12.72</v>
      </c>
      <c r="H1732" s="12">
        <v>16.23</v>
      </c>
      <c r="I1732" s="13">
        <f>F1732*G1732</f>
        <v>6970.56</v>
      </c>
      <c r="J1732" s="13">
        <f>F1732*H1732</f>
        <v>8894.0400000000009</v>
      </c>
    </row>
    <row r="1733" spans="1:10" s="1" customFormat="1" ht="25.5" customHeight="1" x14ac:dyDescent="0.2">
      <c r="A1733" s="8"/>
      <c r="B1733" s="803" t="s">
        <v>283</v>
      </c>
      <c r="C1733" s="804"/>
      <c r="D1733" s="804"/>
      <c r="E1733" s="804"/>
      <c r="F1733" s="804"/>
      <c r="G1733" s="805"/>
      <c r="H1733" s="8"/>
      <c r="I1733" s="14">
        <f>SUM(I1729:I1732)</f>
        <v>11727.088</v>
      </c>
      <c r="J1733" s="15">
        <f>SUM(J1729:J1732)-4.3</f>
        <v>14962.996000000003</v>
      </c>
    </row>
    <row r="1734" spans="1:10" s="1" customFormat="1" ht="25.5" customHeight="1" x14ac:dyDescent="0.2">
      <c r="A1734" s="8"/>
      <c r="B1734" s="9" t="s">
        <v>284</v>
      </c>
      <c r="C1734" s="808" t="s">
        <v>285</v>
      </c>
      <c r="D1734" s="820"/>
      <c r="E1734" s="820"/>
      <c r="F1734" s="820"/>
      <c r="G1734" s="820"/>
      <c r="H1734" s="820"/>
      <c r="I1734" s="809"/>
      <c r="J1734" s="8"/>
    </row>
    <row r="1735" spans="1:10" s="1" customFormat="1" ht="25.5" customHeight="1" x14ac:dyDescent="0.2">
      <c r="A1735" s="8"/>
      <c r="B1735" s="20">
        <v>12.1</v>
      </c>
      <c r="C1735" s="808" t="s">
        <v>286</v>
      </c>
      <c r="D1735" s="809"/>
      <c r="E1735" s="8"/>
      <c r="F1735" s="8"/>
      <c r="G1735" s="8"/>
      <c r="H1735" s="8"/>
      <c r="I1735" s="8"/>
      <c r="J1735" s="8"/>
    </row>
    <row r="1736" spans="1:10" s="1" customFormat="1" ht="25.5" customHeight="1" x14ac:dyDescent="0.2">
      <c r="A1736" s="10">
        <v>88489</v>
      </c>
      <c r="B1736" s="21">
        <v>40909</v>
      </c>
      <c r="C1736" s="806" t="s">
        <v>287</v>
      </c>
      <c r="D1736" s="807"/>
      <c r="E1736" s="11" t="s">
        <v>14</v>
      </c>
      <c r="F1736" s="12">
        <v>638.78</v>
      </c>
      <c r="G1736" s="12">
        <v>8.41</v>
      </c>
      <c r="H1736" s="12">
        <v>10.73</v>
      </c>
      <c r="I1736" s="13">
        <f>F1736*G1736</f>
        <v>5372.1397999999999</v>
      </c>
      <c r="J1736" s="13">
        <f>F1736*H1736</f>
        <v>6854.1094000000003</v>
      </c>
    </row>
    <row r="1737" spans="1:10" s="1" customFormat="1" ht="25.5" customHeight="1" x14ac:dyDescent="0.2">
      <c r="A1737" s="10">
        <v>88497</v>
      </c>
      <c r="B1737" s="21">
        <v>40910</v>
      </c>
      <c r="C1737" s="806" t="s">
        <v>288</v>
      </c>
      <c r="D1737" s="807"/>
      <c r="E1737" s="11" t="s">
        <v>14</v>
      </c>
      <c r="F1737" s="12">
        <v>638.78</v>
      </c>
      <c r="G1737" s="12">
        <v>9.49</v>
      </c>
      <c r="H1737" s="12">
        <v>12.1</v>
      </c>
      <c r="I1737" s="13">
        <f>F1737*G1737</f>
        <v>6062.0221999999994</v>
      </c>
      <c r="J1737" s="13">
        <f>F1737*H1737</f>
        <v>7729.2379999999994</v>
      </c>
    </row>
    <row r="1738" spans="1:10" s="1" customFormat="1" ht="25.5" customHeight="1" x14ac:dyDescent="0.2">
      <c r="A1738" s="10">
        <v>88487</v>
      </c>
      <c r="B1738" s="21">
        <v>40911</v>
      </c>
      <c r="C1738" s="806" t="s">
        <v>289</v>
      </c>
      <c r="D1738" s="807"/>
      <c r="E1738" s="11" t="s">
        <v>14</v>
      </c>
      <c r="F1738" s="12">
        <v>77.3</v>
      </c>
      <c r="G1738" s="12">
        <v>6.56</v>
      </c>
      <c r="H1738" s="12">
        <v>8.3699999999999992</v>
      </c>
      <c r="I1738" s="13">
        <f>F1738*G1738</f>
        <v>507.08799999999997</v>
      </c>
      <c r="J1738" s="13">
        <f>F1738*H1738</f>
        <v>647.00099999999986</v>
      </c>
    </row>
    <row r="1739" spans="1:10" s="1" customFormat="1" ht="25.5" customHeight="1" x14ac:dyDescent="0.2">
      <c r="A1739" s="8"/>
      <c r="B1739" s="9" t="s">
        <v>290</v>
      </c>
      <c r="C1739" s="808" t="s">
        <v>291</v>
      </c>
      <c r="D1739" s="820"/>
      <c r="E1739" s="820"/>
      <c r="F1739" s="820"/>
      <c r="G1739" s="809"/>
      <c r="H1739" s="8"/>
      <c r="I1739" s="8"/>
      <c r="J1739" s="8"/>
    </row>
    <row r="1740" spans="1:10" s="1" customFormat="1" ht="25.5" customHeight="1" x14ac:dyDescent="0.2">
      <c r="A1740" s="10">
        <v>88489</v>
      </c>
      <c r="B1740" s="21">
        <v>40940</v>
      </c>
      <c r="C1740" s="806" t="s">
        <v>287</v>
      </c>
      <c r="D1740" s="807"/>
      <c r="E1740" s="11" t="s">
        <v>14</v>
      </c>
      <c r="F1740" s="12">
        <v>606.17999999999995</v>
      </c>
      <c r="G1740" s="12">
        <v>8.41</v>
      </c>
      <c r="H1740" s="12">
        <v>10.73</v>
      </c>
      <c r="I1740" s="13">
        <f>F1740*G1740</f>
        <v>5097.9737999999998</v>
      </c>
      <c r="J1740" s="13">
        <f>F1740*H1740</f>
        <v>6504.3113999999996</v>
      </c>
    </row>
    <row r="1741" spans="1:10" s="1" customFormat="1" ht="25.5" customHeight="1" x14ac:dyDescent="0.2">
      <c r="A1741" s="8"/>
      <c r="B1741" s="9" t="s">
        <v>292</v>
      </c>
      <c r="C1741" s="808" t="s">
        <v>235</v>
      </c>
      <c r="D1741" s="820"/>
      <c r="E1741" s="820"/>
      <c r="F1741" s="820"/>
      <c r="G1741" s="809"/>
      <c r="H1741" s="8"/>
      <c r="I1741" s="8"/>
      <c r="J1741" s="8"/>
    </row>
    <row r="1742" spans="1:10" s="1" customFormat="1" ht="25.5" customHeight="1" x14ac:dyDescent="0.2">
      <c r="A1742" s="10">
        <v>88487</v>
      </c>
      <c r="B1742" s="11" t="s">
        <v>293</v>
      </c>
      <c r="C1742" s="806" t="s">
        <v>289</v>
      </c>
      <c r="D1742" s="807"/>
      <c r="E1742" s="11" t="s">
        <v>14</v>
      </c>
      <c r="F1742" s="12">
        <v>732.68</v>
      </c>
      <c r="G1742" s="12">
        <v>6.56</v>
      </c>
      <c r="H1742" s="12">
        <v>8.3699999999999992</v>
      </c>
      <c r="I1742" s="13">
        <f>F1742*G1742</f>
        <v>4806.380799999999</v>
      </c>
      <c r="J1742" s="13">
        <f>F1742*H1742</f>
        <v>6132.5315999999993</v>
      </c>
    </row>
    <row r="1743" spans="1:10" s="1" customFormat="1" ht="25.5" customHeight="1" x14ac:dyDescent="0.2">
      <c r="A1743" s="10">
        <v>88497</v>
      </c>
      <c r="B1743" s="11" t="s">
        <v>294</v>
      </c>
      <c r="C1743" s="806" t="s">
        <v>288</v>
      </c>
      <c r="D1743" s="807"/>
      <c r="E1743" s="11" t="s">
        <v>14</v>
      </c>
      <c r="F1743" s="12">
        <v>732.68</v>
      </c>
      <c r="G1743" s="12">
        <v>9.49</v>
      </c>
      <c r="H1743" s="12">
        <v>12.1</v>
      </c>
      <c r="I1743" s="13">
        <f>F1743*G1743</f>
        <v>6953.1331999999993</v>
      </c>
      <c r="J1743" s="13">
        <f>F1743*H1743</f>
        <v>8865.4279999999999</v>
      </c>
    </row>
    <row r="1744" spans="1:10" s="1" customFormat="1" ht="25.5" customHeight="1" x14ac:dyDescent="0.2">
      <c r="A1744" s="8"/>
      <c r="B1744" s="9" t="s">
        <v>295</v>
      </c>
      <c r="C1744" s="808" t="s">
        <v>296</v>
      </c>
      <c r="D1744" s="820"/>
      <c r="E1744" s="820"/>
      <c r="F1744" s="820"/>
      <c r="G1744" s="809"/>
      <c r="H1744" s="8"/>
      <c r="I1744" s="8"/>
      <c r="J1744" s="8"/>
    </row>
    <row r="1745" spans="1:10" s="1" customFormat="1" ht="25.5" customHeight="1" x14ac:dyDescent="0.2">
      <c r="A1745" s="11" t="s">
        <v>297</v>
      </c>
      <c r="B1745" s="21">
        <v>41000</v>
      </c>
      <c r="C1745" s="806" t="s">
        <v>298</v>
      </c>
      <c r="D1745" s="807"/>
      <c r="E1745" s="11" t="s">
        <v>14</v>
      </c>
      <c r="F1745" s="12">
        <v>257.60000000000002</v>
      </c>
      <c r="G1745" s="12">
        <v>13.87</v>
      </c>
      <c r="H1745" s="12">
        <v>17.7</v>
      </c>
      <c r="I1745" s="13">
        <f>F1745*G1745</f>
        <v>3572.9120000000003</v>
      </c>
      <c r="J1745" s="13">
        <f>F1745*H1745</f>
        <v>4559.5200000000004</v>
      </c>
    </row>
    <row r="1746" spans="1:10" s="1" customFormat="1" ht="25.5" customHeight="1" x14ac:dyDescent="0.2">
      <c r="A1746" s="10">
        <v>40905</v>
      </c>
      <c r="B1746" s="21">
        <v>41001</v>
      </c>
      <c r="C1746" s="806" t="s">
        <v>299</v>
      </c>
      <c r="D1746" s="807"/>
      <c r="E1746" s="11" t="s">
        <v>14</v>
      </c>
      <c r="F1746" s="12">
        <v>54.8</v>
      </c>
      <c r="G1746" s="12">
        <v>16.510000000000002</v>
      </c>
      <c r="H1746" s="12">
        <v>21.06</v>
      </c>
      <c r="I1746" s="13">
        <f>F1746*G1746</f>
        <v>904.74800000000005</v>
      </c>
      <c r="J1746" s="13">
        <f>F1746*H1746</f>
        <v>1154.088</v>
      </c>
    </row>
    <row r="1747" spans="1:10" s="1" customFormat="1" ht="25.5" customHeight="1" x14ac:dyDescent="0.2">
      <c r="A1747" s="11" t="s">
        <v>300</v>
      </c>
      <c r="B1747" s="21">
        <v>41002</v>
      </c>
      <c r="C1747" s="806" t="s">
        <v>301</v>
      </c>
      <c r="D1747" s="807"/>
      <c r="E1747" s="11" t="s">
        <v>14</v>
      </c>
      <c r="F1747" s="12">
        <v>170.5</v>
      </c>
      <c r="G1747" s="12">
        <v>20.6</v>
      </c>
      <c r="H1747" s="12">
        <v>26.28</v>
      </c>
      <c r="I1747" s="13">
        <f>F1747*G1747</f>
        <v>3512.3</v>
      </c>
      <c r="J1747" s="13">
        <f>F1747*H1747</f>
        <v>4480.74</v>
      </c>
    </row>
    <row r="1748" spans="1:10" s="1" customFormat="1" ht="25.5" customHeight="1" x14ac:dyDescent="0.2">
      <c r="A1748" s="8"/>
      <c r="B1748" s="803" t="s">
        <v>302</v>
      </c>
      <c r="C1748" s="804"/>
      <c r="D1748" s="804"/>
      <c r="E1748" s="804"/>
      <c r="F1748" s="804"/>
      <c r="G1748" s="805"/>
      <c r="H1748" s="8"/>
      <c r="I1748" s="14">
        <f>SUM(I1736:I1747)</f>
        <v>36788.697800000002</v>
      </c>
      <c r="J1748" s="15">
        <f>SUM(J1736:J1747)-1.2</f>
        <v>46925.767400000004</v>
      </c>
    </row>
    <row r="1749" spans="1:10" s="1" customFormat="1" ht="25.5" customHeight="1" x14ac:dyDescent="0.2">
      <c r="A1749" s="8"/>
      <c r="B1749" s="9" t="s">
        <v>303</v>
      </c>
      <c r="C1749" s="808" t="s">
        <v>304</v>
      </c>
      <c r="D1749" s="820"/>
      <c r="E1749" s="820"/>
      <c r="F1749" s="820"/>
      <c r="G1749" s="820"/>
      <c r="H1749" s="820"/>
      <c r="I1749" s="809"/>
      <c r="J1749" s="8"/>
    </row>
    <row r="1750" spans="1:10" s="1" customFormat="1" ht="25.5" customHeight="1" x14ac:dyDescent="0.2">
      <c r="A1750" s="11" t="s">
        <v>305</v>
      </c>
      <c r="B1750" s="11" t="s">
        <v>306</v>
      </c>
      <c r="C1750" s="806" t="s">
        <v>307</v>
      </c>
      <c r="D1750" s="807"/>
      <c r="E1750" s="11" t="s">
        <v>14</v>
      </c>
      <c r="F1750" s="12">
        <v>43.5</v>
      </c>
      <c r="G1750" s="12">
        <v>224.11</v>
      </c>
      <c r="H1750" s="12">
        <v>285.94</v>
      </c>
      <c r="I1750" s="13">
        <f t="shared" ref="I1750:I1770" si="150">F1750*G1750</f>
        <v>9748.7849999999999</v>
      </c>
      <c r="J1750" s="13">
        <f t="shared" ref="J1750:J1770" si="151">F1750*H1750</f>
        <v>12438.39</v>
      </c>
    </row>
    <row r="1751" spans="1:10" s="1" customFormat="1" ht="25.5" customHeight="1" x14ac:dyDescent="0.2">
      <c r="A1751" s="11" t="s">
        <v>308</v>
      </c>
      <c r="B1751" s="11" t="s">
        <v>309</v>
      </c>
      <c r="C1751" s="806" t="s">
        <v>310</v>
      </c>
      <c r="D1751" s="807"/>
      <c r="E1751" s="11" t="s">
        <v>14</v>
      </c>
      <c r="F1751" s="12">
        <v>10.5</v>
      </c>
      <c r="G1751" s="12">
        <v>312.5</v>
      </c>
      <c r="H1751" s="12">
        <v>398.72</v>
      </c>
      <c r="I1751" s="13">
        <f t="shared" si="150"/>
        <v>3281.25</v>
      </c>
      <c r="J1751" s="13">
        <f t="shared" si="151"/>
        <v>4186.5600000000004</v>
      </c>
    </row>
    <row r="1752" spans="1:10" s="1" customFormat="1" ht="25.5" customHeight="1" x14ac:dyDescent="0.2">
      <c r="A1752" s="11" t="s">
        <v>78</v>
      </c>
      <c r="B1752" s="11" t="s">
        <v>311</v>
      </c>
      <c r="C1752" s="806" t="s">
        <v>312</v>
      </c>
      <c r="D1752" s="807"/>
      <c r="E1752" s="11" t="s">
        <v>14</v>
      </c>
      <c r="F1752" s="12">
        <v>53</v>
      </c>
      <c r="G1752" s="12">
        <v>323.14</v>
      </c>
      <c r="H1752" s="12">
        <v>412.29</v>
      </c>
      <c r="I1752" s="13">
        <f t="shared" si="150"/>
        <v>17126.419999999998</v>
      </c>
      <c r="J1752" s="13">
        <f t="shared" si="151"/>
        <v>21851.370000000003</v>
      </c>
    </row>
    <row r="1753" spans="1:10" s="1" customFormat="1" ht="25.5" customHeight="1" x14ac:dyDescent="0.2">
      <c r="A1753" s="11" t="s">
        <v>305</v>
      </c>
      <c r="B1753" s="11" t="s">
        <v>313</v>
      </c>
      <c r="C1753" s="806" t="s">
        <v>314</v>
      </c>
      <c r="D1753" s="807"/>
      <c r="E1753" s="11" t="s">
        <v>14</v>
      </c>
      <c r="F1753" s="12">
        <v>35.700000000000003</v>
      </c>
      <c r="G1753" s="12">
        <v>224.11</v>
      </c>
      <c r="H1753" s="12">
        <v>285.94</v>
      </c>
      <c r="I1753" s="13">
        <f t="shared" si="150"/>
        <v>8000.7270000000008</v>
      </c>
      <c r="J1753" s="13">
        <f t="shared" si="151"/>
        <v>10208.058000000001</v>
      </c>
    </row>
    <row r="1754" spans="1:10" s="1" customFormat="1" ht="25.5" customHeight="1" x14ac:dyDescent="0.2">
      <c r="A1754" s="10">
        <v>20231</v>
      </c>
      <c r="B1754" s="11" t="s">
        <v>315</v>
      </c>
      <c r="C1754" s="806" t="s">
        <v>316</v>
      </c>
      <c r="D1754" s="807"/>
      <c r="E1754" s="11" t="s">
        <v>81</v>
      </c>
      <c r="F1754" s="12">
        <v>65.8</v>
      </c>
      <c r="G1754" s="12">
        <v>33.93</v>
      </c>
      <c r="H1754" s="12">
        <v>43.29</v>
      </c>
      <c r="I1754" s="13">
        <f t="shared" si="150"/>
        <v>2232.5940000000001</v>
      </c>
      <c r="J1754" s="13">
        <f t="shared" si="151"/>
        <v>2848.482</v>
      </c>
    </row>
    <row r="1755" spans="1:10" s="1" customFormat="1" ht="25.5" customHeight="1" x14ac:dyDescent="0.2">
      <c r="A1755" s="10">
        <v>20231</v>
      </c>
      <c r="B1755" s="11" t="s">
        <v>317</v>
      </c>
      <c r="C1755" s="806" t="s">
        <v>318</v>
      </c>
      <c r="D1755" s="807"/>
      <c r="E1755" s="11" t="s">
        <v>81</v>
      </c>
      <c r="F1755" s="12">
        <v>99.5</v>
      </c>
      <c r="G1755" s="12">
        <v>33.93</v>
      </c>
      <c r="H1755" s="12">
        <v>43.29</v>
      </c>
      <c r="I1755" s="13">
        <f t="shared" si="150"/>
        <v>3376.0349999999999</v>
      </c>
      <c r="J1755" s="13">
        <f t="shared" si="151"/>
        <v>4307.3549999999996</v>
      </c>
    </row>
    <row r="1756" spans="1:10" s="1" customFormat="1" ht="25.5" customHeight="1" x14ac:dyDescent="0.2">
      <c r="A1756" s="10">
        <v>20231</v>
      </c>
      <c r="B1756" s="11" t="s">
        <v>319</v>
      </c>
      <c r="C1756" s="806" t="s">
        <v>320</v>
      </c>
      <c r="D1756" s="807"/>
      <c r="E1756" s="11" t="s">
        <v>81</v>
      </c>
      <c r="F1756" s="12">
        <v>130.80000000000001</v>
      </c>
      <c r="G1756" s="12">
        <v>33.93</v>
      </c>
      <c r="H1756" s="12">
        <v>43.29</v>
      </c>
      <c r="I1756" s="13">
        <f t="shared" si="150"/>
        <v>4438.0440000000008</v>
      </c>
      <c r="J1756" s="13">
        <f t="shared" si="151"/>
        <v>5662.3320000000003</v>
      </c>
    </row>
    <row r="1757" spans="1:10" s="1" customFormat="1" ht="25.5" customHeight="1" x14ac:dyDescent="0.2">
      <c r="A1757" s="10">
        <v>20231</v>
      </c>
      <c r="B1757" s="11" t="s">
        <v>321</v>
      </c>
      <c r="C1757" s="806" t="s">
        <v>322</v>
      </c>
      <c r="D1757" s="807"/>
      <c r="E1757" s="11" t="s">
        <v>81</v>
      </c>
      <c r="F1757" s="12">
        <v>90.4</v>
      </c>
      <c r="G1757" s="12">
        <v>33.93</v>
      </c>
      <c r="H1757" s="12">
        <v>43.29</v>
      </c>
      <c r="I1757" s="13">
        <f t="shared" si="150"/>
        <v>3067.2720000000004</v>
      </c>
      <c r="J1757" s="13">
        <f t="shared" si="151"/>
        <v>3913.4160000000002</v>
      </c>
    </row>
    <row r="1758" spans="1:10" s="1" customFormat="1" ht="25.5" customHeight="1" x14ac:dyDescent="0.2">
      <c r="A1758" s="10">
        <v>20231</v>
      </c>
      <c r="B1758" s="11" t="s">
        <v>323</v>
      </c>
      <c r="C1758" s="806" t="s">
        <v>324</v>
      </c>
      <c r="D1758" s="807"/>
      <c r="E1758" s="11" t="s">
        <v>81</v>
      </c>
      <c r="F1758" s="12">
        <v>19.2</v>
      </c>
      <c r="G1758" s="12">
        <v>33.93</v>
      </c>
      <c r="H1758" s="12">
        <v>43.29</v>
      </c>
      <c r="I1758" s="13">
        <f t="shared" si="150"/>
        <v>651.45600000000002</v>
      </c>
      <c r="J1758" s="13">
        <f t="shared" si="151"/>
        <v>831.16800000000001</v>
      </c>
    </row>
    <row r="1759" spans="1:10" s="1" customFormat="1" ht="25.5" customHeight="1" x14ac:dyDescent="0.2">
      <c r="A1759" s="11" t="s">
        <v>308</v>
      </c>
      <c r="B1759" s="11" t="s">
        <v>325</v>
      </c>
      <c r="C1759" s="806" t="s">
        <v>326</v>
      </c>
      <c r="D1759" s="807"/>
      <c r="E1759" s="11" t="s">
        <v>102</v>
      </c>
      <c r="F1759" s="12">
        <v>2</v>
      </c>
      <c r="G1759" s="12">
        <v>58.84</v>
      </c>
      <c r="H1759" s="12">
        <v>75.069999999999993</v>
      </c>
      <c r="I1759" s="13">
        <f t="shared" si="150"/>
        <v>117.68</v>
      </c>
      <c r="J1759" s="13">
        <f t="shared" si="151"/>
        <v>150.13999999999999</v>
      </c>
    </row>
    <row r="1760" spans="1:10" s="1" customFormat="1" ht="25.5" customHeight="1" x14ac:dyDescent="0.2">
      <c r="A1760" s="10">
        <v>84862</v>
      </c>
      <c r="B1760" s="11" t="s">
        <v>327</v>
      </c>
      <c r="C1760" s="806" t="s">
        <v>328</v>
      </c>
      <c r="D1760" s="807"/>
      <c r="E1760" s="11" t="s">
        <v>81</v>
      </c>
      <c r="F1760" s="12">
        <v>10.9</v>
      </c>
      <c r="G1760" s="12">
        <v>190.09</v>
      </c>
      <c r="H1760" s="12">
        <v>242.53</v>
      </c>
      <c r="I1760" s="13">
        <f t="shared" si="150"/>
        <v>2071.9810000000002</v>
      </c>
      <c r="J1760" s="13">
        <f t="shared" si="151"/>
        <v>2643.5770000000002</v>
      </c>
    </row>
    <row r="1761" spans="1:10" s="1" customFormat="1" ht="25.5" customHeight="1" x14ac:dyDescent="0.2">
      <c r="A1761" s="11" t="s">
        <v>329</v>
      </c>
      <c r="B1761" s="11" t="s">
        <v>330</v>
      </c>
      <c r="C1761" s="806" t="s">
        <v>331</v>
      </c>
      <c r="D1761" s="807"/>
      <c r="E1761" s="11" t="s">
        <v>81</v>
      </c>
      <c r="F1761" s="12">
        <v>11.79</v>
      </c>
      <c r="G1761" s="12">
        <v>222.14</v>
      </c>
      <c r="H1761" s="12">
        <v>283.43</v>
      </c>
      <c r="I1761" s="13">
        <f t="shared" si="150"/>
        <v>2619.0305999999996</v>
      </c>
      <c r="J1761" s="13">
        <f t="shared" si="151"/>
        <v>3341.6396999999997</v>
      </c>
    </row>
    <row r="1762" spans="1:10" s="1" customFormat="1" ht="25.5" customHeight="1" x14ac:dyDescent="0.2">
      <c r="A1762" s="11" t="s">
        <v>78</v>
      </c>
      <c r="B1762" s="11" t="s">
        <v>332</v>
      </c>
      <c r="C1762" s="806" t="s">
        <v>333</v>
      </c>
      <c r="D1762" s="807"/>
      <c r="E1762" s="11" t="s">
        <v>102</v>
      </c>
      <c r="F1762" s="12">
        <v>1</v>
      </c>
      <c r="G1762" s="12">
        <v>474.97</v>
      </c>
      <c r="H1762" s="12">
        <v>606.01</v>
      </c>
      <c r="I1762" s="13">
        <f t="shared" si="150"/>
        <v>474.97</v>
      </c>
      <c r="J1762" s="13">
        <f t="shared" si="151"/>
        <v>606.01</v>
      </c>
    </row>
    <row r="1763" spans="1:10" s="1" customFormat="1" ht="25.5" customHeight="1" x14ac:dyDescent="0.2">
      <c r="A1763" s="11" t="s">
        <v>308</v>
      </c>
      <c r="B1763" s="11" t="s">
        <v>334</v>
      </c>
      <c r="C1763" s="806" t="s">
        <v>335</v>
      </c>
      <c r="D1763" s="807"/>
      <c r="E1763" s="11" t="s">
        <v>336</v>
      </c>
      <c r="F1763" s="12">
        <v>2</v>
      </c>
      <c r="G1763" s="12">
        <v>891.52</v>
      </c>
      <c r="H1763" s="13">
        <v>1137.49</v>
      </c>
      <c r="I1763" s="13">
        <f t="shared" si="150"/>
        <v>1783.04</v>
      </c>
      <c r="J1763" s="13">
        <f t="shared" si="151"/>
        <v>2274.98</v>
      </c>
    </row>
    <row r="1764" spans="1:10" s="1" customFormat="1" ht="25.5" customHeight="1" x14ac:dyDescent="0.2">
      <c r="A1764" s="11" t="s">
        <v>308</v>
      </c>
      <c r="B1764" s="11" t="s">
        <v>337</v>
      </c>
      <c r="C1764" s="806" t="s">
        <v>338</v>
      </c>
      <c r="D1764" s="807"/>
      <c r="E1764" s="11" t="s">
        <v>102</v>
      </c>
      <c r="F1764" s="12">
        <v>8</v>
      </c>
      <c r="G1764" s="12">
        <v>179</v>
      </c>
      <c r="H1764" s="12">
        <v>228.39</v>
      </c>
      <c r="I1764" s="13">
        <f t="shared" si="150"/>
        <v>1432</v>
      </c>
      <c r="J1764" s="13">
        <f t="shared" si="151"/>
        <v>1827.12</v>
      </c>
    </row>
    <row r="1765" spans="1:10" s="1" customFormat="1" ht="25.5" customHeight="1" x14ac:dyDescent="0.2">
      <c r="A1765" s="11" t="s">
        <v>308</v>
      </c>
      <c r="B1765" s="11" t="s">
        <v>339</v>
      </c>
      <c r="C1765" s="806" t="s">
        <v>340</v>
      </c>
      <c r="D1765" s="807"/>
      <c r="E1765" s="11" t="s">
        <v>336</v>
      </c>
      <c r="F1765" s="12">
        <v>2</v>
      </c>
      <c r="G1765" s="12">
        <v>144</v>
      </c>
      <c r="H1765" s="12">
        <v>183.73</v>
      </c>
      <c r="I1765" s="13">
        <f t="shared" si="150"/>
        <v>288</v>
      </c>
      <c r="J1765" s="13">
        <f t="shared" si="151"/>
        <v>367.46</v>
      </c>
    </row>
    <row r="1766" spans="1:10" s="1" customFormat="1" ht="25.5" customHeight="1" x14ac:dyDescent="0.2">
      <c r="A1766" s="11" t="s">
        <v>78</v>
      </c>
      <c r="B1766" s="11" t="s">
        <v>341</v>
      </c>
      <c r="C1766" s="806" t="s">
        <v>342</v>
      </c>
      <c r="D1766" s="807"/>
      <c r="E1766" s="11" t="s">
        <v>81</v>
      </c>
      <c r="F1766" s="12">
        <v>2.85</v>
      </c>
      <c r="G1766" s="12">
        <v>201.25</v>
      </c>
      <c r="H1766" s="12">
        <v>256.77</v>
      </c>
      <c r="I1766" s="13">
        <f t="shared" si="150"/>
        <v>573.5625</v>
      </c>
      <c r="J1766" s="13">
        <f t="shared" si="151"/>
        <v>731.79449999999997</v>
      </c>
    </row>
    <row r="1767" spans="1:10" s="1" customFormat="1" ht="25.5" customHeight="1" x14ac:dyDescent="0.2">
      <c r="A1767" s="11" t="s">
        <v>78</v>
      </c>
      <c r="B1767" s="11" t="s">
        <v>343</v>
      </c>
      <c r="C1767" s="806" t="s">
        <v>344</v>
      </c>
      <c r="D1767" s="807"/>
      <c r="E1767" s="11" t="s">
        <v>81</v>
      </c>
      <c r="F1767" s="12">
        <v>9.1999999999999993</v>
      </c>
      <c r="G1767" s="12">
        <v>356.72</v>
      </c>
      <c r="H1767" s="12">
        <v>455.13</v>
      </c>
      <c r="I1767" s="13">
        <f t="shared" si="150"/>
        <v>3281.8240000000001</v>
      </c>
      <c r="J1767" s="13">
        <f t="shared" si="151"/>
        <v>4187.1959999999999</v>
      </c>
    </row>
    <row r="1768" spans="1:10" s="1" customFormat="1" ht="25.5" customHeight="1" x14ac:dyDescent="0.2">
      <c r="A1768" s="11" t="s">
        <v>345</v>
      </c>
      <c r="B1768" s="11" t="s">
        <v>346</v>
      </c>
      <c r="C1768" s="806" t="s">
        <v>347</v>
      </c>
      <c r="D1768" s="807"/>
      <c r="E1768" s="11" t="s">
        <v>102</v>
      </c>
      <c r="F1768" s="12">
        <v>3</v>
      </c>
      <c r="G1768" s="13">
        <v>2030.45</v>
      </c>
      <c r="H1768" s="13">
        <v>2590.64</v>
      </c>
      <c r="I1768" s="13">
        <f t="shared" si="150"/>
        <v>6091.35</v>
      </c>
      <c r="J1768" s="13">
        <f t="shared" si="151"/>
        <v>7771.92</v>
      </c>
    </row>
    <row r="1769" spans="1:10" s="1" customFormat="1" ht="25.5" customHeight="1" x14ac:dyDescent="0.2">
      <c r="A1769" s="11" t="s">
        <v>308</v>
      </c>
      <c r="B1769" s="11" t="s">
        <v>348</v>
      </c>
      <c r="C1769" s="806" t="s">
        <v>349</v>
      </c>
      <c r="D1769" s="807"/>
      <c r="E1769" s="11" t="s">
        <v>102</v>
      </c>
      <c r="F1769" s="12">
        <v>2</v>
      </c>
      <c r="G1769" s="12">
        <v>415</v>
      </c>
      <c r="H1769" s="12">
        <v>529.5</v>
      </c>
      <c r="I1769" s="13">
        <f t="shared" si="150"/>
        <v>830</v>
      </c>
      <c r="J1769" s="13">
        <f t="shared" si="151"/>
        <v>1059</v>
      </c>
    </row>
    <row r="1770" spans="1:10" s="1" customFormat="1" ht="25.5" customHeight="1" x14ac:dyDescent="0.2">
      <c r="A1770" s="11" t="s">
        <v>308</v>
      </c>
      <c r="B1770" s="11" t="s">
        <v>350</v>
      </c>
      <c r="C1770" s="806" t="s">
        <v>351</v>
      </c>
      <c r="D1770" s="807"/>
      <c r="E1770" s="11" t="s">
        <v>102</v>
      </c>
      <c r="F1770" s="12">
        <v>1</v>
      </c>
      <c r="G1770" s="12">
        <v>63.04</v>
      </c>
      <c r="H1770" s="12">
        <v>80.430000000000007</v>
      </c>
      <c r="I1770" s="13">
        <f t="shared" si="150"/>
        <v>63.04</v>
      </c>
      <c r="J1770" s="13">
        <f t="shared" si="151"/>
        <v>80.430000000000007</v>
      </c>
    </row>
    <row r="1771" spans="1:10" s="1" customFormat="1" ht="25.5" customHeight="1" x14ac:dyDescent="0.2">
      <c r="A1771" s="8"/>
      <c r="B1771" s="803" t="s">
        <v>352</v>
      </c>
      <c r="C1771" s="804"/>
      <c r="D1771" s="804"/>
      <c r="E1771" s="804"/>
      <c r="F1771" s="804"/>
      <c r="G1771" s="805"/>
      <c r="H1771" s="8"/>
      <c r="I1771" s="14">
        <f>SUM(I1750:I1770)-0.06</f>
        <v>71549.001099999994</v>
      </c>
      <c r="J1771" s="15">
        <f>SUM(J1750:J1770)</f>
        <v>91288.398199999996</v>
      </c>
    </row>
    <row r="1772" spans="1:10" s="1" customFormat="1" ht="25.5" customHeight="1" x14ac:dyDescent="0.2">
      <c r="A1772" s="8"/>
      <c r="B1772" s="9" t="s">
        <v>353</v>
      </c>
      <c r="C1772" s="808" t="s">
        <v>354</v>
      </c>
      <c r="D1772" s="809"/>
      <c r="E1772" s="8"/>
      <c r="F1772" s="8"/>
      <c r="G1772" s="8"/>
      <c r="H1772" s="8"/>
      <c r="I1772" s="8"/>
      <c r="J1772" s="8"/>
    </row>
    <row r="1773" spans="1:10" s="1" customFormat="1" ht="25.5" customHeight="1" x14ac:dyDescent="0.2">
      <c r="A1773" s="8"/>
      <c r="B1773" s="9" t="s">
        <v>355</v>
      </c>
      <c r="C1773" s="808" t="s">
        <v>356</v>
      </c>
      <c r="D1773" s="809"/>
      <c r="E1773" s="8"/>
      <c r="F1773" s="8"/>
      <c r="G1773" s="8"/>
      <c r="H1773" s="8"/>
      <c r="I1773" s="8"/>
      <c r="J1773" s="8"/>
    </row>
    <row r="1774" spans="1:10" s="1" customFormat="1" ht="25.5" customHeight="1" x14ac:dyDescent="0.2">
      <c r="A1774" s="8"/>
      <c r="B1774" s="23">
        <v>41640</v>
      </c>
      <c r="C1774" s="808" t="s">
        <v>357</v>
      </c>
      <c r="D1774" s="809"/>
      <c r="E1774" s="8"/>
      <c r="F1774" s="8"/>
      <c r="G1774" s="8"/>
      <c r="H1774" s="8"/>
      <c r="I1774" s="8"/>
      <c r="J1774" s="8"/>
    </row>
    <row r="1775" spans="1:10" s="1" customFormat="1" ht="25.5" customHeight="1" x14ac:dyDescent="0.2">
      <c r="A1775" s="11" t="s">
        <v>358</v>
      </c>
      <c r="B1775" s="11" t="s">
        <v>359</v>
      </c>
      <c r="C1775" s="806" t="s">
        <v>360</v>
      </c>
      <c r="D1775" s="807"/>
      <c r="E1775" s="11" t="s">
        <v>81</v>
      </c>
      <c r="F1775" s="12">
        <v>172</v>
      </c>
      <c r="G1775" s="12">
        <v>11.27</v>
      </c>
      <c r="H1775" s="12">
        <v>14.38</v>
      </c>
      <c r="I1775" s="13">
        <f>F1775*G1775</f>
        <v>1938.4399999999998</v>
      </c>
      <c r="J1775" s="13">
        <f>F1775*H1775</f>
        <v>2473.36</v>
      </c>
    </row>
    <row r="1776" spans="1:10" s="1" customFormat="1" ht="25.5" customHeight="1" x14ac:dyDescent="0.2">
      <c r="A1776" s="11" t="s">
        <v>361</v>
      </c>
      <c r="B1776" s="11" t="s">
        <v>362</v>
      </c>
      <c r="C1776" s="806" t="s">
        <v>363</v>
      </c>
      <c r="D1776" s="807"/>
      <c r="E1776" s="11" t="s">
        <v>81</v>
      </c>
      <c r="F1776" s="12">
        <v>169</v>
      </c>
      <c r="G1776" s="12">
        <v>11.89</v>
      </c>
      <c r="H1776" s="12">
        <v>15.17</v>
      </c>
      <c r="I1776" s="13">
        <f>F1776*G1776</f>
        <v>2009.41</v>
      </c>
      <c r="J1776" s="13">
        <f>F1776*H1776</f>
        <v>2563.73</v>
      </c>
    </row>
    <row r="1777" spans="1:10" s="1" customFormat="1" ht="25.5" customHeight="1" x14ac:dyDescent="0.2">
      <c r="A1777" s="11" t="s">
        <v>364</v>
      </c>
      <c r="B1777" s="11" t="s">
        <v>365</v>
      </c>
      <c r="C1777" s="806" t="s">
        <v>366</v>
      </c>
      <c r="D1777" s="807"/>
      <c r="E1777" s="11" t="s">
        <v>81</v>
      </c>
      <c r="F1777" s="12">
        <v>66</v>
      </c>
      <c r="G1777" s="12">
        <v>28.56</v>
      </c>
      <c r="H1777" s="12">
        <v>36.44</v>
      </c>
      <c r="I1777" s="13">
        <f>F1777*G1777</f>
        <v>1884.9599999999998</v>
      </c>
      <c r="J1777" s="13">
        <f>F1777*H1777</f>
        <v>2405.04</v>
      </c>
    </row>
    <row r="1778" spans="1:10" s="1" customFormat="1" ht="25.5" customHeight="1" x14ac:dyDescent="0.2">
      <c r="A1778" s="11" t="s">
        <v>367</v>
      </c>
      <c r="B1778" s="11" t="s">
        <v>368</v>
      </c>
      <c r="C1778" s="806" t="s">
        <v>369</v>
      </c>
      <c r="D1778" s="807"/>
      <c r="E1778" s="11" t="s">
        <v>81</v>
      </c>
      <c r="F1778" s="12">
        <v>39</v>
      </c>
      <c r="G1778" s="12">
        <v>35.53</v>
      </c>
      <c r="H1778" s="12">
        <v>45.34</v>
      </c>
      <c r="I1778" s="13">
        <f>F1778*G1778</f>
        <v>1385.67</v>
      </c>
      <c r="J1778" s="13">
        <f>F1778*H1778</f>
        <v>1768.2600000000002</v>
      </c>
    </row>
    <row r="1779" spans="1:10" s="1" customFormat="1" ht="25.5" customHeight="1" x14ac:dyDescent="0.2">
      <c r="A1779" s="11" t="s">
        <v>370</v>
      </c>
      <c r="B1779" s="11" t="s">
        <v>371</v>
      </c>
      <c r="C1779" s="806" t="s">
        <v>372</v>
      </c>
      <c r="D1779" s="807"/>
      <c r="E1779" s="11" t="s">
        <v>81</v>
      </c>
      <c r="F1779" s="12">
        <v>87</v>
      </c>
      <c r="G1779" s="12">
        <v>47.11</v>
      </c>
      <c r="H1779" s="12">
        <v>60.1</v>
      </c>
      <c r="I1779" s="13">
        <f>F1779*G1779</f>
        <v>4098.57</v>
      </c>
      <c r="J1779" s="13">
        <f>F1779*H1779</f>
        <v>5228.7</v>
      </c>
    </row>
    <row r="1780" spans="1:10" s="1" customFormat="1" ht="25.5" customHeight="1" x14ac:dyDescent="0.2">
      <c r="A1780" s="8"/>
      <c r="B1780" s="23">
        <v>41641</v>
      </c>
      <c r="C1780" s="808" t="s">
        <v>373</v>
      </c>
      <c r="D1780" s="809"/>
      <c r="E1780" s="8"/>
      <c r="F1780" s="8"/>
      <c r="G1780" s="8"/>
      <c r="H1780" s="8"/>
      <c r="I1780" s="8"/>
      <c r="J1780" s="8"/>
    </row>
    <row r="1781" spans="1:10" s="1" customFormat="1" ht="25.5" customHeight="1" x14ac:dyDescent="0.2">
      <c r="A1781" s="10">
        <v>89383</v>
      </c>
      <c r="B1781" s="11" t="s">
        <v>374</v>
      </c>
      <c r="C1781" s="806" t="s">
        <v>375</v>
      </c>
      <c r="D1781" s="807"/>
      <c r="E1781" s="11" t="s">
        <v>102</v>
      </c>
      <c r="F1781" s="12">
        <v>125</v>
      </c>
      <c r="G1781" s="12">
        <v>5.09</v>
      </c>
      <c r="H1781" s="12">
        <v>6.49</v>
      </c>
      <c r="I1781" s="13">
        <f t="shared" ref="I1781:I1788" si="152">F1781*G1781</f>
        <v>636.25</v>
      </c>
      <c r="J1781" s="13">
        <f t="shared" ref="J1781:J1788" si="153">F1781*H1781</f>
        <v>811.25</v>
      </c>
    </row>
    <row r="1782" spans="1:10" s="1" customFormat="1" ht="25.5" customHeight="1" x14ac:dyDescent="0.2">
      <c r="A1782" s="10">
        <v>89391</v>
      </c>
      <c r="B1782" s="11" t="s">
        <v>376</v>
      </c>
      <c r="C1782" s="806" t="s">
        <v>377</v>
      </c>
      <c r="D1782" s="807"/>
      <c r="E1782" s="11" t="s">
        <v>102</v>
      </c>
      <c r="F1782" s="12">
        <v>30</v>
      </c>
      <c r="G1782" s="12">
        <v>6.77</v>
      </c>
      <c r="H1782" s="12">
        <v>8.64</v>
      </c>
      <c r="I1782" s="13">
        <f t="shared" si="152"/>
        <v>203.1</v>
      </c>
      <c r="J1782" s="13">
        <f t="shared" si="153"/>
        <v>259.20000000000005</v>
      </c>
    </row>
    <row r="1783" spans="1:10" s="1" customFormat="1" ht="25.5" customHeight="1" x14ac:dyDescent="0.2">
      <c r="A1783" s="10">
        <v>89595</v>
      </c>
      <c r="B1783" s="11" t="s">
        <v>378</v>
      </c>
      <c r="C1783" s="806" t="s">
        <v>379</v>
      </c>
      <c r="D1783" s="807"/>
      <c r="E1783" s="11" t="s">
        <v>102</v>
      </c>
      <c r="F1783" s="12">
        <v>30</v>
      </c>
      <c r="G1783" s="12">
        <v>10.76</v>
      </c>
      <c r="H1783" s="12">
        <v>13.73</v>
      </c>
      <c r="I1783" s="13">
        <f t="shared" si="152"/>
        <v>322.8</v>
      </c>
      <c r="J1783" s="13">
        <f t="shared" si="153"/>
        <v>411.90000000000003</v>
      </c>
    </row>
    <row r="1784" spans="1:10" s="1" customFormat="1" ht="25.5" customHeight="1" x14ac:dyDescent="0.2">
      <c r="A1784" s="10">
        <v>94668</v>
      </c>
      <c r="B1784" s="11" t="s">
        <v>380</v>
      </c>
      <c r="C1784" s="806" t="s">
        <v>381</v>
      </c>
      <c r="D1784" s="807"/>
      <c r="E1784" s="11" t="s">
        <v>102</v>
      </c>
      <c r="F1784" s="12">
        <v>11</v>
      </c>
      <c r="G1784" s="12">
        <v>42.01</v>
      </c>
      <c r="H1784" s="12">
        <v>53.6</v>
      </c>
      <c r="I1784" s="13">
        <f t="shared" si="152"/>
        <v>462.10999999999996</v>
      </c>
      <c r="J1784" s="13">
        <f t="shared" si="153"/>
        <v>589.6</v>
      </c>
    </row>
    <row r="1785" spans="1:10" s="1" customFormat="1" ht="25.5" customHeight="1" x14ac:dyDescent="0.2">
      <c r="A1785" s="10">
        <v>94708</v>
      </c>
      <c r="B1785" s="11" t="s">
        <v>382</v>
      </c>
      <c r="C1785" s="806" t="s">
        <v>383</v>
      </c>
      <c r="D1785" s="807"/>
      <c r="E1785" s="11" t="s">
        <v>102</v>
      </c>
      <c r="F1785" s="12">
        <v>1</v>
      </c>
      <c r="G1785" s="12">
        <v>19.79</v>
      </c>
      <c r="H1785" s="12">
        <v>25.25</v>
      </c>
      <c r="I1785" s="13">
        <f t="shared" si="152"/>
        <v>19.79</v>
      </c>
      <c r="J1785" s="13">
        <f t="shared" si="153"/>
        <v>25.25</v>
      </c>
    </row>
    <row r="1786" spans="1:10" s="1" customFormat="1" ht="25.5" customHeight="1" x14ac:dyDescent="0.2">
      <c r="A1786" s="10">
        <v>94709</v>
      </c>
      <c r="B1786" s="11" t="s">
        <v>384</v>
      </c>
      <c r="C1786" s="806" t="s">
        <v>385</v>
      </c>
      <c r="D1786" s="807"/>
      <c r="E1786" s="11" t="s">
        <v>102</v>
      </c>
      <c r="F1786" s="12">
        <v>1</v>
      </c>
      <c r="G1786" s="12">
        <v>23.32</v>
      </c>
      <c r="H1786" s="12">
        <v>29.75</v>
      </c>
      <c r="I1786" s="13">
        <f t="shared" si="152"/>
        <v>23.32</v>
      </c>
      <c r="J1786" s="13">
        <f t="shared" si="153"/>
        <v>29.75</v>
      </c>
    </row>
    <row r="1787" spans="1:10" s="1" customFormat="1" ht="25.5" customHeight="1" x14ac:dyDescent="0.2">
      <c r="A1787" s="10">
        <v>94711</v>
      </c>
      <c r="B1787" s="11" t="s">
        <v>386</v>
      </c>
      <c r="C1787" s="806" t="s">
        <v>387</v>
      </c>
      <c r="D1787" s="807"/>
      <c r="E1787" s="11" t="s">
        <v>102</v>
      </c>
      <c r="F1787" s="12">
        <v>5</v>
      </c>
      <c r="G1787" s="12">
        <v>40.08</v>
      </c>
      <c r="H1787" s="12">
        <v>51.14</v>
      </c>
      <c r="I1787" s="13">
        <f t="shared" si="152"/>
        <v>200.39999999999998</v>
      </c>
      <c r="J1787" s="13">
        <f t="shared" si="153"/>
        <v>255.7</v>
      </c>
    </row>
    <row r="1788" spans="1:10" s="1" customFormat="1" ht="25.5" customHeight="1" x14ac:dyDescent="0.2">
      <c r="A1788" s="10">
        <v>94714</v>
      </c>
      <c r="B1788" s="11" t="s">
        <v>388</v>
      </c>
      <c r="C1788" s="806" t="s">
        <v>389</v>
      </c>
      <c r="D1788" s="807"/>
      <c r="E1788" s="11" t="s">
        <v>102</v>
      </c>
      <c r="F1788" s="12">
        <v>1</v>
      </c>
      <c r="G1788" s="12">
        <v>199.75</v>
      </c>
      <c r="H1788" s="12">
        <v>254.86</v>
      </c>
      <c r="I1788" s="13">
        <f t="shared" si="152"/>
        <v>199.75</v>
      </c>
      <c r="J1788" s="13">
        <f t="shared" si="153"/>
        <v>254.86</v>
      </c>
    </row>
    <row r="1789" spans="1:10" s="1" customFormat="1" ht="25.5" customHeight="1" x14ac:dyDescent="0.2">
      <c r="A1789" s="8"/>
      <c r="B1789" s="23">
        <v>41642</v>
      </c>
      <c r="C1789" s="808" t="s">
        <v>390</v>
      </c>
      <c r="D1789" s="809"/>
      <c r="E1789" s="8"/>
      <c r="F1789" s="8"/>
      <c r="G1789" s="8"/>
      <c r="H1789" s="8"/>
      <c r="I1789" s="8"/>
      <c r="J1789" s="8"/>
    </row>
    <row r="1790" spans="1:10" s="1" customFormat="1" ht="25.5" customHeight="1" x14ac:dyDescent="0.2">
      <c r="A1790" s="11" t="s">
        <v>391</v>
      </c>
      <c r="B1790" s="11" t="s">
        <v>392</v>
      </c>
      <c r="C1790" s="806" t="s">
        <v>393</v>
      </c>
      <c r="D1790" s="807"/>
      <c r="E1790" s="11" t="s">
        <v>102</v>
      </c>
      <c r="F1790" s="12">
        <v>13</v>
      </c>
      <c r="G1790" s="12">
        <v>3.37</v>
      </c>
      <c r="H1790" s="12">
        <v>4.29</v>
      </c>
      <c r="I1790" s="13">
        <f t="shared" ref="I1790:I1796" si="154">F1790*G1790</f>
        <v>43.81</v>
      </c>
      <c r="J1790" s="13">
        <f t="shared" ref="J1790:J1796" si="155">F1790*H1790</f>
        <v>55.77</v>
      </c>
    </row>
    <row r="1791" spans="1:10" s="1" customFormat="1" ht="25.5" customHeight="1" x14ac:dyDescent="0.2">
      <c r="A1791" s="11" t="s">
        <v>394</v>
      </c>
      <c r="B1791" s="11" t="s">
        <v>395</v>
      </c>
      <c r="C1791" s="806" t="s">
        <v>396</v>
      </c>
      <c r="D1791" s="807"/>
      <c r="E1791" s="11" t="s">
        <v>102</v>
      </c>
      <c r="F1791" s="12">
        <v>4</v>
      </c>
      <c r="G1791" s="12">
        <v>10.220000000000001</v>
      </c>
      <c r="H1791" s="12">
        <v>13.03</v>
      </c>
      <c r="I1791" s="13">
        <f t="shared" si="154"/>
        <v>40.880000000000003</v>
      </c>
      <c r="J1791" s="13">
        <f t="shared" si="155"/>
        <v>52.12</v>
      </c>
    </row>
    <row r="1792" spans="1:10" s="1" customFormat="1" ht="25.5" customHeight="1" x14ac:dyDescent="0.2">
      <c r="A1792" s="11" t="s">
        <v>397</v>
      </c>
      <c r="B1792" s="11" t="s">
        <v>398</v>
      </c>
      <c r="C1792" s="806" t="s">
        <v>399</v>
      </c>
      <c r="D1792" s="807"/>
      <c r="E1792" s="11" t="s">
        <v>102</v>
      </c>
      <c r="F1792" s="12">
        <v>2</v>
      </c>
      <c r="G1792" s="12">
        <v>10.91</v>
      </c>
      <c r="H1792" s="12">
        <v>13.92</v>
      </c>
      <c r="I1792" s="13">
        <f t="shared" si="154"/>
        <v>21.82</v>
      </c>
      <c r="J1792" s="13">
        <f t="shared" si="155"/>
        <v>27.84</v>
      </c>
    </row>
    <row r="1793" spans="1:10" s="1" customFormat="1" ht="25.5" customHeight="1" x14ac:dyDescent="0.2">
      <c r="A1793" s="11" t="s">
        <v>400</v>
      </c>
      <c r="B1793" s="11" t="s">
        <v>401</v>
      </c>
      <c r="C1793" s="806" t="s">
        <v>402</v>
      </c>
      <c r="D1793" s="807"/>
      <c r="E1793" s="11" t="s">
        <v>102</v>
      </c>
      <c r="F1793" s="12">
        <v>5</v>
      </c>
      <c r="G1793" s="12">
        <v>13.18</v>
      </c>
      <c r="H1793" s="12">
        <v>16.809999999999999</v>
      </c>
      <c r="I1793" s="13">
        <f t="shared" si="154"/>
        <v>65.900000000000006</v>
      </c>
      <c r="J1793" s="13">
        <f t="shared" si="155"/>
        <v>84.05</v>
      </c>
    </row>
    <row r="1794" spans="1:10" s="1" customFormat="1" ht="25.5" customHeight="1" x14ac:dyDescent="0.2">
      <c r="A1794" s="11" t="s">
        <v>403</v>
      </c>
      <c r="B1794" s="11" t="s">
        <v>404</v>
      </c>
      <c r="C1794" s="806" t="s">
        <v>405</v>
      </c>
      <c r="D1794" s="807"/>
      <c r="E1794" s="11" t="s">
        <v>102</v>
      </c>
      <c r="F1794" s="12">
        <v>11</v>
      </c>
      <c r="G1794" s="12">
        <v>12.73</v>
      </c>
      <c r="H1794" s="12">
        <v>16.239999999999998</v>
      </c>
      <c r="I1794" s="13">
        <f t="shared" si="154"/>
        <v>140.03</v>
      </c>
      <c r="J1794" s="13">
        <f t="shared" si="155"/>
        <v>178.64</v>
      </c>
    </row>
    <row r="1795" spans="1:10" s="1" customFormat="1" ht="25.5" customHeight="1" x14ac:dyDescent="0.2">
      <c r="A1795" s="11" t="s">
        <v>406</v>
      </c>
      <c r="B1795" s="11" t="s">
        <v>407</v>
      </c>
      <c r="C1795" s="806" t="s">
        <v>408</v>
      </c>
      <c r="D1795" s="807"/>
      <c r="E1795" s="11" t="s">
        <v>102</v>
      </c>
      <c r="F1795" s="12">
        <v>12</v>
      </c>
      <c r="G1795" s="12">
        <v>8.5299999999999994</v>
      </c>
      <c r="H1795" s="12">
        <v>10.89</v>
      </c>
      <c r="I1795" s="13">
        <f t="shared" si="154"/>
        <v>102.35999999999999</v>
      </c>
      <c r="J1795" s="13">
        <f t="shared" si="155"/>
        <v>130.68</v>
      </c>
    </row>
    <row r="1796" spans="1:10" s="1" customFormat="1" ht="25.5" customHeight="1" x14ac:dyDescent="0.2">
      <c r="A1796" s="11" t="s">
        <v>409</v>
      </c>
      <c r="B1796" s="11" t="s">
        <v>410</v>
      </c>
      <c r="C1796" s="806" t="s">
        <v>411</v>
      </c>
      <c r="D1796" s="807"/>
      <c r="E1796" s="11" t="s">
        <v>102</v>
      </c>
      <c r="F1796" s="12">
        <v>6</v>
      </c>
      <c r="G1796" s="12">
        <v>22.59</v>
      </c>
      <c r="H1796" s="12">
        <v>28.82</v>
      </c>
      <c r="I1796" s="13">
        <f t="shared" si="154"/>
        <v>135.54</v>
      </c>
      <c r="J1796" s="13">
        <f t="shared" si="155"/>
        <v>172.92000000000002</v>
      </c>
    </row>
    <row r="1797" spans="1:10" s="1" customFormat="1" ht="25.5" customHeight="1" x14ac:dyDescent="0.2">
      <c r="A1797" s="8"/>
      <c r="B1797" s="23">
        <v>41643</v>
      </c>
      <c r="C1797" s="808" t="s">
        <v>412</v>
      </c>
      <c r="D1797" s="809"/>
      <c r="E1797" s="8"/>
      <c r="F1797" s="8"/>
      <c r="G1797" s="8"/>
      <c r="H1797" s="8"/>
      <c r="I1797" s="8"/>
      <c r="J1797" s="8"/>
    </row>
    <row r="1798" spans="1:10" s="1" customFormat="1" ht="25.5" customHeight="1" x14ac:dyDescent="0.2">
      <c r="A1798" s="10">
        <v>89408</v>
      </c>
      <c r="B1798" s="11" t="s">
        <v>413</v>
      </c>
      <c r="C1798" s="806" t="s">
        <v>414</v>
      </c>
      <c r="D1798" s="807"/>
      <c r="E1798" s="11" t="s">
        <v>102</v>
      </c>
      <c r="F1798" s="12">
        <v>91</v>
      </c>
      <c r="G1798" s="12">
        <v>4.09</v>
      </c>
      <c r="H1798" s="12">
        <v>5.21</v>
      </c>
      <c r="I1798" s="13">
        <f t="shared" ref="I1798:I1808" si="156">F1798*G1798</f>
        <v>372.19</v>
      </c>
      <c r="J1798" s="13">
        <f t="shared" ref="J1798:J1808" si="157">F1798*H1798</f>
        <v>474.11</v>
      </c>
    </row>
    <row r="1799" spans="1:10" s="1" customFormat="1" ht="25.5" customHeight="1" x14ac:dyDescent="0.2">
      <c r="A1799" s="10">
        <v>89413</v>
      </c>
      <c r="B1799" s="11" t="s">
        <v>415</v>
      </c>
      <c r="C1799" s="806" t="s">
        <v>416</v>
      </c>
      <c r="D1799" s="807"/>
      <c r="E1799" s="11" t="s">
        <v>102</v>
      </c>
      <c r="F1799" s="12">
        <v>28</v>
      </c>
      <c r="G1799" s="12">
        <v>5.71</v>
      </c>
      <c r="H1799" s="12">
        <v>7.28</v>
      </c>
      <c r="I1799" s="13">
        <f t="shared" si="156"/>
        <v>159.88</v>
      </c>
      <c r="J1799" s="13">
        <f t="shared" si="157"/>
        <v>203.84</v>
      </c>
    </row>
    <row r="1800" spans="1:10" s="1" customFormat="1" ht="25.5" customHeight="1" x14ac:dyDescent="0.2">
      <c r="A1800" s="10">
        <v>89501</v>
      </c>
      <c r="B1800" s="11" t="s">
        <v>417</v>
      </c>
      <c r="C1800" s="806" t="s">
        <v>418</v>
      </c>
      <c r="D1800" s="807"/>
      <c r="E1800" s="11" t="s">
        <v>102</v>
      </c>
      <c r="F1800" s="12">
        <v>20</v>
      </c>
      <c r="G1800" s="12">
        <v>8.99</v>
      </c>
      <c r="H1800" s="12">
        <v>11.47</v>
      </c>
      <c r="I1800" s="13">
        <f t="shared" si="156"/>
        <v>179.8</v>
      </c>
      <c r="J1800" s="13">
        <f t="shared" si="157"/>
        <v>229.4</v>
      </c>
    </row>
    <row r="1801" spans="1:10" s="1" customFormat="1" ht="25.5" customHeight="1" x14ac:dyDescent="0.2">
      <c r="A1801" s="10">
        <v>89505</v>
      </c>
      <c r="B1801" s="11" t="s">
        <v>419</v>
      </c>
      <c r="C1801" s="806" t="s">
        <v>420</v>
      </c>
      <c r="D1801" s="807"/>
      <c r="E1801" s="11" t="s">
        <v>102</v>
      </c>
      <c r="F1801" s="12">
        <v>10</v>
      </c>
      <c r="G1801" s="12">
        <v>23.78</v>
      </c>
      <c r="H1801" s="12">
        <v>30.34</v>
      </c>
      <c r="I1801" s="13">
        <f t="shared" si="156"/>
        <v>237.8</v>
      </c>
      <c r="J1801" s="13">
        <f t="shared" si="157"/>
        <v>303.39999999999998</v>
      </c>
    </row>
    <row r="1802" spans="1:10" s="1" customFormat="1" ht="25.5" customHeight="1" x14ac:dyDescent="0.2">
      <c r="A1802" s="10">
        <v>89521</v>
      </c>
      <c r="B1802" s="11" t="s">
        <v>421</v>
      </c>
      <c r="C1802" s="806" t="s">
        <v>422</v>
      </c>
      <c r="D1802" s="807"/>
      <c r="E1802" s="11" t="s">
        <v>102</v>
      </c>
      <c r="F1802" s="12">
        <v>4</v>
      </c>
      <c r="G1802" s="12">
        <v>72.209999999999994</v>
      </c>
      <c r="H1802" s="12">
        <v>92.13</v>
      </c>
      <c r="I1802" s="13">
        <f t="shared" si="156"/>
        <v>288.83999999999997</v>
      </c>
      <c r="J1802" s="13">
        <f t="shared" si="157"/>
        <v>368.52</v>
      </c>
    </row>
    <row r="1803" spans="1:10" s="1" customFormat="1" ht="25.5" customHeight="1" x14ac:dyDescent="0.2">
      <c r="A1803" s="10">
        <v>89409</v>
      </c>
      <c r="B1803" s="11" t="s">
        <v>423</v>
      </c>
      <c r="C1803" s="806" t="s">
        <v>424</v>
      </c>
      <c r="D1803" s="807"/>
      <c r="E1803" s="11" t="s">
        <v>102</v>
      </c>
      <c r="F1803" s="12">
        <v>5</v>
      </c>
      <c r="G1803" s="12">
        <v>4.51</v>
      </c>
      <c r="H1803" s="12">
        <v>5.75</v>
      </c>
      <c r="I1803" s="13">
        <f t="shared" si="156"/>
        <v>22.549999999999997</v>
      </c>
      <c r="J1803" s="13">
        <f t="shared" si="157"/>
        <v>28.75</v>
      </c>
    </row>
    <row r="1804" spans="1:10" s="1" customFormat="1" ht="25.5" customHeight="1" x14ac:dyDescent="0.2">
      <c r="A1804" s="10">
        <v>89414</v>
      </c>
      <c r="B1804" s="11" t="s">
        <v>425</v>
      </c>
      <c r="C1804" s="806" t="s">
        <v>426</v>
      </c>
      <c r="D1804" s="807"/>
      <c r="E1804" s="11" t="s">
        <v>102</v>
      </c>
      <c r="F1804" s="12">
        <v>3</v>
      </c>
      <c r="G1804" s="12">
        <v>6.88</v>
      </c>
      <c r="H1804" s="12">
        <v>8.77</v>
      </c>
      <c r="I1804" s="13">
        <f t="shared" si="156"/>
        <v>20.64</v>
      </c>
      <c r="J1804" s="13">
        <f t="shared" si="157"/>
        <v>26.31</v>
      </c>
    </row>
    <row r="1805" spans="1:10" s="1" customFormat="1" ht="25.5" customHeight="1" x14ac:dyDescent="0.2">
      <c r="A1805" s="10">
        <v>89502</v>
      </c>
      <c r="B1805" s="11" t="s">
        <v>427</v>
      </c>
      <c r="C1805" s="806" t="s">
        <v>428</v>
      </c>
      <c r="D1805" s="807"/>
      <c r="E1805" s="11" t="s">
        <v>102</v>
      </c>
      <c r="F1805" s="12">
        <v>2</v>
      </c>
      <c r="G1805" s="12">
        <v>9.86</v>
      </c>
      <c r="H1805" s="12">
        <v>12.57</v>
      </c>
      <c r="I1805" s="13">
        <f t="shared" si="156"/>
        <v>19.72</v>
      </c>
      <c r="J1805" s="13">
        <f t="shared" si="157"/>
        <v>25.14</v>
      </c>
    </row>
    <row r="1806" spans="1:10" s="1" customFormat="1" ht="25.5" customHeight="1" x14ac:dyDescent="0.2">
      <c r="A1806" s="10">
        <v>89366</v>
      </c>
      <c r="B1806" s="11" t="s">
        <v>429</v>
      </c>
      <c r="C1806" s="806" t="s">
        <v>430</v>
      </c>
      <c r="D1806" s="807"/>
      <c r="E1806" s="11" t="s">
        <v>102</v>
      </c>
      <c r="F1806" s="12">
        <v>12</v>
      </c>
      <c r="G1806" s="12">
        <v>10.4</v>
      </c>
      <c r="H1806" s="12">
        <v>13.26</v>
      </c>
      <c r="I1806" s="13">
        <f t="shared" si="156"/>
        <v>124.80000000000001</v>
      </c>
      <c r="J1806" s="13">
        <f t="shared" si="157"/>
        <v>159.12</v>
      </c>
    </row>
    <row r="1807" spans="1:10" s="1" customFormat="1" ht="25.5" customHeight="1" x14ac:dyDescent="0.2">
      <c r="A1807" s="10">
        <v>90373</v>
      </c>
      <c r="B1807" s="11" t="s">
        <v>431</v>
      </c>
      <c r="C1807" s="806" t="s">
        <v>432</v>
      </c>
      <c r="D1807" s="807"/>
      <c r="E1807" s="11" t="s">
        <v>102</v>
      </c>
      <c r="F1807" s="12">
        <v>64</v>
      </c>
      <c r="G1807" s="12">
        <v>9.6</v>
      </c>
      <c r="H1807" s="12">
        <v>12.25</v>
      </c>
      <c r="I1807" s="13">
        <f t="shared" si="156"/>
        <v>614.4</v>
      </c>
      <c r="J1807" s="13">
        <f t="shared" si="157"/>
        <v>784</v>
      </c>
    </row>
    <row r="1808" spans="1:10" s="1" customFormat="1" ht="25.5" customHeight="1" x14ac:dyDescent="0.2">
      <c r="A1808" s="11" t="s">
        <v>433</v>
      </c>
      <c r="B1808" s="11" t="s">
        <v>434</v>
      </c>
      <c r="C1808" s="806" t="s">
        <v>435</v>
      </c>
      <c r="D1808" s="807"/>
      <c r="E1808" s="11" t="s">
        <v>102</v>
      </c>
      <c r="F1808" s="12">
        <v>13</v>
      </c>
      <c r="G1808" s="12">
        <v>7.38</v>
      </c>
      <c r="H1808" s="12">
        <v>9.42</v>
      </c>
      <c r="I1808" s="13">
        <f t="shared" si="156"/>
        <v>95.94</v>
      </c>
      <c r="J1808" s="13">
        <f t="shared" si="157"/>
        <v>122.46</v>
      </c>
    </row>
    <row r="1809" spans="1:10" s="1" customFormat="1" ht="25.5" customHeight="1" x14ac:dyDescent="0.2">
      <c r="A1809" s="8"/>
      <c r="B1809" s="23">
        <v>41644</v>
      </c>
      <c r="C1809" s="808" t="s">
        <v>436</v>
      </c>
      <c r="D1809" s="809"/>
      <c r="E1809" s="8"/>
      <c r="F1809" s="8"/>
      <c r="G1809" s="8"/>
      <c r="H1809" s="8"/>
      <c r="I1809" s="8"/>
      <c r="J1809" s="8"/>
    </row>
    <row r="1810" spans="1:10" s="1" customFormat="1" ht="25.5" customHeight="1" x14ac:dyDescent="0.2">
      <c r="A1810" s="10">
        <v>89424</v>
      </c>
      <c r="B1810" s="11" t="s">
        <v>437</v>
      </c>
      <c r="C1810" s="806" t="s">
        <v>438</v>
      </c>
      <c r="D1810" s="807"/>
      <c r="E1810" s="11" t="s">
        <v>102</v>
      </c>
      <c r="F1810" s="12">
        <v>12</v>
      </c>
      <c r="G1810" s="12">
        <v>3.06</v>
      </c>
      <c r="H1810" s="12">
        <v>3.9</v>
      </c>
      <c r="I1810" s="13">
        <f t="shared" ref="I1810:I1815" si="158">F1810*G1810</f>
        <v>36.72</v>
      </c>
      <c r="J1810" s="13">
        <f t="shared" ref="J1810:J1815" si="159">F1810*H1810</f>
        <v>46.8</v>
      </c>
    </row>
    <row r="1811" spans="1:10" s="1" customFormat="1" ht="25.5" customHeight="1" x14ac:dyDescent="0.2">
      <c r="A1811" s="10">
        <v>89431</v>
      </c>
      <c r="B1811" s="11" t="s">
        <v>439</v>
      </c>
      <c r="C1811" s="806" t="s">
        <v>440</v>
      </c>
      <c r="D1811" s="807"/>
      <c r="E1811" s="11" t="s">
        <v>102</v>
      </c>
      <c r="F1811" s="12">
        <v>12</v>
      </c>
      <c r="G1811" s="12">
        <v>4.18</v>
      </c>
      <c r="H1811" s="12">
        <v>5.33</v>
      </c>
      <c r="I1811" s="13">
        <f t="shared" si="158"/>
        <v>50.16</v>
      </c>
      <c r="J1811" s="13">
        <f t="shared" si="159"/>
        <v>63.96</v>
      </c>
    </row>
    <row r="1812" spans="1:10" s="1" customFormat="1" ht="25.5" customHeight="1" x14ac:dyDescent="0.2">
      <c r="A1812" s="10">
        <v>89575</v>
      </c>
      <c r="B1812" s="11" t="s">
        <v>441</v>
      </c>
      <c r="C1812" s="806" t="s">
        <v>442</v>
      </c>
      <c r="D1812" s="807"/>
      <c r="E1812" s="11" t="s">
        <v>102</v>
      </c>
      <c r="F1812" s="12">
        <v>7</v>
      </c>
      <c r="G1812" s="12">
        <v>6.7</v>
      </c>
      <c r="H1812" s="12">
        <v>8.5399999999999991</v>
      </c>
      <c r="I1812" s="13">
        <f t="shared" si="158"/>
        <v>46.9</v>
      </c>
      <c r="J1812" s="13">
        <f t="shared" si="159"/>
        <v>59.779999999999994</v>
      </c>
    </row>
    <row r="1813" spans="1:10" s="1" customFormat="1" ht="25.5" customHeight="1" x14ac:dyDescent="0.2">
      <c r="A1813" s="10">
        <v>89597</v>
      </c>
      <c r="B1813" s="11" t="s">
        <v>443</v>
      </c>
      <c r="C1813" s="806" t="s">
        <v>444</v>
      </c>
      <c r="D1813" s="807"/>
      <c r="E1813" s="11" t="s">
        <v>102</v>
      </c>
      <c r="F1813" s="12">
        <v>3</v>
      </c>
      <c r="G1813" s="12">
        <v>12.3</v>
      </c>
      <c r="H1813" s="12">
        <v>15.7</v>
      </c>
      <c r="I1813" s="13">
        <f t="shared" si="158"/>
        <v>36.900000000000006</v>
      </c>
      <c r="J1813" s="13">
        <f t="shared" si="159"/>
        <v>47.099999999999994</v>
      </c>
    </row>
    <row r="1814" spans="1:10" s="1" customFormat="1" ht="25.5" customHeight="1" x14ac:dyDescent="0.2">
      <c r="A1814" s="10">
        <v>89614</v>
      </c>
      <c r="B1814" s="11" t="s">
        <v>445</v>
      </c>
      <c r="C1814" s="806" t="s">
        <v>446</v>
      </c>
      <c r="D1814" s="807"/>
      <c r="E1814" s="11" t="s">
        <v>102</v>
      </c>
      <c r="F1814" s="12">
        <v>7</v>
      </c>
      <c r="G1814" s="12">
        <v>33.06</v>
      </c>
      <c r="H1814" s="12">
        <v>42.18</v>
      </c>
      <c r="I1814" s="13">
        <f t="shared" si="158"/>
        <v>231.42000000000002</v>
      </c>
      <c r="J1814" s="13">
        <f t="shared" si="159"/>
        <v>295.26</v>
      </c>
    </row>
    <row r="1815" spans="1:10" s="1" customFormat="1" ht="25.5" customHeight="1" x14ac:dyDescent="0.2">
      <c r="A1815" s="11" t="s">
        <v>447</v>
      </c>
      <c r="B1815" s="11" t="s">
        <v>448</v>
      </c>
      <c r="C1815" s="806" t="s">
        <v>449</v>
      </c>
      <c r="D1815" s="807"/>
      <c r="E1815" s="11" t="s">
        <v>102</v>
      </c>
      <c r="F1815" s="12">
        <v>8</v>
      </c>
      <c r="G1815" s="12">
        <v>4.53</v>
      </c>
      <c r="H1815" s="12">
        <v>5.78</v>
      </c>
      <c r="I1815" s="13">
        <f t="shared" si="158"/>
        <v>36.24</v>
      </c>
      <c r="J1815" s="13">
        <f t="shared" si="159"/>
        <v>46.24</v>
      </c>
    </row>
    <row r="1816" spans="1:10" s="1" customFormat="1" ht="25.5" customHeight="1" x14ac:dyDescent="0.2">
      <c r="A1816" s="8"/>
      <c r="B1816" s="23">
        <v>41645</v>
      </c>
      <c r="C1816" s="808" t="s">
        <v>450</v>
      </c>
      <c r="D1816" s="809"/>
      <c r="E1816" s="8"/>
      <c r="F1816" s="8"/>
      <c r="G1816" s="8"/>
      <c r="H1816" s="8"/>
      <c r="I1816" s="8"/>
      <c r="J1816" s="8"/>
    </row>
    <row r="1817" spans="1:10" s="1" customFormat="1" ht="25.5" customHeight="1" x14ac:dyDescent="0.2">
      <c r="A1817" s="10">
        <v>89440</v>
      </c>
      <c r="B1817" s="11" t="s">
        <v>451</v>
      </c>
      <c r="C1817" s="806" t="s">
        <v>452</v>
      </c>
      <c r="D1817" s="807"/>
      <c r="E1817" s="11" t="s">
        <v>102</v>
      </c>
      <c r="F1817" s="12">
        <v>17</v>
      </c>
      <c r="G1817" s="12">
        <v>5.76</v>
      </c>
      <c r="H1817" s="12">
        <v>7.35</v>
      </c>
      <c r="I1817" s="13">
        <f t="shared" ref="I1817:I1827" si="160">F1817*G1817</f>
        <v>97.92</v>
      </c>
      <c r="J1817" s="13">
        <f t="shared" ref="J1817:J1827" si="161">F1817*H1817</f>
        <v>124.94999999999999</v>
      </c>
    </row>
    <row r="1818" spans="1:10" s="1" customFormat="1" ht="25.5" customHeight="1" x14ac:dyDescent="0.2">
      <c r="A1818" s="10">
        <v>89443</v>
      </c>
      <c r="B1818" s="11" t="s">
        <v>453</v>
      </c>
      <c r="C1818" s="806" t="s">
        <v>454</v>
      </c>
      <c r="D1818" s="807"/>
      <c r="E1818" s="11" t="s">
        <v>102</v>
      </c>
      <c r="F1818" s="12">
        <v>13</v>
      </c>
      <c r="G1818" s="12">
        <v>8.1999999999999993</v>
      </c>
      <c r="H1818" s="12">
        <v>10.46</v>
      </c>
      <c r="I1818" s="13">
        <f t="shared" si="160"/>
        <v>106.6</v>
      </c>
      <c r="J1818" s="13">
        <f t="shared" si="161"/>
        <v>135.98000000000002</v>
      </c>
    </row>
    <row r="1819" spans="1:10" s="1" customFormat="1" ht="25.5" customHeight="1" x14ac:dyDescent="0.2">
      <c r="A1819" s="10">
        <v>89625</v>
      </c>
      <c r="B1819" s="11" t="s">
        <v>455</v>
      </c>
      <c r="C1819" s="806" t="s">
        <v>456</v>
      </c>
      <c r="D1819" s="807"/>
      <c r="E1819" s="11" t="s">
        <v>102</v>
      </c>
      <c r="F1819" s="12">
        <v>17</v>
      </c>
      <c r="G1819" s="12">
        <v>13.75</v>
      </c>
      <c r="H1819" s="12">
        <v>17.55</v>
      </c>
      <c r="I1819" s="13">
        <f t="shared" si="160"/>
        <v>233.75</v>
      </c>
      <c r="J1819" s="13">
        <f t="shared" si="161"/>
        <v>298.35000000000002</v>
      </c>
    </row>
    <row r="1820" spans="1:10" s="1" customFormat="1" ht="25.5" customHeight="1" x14ac:dyDescent="0.2">
      <c r="A1820" s="10">
        <v>89628</v>
      </c>
      <c r="B1820" s="11" t="s">
        <v>457</v>
      </c>
      <c r="C1820" s="806" t="s">
        <v>458</v>
      </c>
      <c r="D1820" s="807"/>
      <c r="E1820" s="11" t="s">
        <v>102</v>
      </c>
      <c r="F1820" s="12">
        <v>8</v>
      </c>
      <c r="G1820" s="12">
        <v>27.72</v>
      </c>
      <c r="H1820" s="12">
        <v>35.369999999999997</v>
      </c>
      <c r="I1820" s="13">
        <f t="shared" si="160"/>
        <v>221.76</v>
      </c>
      <c r="J1820" s="13">
        <f t="shared" si="161"/>
        <v>282.95999999999998</v>
      </c>
    </row>
    <row r="1821" spans="1:10" s="1" customFormat="1" ht="25.5" customHeight="1" x14ac:dyDescent="0.2">
      <c r="A1821" s="10">
        <v>89631</v>
      </c>
      <c r="B1821" s="11" t="s">
        <v>459</v>
      </c>
      <c r="C1821" s="806" t="s">
        <v>460</v>
      </c>
      <c r="D1821" s="807"/>
      <c r="E1821" s="11" t="s">
        <v>102</v>
      </c>
      <c r="F1821" s="12">
        <v>6</v>
      </c>
      <c r="G1821" s="12">
        <v>71.03</v>
      </c>
      <c r="H1821" s="12">
        <v>90.62</v>
      </c>
      <c r="I1821" s="13">
        <f t="shared" si="160"/>
        <v>426.18</v>
      </c>
      <c r="J1821" s="13">
        <f t="shared" si="161"/>
        <v>543.72</v>
      </c>
    </row>
    <row r="1822" spans="1:10" s="1" customFormat="1" ht="25.5" customHeight="1" x14ac:dyDescent="0.2">
      <c r="A1822" s="11" t="s">
        <v>78</v>
      </c>
      <c r="B1822" s="11" t="s">
        <v>461</v>
      </c>
      <c r="C1822" s="806" t="s">
        <v>462</v>
      </c>
      <c r="D1822" s="807"/>
      <c r="E1822" s="11" t="s">
        <v>102</v>
      </c>
      <c r="F1822" s="12">
        <v>13</v>
      </c>
      <c r="G1822" s="12">
        <v>12.99</v>
      </c>
      <c r="H1822" s="12">
        <v>16.57</v>
      </c>
      <c r="I1822" s="13">
        <f t="shared" si="160"/>
        <v>168.87</v>
      </c>
      <c r="J1822" s="13">
        <f t="shared" si="161"/>
        <v>215.41</v>
      </c>
    </row>
    <row r="1823" spans="1:10" s="1" customFormat="1" ht="25.5" customHeight="1" x14ac:dyDescent="0.2">
      <c r="A1823" s="11" t="s">
        <v>78</v>
      </c>
      <c r="B1823" s="11" t="s">
        <v>463</v>
      </c>
      <c r="C1823" s="806" t="s">
        <v>464</v>
      </c>
      <c r="D1823" s="807"/>
      <c r="E1823" s="11" t="s">
        <v>102</v>
      </c>
      <c r="F1823" s="12">
        <v>4</v>
      </c>
      <c r="G1823" s="12">
        <v>14.25</v>
      </c>
      <c r="H1823" s="12">
        <v>18.18</v>
      </c>
      <c r="I1823" s="13">
        <f t="shared" si="160"/>
        <v>57</v>
      </c>
      <c r="J1823" s="13">
        <f t="shared" si="161"/>
        <v>72.72</v>
      </c>
    </row>
    <row r="1824" spans="1:10" s="1" customFormat="1" ht="25.5" customHeight="1" x14ac:dyDescent="0.2">
      <c r="A1824" s="10">
        <v>89400</v>
      </c>
      <c r="B1824" s="11" t="s">
        <v>465</v>
      </c>
      <c r="C1824" s="806" t="s">
        <v>466</v>
      </c>
      <c r="D1824" s="807"/>
      <c r="E1824" s="11" t="s">
        <v>102</v>
      </c>
      <c r="F1824" s="12">
        <v>26</v>
      </c>
      <c r="G1824" s="12">
        <v>13.19</v>
      </c>
      <c r="H1824" s="12">
        <v>16.829999999999998</v>
      </c>
      <c r="I1824" s="13">
        <f t="shared" si="160"/>
        <v>342.94</v>
      </c>
      <c r="J1824" s="13">
        <f t="shared" si="161"/>
        <v>437.57999999999993</v>
      </c>
    </row>
    <row r="1825" spans="1:10" s="1" customFormat="1" ht="25.5" customHeight="1" x14ac:dyDescent="0.2">
      <c r="A1825" s="10">
        <v>89627</v>
      </c>
      <c r="B1825" s="11" t="s">
        <v>467</v>
      </c>
      <c r="C1825" s="806" t="s">
        <v>468</v>
      </c>
      <c r="D1825" s="807"/>
      <c r="E1825" s="11" t="s">
        <v>102</v>
      </c>
      <c r="F1825" s="12">
        <v>3</v>
      </c>
      <c r="G1825" s="12">
        <v>13.53</v>
      </c>
      <c r="H1825" s="12">
        <v>17.260000000000002</v>
      </c>
      <c r="I1825" s="13">
        <f t="shared" si="160"/>
        <v>40.589999999999996</v>
      </c>
      <c r="J1825" s="13">
        <f t="shared" si="161"/>
        <v>51.78</v>
      </c>
    </row>
    <row r="1826" spans="1:10" s="1" customFormat="1" ht="25.5" customHeight="1" x14ac:dyDescent="0.2">
      <c r="A1826" s="11" t="s">
        <v>78</v>
      </c>
      <c r="B1826" s="11" t="s">
        <v>469</v>
      </c>
      <c r="C1826" s="806" t="s">
        <v>470</v>
      </c>
      <c r="D1826" s="807"/>
      <c r="E1826" s="11" t="s">
        <v>102</v>
      </c>
      <c r="F1826" s="12">
        <v>2</v>
      </c>
      <c r="G1826" s="12">
        <v>26.32</v>
      </c>
      <c r="H1826" s="12">
        <v>33.58</v>
      </c>
      <c r="I1826" s="13">
        <f t="shared" si="160"/>
        <v>52.64</v>
      </c>
      <c r="J1826" s="13">
        <f t="shared" si="161"/>
        <v>67.16</v>
      </c>
    </row>
    <row r="1827" spans="1:10" s="1" customFormat="1" ht="25.5" customHeight="1" x14ac:dyDescent="0.2">
      <c r="A1827" s="10">
        <v>89632</v>
      </c>
      <c r="B1827" s="11" t="s">
        <v>471</v>
      </c>
      <c r="C1827" s="806" t="s">
        <v>472</v>
      </c>
      <c r="D1827" s="807"/>
      <c r="E1827" s="11" t="s">
        <v>102</v>
      </c>
      <c r="F1827" s="12">
        <v>14</v>
      </c>
      <c r="G1827" s="12">
        <v>61.2</v>
      </c>
      <c r="H1827" s="12">
        <v>78.09</v>
      </c>
      <c r="I1827" s="13">
        <f t="shared" si="160"/>
        <v>856.80000000000007</v>
      </c>
      <c r="J1827" s="13">
        <f t="shared" si="161"/>
        <v>1093.26</v>
      </c>
    </row>
    <row r="1828" spans="1:10" s="1" customFormat="1" ht="25.5" customHeight="1" x14ac:dyDescent="0.2">
      <c r="A1828" s="8"/>
      <c r="B1828" s="23">
        <v>41646</v>
      </c>
      <c r="C1828" s="808" t="s">
        <v>473</v>
      </c>
      <c r="D1828" s="809"/>
      <c r="E1828" s="8"/>
      <c r="F1828" s="8"/>
      <c r="G1828" s="8"/>
      <c r="H1828" s="8"/>
      <c r="I1828" s="8"/>
      <c r="J1828" s="8"/>
    </row>
    <row r="1829" spans="1:10" s="1" customFormat="1" ht="25.5" customHeight="1" x14ac:dyDescent="0.2">
      <c r="A1829" s="10">
        <v>89382</v>
      </c>
      <c r="B1829" s="11" t="s">
        <v>474</v>
      </c>
      <c r="C1829" s="806" t="s">
        <v>475</v>
      </c>
      <c r="D1829" s="807"/>
      <c r="E1829" s="11" t="s">
        <v>102</v>
      </c>
      <c r="F1829" s="12">
        <v>2</v>
      </c>
      <c r="G1829" s="12">
        <v>8.39</v>
      </c>
      <c r="H1829" s="12">
        <v>10.7</v>
      </c>
      <c r="I1829" s="13">
        <f>F1829*G1829</f>
        <v>16.78</v>
      </c>
      <c r="J1829" s="13">
        <f>F1829*H1829</f>
        <v>21.4</v>
      </c>
    </row>
    <row r="1830" spans="1:10" s="1" customFormat="1" ht="25.5" customHeight="1" x14ac:dyDescent="0.2">
      <c r="A1830" s="10">
        <v>89390</v>
      </c>
      <c r="B1830" s="11" t="s">
        <v>476</v>
      </c>
      <c r="C1830" s="806" t="s">
        <v>477</v>
      </c>
      <c r="D1830" s="807"/>
      <c r="E1830" s="11" t="s">
        <v>102</v>
      </c>
      <c r="F1830" s="12">
        <v>2</v>
      </c>
      <c r="G1830" s="12">
        <v>12.33</v>
      </c>
      <c r="H1830" s="12">
        <v>15.73</v>
      </c>
      <c r="I1830" s="13">
        <f>F1830*G1830</f>
        <v>24.66</v>
      </c>
      <c r="J1830" s="13">
        <f>F1830*H1830</f>
        <v>31.46</v>
      </c>
    </row>
    <row r="1831" spans="1:10" s="1" customFormat="1" ht="25.5" customHeight="1" x14ac:dyDescent="0.2">
      <c r="A1831" s="10">
        <v>89594</v>
      </c>
      <c r="B1831" s="11" t="s">
        <v>478</v>
      </c>
      <c r="C1831" s="806" t="s">
        <v>479</v>
      </c>
      <c r="D1831" s="807"/>
      <c r="E1831" s="11" t="s">
        <v>102</v>
      </c>
      <c r="F1831" s="12">
        <v>4</v>
      </c>
      <c r="G1831" s="12">
        <v>21.53</v>
      </c>
      <c r="H1831" s="12">
        <v>27.47</v>
      </c>
      <c r="I1831" s="13">
        <f>F1831*G1831</f>
        <v>86.12</v>
      </c>
      <c r="J1831" s="13">
        <f>F1831*H1831</f>
        <v>109.88</v>
      </c>
    </row>
    <row r="1832" spans="1:10" s="1" customFormat="1" ht="25.5" customHeight="1" x14ac:dyDescent="0.2">
      <c r="A1832" s="10">
        <v>89615</v>
      </c>
      <c r="B1832" s="11" t="s">
        <v>480</v>
      </c>
      <c r="C1832" s="806" t="s">
        <v>481</v>
      </c>
      <c r="D1832" s="807"/>
      <c r="E1832" s="11" t="s">
        <v>102</v>
      </c>
      <c r="F1832" s="12">
        <v>2</v>
      </c>
      <c r="G1832" s="12">
        <v>133.13999999999999</v>
      </c>
      <c r="H1832" s="12">
        <v>169.87</v>
      </c>
      <c r="I1832" s="13">
        <f>F1832*G1832</f>
        <v>266.27999999999997</v>
      </c>
      <c r="J1832" s="13">
        <f>F1832*H1832</f>
        <v>339.74</v>
      </c>
    </row>
    <row r="1833" spans="1:10" s="1" customFormat="1" ht="25.5" customHeight="1" x14ac:dyDescent="0.2">
      <c r="A1833" s="8"/>
      <c r="B1833" s="23">
        <v>41647</v>
      </c>
      <c r="C1833" s="808" t="s">
        <v>482</v>
      </c>
      <c r="D1833" s="809"/>
      <c r="E1833" s="8"/>
      <c r="F1833" s="8"/>
      <c r="G1833" s="8"/>
      <c r="H1833" s="8"/>
      <c r="I1833" s="8"/>
      <c r="J1833" s="8"/>
    </row>
    <row r="1834" spans="1:10" s="1" customFormat="1" ht="25.5" customHeight="1" x14ac:dyDescent="0.2">
      <c r="A1834" s="11" t="s">
        <v>483</v>
      </c>
      <c r="B1834" s="11" t="s">
        <v>484</v>
      </c>
      <c r="C1834" s="806" t="s">
        <v>485</v>
      </c>
      <c r="D1834" s="807"/>
      <c r="E1834" s="11" t="s">
        <v>102</v>
      </c>
      <c r="F1834" s="12">
        <v>74</v>
      </c>
      <c r="G1834" s="12">
        <v>1.81</v>
      </c>
      <c r="H1834" s="12">
        <v>2.31</v>
      </c>
      <c r="I1834" s="13">
        <f>F1834*G1834</f>
        <v>133.94</v>
      </c>
      <c r="J1834" s="13">
        <f>F1834*H1834</f>
        <v>170.94</v>
      </c>
    </row>
    <row r="1835" spans="1:10" s="1" customFormat="1" ht="25.5" customHeight="1" x14ac:dyDescent="0.2">
      <c r="A1835" s="11" t="s">
        <v>486</v>
      </c>
      <c r="B1835" s="11" t="s">
        <v>487</v>
      </c>
      <c r="C1835" s="806" t="s">
        <v>488</v>
      </c>
      <c r="D1835" s="807"/>
      <c r="E1835" s="11" t="s">
        <v>102</v>
      </c>
      <c r="F1835" s="12">
        <v>17</v>
      </c>
      <c r="G1835" s="12">
        <v>2.93</v>
      </c>
      <c r="H1835" s="12">
        <v>3.73</v>
      </c>
      <c r="I1835" s="13">
        <f>F1835*G1835</f>
        <v>49.81</v>
      </c>
      <c r="J1835" s="13">
        <f>F1835*H1835</f>
        <v>63.41</v>
      </c>
    </row>
    <row r="1836" spans="1:10" s="1" customFormat="1" ht="25.5" customHeight="1" x14ac:dyDescent="0.2">
      <c r="A1836" s="11" t="s">
        <v>78</v>
      </c>
      <c r="B1836" s="11" t="s">
        <v>489</v>
      </c>
      <c r="C1836" s="806" t="s">
        <v>490</v>
      </c>
      <c r="D1836" s="807"/>
      <c r="E1836" s="11" t="s">
        <v>102</v>
      </c>
      <c r="F1836" s="12">
        <v>23</v>
      </c>
      <c r="G1836" s="12">
        <v>4.1100000000000003</v>
      </c>
      <c r="H1836" s="12">
        <v>5.25</v>
      </c>
      <c r="I1836" s="13">
        <f>F1836*G1836</f>
        <v>94.53</v>
      </c>
      <c r="J1836" s="13">
        <f>F1836*H1836</f>
        <v>120.75</v>
      </c>
    </row>
    <row r="1837" spans="1:10" s="1" customFormat="1" ht="25.5" customHeight="1" x14ac:dyDescent="0.2">
      <c r="A1837" s="8"/>
      <c r="B1837" s="803" t="s">
        <v>491</v>
      </c>
      <c r="C1837" s="804"/>
      <c r="D1837" s="804"/>
      <c r="E1837" s="804"/>
      <c r="F1837" s="804"/>
      <c r="G1837" s="805"/>
      <c r="H1837" s="8"/>
      <c r="I1837" s="14">
        <f>SUM(I1775:I1836)-1.9</f>
        <v>19785.07999999998</v>
      </c>
      <c r="J1837" s="15">
        <f>SUM(J1775:J1836)-0.26</f>
        <v>25243.999999999996</v>
      </c>
    </row>
    <row r="1838" spans="1:10" s="1" customFormat="1" ht="25.5" customHeight="1" x14ac:dyDescent="0.2">
      <c r="A1838" s="8"/>
      <c r="B1838" s="9" t="s">
        <v>492</v>
      </c>
      <c r="C1838" s="808" t="s">
        <v>493</v>
      </c>
      <c r="D1838" s="809"/>
      <c r="E1838" s="8"/>
      <c r="F1838" s="8"/>
      <c r="G1838" s="8"/>
      <c r="H1838" s="8"/>
      <c r="I1838" s="8"/>
      <c r="J1838" s="8"/>
    </row>
    <row r="1839" spans="1:10" s="1" customFormat="1" ht="25.5" customHeight="1" x14ac:dyDescent="0.2">
      <c r="A1839" s="10">
        <v>86902</v>
      </c>
      <c r="B1839" s="11" t="s">
        <v>494</v>
      </c>
      <c r="C1839" s="806" t="s">
        <v>495</v>
      </c>
      <c r="D1839" s="807"/>
      <c r="E1839" s="11" t="s">
        <v>102</v>
      </c>
      <c r="F1839" s="12">
        <v>7</v>
      </c>
      <c r="G1839" s="12">
        <v>179.19</v>
      </c>
      <c r="H1839" s="12">
        <v>228.63</v>
      </c>
      <c r="I1839" s="13">
        <f t="shared" ref="I1839:I1892" si="162">F1839*G1839</f>
        <v>1254.33</v>
      </c>
      <c r="J1839" s="13">
        <f t="shared" ref="J1839:J1892" si="163">F1839*H1839</f>
        <v>1600.4099999999999</v>
      </c>
    </row>
    <row r="1840" spans="1:10" s="1" customFormat="1" ht="25.5" customHeight="1" x14ac:dyDescent="0.2">
      <c r="A1840" s="10">
        <v>86938</v>
      </c>
      <c r="B1840" s="11" t="s">
        <v>496</v>
      </c>
      <c r="C1840" s="806" t="s">
        <v>497</v>
      </c>
      <c r="D1840" s="807"/>
      <c r="E1840" s="11" t="s">
        <v>102</v>
      </c>
      <c r="F1840" s="12">
        <v>2</v>
      </c>
      <c r="G1840" s="12">
        <v>212.03</v>
      </c>
      <c r="H1840" s="12">
        <v>270.52999999999997</v>
      </c>
      <c r="I1840" s="13">
        <f t="shared" si="162"/>
        <v>424.06</v>
      </c>
      <c r="J1840" s="13">
        <f t="shared" si="163"/>
        <v>541.05999999999995</v>
      </c>
    </row>
    <row r="1841" spans="1:10" s="1" customFormat="1" ht="25.5" customHeight="1" x14ac:dyDescent="0.2">
      <c r="A1841" s="10">
        <v>86901</v>
      </c>
      <c r="B1841" s="11" t="s">
        <v>498</v>
      </c>
      <c r="C1841" s="806" t="s">
        <v>499</v>
      </c>
      <c r="D1841" s="807"/>
      <c r="E1841" s="11" t="s">
        <v>102</v>
      </c>
      <c r="F1841" s="12">
        <v>2</v>
      </c>
      <c r="G1841" s="12">
        <v>101.58</v>
      </c>
      <c r="H1841" s="12">
        <v>129.61000000000001</v>
      </c>
      <c r="I1841" s="13">
        <f t="shared" si="162"/>
        <v>203.16</v>
      </c>
      <c r="J1841" s="13">
        <f t="shared" si="163"/>
        <v>259.22000000000003</v>
      </c>
    </row>
    <row r="1842" spans="1:10" s="1" customFormat="1" ht="25.5" customHeight="1" x14ac:dyDescent="0.2">
      <c r="A1842" s="11" t="s">
        <v>78</v>
      </c>
      <c r="B1842" s="11" t="s">
        <v>500</v>
      </c>
      <c r="C1842" s="806" t="s">
        <v>501</v>
      </c>
      <c r="D1842" s="807"/>
      <c r="E1842" s="11" t="s">
        <v>102</v>
      </c>
      <c r="F1842" s="12">
        <v>2</v>
      </c>
      <c r="G1842" s="12">
        <v>412.2</v>
      </c>
      <c r="H1842" s="12">
        <v>525.92999999999995</v>
      </c>
      <c r="I1842" s="13">
        <f t="shared" si="162"/>
        <v>824.4</v>
      </c>
      <c r="J1842" s="13">
        <f t="shared" si="163"/>
        <v>1051.8599999999999</v>
      </c>
    </row>
    <row r="1843" spans="1:10" s="1" customFormat="1" ht="25.5" customHeight="1" x14ac:dyDescent="0.2">
      <c r="A1843" s="10">
        <v>72739</v>
      </c>
      <c r="B1843" s="11" t="s">
        <v>502</v>
      </c>
      <c r="C1843" s="806" t="s">
        <v>503</v>
      </c>
      <c r="D1843" s="807"/>
      <c r="E1843" s="11" t="s">
        <v>102</v>
      </c>
      <c r="F1843" s="12">
        <v>12</v>
      </c>
      <c r="G1843" s="12">
        <v>348.66</v>
      </c>
      <c r="H1843" s="12">
        <v>444.86</v>
      </c>
      <c r="I1843" s="13">
        <f t="shared" si="162"/>
        <v>4183.92</v>
      </c>
      <c r="J1843" s="13">
        <f t="shared" si="163"/>
        <v>5338.32</v>
      </c>
    </row>
    <row r="1844" spans="1:10" s="1" customFormat="1" ht="25.5" customHeight="1" x14ac:dyDescent="0.2">
      <c r="A1844" s="10">
        <v>95469</v>
      </c>
      <c r="B1844" s="11" t="s">
        <v>504</v>
      </c>
      <c r="C1844" s="806" t="s">
        <v>505</v>
      </c>
      <c r="D1844" s="807"/>
      <c r="E1844" s="11" t="s">
        <v>102</v>
      </c>
      <c r="F1844" s="12">
        <v>9</v>
      </c>
      <c r="G1844" s="12">
        <v>153.37</v>
      </c>
      <c r="H1844" s="12">
        <v>195.68</v>
      </c>
      <c r="I1844" s="13">
        <f t="shared" si="162"/>
        <v>1380.33</v>
      </c>
      <c r="J1844" s="13">
        <f t="shared" si="163"/>
        <v>1761.1200000000001</v>
      </c>
    </row>
    <row r="1845" spans="1:10" s="1" customFormat="1" ht="25.5" customHeight="1" x14ac:dyDescent="0.2">
      <c r="A1845" s="11" t="s">
        <v>78</v>
      </c>
      <c r="B1845" s="11" t="s">
        <v>506</v>
      </c>
      <c r="C1845" s="806" t="s">
        <v>507</v>
      </c>
      <c r="D1845" s="807"/>
      <c r="E1845" s="11" t="s">
        <v>102</v>
      </c>
      <c r="F1845" s="12">
        <v>2</v>
      </c>
      <c r="G1845" s="12">
        <v>62.01</v>
      </c>
      <c r="H1845" s="12">
        <v>79.12</v>
      </c>
      <c r="I1845" s="13">
        <f t="shared" si="162"/>
        <v>124.02</v>
      </c>
      <c r="J1845" s="13">
        <f t="shared" si="163"/>
        <v>158.24</v>
      </c>
    </row>
    <row r="1846" spans="1:10" s="1" customFormat="1" ht="25.5" customHeight="1" x14ac:dyDescent="0.2">
      <c r="A1846" s="11" t="s">
        <v>78</v>
      </c>
      <c r="B1846" s="11" t="s">
        <v>508</v>
      </c>
      <c r="C1846" s="806" t="s">
        <v>509</v>
      </c>
      <c r="D1846" s="807"/>
      <c r="E1846" s="11" t="s">
        <v>102</v>
      </c>
      <c r="F1846" s="12">
        <v>12</v>
      </c>
      <c r="G1846" s="12">
        <v>47.22</v>
      </c>
      <c r="H1846" s="12">
        <v>60.25</v>
      </c>
      <c r="I1846" s="13">
        <f t="shared" si="162"/>
        <v>566.64</v>
      </c>
      <c r="J1846" s="13">
        <f t="shared" si="163"/>
        <v>723</v>
      </c>
    </row>
    <row r="1847" spans="1:10" s="1" customFormat="1" ht="25.5" customHeight="1" x14ac:dyDescent="0.2">
      <c r="A1847" s="11" t="s">
        <v>510</v>
      </c>
      <c r="B1847" s="11" t="s">
        <v>511</v>
      </c>
      <c r="C1847" s="806" t="s">
        <v>512</v>
      </c>
      <c r="D1847" s="807"/>
      <c r="E1847" s="11" t="s">
        <v>102</v>
      </c>
      <c r="F1847" s="12">
        <v>9</v>
      </c>
      <c r="G1847" s="12">
        <v>30.39</v>
      </c>
      <c r="H1847" s="12">
        <v>38.78</v>
      </c>
      <c r="I1847" s="13">
        <f t="shared" si="162"/>
        <v>273.51</v>
      </c>
      <c r="J1847" s="13">
        <f t="shared" si="163"/>
        <v>349.02</v>
      </c>
    </row>
    <row r="1848" spans="1:10" s="1" customFormat="1" ht="25.5" customHeight="1" x14ac:dyDescent="0.2">
      <c r="A1848" s="11" t="s">
        <v>308</v>
      </c>
      <c r="B1848" s="11" t="s">
        <v>513</v>
      </c>
      <c r="C1848" s="806" t="s">
        <v>514</v>
      </c>
      <c r="D1848" s="807"/>
      <c r="E1848" s="11" t="s">
        <v>102</v>
      </c>
      <c r="F1848" s="12">
        <v>2</v>
      </c>
      <c r="G1848" s="12">
        <v>224.79</v>
      </c>
      <c r="H1848" s="12">
        <v>286.81</v>
      </c>
      <c r="I1848" s="13">
        <f t="shared" si="162"/>
        <v>449.58</v>
      </c>
      <c r="J1848" s="13">
        <f t="shared" si="163"/>
        <v>573.62</v>
      </c>
    </row>
    <row r="1849" spans="1:10" s="1" customFormat="1" ht="25.5" customHeight="1" x14ac:dyDescent="0.2">
      <c r="A1849" s="11" t="s">
        <v>308</v>
      </c>
      <c r="B1849" s="11" t="s">
        <v>515</v>
      </c>
      <c r="C1849" s="806" t="s">
        <v>516</v>
      </c>
      <c r="D1849" s="807"/>
      <c r="E1849" s="11" t="s">
        <v>102</v>
      </c>
      <c r="F1849" s="12">
        <v>8</v>
      </c>
      <c r="G1849" s="12">
        <v>170.36</v>
      </c>
      <c r="H1849" s="12">
        <v>217.36</v>
      </c>
      <c r="I1849" s="13">
        <f t="shared" si="162"/>
        <v>1362.88</v>
      </c>
      <c r="J1849" s="13">
        <f t="shared" si="163"/>
        <v>1738.88</v>
      </c>
    </row>
    <row r="1850" spans="1:10" s="1" customFormat="1" ht="25.5" customHeight="1" x14ac:dyDescent="0.2">
      <c r="A1850" s="11" t="s">
        <v>308</v>
      </c>
      <c r="B1850" s="11" t="s">
        <v>517</v>
      </c>
      <c r="C1850" s="806" t="s">
        <v>518</v>
      </c>
      <c r="D1850" s="807"/>
      <c r="E1850" s="11" t="s">
        <v>102</v>
      </c>
      <c r="F1850" s="12">
        <v>4</v>
      </c>
      <c r="G1850" s="12">
        <v>108</v>
      </c>
      <c r="H1850" s="12">
        <v>137.80000000000001</v>
      </c>
      <c r="I1850" s="13">
        <f t="shared" si="162"/>
        <v>432</v>
      </c>
      <c r="J1850" s="13">
        <f t="shared" si="163"/>
        <v>551.20000000000005</v>
      </c>
    </row>
    <row r="1851" spans="1:10" s="1" customFormat="1" ht="25.5" customHeight="1" x14ac:dyDescent="0.2">
      <c r="A1851" s="11" t="s">
        <v>308</v>
      </c>
      <c r="B1851" s="11" t="s">
        <v>519</v>
      </c>
      <c r="C1851" s="806" t="s">
        <v>520</v>
      </c>
      <c r="D1851" s="807"/>
      <c r="E1851" s="11" t="s">
        <v>102</v>
      </c>
      <c r="F1851" s="12">
        <v>1</v>
      </c>
      <c r="G1851" s="13">
        <v>1249</v>
      </c>
      <c r="H1851" s="13">
        <v>1593.6</v>
      </c>
      <c r="I1851" s="13">
        <f t="shared" si="162"/>
        <v>1249</v>
      </c>
      <c r="J1851" s="13">
        <f t="shared" si="163"/>
        <v>1593.6</v>
      </c>
    </row>
    <row r="1852" spans="1:10" s="1" customFormat="1" ht="25.5" customHeight="1" x14ac:dyDescent="0.2">
      <c r="A1852" s="10">
        <v>86909</v>
      </c>
      <c r="B1852" s="11" t="s">
        <v>521</v>
      </c>
      <c r="C1852" s="806" t="s">
        <v>522</v>
      </c>
      <c r="D1852" s="807"/>
      <c r="E1852" s="11" t="s">
        <v>102</v>
      </c>
      <c r="F1852" s="12">
        <v>7</v>
      </c>
      <c r="G1852" s="12">
        <v>74.2</v>
      </c>
      <c r="H1852" s="12">
        <v>94.67</v>
      </c>
      <c r="I1852" s="13">
        <f t="shared" si="162"/>
        <v>519.4</v>
      </c>
      <c r="J1852" s="13">
        <f t="shared" si="163"/>
        <v>662.69</v>
      </c>
    </row>
    <row r="1853" spans="1:10" s="1" customFormat="1" ht="25.5" customHeight="1" x14ac:dyDescent="0.2">
      <c r="A1853" s="10">
        <v>86911</v>
      </c>
      <c r="B1853" s="11" t="s">
        <v>523</v>
      </c>
      <c r="C1853" s="806" t="s">
        <v>524</v>
      </c>
      <c r="D1853" s="807"/>
      <c r="E1853" s="11" t="s">
        <v>102</v>
      </c>
      <c r="F1853" s="12">
        <v>14</v>
      </c>
      <c r="G1853" s="12">
        <v>31.64</v>
      </c>
      <c r="H1853" s="12">
        <v>40.369999999999997</v>
      </c>
      <c r="I1853" s="13">
        <f t="shared" si="162"/>
        <v>442.96000000000004</v>
      </c>
      <c r="J1853" s="13">
        <f t="shared" si="163"/>
        <v>565.17999999999995</v>
      </c>
    </row>
    <row r="1854" spans="1:10" s="1" customFormat="1" ht="25.5" customHeight="1" x14ac:dyDescent="0.2">
      <c r="A1854" s="10">
        <v>86915</v>
      </c>
      <c r="B1854" s="11" t="s">
        <v>525</v>
      </c>
      <c r="C1854" s="806" t="s">
        <v>526</v>
      </c>
      <c r="D1854" s="807"/>
      <c r="E1854" s="11" t="s">
        <v>102</v>
      </c>
      <c r="F1854" s="12">
        <v>5</v>
      </c>
      <c r="G1854" s="12">
        <v>62.36</v>
      </c>
      <c r="H1854" s="12">
        <v>79.569999999999993</v>
      </c>
      <c r="I1854" s="13">
        <f t="shared" si="162"/>
        <v>311.8</v>
      </c>
      <c r="J1854" s="13">
        <f t="shared" si="163"/>
        <v>397.84999999999997</v>
      </c>
    </row>
    <row r="1855" spans="1:10" s="1" customFormat="1" ht="25.5" customHeight="1" x14ac:dyDescent="0.2">
      <c r="A1855" s="11" t="s">
        <v>527</v>
      </c>
      <c r="B1855" s="11" t="s">
        <v>528</v>
      </c>
      <c r="C1855" s="806" t="s">
        <v>529</v>
      </c>
      <c r="D1855" s="807"/>
      <c r="E1855" s="11" t="s">
        <v>102</v>
      </c>
      <c r="F1855" s="12">
        <v>3</v>
      </c>
      <c r="G1855" s="12">
        <v>100.46</v>
      </c>
      <c r="H1855" s="12">
        <v>128.16999999999999</v>
      </c>
      <c r="I1855" s="13">
        <f t="shared" si="162"/>
        <v>301.38</v>
      </c>
      <c r="J1855" s="13">
        <f t="shared" si="163"/>
        <v>384.51</v>
      </c>
    </row>
    <row r="1856" spans="1:10" s="1" customFormat="1" ht="25.5" customHeight="1" x14ac:dyDescent="0.2">
      <c r="A1856" s="10">
        <v>86910</v>
      </c>
      <c r="B1856" s="11" t="s">
        <v>530</v>
      </c>
      <c r="C1856" s="806" t="s">
        <v>531</v>
      </c>
      <c r="D1856" s="807"/>
      <c r="E1856" s="11" t="s">
        <v>102</v>
      </c>
      <c r="F1856" s="12">
        <v>4</v>
      </c>
      <c r="G1856" s="12">
        <v>71</v>
      </c>
      <c r="H1856" s="12">
        <v>90.59</v>
      </c>
      <c r="I1856" s="13">
        <f t="shared" si="162"/>
        <v>284</v>
      </c>
      <c r="J1856" s="13">
        <f t="shared" si="163"/>
        <v>362.36</v>
      </c>
    </row>
    <row r="1857" spans="1:10" s="1" customFormat="1" ht="25.5" customHeight="1" x14ac:dyDescent="0.2">
      <c r="A1857" s="10">
        <v>86906</v>
      </c>
      <c r="B1857" s="11" t="s">
        <v>532</v>
      </c>
      <c r="C1857" s="806" t="s">
        <v>533</v>
      </c>
      <c r="D1857" s="807"/>
      <c r="E1857" s="11" t="s">
        <v>102</v>
      </c>
      <c r="F1857" s="12">
        <v>7</v>
      </c>
      <c r="G1857" s="12">
        <v>37.18</v>
      </c>
      <c r="H1857" s="12">
        <v>47.44</v>
      </c>
      <c r="I1857" s="13">
        <f t="shared" si="162"/>
        <v>260.26</v>
      </c>
      <c r="J1857" s="13">
        <f t="shared" si="163"/>
        <v>332.08</v>
      </c>
    </row>
    <row r="1858" spans="1:10" s="1" customFormat="1" ht="25.5" customHeight="1" x14ac:dyDescent="0.2">
      <c r="A1858" s="10">
        <v>86913</v>
      </c>
      <c r="B1858" s="11" t="s">
        <v>534</v>
      </c>
      <c r="C1858" s="806" t="s">
        <v>535</v>
      </c>
      <c r="D1858" s="807"/>
      <c r="E1858" s="11" t="s">
        <v>102</v>
      </c>
      <c r="F1858" s="12">
        <v>6</v>
      </c>
      <c r="G1858" s="12">
        <v>14.42</v>
      </c>
      <c r="H1858" s="12">
        <v>18.399999999999999</v>
      </c>
      <c r="I1858" s="13">
        <f t="shared" si="162"/>
        <v>86.52</v>
      </c>
      <c r="J1858" s="13">
        <f t="shared" si="163"/>
        <v>110.39999999999999</v>
      </c>
    </row>
    <row r="1859" spans="1:10" s="1" customFormat="1" ht="25.5" customHeight="1" x14ac:dyDescent="0.2">
      <c r="A1859" s="11" t="s">
        <v>536</v>
      </c>
      <c r="B1859" s="11" t="s">
        <v>537</v>
      </c>
      <c r="C1859" s="806" t="s">
        <v>538</v>
      </c>
      <c r="D1859" s="807"/>
      <c r="E1859" s="11" t="s">
        <v>102</v>
      </c>
      <c r="F1859" s="12">
        <v>11</v>
      </c>
      <c r="G1859" s="12">
        <v>22.57</v>
      </c>
      <c r="H1859" s="12">
        <v>28.8</v>
      </c>
      <c r="I1859" s="13">
        <f t="shared" si="162"/>
        <v>248.27</v>
      </c>
      <c r="J1859" s="13">
        <f t="shared" si="163"/>
        <v>316.8</v>
      </c>
    </row>
    <row r="1860" spans="1:10" s="1" customFormat="1" ht="25.5" customHeight="1" x14ac:dyDescent="0.2">
      <c r="A1860" s="10">
        <v>94796</v>
      </c>
      <c r="B1860" s="11" t="s">
        <v>539</v>
      </c>
      <c r="C1860" s="806" t="s">
        <v>540</v>
      </c>
      <c r="D1860" s="807"/>
      <c r="E1860" s="11" t="s">
        <v>102</v>
      </c>
      <c r="F1860" s="12">
        <v>1</v>
      </c>
      <c r="G1860" s="12">
        <v>26.75</v>
      </c>
      <c r="H1860" s="12">
        <v>34.130000000000003</v>
      </c>
      <c r="I1860" s="13">
        <f t="shared" si="162"/>
        <v>26.75</v>
      </c>
      <c r="J1860" s="13">
        <f t="shared" si="163"/>
        <v>34.130000000000003</v>
      </c>
    </row>
    <row r="1861" spans="1:10" s="1" customFormat="1" ht="25.5" customHeight="1" x14ac:dyDescent="0.2">
      <c r="A1861" s="10">
        <v>89985</v>
      </c>
      <c r="B1861" s="11" t="s">
        <v>541</v>
      </c>
      <c r="C1861" s="806" t="s">
        <v>542</v>
      </c>
      <c r="D1861" s="807"/>
      <c r="E1861" s="11" t="s">
        <v>102</v>
      </c>
      <c r="F1861" s="12">
        <v>19</v>
      </c>
      <c r="G1861" s="12">
        <v>61.1</v>
      </c>
      <c r="H1861" s="12">
        <v>77.959999999999994</v>
      </c>
      <c r="I1861" s="13">
        <f t="shared" si="162"/>
        <v>1160.9000000000001</v>
      </c>
      <c r="J1861" s="13">
        <f t="shared" si="163"/>
        <v>1481.2399999999998</v>
      </c>
    </row>
    <row r="1862" spans="1:10" s="1" customFormat="1" ht="25.5" customHeight="1" x14ac:dyDescent="0.2">
      <c r="A1862" s="10">
        <v>89351</v>
      </c>
      <c r="B1862" s="11" t="s">
        <v>543</v>
      </c>
      <c r="C1862" s="806" t="s">
        <v>544</v>
      </c>
      <c r="D1862" s="807"/>
      <c r="E1862" s="11" t="s">
        <v>102</v>
      </c>
      <c r="F1862" s="12">
        <v>5</v>
      </c>
      <c r="G1862" s="12">
        <v>24.75</v>
      </c>
      <c r="H1862" s="12">
        <v>31.58</v>
      </c>
      <c r="I1862" s="13">
        <f t="shared" si="162"/>
        <v>123.75</v>
      </c>
      <c r="J1862" s="13">
        <f t="shared" si="163"/>
        <v>157.89999999999998</v>
      </c>
    </row>
    <row r="1863" spans="1:10" s="1" customFormat="1" ht="25.5" customHeight="1" x14ac:dyDescent="0.2">
      <c r="A1863" s="11" t="s">
        <v>545</v>
      </c>
      <c r="B1863" s="11" t="s">
        <v>546</v>
      </c>
      <c r="C1863" s="806" t="s">
        <v>547</v>
      </c>
      <c r="D1863" s="807"/>
      <c r="E1863" s="11" t="s">
        <v>102</v>
      </c>
      <c r="F1863" s="12">
        <v>8</v>
      </c>
      <c r="G1863" s="12">
        <v>40.06</v>
      </c>
      <c r="H1863" s="12">
        <v>51.11</v>
      </c>
      <c r="I1863" s="13">
        <f t="shared" si="162"/>
        <v>320.48</v>
      </c>
      <c r="J1863" s="13">
        <f t="shared" si="163"/>
        <v>408.88</v>
      </c>
    </row>
    <row r="1864" spans="1:10" s="1" customFormat="1" ht="25.5" customHeight="1" x14ac:dyDescent="0.2">
      <c r="A1864" s="11" t="s">
        <v>548</v>
      </c>
      <c r="B1864" s="11" t="s">
        <v>549</v>
      </c>
      <c r="C1864" s="806" t="s">
        <v>550</v>
      </c>
      <c r="D1864" s="807"/>
      <c r="E1864" s="11" t="s">
        <v>102</v>
      </c>
      <c r="F1864" s="12">
        <v>6</v>
      </c>
      <c r="G1864" s="12">
        <v>71.88</v>
      </c>
      <c r="H1864" s="12">
        <v>91.72</v>
      </c>
      <c r="I1864" s="13">
        <f t="shared" si="162"/>
        <v>431.28</v>
      </c>
      <c r="J1864" s="13">
        <f t="shared" si="163"/>
        <v>550.31999999999994</v>
      </c>
    </row>
    <row r="1865" spans="1:10" s="1" customFormat="1" ht="25.5" customHeight="1" x14ac:dyDescent="0.2">
      <c r="A1865" s="11" t="s">
        <v>551</v>
      </c>
      <c r="B1865" s="11" t="s">
        <v>552</v>
      </c>
      <c r="C1865" s="806" t="s">
        <v>553</v>
      </c>
      <c r="D1865" s="807"/>
      <c r="E1865" s="11" t="s">
        <v>102</v>
      </c>
      <c r="F1865" s="12">
        <v>5</v>
      </c>
      <c r="G1865" s="12">
        <v>267.62</v>
      </c>
      <c r="H1865" s="12">
        <v>341.45</v>
      </c>
      <c r="I1865" s="13">
        <f t="shared" si="162"/>
        <v>1338.1</v>
      </c>
      <c r="J1865" s="13">
        <f t="shared" si="163"/>
        <v>1707.25</v>
      </c>
    </row>
    <row r="1866" spans="1:10" s="1" customFormat="1" ht="25.5" customHeight="1" x14ac:dyDescent="0.2">
      <c r="A1866" s="10">
        <v>89987</v>
      </c>
      <c r="B1866" s="11" t="s">
        <v>554</v>
      </c>
      <c r="C1866" s="806" t="s">
        <v>555</v>
      </c>
      <c r="D1866" s="807"/>
      <c r="E1866" s="11" t="s">
        <v>102</v>
      </c>
      <c r="F1866" s="12">
        <v>39</v>
      </c>
      <c r="G1866" s="12">
        <v>64.260000000000005</v>
      </c>
      <c r="H1866" s="12">
        <v>81.99</v>
      </c>
      <c r="I1866" s="13">
        <f t="shared" si="162"/>
        <v>2506.1400000000003</v>
      </c>
      <c r="J1866" s="13">
        <f t="shared" si="163"/>
        <v>3197.6099999999997</v>
      </c>
    </row>
    <row r="1867" spans="1:10" s="1" customFormat="1" ht="25.5" customHeight="1" x14ac:dyDescent="0.2">
      <c r="A1867" s="10">
        <v>94792</v>
      </c>
      <c r="B1867" s="11" t="s">
        <v>556</v>
      </c>
      <c r="C1867" s="806" t="s">
        <v>557</v>
      </c>
      <c r="D1867" s="807"/>
      <c r="E1867" s="11" t="s">
        <v>102</v>
      </c>
      <c r="F1867" s="12">
        <v>10</v>
      </c>
      <c r="G1867" s="12">
        <v>92.77</v>
      </c>
      <c r="H1867" s="12">
        <v>118.37</v>
      </c>
      <c r="I1867" s="13">
        <f t="shared" si="162"/>
        <v>927.69999999999993</v>
      </c>
      <c r="J1867" s="13">
        <f t="shared" si="163"/>
        <v>1183.7</v>
      </c>
    </row>
    <row r="1868" spans="1:10" s="1" customFormat="1" ht="25.5" customHeight="1" x14ac:dyDescent="0.2">
      <c r="A1868" s="10">
        <v>94794</v>
      </c>
      <c r="B1868" s="11" t="s">
        <v>558</v>
      </c>
      <c r="C1868" s="806" t="s">
        <v>559</v>
      </c>
      <c r="D1868" s="807"/>
      <c r="E1868" s="11" t="s">
        <v>102</v>
      </c>
      <c r="F1868" s="12">
        <v>12</v>
      </c>
      <c r="G1868" s="12">
        <v>124.23</v>
      </c>
      <c r="H1868" s="12">
        <v>158.5</v>
      </c>
      <c r="I1868" s="13">
        <f t="shared" si="162"/>
        <v>1490.76</v>
      </c>
      <c r="J1868" s="13">
        <f t="shared" si="163"/>
        <v>1902</v>
      </c>
    </row>
    <row r="1869" spans="1:10" s="1" customFormat="1" ht="25.5" customHeight="1" x14ac:dyDescent="0.2">
      <c r="A1869" s="11" t="s">
        <v>78</v>
      </c>
      <c r="B1869" s="11" t="s">
        <v>560</v>
      </c>
      <c r="C1869" s="806" t="s">
        <v>561</v>
      </c>
      <c r="D1869" s="807"/>
      <c r="E1869" s="11" t="s">
        <v>102</v>
      </c>
      <c r="F1869" s="12">
        <v>11</v>
      </c>
      <c r="G1869" s="12">
        <v>20.3</v>
      </c>
      <c r="H1869" s="12">
        <v>25.91</v>
      </c>
      <c r="I1869" s="13">
        <f t="shared" si="162"/>
        <v>223.3</v>
      </c>
      <c r="J1869" s="13">
        <f t="shared" si="163"/>
        <v>285.01</v>
      </c>
    </row>
    <row r="1870" spans="1:10" s="1" customFormat="1" ht="25.5" customHeight="1" x14ac:dyDescent="0.2">
      <c r="A1870" s="11" t="s">
        <v>78</v>
      </c>
      <c r="B1870" s="11" t="s">
        <v>562</v>
      </c>
      <c r="C1870" s="806" t="s">
        <v>563</v>
      </c>
      <c r="D1870" s="807"/>
      <c r="E1870" s="11" t="s">
        <v>102</v>
      </c>
      <c r="F1870" s="12">
        <v>7</v>
      </c>
      <c r="G1870" s="12">
        <v>25.99</v>
      </c>
      <c r="H1870" s="12">
        <v>33.159999999999997</v>
      </c>
      <c r="I1870" s="13">
        <f t="shared" si="162"/>
        <v>181.92999999999998</v>
      </c>
      <c r="J1870" s="13">
        <f t="shared" si="163"/>
        <v>232.11999999999998</v>
      </c>
    </row>
    <row r="1871" spans="1:10" s="1" customFormat="1" ht="25.5" customHeight="1" x14ac:dyDescent="0.2">
      <c r="A1871" s="10">
        <v>9535</v>
      </c>
      <c r="B1871" s="11" t="s">
        <v>564</v>
      </c>
      <c r="C1871" s="806" t="s">
        <v>565</v>
      </c>
      <c r="D1871" s="807"/>
      <c r="E1871" s="11" t="s">
        <v>102</v>
      </c>
      <c r="F1871" s="12">
        <v>12</v>
      </c>
      <c r="G1871" s="12">
        <v>56.12</v>
      </c>
      <c r="H1871" s="12">
        <v>71.599999999999994</v>
      </c>
      <c r="I1871" s="13">
        <f t="shared" si="162"/>
        <v>673.43999999999994</v>
      </c>
      <c r="J1871" s="13">
        <f t="shared" si="163"/>
        <v>859.19999999999993</v>
      </c>
    </row>
    <row r="1872" spans="1:10" s="1" customFormat="1" ht="25.5" customHeight="1" x14ac:dyDescent="0.2">
      <c r="A1872" s="11" t="s">
        <v>308</v>
      </c>
      <c r="B1872" s="11" t="s">
        <v>566</v>
      </c>
      <c r="C1872" s="806" t="s">
        <v>567</v>
      </c>
      <c r="D1872" s="807"/>
      <c r="E1872" s="11" t="s">
        <v>102</v>
      </c>
      <c r="F1872" s="12">
        <v>4</v>
      </c>
      <c r="G1872" s="12">
        <v>40.85</v>
      </c>
      <c r="H1872" s="12">
        <v>52.12</v>
      </c>
      <c r="I1872" s="13">
        <f t="shared" si="162"/>
        <v>163.4</v>
      </c>
      <c r="J1872" s="13">
        <f t="shared" si="163"/>
        <v>208.48</v>
      </c>
    </row>
    <row r="1873" spans="1:10" s="1" customFormat="1" ht="25.5" customHeight="1" x14ac:dyDescent="0.2">
      <c r="A1873" s="10">
        <v>9535</v>
      </c>
      <c r="B1873" s="11" t="s">
        <v>568</v>
      </c>
      <c r="C1873" s="806" t="s">
        <v>569</v>
      </c>
      <c r="D1873" s="807"/>
      <c r="E1873" s="11" t="s">
        <v>102</v>
      </c>
      <c r="F1873" s="12">
        <v>4</v>
      </c>
      <c r="G1873" s="12">
        <v>56.21</v>
      </c>
      <c r="H1873" s="12">
        <v>71.709999999999994</v>
      </c>
      <c r="I1873" s="13">
        <f t="shared" si="162"/>
        <v>224.84</v>
      </c>
      <c r="J1873" s="13">
        <f t="shared" si="163"/>
        <v>286.83999999999997</v>
      </c>
    </row>
    <row r="1874" spans="1:10" s="1" customFormat="1" ht="25.5" customHeight="1" x14ac:dyDescent="0.2">
      <c r="A1874" s="11" t="s">
        <v>78</v>
      </c>
      <c r="B1874" s="11" t="s">
        <v>570</v>
      </c>
      <c r="C1874" s="806" t="s">
        <v>571</v>
      </c>
      <c r="D1874" s="807"/>
      <c r="E1874" s="11" t="s">
        <v>102</v>
      </c>
      <c r="F1874" s="12">
        <v>5</v>
      </c>
      <c r="G1874" s="12">
        <v>132.01</v>
      </c>
      <c r="H1874" s="12">
        <v>168.43</v>
      </c>
      <c r="I1874" s="13">
        <f t="shared" si="162"/>
        <v>660.05</v>
      </c>
      <c r="J1874" s="13">
        <f t="shared" si="163"/>
        <v>842.15000000000009</v>
      </c>
    </row>
    <row r="1875" spans="1:10" s="1" customFormat="1" ht="25.5" customHeight="1" x14ac:dyDescent="0.2">
      <c r="A1875" s="10">
        <v>40729</v>
      </c>
      <c r="B1875" s="11" t="s">
        <v>572</v>
      </c>
      <c r="C1875" s="806" t="s">
        <v>573</v>
      </c>
      <c r="D1875" s="807"/>
      <c r="E1875" s="11" t="s">
        <v>102</v>
      </c>
      <c r="F1875" s="12">
        <v>23</v>
      </c>
      <c r="G1875" s="12">
        <v>218.15</v>
      </c>
      <c r="H1875" s="12">
        <v>278.33999999999997</v>
      </c>
      <c r="I1875" s="13">
        <f t="shared" si="162"/>
        <v>5017.45</v>
      </c>
      <c r="J1875" s="13">
        <f t="shared" si="163"/>
        <v>6401.82</v>
      </c>
    </row>
    <row r="1876" spans="1:10" s="1" customFormat="1" ht="25.5" customHeight="1" x14ac:dyDescent="0.2">
      <c r="A1876" s="11" t="s">
        <v>308</v>
      </c>
      <c r="B1876" s="11" t="s">
        <v>574</v>
      </c>
      <c r="C1876" s="806" t="s">
        <v>575</v>
      </c>
      <c r="D1876" s="807"/>
      <c r="E1876" s="11" t="s">
        <v>102</v>
      </c>
      <c r="F1876" s="12">
        <v>1</v>
      </c>
      <c r="G1876" s="13">
        <v>5800</v>
      </c>
      <c r="H1876" s="13">
        <v>7400.22</v>
      </c>
      <c r="I1876" s="13">
        <f t="shared" si="162"/>
        <v>5800</v>
      </c>
      <c r="J1876" s="13">
        <f t="shared" si="163"/>
        <v>7400.22</v>
      </c>
    </row>
    <row r="1877" spans="1:10" s="1" customFormat="1" ht="25.5" customHeight="1" x14ac:dyDescent="0.2">
      <c r="A1877" s="11" t="s">
        <v>308</v>
      </c>
      <c r="B1877" s="11" t="s">
        <v>576</v>
      </c>
      <c r="C1877" s="806" t="s">
        <v>577</v>
      </c>
      <c r="D1877" s="807"/>
      <c r="E1877" s="11" t="s">
        <v>102</v>
      </c>
      <c r="F1877" s="12">
        <v>23</v>
      </c>
      <c r="G1877" s="12">
        <v>7.69</v>
      </c>
      <c r="H1877" s="12">
        <v>9.81</v>
      </c>
      <c r="I1877" s="13">
        <f t="shared" si="162"/>
        <v>176.87</v>
      </c>
      <c r="J1877" s="13">
        <f t="shared" si="163"/>
        <v>225.63000000000002</v>
      </c>
    </row>
    <row r="1878" spans="1:10" s="1" customFormat="1" ht="25.5" customHeight="1" x14ac:dyDescent="0.2">
      <c r="A1878" s="11" t="s">
        <v>578</v>
      </c>
      <c r="B1878" s="11" t="s">
        <v>579</v>
      </c>
      <c r="C1878" s="806" t="s">
        <v>580</v>
      </c>
      <c r="D1878" s="807"/>
      <c r="E1878" s="11" t="s">
        <v>102</v>
      </c>
      <c r="F1878" s="12">
        <v>1</v>
      </c>
      <c r="G1878" s="12">
        <v>7.69</v>
      </c>
      <c r="H1878" s="12">
        <v>9.81</v>
      </c>
      <c r="I1878" s="13">
        <f t="shared" si="162"/>
        <v>7.69</v>
      </c>
      <c r="J1878" s="13">
        <f t="shared" si="163"/>
        <v>9.81</v>
      </c>
    </row>
    <row r="1879" spans="1:10" s="1" customFormat="1" ht="25.5" customHeight="1" x14ac:dyDescent="0.2">
      <c r="A1879" s="11" t="s">
        <v>581</v>
      </c>
      <c r="B1879" s="11" t="s">
        <v>582</v>
      </c>
      <c r="C1879" s="806" t="s">
        <v>583</v>
      </c>
      <c r="D1879" s="807"/>
      <c r="E1879" s="11" t="s">
        <v>102</v>
      </c>
      <c r="F1879" s="12">
        <v>1</v>
      </c>
      <c r="G1879" s="12">
        <v>44.58</v>
      </c>
      <c r="H1879" s="12">
        <v>56.88</v>
      </c>
      <c r="I1879" s="13">
        <f t="shared" si="162"/>
        <v>44.58</v>
      </c>
      <c r="J1879" s="13">
        <f t="shared" si="163"/>
        <v>56.88</v>
      </c>
    </row>
    <row r="1880" spans="1:10" s="1" customFormat="1" ht="25.5" customHeight="1" x14ac:dyDescent="0.2">
      <c r="A1880" s="11" t="s">
        <v>584</v>
      </c>
      <c r="B1880" s="11" t="s">
        <v>585</v>
      </c>
      <c r="C1880" s="806" t="s">
        <v>586</v>
      </c>
      <c r="D1880" s="807"/>
      <c r="E1880" s="11" t="s">
        <v>102</v>
      </c>
      <c r="F1880" s="12">
        <v>9</v>
      </c>
      <c r="G1880" s="12">
        <v>95.78</v>
      </c>
      <c r="H1880" s="12">
        <v>122.2</v>
      </c>
      <c r="I1880" s="13">
        <f t="shared" si="162"/>
        <v>862.02</v>
      </c>
      <c r="J1880" s="13">
        <f t="shared" si="163"/>
        <v>1099.8</v>
      </c>
    </row>
    <row r="1881" spans="1:10" s="1" customFormat="1" ht="25.5" customHeight="1" x14ac:dyDescent="0.2">
      <c r="A1881" s="11" t="s">
        <v>78</v>
      </c>
      <c r="B1881" s="11" t="s">
        <v>587</v>
      </c>
      <c r="C1881" s="806" t="s">
        <v>588</v>
      </c>
      <c r="D1881" s="807"/>
      <c r="E1881" s="11" t="s">
        <v>102</v>
      </c>
      <c r="F1881" s="12">
        <v>1</v>
      </c>
      <c r="G1881" s="13">
        <v>1067.05</v>
      </c>
      <c r="H1881" s="13">
        <v>1361.45</v>
      </c>
      <c r="I1881" s="13">
        <f t="shared" si="162"/>
        <v>1067.05</v>
      </c>
      <c r="J1881" s="13">
        <f t="shared" si="163"/>
        <v>1361.45</v>
      </c>
    </row>
    <row r="1882" spans="1:10" s="1" customFormat="1" ht="25.5" customHeight="1" x14ac:dyDescent="0.2">
      <c r="A1882" s="11" t="s">
        <v>308</v>
      </c>
      <c r="B1882" s="11" t="s">
        <v>589</v>
      </c>
      <c r="C1882" s="806" t="s">
        <v>590</v>
      </c>
      <c r="D1882" s="807"/>
      <c r="E1882" s="11" t="s">
        <v>102</v>
      </c>
      <c r="F1882" s="12">
        <v>9</v>
      </c>
      <c r="G1882" s="12">
        <v>49.99</v>
      </c>
      <c r="H1882" s="12">
        <v>63.78</v>
      </c>
      <c r="I1882" s="13">
        <f t="shared" si="162"/>
        <v>449.91</v>
      </c>
      <c r="J1882" s="13">
        <f t="shared" si="163"/>
        <v>574.02</v>
      </c>
    </row>
    <row r="1883" spans="1:10" s="1" customFormat="1" ht="25.5" customHeight="1" x14ac:dyDescent="0.2">
      <c r="A1883" s="11" t="s">
        <v>308</v>
      </c>
      <c r="B1883" s="11" t="s">
        <v>591</v>
      </c>
      <c r="C1883" s="806" t="s">
        <v>592</v>
      </c>
      <c r="D1883" s="807"/>
      <c r="E1883" s="11" t="s">
        <v>102</v>
      </c>
      <c r="F1883" s="12">
        <v>2</v>
      </c>
      <c r="G1883" s="12">
        <v>205.99</v>
      </c>
      <c r="H1883" s="12">
        <v>262.82</v>
      </c>
      <c r="I1883" s="13">
        <f t="shared" si="162"/>
        <v>411.98</v>
      </c>
      <c r="J1883" s="13">
        <f t="shared" si="163"/>
        <v>525.64</v>
      </c>
    </row>
    <row r="1884" spans="1:10" s="1" customFormat="1" ht="25.5" customHeight="1" x14ac:dyDescent="0.2">
      <c r="A1884" s="11" t="s">
        <v>308</v>
      </c>
      <c r="B1884" s="11" t="s">
        <v>593</v>
      </c>
      <c r="C1884" s="806" t="s">
        <v>594</v>
      </c>
      <c r="D1884" s="807"/>
      <c r="E1884" s="11" t="s">
        <v>102</v>
      </c>
      <c r="F1884" s="12">
        <v>6</v>
      </c>
      <c r="G1884" s="12">
        <v>0.17</v>
      </c>
      <c r="H1884" s="12">
        <v>0.22</v>
      </c>
      <c r="I1884" s="13">
        <f t="shared" si="162"/>
        <v>1.02</v>
      </c>
      <c r="J1884" s="13">
        <f t="shared" si="163"/>
        <v>1.32</v>
      </c>
    </row>
    <row r="1885" spans="1:10" s="1" customFormat="1" ht="25.5" customHeight="1" x14ac:dyDescent="0.2">
      <c r="A1885" s="11" t="s">
        <v>308</v>
      </c>
      <c r="B1885" s="11" t="s">
        <v>595</v>
      </c>
      <c r="C1885" s="806" t="s">
        <v>596</v>
      </c>
      <c r="D1885" s="807"/>
      <c r="E1885" s="11" t="s">
        <v>102</v>
      </c>
      <c r="F1885" s="12">
        <v>13</v>
      </c>
      <c r="G1885" s="12">
        <v>0.25</v>
      </c>
      <c r="H1885" s="12">
        <v>0.32</v>
      </c>
      <c r="I1885" s="13">
        <f t="shared" si="162"/>
        <v>3.25</v>
      </c>
      <c r="J1885" s="13">
        <f t="shared" si="163"/>
        <v>4.16</v>
      </c>
    </row>
    <row r="1886" spans="1:10" s="1" customFormat="1" ht="25.5" customHeight="1" x14ac:dyDescent="0.2">
      <c r="A1886" s="11" t="s">
        <v>308</v>
      </c>
      <c r="B1886" s="11" t="s">
        <v>597</v>
      </c>
      <c r="C1886" s="806" t="s">
        <v>598</v>
      </c>
      <c r="D1886" s="807"/>
      <c r="E1886" s="11" t="s">
        <v>102</v>
      </c>
      <c r="F1886" s="12">
        <v>13</v>
      </c>
      <c r="G1886" s="12">
        <v>0.54</v>
      </c>
      <c r="H1886" s="12">
        <v>0.69</v>
      </c>
      <c r="I1886" s="13">
        <f t="shared" si="162"/>
        <v>7.0200000000000005</v>
      </c>
      <c r="J1886" s="13">
        <f t="shared" si="163"/>
        <v>8.9699999999999989</v>
      </c>
    </row>
    <row r="1887" spans="1:10" s="1" customFormat="1" ht="25.5" customHeight="1" x14ac:dyDescent="0.2">
      <c r="A1887" s="11" t="s">
        <v>308</v>
      </c>
      <c r="B1887" s="11" t="s">
        <v>599</v>
      </c>
      <c r="C1887" s="806" t="s">
        <v>600</v>
      </c>
      <c r="D1887" s="807"/>
      <c r="E1887" s="11" t="s">
        <v>102</v>
      </c>
      <c r="F1887" s="12">
        <v>20</v>
      </c>
      <c r="G1887" s="12">
        <v>0.62</v>
      </c>
      <c r="H1887" s="12">
        <v>0.79</v>
      </c>
      <c r="I1887" s="13">
        <f t="shared" si="162"/>
        <v>12.4</v>
      </c>
      <c r="J1887" s="13">
        <f t="shared" si="163"/>
        <v>15.8</v>
      </c>
    </row>
    <row r="1888" spans="1:10" s="1" customFormat="1" ht="25.5" customHeight="1" x14ac:dyDescent="0.2">
      <c r="A1888" s="11" t="s">
        <v>308</v>
      </c>
      <c r="B1888" s="11" t="s">
        <v>601</v>
      </c>
      <c r="C1888" s="806" t="s">
        <v>602</v>
      </c>
      <c r="D1888" s="807"/>
      <c r="E1888" s="11" t="s">
        <v>102</v>
      </c>
      <c r="F1888" s="12">
        <v>8</v>
      </c>
      <c r="G1888" s="12">
        <v>1.95</v>
      </c>
      <c r="H1888" s="12">
        <v>2.4900000000000002</v>
      </c>
      <c r="I1888" s="13">
        <f t="shared" si="162"/>
        <v>15.6</v>
      </c>
      <c r="J1888" s="13">
        <f t="shared" si="163"/>
        <v>19.920000000000002</v>
      </c>
    </row>
    <row r="1889" spans="1:10" s="1" customFormat="1" ht="25.5" customHeight="1" x14ac:dyDescent="0.2">
      <c r="A1889" s="10">
        <v>95547</v>
      </c>
      <c r="B1889" s="11" t="s">
        <v>603</v>
      </c>
      <c r="C1889" s="806" t="s">
        <v>604</v>
      </c>
      <c r="D1889" s="807"/>
      <c r="E1889" s="11" t="s">
        <v>102</v>
      </c>
      <c r="F1889" s="12">
        <v>32</v>
      </c>
      <c r="G1889" s="12">
        <v>48.53</v>
      </c>
      <c r="H1889" s="12">
        <v>61.92</v>
      </c>
      <c r="I1889" s="13">
        <f t="shared" si="162"/>
        <v>1552.96</v>
      </c>
      <c r="J1889" s="13">
        <f t="shared" si="163"/>
        <v>1981.44</v>
      </c>
    </row>
    <row r="1890" spans="1:10" s="1" customFormat="1" ht="25.5" customHeight="1" x14ac:dyDescent="0.2">
      <c r="A1890" s="10">
        <v>95542</v>
      </c>
      <c r="B1890" s="11" t="s">
        <v>605</v>
      </c>
      <c r="C1890" s="806" t="s">
        <v>606</v>
      </c>
      <c r="D1890" s="807"/>
      <c r="E1890" s="11" t="s">
        <v>102</v>
      </c>
      <c r="F1890" s="12">
        <v>30</v>
      </c>
      <c r="G1890" s="12">
        <v>16.57</v>
      </c>
      <c r="H1890" s="12">
        <v>21.14</v>
      </c>
      <c r="I1890" s="13">
        <f t="shared" si="162"/>
        <v>497.1</v>
      </c>
      <c r="J1890" s="13">
        <f t="shared" si="163"/>
        <v>634.20000000000005</v>
      </c>
    </row>
    <row r="1891" spans="1:10" s="1" customFormat="1" ht="25.5" customHeight="1" x14ac:dyDescent="0.2">
      <c r="A1891" s="11" t="s">
        <v>607</v>
      </c>
      <c r="B1891" s="11" t="s">
        <v>608</v>
      </c>
      <c r="C1891" s="806" t="s">
        <v>609</v>
      </c>
      <c r="D1891" s="807"/>
      <c r="E1891" s="11" t="s">
        <v>102</v>
      </c>
      <c r="F1891" s="12">
        <v>23</v>
      </c>
      <c r="G1891" s="12">
        <v>37.58</v>
      </c>
      <c r="H1891" s="12">
        <v>47.94</v>
      </c>
      <c r="I1891" s="13">
        <f t="shared" si="162"/>
        <v>864.33999999999992</v>
      </c>
      <c r="J1891" s="13">
        <f t="shared" si="163"/>
        <v>1102.6199999999999</v>
      </c>
    </row>
    <row r="1892" spans="1:10" s="1" customFormat="1" ht="25.5" customHeight="1" x14ac:dyDescent="0.2">
      <c r="A1892" s="11" t="s">
        <v>610</v>
      </c>
      <c r="B1892" s="11" t="s">
        <v>611</v>
      </c>
      <c r="C1892" s="806" t="s">
        <v>612</v>
      </c>
      <c r="D1892" s="807"/>
      <c r="E1892" s="11" t="s">
        <v>102</v>
      </c>
      <c r="F1892" s="12">
        <v>17</v>
      </c>
      <c r="G1892" s="12">
        <v>30.88</v>
      </c>
      <c r="H1892" s="12">
        <v>39.4</v>
      </c>
      <c r="I1892" s="13">
        <f t="shared" si="162"/>
        <v>524.96</v>
      </c>
      <c r="J1892" s="13">
        <f t="shared" si="163"/>
        <v>669.8</v>
      </c>
    </row>
    <row r="1893" spans="1:10" s="1" customFormat="1" ht="25.5" customHeight="1" x14ac:dyDescent="0.2">
      <c r="A1893" s="8"/>
      <c r="B1893" s="803" t="s">
        <v>613</v>
      </c>
      <c r="C1893" s="804"/>
      <c r="D1893" s="804"/>
      <c r="E1893" s="804"/>
      <c r="F1893" s="804"/>
      <c r="G1893" s="805"/>
      <c r="H1893" s="8"/>
      <c r="I1893" s="14">
        <f>SUM(I1839:I1892)-0.2</f>
        <v>42951.24</v>
      </c>
      <c r="J1893" s="15">
        <f>SUM(J1839:J1892)-1</f>
        <v>54800.750000000007</v>
      </c>
    </row>
    <row r="1894" spans="1:10" s="1" customFormat="1" ht="25.5" customHeight="1" x14ac:dyDescent="0.2">
      <c r="A1894" s="8"/>
      <c r="B1894" s="9" t="s">
        <v>614</v>
      </c>
      <c r="C1894" s="808" t="s">
        <v>615</v>
      </c>
      <c r="D1894" s="809"/>
      <c r="E1894" s="8"/>
      <c r="F1894" s="8"/>
      <c r="G1894" s="8"/>
      <c r="H1894" s="8"/>
      <c r="I1894" s="8"/>
      <c r="J1894" s="8"/>
    </row>
    <row r="1895" spans="1:10" s="1" customFormat="1" ht="25.5" customHeight="1" x14ac:dyDescent="0.2">
      <c r="A1895" s="11" t="s">
        <v>78</v>
      </c>
      <c r="B1895" s="11" t="s">
        <v>616</v>
      </c>
      <c r="C1895" s="806" t="s">
        <v>617</v>
      </c>
      <c r="D1895" s="807"/>
      <c r="E1895" s="11" t="s">
        <v>102</v>
      </c>
      <c r="F1895" s="12">
        <v>2</v>
      </c>
      <c r="G1895" s="13">
        <v>1100.49</v>
      </c>
      <c r="H1895" s="13">
        <v>1404.12</v>
      </c>
      <c r="I1895" s="13">
        <f>F1895*G1895</f>
        <v>2200.98</v>
      </c>
      <c r="J1895" s="13">
        <f>F1895*H1895</f>
        <v>2808.24</v>
      </c>
    </row>
    <row r="1896" spans="1:10" s="1" customFormat="1" ht="25.5" customHeight="1" x14ac:dyDescent="0.2">
      <c r="A1896" s="11" t="s">
        <v>308</v>
      </c>
      <c r="B1896" s="11" t="s">
        <v>618</v>
      </c>
      <c r="C1896" s="806" t="s">
        <v>619</v>
      </c>
      <c r="D1896" s="807"/>
      <c r="E1896" s="11" t="s">
        <v>102</v>
      </c>
      <c r="F1896" s="12">
        <v>1</v>
      </c>
      <c r="G1896" s="12">
        <v>33</v>
      </c>
      <c r="H1896" s="12">
        <v>42.1</v>
      </c>
      <c r="I1896" s="13">
        <f>F1896*G1896</f>
        <v>33</v>
      </c>
      <c r="J1896" s="13">
        <f>F1896*H1896</f>
        <v>42.1</v>
      </c>
    </row>
    <row r="1897" spans="1:10" s="1" customFormat="1" ht="25.5" customHeight="1" x14ac:dyDescent="0.2">
      <c r="A1897" s="11" t="s">
        <v>308</v>
      </c>
      <c r="B1897" s="11" t="s">
        <v>620</v>
      </c>
      <c r="C1897" s="806" t="s">
        <v>621</v>
      </c>
      <c r="D1897" s="807"/>
      <c r="E1897" s="11" t="s">
        <v>102</v>
      </c>
      <c r="F1897" s="12">
        <v>2</v>
      </c>
      <c r="G1897" s="12">
        <v>36.5</v>
      </c>
      <c r="H1897" s="12">
        <v>46.57</v>
      </c>
      <c r="I1897" s="13">
        <f>F1897*G1897</f>
        <v>73</v>
      </c>
      <c r="J1897" s="13">
        <f>F1897*H1897</f>
        <v>93.14</v>
      </c>
    </row>
    <row r="1898" spans="1:10" s="1" customFormat="1" ht="25.5" customHeight="1" x14ac:dyDescent="0.2">
      <c r="A1898" s="8"/>
      <c r="B1898" s="803" t="s">
        <v>622</v>
      </c>
      <c r="C1898" s="804"/>
      <c r="D1898" s="804"/>
      <c r="E1898" s="804"/>
      <c r="F1898" s="804"/>
      <c r="G1898" s="805"/>
      <c r="H1898" s="8"/>
      <c r="I1898" s="14">
        <f>SUM(I1895:I1897)</f>
        <v>2306.98</v>
      </c>
      <c r="J1898" s="15">
        <f>SUM(J1895:J1897)</f>
        <v>2943.4799999999996</v>
      </c>
    </row>
    <row r="1899" spans="1:10" s="1" customFormat="1" ht="25.5" customHeight="1" x14ac:dyDescent="0.2">
      <c r="A1899" s="8"/>
      <c r="B1899" s="9" t="s">
        <v>623</v>
      </c>
      <c r="C1899" s="808" t="s">
        <v>624</v>
      </c>
      <c r="D1899" s="809"/>
      <c r="E1899" s="8"/>
      <c r="F1899" s="8"/>
      <c r="G1899" s="8"/>
      <c r="H1899" s="8"/>
      <c r="I1899" s="8"/>
      <c r="J1899" s="8"/>
    </row>
    <row r="1900" spans="1:10" s="1" customFormat="1" ht="25.5" customHeight="1" x14ac:dyDescent="0.2">
      <c r="A1900" s="8"/>
      <c r="B1900" s="9" t="s">
        <v>625</v>
      </c>
      <c r="C1900" s="808" t="s">
        <v>626</v>
      </c>
      <c r="D1900" s="809"/>
      <c r="E1900" s="8"/>
      <c r="F1900" s="8"/>
      <c r="G1900" s="8"/>
      <c r="H1900" s="8"/>
      <c r="I1900" s="8"/>
      <c r="J1900" s="8"/>
    </row>
    <row r="1901" spans="1:10" s="1" customFormat="1" ht="25.5" customHeight="1" x14ac:dyDescent="0.2">
      <c r="A1901" s="10">
        <v>92688</v>
      </c>
      <c r="B1901" s="21">
        <v>42736</v>
      </c>
      <c r="C1901" s="806" t="s">
        <v>627</v>
      </c>
      <c r="D1901" s="807"/>
      <c r="E1901" s="11" t="s">
        <v>81</v>
      </c>
      <c r="F1901" s="12">
        <v>18</v>
      </c>
      <c r="G1901" s="12">
        <v>25.9</v>
      </c>
      <c r="H1901" s="12">
        <v>33.049999999999997</v>
      </c>
      <c r="I1901" s="13">
        <f>F1901*G1901</f>
        <v>466.2</v>
      </c>
      <c r="J1901" s="13">
        <f>F1901*H1901</f>
        <v>594.9</v>
      </c>
    </row>
    <row r="1902" spans="1:10" s="1" customFormat="1" ht="25.5" customHeight="1" x14ac:dyDescent="0.2">
      <c r="A1902" s="10">
        <v>97535</v>
      </c>
      <c r="B1902" s="21">
        <v>42737</v>
      </c>
      <c r="C1902" s="806" t="s">
        <v>628</v>
      </c>
      <c r="D1902" s="807"/>
      <c r="E1902" s="11" t="s">
        <v>81</v>
      </c>
      <c r="F1902" s="12">
        <v>24</v>
      </c>
      <c r="G1902" s="12">
        <v>32.049999999999997</v>
      </c>
      <c r="H1902" s="12">
        <v>40.89</v>
      </c>
      <c r="I1902" s="13">
        <f>F1902*G1902</f>
        <v>769.19999999999993</v>
      </c>
      <c r="J1902" s="13">
        <f>F1902*H1902</f>
        <v>981.36</v>
      </c>
    </row>
    <row r="1903" spans="1:10" s="1" customFormat="1" ht="25.5" customHeight="1" x14ac:dyDescent="0.2">
      <c r="A1903" s="10">
        <v>92653</v>
      </c>
      <c r="B1903" s="21">
        <v>42738</v>
      </c>
      <c r="C1903" s="806" t="s">
        <v>629</v>
      </c>
      <c r="D1903" s="807"/>
      <c r="E1903" s="11" t="s">
        <v>81</v>
      </c>
      <c r="F1903" s="12">
        <v>36</v>
      </c>
      <c r="G1903" s="12">
        <v>43.81</v>
      </c>
      <c r="H1903" s="12">
        <v>55.9</v>
      </c>
      <c r="I1903" s="13">
        <f>F1903*G1903</f>
        <v>1577.16</v>
      </c>
      <c r="J1903" s="13">
        <f>F1903*H1903</f>
        <v>2012.3999999999999</v>
      </c>
    </row>
    <row r="1904" spans="1:10" s="1" customFormat="1" ht="25.5" customHeight="1" x14ac:dyDescent="0.2">
      <c r="A1904" s="10">
        <v>92656</v>
      </c>
      <c r="B1904" s="21">
        <v>42739</v>
      </c>
      <c r="C1904" s="806" t="s">
        <v>630</v>
      </c>
      <c r="D1904" s="807"/>
      <c r="E1904" s="11" t="s">
        <v>81</v>
      </c>
      <c r="F1904" s="12">
        <v>12</v>
      </c>
      <c r="G1904" s="12">
        <v>79.11</v>
      </c>
      <c r="H1904" s="12">
        <v>100.94</v>
      </c>
      <c r="I1904" s="13">
        <f>F1904*G1904</f>
        <v>949.31999999999994</v>
      </c>
      <c r="J1904" s="13">
        <f>F1904*H1904</f>
        <v>1211.28</v>
      </c>
    </row>
    <row r="1905" spans="1:10" s="1" customFormat="1" ht="25.5" customHeight="1" x14ac:dyDescent="0.2">
      <c r="A1905" s="8"/>
      <c r="B1905" s="9" t="s">
        <v>631</v>
      </c>
      <c r="C1905" s="808" t="s">
        <v>632</v>
      </c>
      <c r="D1905" s="809"/>
      <c r="E1905" s="8"/>
      <c r="F1905" s="8"/>
      <c r="G1905" s="8"/>
      <c r="H1905" s="8"/>
      <c r="I1905" s="8"/>
      <c r="J1905" s="8"/>
    </row>
    <row r="1906" spans="1:10" s="1" customFormat="1" ht="25.5" customHeight="1" x14ac:dyDescent="0.2">
      <c r="A1906" s="10">
        <v>92939</v>
      </c>
      <c r="B1906" s="21">
        <v>42767</v>
      </c>
      <c r="C1906" s="806" t="s">
        <v>633</v>
      </c>
      <c r="D1906" s="807"/>
      <c r="E1906" s="11" t="s">
        <v>102</v>
      </c>
      <c r="F1906" s="12">
        <v>2</v>
      </c>
      <c r="G1906" s="12">
        <v>17.52</v>
      </c>
      <c r="H1906" s="12">
        <v>22.35</v>
      </c>
      <c r="I1906" s="13">
        <f>F1906*G1906</f>
        <v>35.04</v>
      </c>
      <c r="J1906" s="13">
        <f>F1906*H1906</f>
        <v>44.7</v>
      </c>
    </row>
    <row r="1907" spans="1:10" s="1" customFormat="1" ht="25.5" customHeight="1" x14ac:dyDescent="0.2">
      <c r="A1907" s="8"/>
      <c r="B1907" s="9" t="s">
        <v>634</v>
      </c>
      <c r="C1907" s="808" t="s">
        <v>635</v>
      </c>
      <c r="D1907" s="809"/>
      <c r="E1907" s="8"/>
      <c r="F1907" s="8"/>
      <c r="G1907" s="8"/>
      <c r="H1907" s="8"/>
      <c r="I1907" s="8"/>
      <c r="J1907" s="8"/>
    </row>
    <row r="1908" spans="1:10" s="1" customFormat="1" ht="25.5" customHeight="1" x14ac:dyDescent="0.2">
      <c r="A1908" s="10">
        <v>92701</v>
      </c>
      <c r="B1908" s="21">
        <v>42795</v>
      </c>
      <c r="C1908" s="806" t="s">
        <v>636</v>
      </c>
      <c r="D1908" s="807"/>
      <c r="E1908" s="11" t="s">
        <v>102</v>
      </c>
      <c r="F1908" s="12">
        <v>4</v>
      </c>
      <c r="G1908" s="12">
        <v>21.04</v>
      </c>
      <c r="H1908" s="12">
        <v>26.84</v>
      </c>
      <c r="I1908" s="13">
        <f>F1908*G1908</f>
        <v>84.16</v>
      </c>
      <c r="J1908" s="13">
        <f>F1908*H1908</f>
        <v>107.36</v>
      </c>
    </row>
    <row r="1909" spans="1:10" s="1" customFormat="1" ht="25.5" customHeight="1" x14ac:dyDescent="0.2">
      <c r="A1909" s="10">
        <v>92674</v>
      </c>
      <c r="B1909" s="21">
        <v>42796</v>
      </c>
      <c r="C1909" s="806" t="s">
        <v>637</v>
      </c>
      <c r="D1909" s="807"/>
      <c r="E1909" s="11" t="s">
        <v>102</v>
      </c>
      <c r="F1909" s="12">
        <v>4</v>
      </c>
      <c r="G1909" s="12">
        <v>34.25</v>
      </c>
      <c r="H1909" s="12">
        <v>43.7</v>
      </c>
      <c r="I1909" s="13">
        <f>F1909*G1909</f>
        <v>137</v>
      </c>
      <c r="J1909" s="13">
        <f>F1909*H1909</f>
        <v>174.8</v>
      </c>
    </row>
    <row r="1910" spans="1:10" s="1" customFormat="1" ht="25.5" customHeight="1" x14ac:dyDescent="0.2">
      <c r="A1910" s="10">
        <v>92703</v>
      </c>
      <c r="B1910" s="21">
        <v>42797</v>
      </c>
      <c r="C1910" s="806" t="s">
        <v>638</v>
      </c>
      <c r="D1910" s="807"/>
      <c r="E1910" s="11" t="s">
        <v>102</v>
      </c>
      <c r="F1910" s="12">
        <v>15</v>
      </c>
      <c r="G1910" s="12">
        <v>33.51</v>
      </c>
      <c r="H1910" s="12">
        <v>42.76</v>
      </c>
      <c r="I1910" s="13">
        <f>F1910*G1910</f>
        <v>502.65</v>
      </c>
      <c r="J1910" s="13">
        <f>F1910*H1910</f>
        <v>641.4</v>
      </c>
    </row>
    <row r="1911" spans="1:10" s="1" customFormat="1" ht="25.5" customHeight="1" x14ac:dyDescent="0.2">
      <c r="A1911" s="10">
        <v>92680</v>
      </c>
      <c r="B1911" s="21">
        <v>42798</v>
      </c>
      <c r="C1911" s="806" t="s">
        <v>639</v>
      </c>
      <c r="D1911" s="807"/>
      <c r="E1911" s="11" t="s">
        <v>102</v>
      </c>
      <c r="F1911" s="12">
        <v>8</v>
      </c>
      <c r="G1911" s="12">
        <v>87.03</v>
      </c>
      <c r="H1911" s="12">
        <v>111.04</v>
      </c>
      <c r="I1911" s="13">
        <f>F1911*G1911</f>
        <v>696.24</v>
      </c>
      <c r="J1911" s="13">
        <f>F1911*H1911</f>
        <v>888.32</v>
      </c>
    </row>
    <row r="1912" spans="1:10" s="1" customFormat="1" ht="25.5" customHeight="1" x14ac:dyDescent="0.2">
      <c r="A1912" s="8"/>
      <c r="B1912" s="9" t="s">
        <v>640</v>
      </c>
      <c r="C1912" s="808" t="s">
        <v>641</v>
      </c>
      <c r="D1912" s="809"/>
      <c r="E1912" s="8"/>
      <c r="F1912" s="8"/>
      <c r="G1912" s="8"/>
      <c r="H1912" s="8"/>
      <c r="I1912" s="8"/>
      <c r="J1912" s="8"/>
    </row>
    <row r="1913" spans="1:10" s="1" customFormat="1" ht="25.5" customHeight="1" x14ac:dyDescent="0.2">
      <c r="A1913" s="10">
        <v>92658</v>
      </c>
      <c r="B1913" s="21">
        <v>42826</v>
      </c>
      <c r="C1913" s="806" t="s">
        <v>642</v>
      </c>
      <c r="D1913" s="807"/>
      <c r="E1913" s="11" t="s">
        <v>102</v>
      </c>
      <c r="F1913" s="12">
        <v>1</v>
      </c>
      <c r="G1913" s="12">
        <v>17.47</v>
      </c>
      <c r="H1913" s="12">
        <v>22.29</v>
      </c>
      <c r="I1913" s="13">
        <f>F1913*G1913</f>
        <v>17.47</v>
      </c>
      <c r="J1913" s="13">
        <f>F1913*H1913</f>
        <v>22.29</v>
      </c>
    </row>
    <row r="1914" spans="1:10" s="1" customFormat="1" ht="25.5" customHeight="1" x14ac:dyDescent="0.2">
      <c r="A1914" s="10">
        <v>92662</v>
      </c>
      <c r="B1914" s="21">
        <v>42827</v>
      </c>
      <c r="C1914" s="806" t="s">
        <v>643</v>
      </c>
      <c r="D1914" s="807"/>
      <c r="E1914" s="11" t="s">
        <v>102</v>
      </c>
      <c r="F1914" s="12">
        <v>1</v>
      </c>
      <c r="G1914" s="12">
        <v>23.58</v>
      </c>
      <c r="H1914" s="12">
        <v>30.09</v>
      </c>
      <c r="I1914" s="13">
        <f>F1914*G1914</f>
        <v>23.58</v>
      </c>
      <c r="J1914" s="13">
        <f>F1914*H1914</f>
        <v>30.09</v>
      </c>
    </row>
    <row r="1915" spans="1:10" s="1" customFormat="1" ht="25.5" customHeight="1" x14ac:dyDescent="0.2">
      <c r="A1915" s="8"/>
      <c r="B1915" s="9" t="s">
        <v>644</v>
      </c>
      <c r="C1915" s="808" t="s">
        <v>450</v>
      </c>
      <c r="D1915" s="809"/>
      <c r="E1915" s="8"/>
      <c r="F1915" s="8"/>
      <c r="G1915" s="8"/>
      <c r="H1915" s="8"/>
      <c r="I1915" s="8"/>
      <c r="J1915" s="8"/>
    </row>
    <row r="1916" spans="1:10" s="1" customFormat="1" ht="25.5" customHeight="1" x14ac:dyDescent="0.2">
      <c r="A1916" s="10">
        <v>92683</v>
      </c>
      <c r="B1916" s="21">
        <v>42856</v>
      </c>
      <c r="C1916" s="806" t="s">
        <v>645</v>
      </c>
      <c r="D1916" s="807"/>
      <c r="E1916" s="11" t="s">
        <v>102</v>
      </c>
      <c r="F1916" s="12">
        <v>1</v>
      </c>
      <c r="G1916" s="12">
        <v>45.08</v>
      </c>
      <c r="H1916" s="12">
        <v>57.52</v>
      </c>
      <c r="I1916" s="13">
        <f>F1916*G1916</f>
        <v>45.08</v>
      </c>
      <c r="J1916" s="13">
        <f>F1916*H1916</f>
        <v>57.52</v>
      </c>
    </row>
    <row r="1917" spans="1:10" s="1" customFormat="1" ht="25.5" customHeight="1" x14ac:dyDescent="0.2">
      <c r="A1917" s="10">
        <v>92681</v>
      </c>
      <c r="B1917" s="21">
        <v>42857</v>
      </c>
      <c r="C1917" s="806" t="s">
        <v>646</v>
      </c>
      <c r="D1917" s="807"/>
      <c r="E1917" s="11" t="s">
        <v>102</v>
      </c>
      <c r="F1917" s="12">
        <v>2</v>
      </c>
      <c r="G1917" s="12">
        <v>32.270000000000003</v>
      </c>
      <c r="H1917" s="12">
        <v>41.17</v>
      </c>
      <c r="I1917" s="13">
        <f>F1917*G1917</f>
        <v>64.540000000000006</v>
      </c>
      <c r="J1917" s="13">
        <f>F1917*H1917</f>
        <v>82.34</v>
      </c>
    </row>
    <row r="1918" spans="1:10" s="1" customFormat="1" ht="25.5" customHeight="1" x14ac:dyDescent="0.2">
      <c r="A1918" s="11" t="s">
        <v>78</v>
      </c>
      <c r="B1918" s="21">
        <v>42858</v>
      </c>
      <c r="C1918" s="806" t="s">
        <v>647</v>
      </c>
      <c r="D1918" s="807"/>
      <c r="E1918" s="11" t="s">
        <v>102</v>
      </c>
      <c r="F1918" s="12">
        <v>1</v>
      </c>
      <c r="G1918" s="12">
        <v>32.92</v>
      </c>
      <c r="H1918" s="12">
        <v>42.01</v>
      </c>
      <c r="I1918" s="13">
        <f>F1918*G1918</f>
        <v>32.92</v>
      </c>
      <c r="J1918" s="13">
        <f>F1918*H1918</f>
        <v>42.01</v>
      </c>
    </row>
    <row r="1919" spans="1:10" s="1" customFormat="1" ht="25.5" customHeight="1" x14ac:dyDescent="0.2">
      <c r="A1919" s="8"/>
      <c r="B1919" s="9" t="s">
        <v>648</v>
      </c>
      <c r="C1919" s="808" t="s">
        <v>473</v>
      </c>
      <c r="D1919" s="809"/>
      <c r="E1919" s="8"/>
      <c r="F1919" s="8"/>
      <c r="G1919" s="8"/>
      <c r="H1919" s="8"/>
      <c r="I1919" s="8"/>
      <c r="J1919" s="8"/>
    </row>
    <row r="1920" spans="1:10" s="1" customFormat="1" ht="25.5" customHeight="1" x14ac:dyDescent="0.2">
      <c r="A1920" s="10">
        <v>92898</v>
      </c>
      <c r="B1920" s="21">
        <v>42887</v>
      </c>
      <c r="C1920" s="806" t="s">
        <v>649</v>
      </c>
      <c r="D1920" s="807"/>
      <c r="E1920" s="11" t="s">
        <v>102</v>
      </c>
      <c r="F1920" s="12">
        <v>4</v>
      </c>
      <c r="G1920" s="12">
        <v>27.29</v>
      </c>
      <c r="H1920" s="12">
        <v>34.82</v>
      </c>
      <c r="I1920" s="13">
        <f>F1920*G1920</f>
        <v>109.16</v>
      </c>
      <c r="J1920" s="13">
        <f>F1920*H1920</f>
        <v>139.28</v>
      </c>
    </row>
    <row r="1921" spans="1:10" s="1" customFormat="1" ht="25.5" customHeight="1" x14ac:dyDescent="0.2">
      <c r="A1921" s="10">
        <v>92900</v>
      </c>
      <c r="B1921" s="21">
        <v>42888</v>
      </c>
      <c r="C1921" s="806" t="s">
        <v>650</v>
      </c>
      <c r="D1921" s="807"/>
      <c r="E1921" s="11" t="s">
        <v>102</v>
      </c>
      <c r="F1921" s="12">
        <v>2</v>
      </c>
      <c r="G1921" s="12">
        <v>46.5</v>
      </c>
      <c r="H1921" s="12">
        <v>59.33</v>
      </c>
      <c r="I1921" s="13">
        <f>F1921*G1921</f>
        <v>93</v>
      </c>
      <c r="J1921" s="13">
        <f>F1921*H1921</f>
        <v>118.66</v>
      </c>
    </row>
    <row r="1922" spans="1:10" s="1" customFormat="1" ht="25.5" customHeight="1" x14ac:dyDescent="0.2">
      <c r="A1922" s="8"/>
      <c r="B1922" s="9" t="s">
        <v>651</v>
      </c>
      <c r="C1922" s="808" t="s">
        <v>652</v>
      </c>
      <c r="D1922" s="809"/>
      <c r="E1922" s="8"/>
      <c r="F1922" s="8"/>
      <c r="G1922" s="8"/>
      <c r="H1922" s="8"/>
      <c r="I1922" s="8"/>
      <c r="J1922" s="8"/>
    </row>
    <row r="1923" spans="1:10" s="1" customFormat="1" ht="25.5" customHeight="1" x14ac:dyDescent="0.2">
      <c r="A1923" s="11" t="s">
        <v>78</v>
      </c>
      <c r="B1923" s="21">
        <v>42917</v>
      </c>
      <c r="C1923" s="806" t="s">
        <v>653</v>
      </c>
      <c r="D1923" s="807"/>
      <c r="E1923" s="11" t="s">
        <v>102</v>
      </c>
      <c r="F1923" s="12">
        <v>2</v>
      </c>
      <c r="G1923" s="12">
        <v>20.03</v>
      </c>
      <c r="H1923" s="12">
        <v>25.55</v>
      </c>
      <c r="I1923" s="13">
        <f>F1923*G1923</f>
        <v>40.06</v>
      </c>
      <c r="J1923" s="13">
        <f>F1923*H1923</f>
        <v>51.1</v>
      </c>
    </row>
    <row r="1924" spans="1:10" s="1" customFormat="1" ht="25.5" customHeight="1" x14ac:dyDescent="0.2">
      <c r="A1924" s="8"/>
      <c r="B1924" s="803" t="s">
        <v>654</v>
      </c>
      <c r="C1924" s="804"/>
      <c r="D1924" s="804"/>
      <c r="E1924" s="804"/>
      <c r="F1924" s="804"/>
      <c r="G1924" s="805"/>
      <c r="H1924" s="8"/>
      <c r="I1924" s="14">
        <f>SUM(I1901:I1923)-0.01</f>
        <v>5642.7699999999995</v>
      </c>
      <c r="J1924" s="15">
        <f>SUM(J1901:J1923)-0.2</f>
        <v>7199.61</v>
      </c>
    </row>
    <row r="1925" spans="1:10" s="1" customFormat="1" ht="25.5" customHeight="1" x14ac:dyDescent="0.2">
      <c r="A1925" s="8"/>
      <c r="B1925" s="46"/>
      <c r="C1925" s="821"/>
      <c r="D1925" s="822"/>
      <c r="E1925" s="8"/>
      <c r="F1925" s="8"/>
      <c r="G1925" s="8"/>
      <c r="H1925" s="8"/>
      <c r="I1925" s="8"/>
      <c r="J1925" s="8"/>
    </row>
    <row r="1926" spans="1:10" s="1" customFormat="1" ht="25.5" customHeight="1" x14ac:dyDescent="0.2">
      <c r="A1926" s="8"/>
      <c r="B1926" s="9" t="s">
        <v>655</v>
      </c>
      <c r="C1926" s="808" t="s">
        <v>656</v>
      </c>
      <c r="D1926" s="809"/>
      <c r="E1926" s="8"/>
      <c r="F1926" s="8"/>
      <c r="G1926" s="8"/>
      <c r="H1926" s="8"/>
      <c r="I1926" s="8"/>
      <c r="J1926" s="8"/>
    </row>
    <row r="1927" spans="1:10" s="1" customFormat="1" ht="25.5" customHeight="1" x14ac:dyDescent="0.2">
      <c r="A1927" s="8"/>
      <c r="B1927" s="9" t="s">
        <v>657</v>
      </c>
      <c r="C1927" s="808" t="s">
        <v>626</v>
      </c>
      <c r="D1927" s="809"/>
      <c r="E1927" s="8"/>
      <c r="F1927" s="8"/>
      <c r="G1927" s="8"/>
      <c r="H1927" s="8"/>
      <c r="I1927" s="8"/>
      <c r="J1927" s="8"/>
    </row>
    <row r="1928" spans="1:10" s="1" customFormat="1" ht="25.5" customHeight="1" x14ac:dyDescent="0.2">
      <c r="A1928" s="11" t="s">
        <v>78</v>
      </c>
      <c r="B1928" s="21">
        <v>43101</v>
      </c>
      <c r="C1928" s="806" t="s">
        <v>658</v>
      </c>
      <c r="D1928" s="807"/>
      <c r="E1928" s="11" t="s">
        <v>81</v>
      </c>
      <c r="F1928" s="12">
        <v>15.5</v>
      </c>
      <c r="G1928" s="12">
        <v>15.13</v>
      </c>
      <c r="H1928" s="12">
        <v>19.3</v>
      </c>
      <c r="I1928" s="13">
        <f t="shared" ref="I1928:I1933" si="164">F1928*G1928</f>
        <v>234.51500000000001</v>
      </c>
      <c r="J1928" s="13">
        <f t="shared" ref="J1928:J1933" si="165">F1928*H1928</f>
        <v>299.15000000000003</v>
      </c>
    </row>
    <row r="1929" spans="1:10" s="1" customFormat="1" ht="25.5" customHeight="1" x14ac:dyDescent="0.2">
      <c r="A1929" s="11" t="s">
        <v>78</v>
      </c>
      <c r="B1929" s="21">
        <v>43102</v>
      </c>
      <c r="C1929" s="806" t="s">
        <v>659</v>
      </c>
      <c r="D1929" s="807"/>
      <c r="E1929" s="11" t="s">
        <v>81</v>
      </c>
      <c r="F1929" s="12">
        <v>127.6</v>
      </c>
      <c r="G1929" s="12">
        <v>29.08</v>
      </c>
      <c r="H1929" s="12">
        <v>37.1</v>
      </c>
      <c r="I1929" s="13">
        <f t="shared" si="164"/>
        <v>3710.6079999999997</v>
      </c>
      <c r="J1929" s="13">
        <f t="shared" si="165"/>
        <v>4733.96</v>
      </c>
    </row>
    <row r="1930" spans="1:10" s="1" customFormat="1" ht="25.5" customHeight="1" x14ac:dyDescent="0.2">
      <c r="A1930" s="11" t="s">
        <v>78</v>
      </c>
      <c r="B1930" s="21">
        <v>43103</v>
      </c>
      <c r="C1930" s="806" t="s">
        <v>660</v>
      </c>
      <c r="D1930" s="807"/>
      <c r="E1930" s="11" t="s">
        <v>81</v>
      </c>
      <c r="F1930" s="12">
        <v>18</v>
      </c>
      <c r="G1930" s="12">
        <v>25.97</v>
      </c>
      <c r="H1930" s="12">
        <v>33.14</v>
      </c>
      <c r="I1930" s="13">
        <f t="shared" si="164"/>
        <v>467.46</v>
      </c>
      <c r="J1930" s="13">
        <f t="shared" si="165"/>
        <v>596.52</v>
      </c>
    </row>
    <row r="1931" spans="1:10" s="1" customFormat="1" ht="25.5" customHeight="1" x14ac:dyDescent="0.2">
      <c r="A1931" s="11" t="s">
        <v>78</v>
      </c>
      <c r="B1931" s="21">
        <v>43104</v>
      </c>
      <c r="C1931" s="806" t="s">
        <v>661</v>
      </c>
      <c r="D1931" s="807"/>
      <c r="E1931" s="11" t="s">
        <v>81</v>
      </c>
      <c r="F1931" s="12">
        <v>28.7</v>
      </c>
      <c r="G1931" s="12">
        <v>39.630000000000003</v>
      </c>
      <c r="H1931" s="12">
        <v>50.56</v>
      </c>
      <c r="I1931" s="13">
        <f t="shared" si="164"/>
        <v>1137.3810000000001</v>
      </c>
      <c r="J1931" s="13">
        <f t="shared" si="165"/>
        <v>1451.0720000000001</v>
      </c>
    </row>
    <row r="1932" spans="1:10" s="1" customFormat="1" ht="25.5" customHeight="1" x14ac:dyDescent="0.2">
      <c r="A1932" s="11" t="s">
        <v>78</v>
      </c>
      <c r="B1932" s="21">
        <v>43105</v>
      </c>
      <c r="C1932" s="806" t="s">
        <v>662</v>
      </c>
      <c r="D1932" s="807"/>
      <c r="E1932" s="11" t="s">
        <v>81</v>
      </c>
      <c r="F1932" s="12">
        <v>34.9</v>
      </c>
      <c r="G1932" s="12">
        <v>65.430000000000007</v>
      </c>
      <c r="H1932" s="12">
        <v>83.48</v>
      </c>
      <c r="I1932" s="13">
        <f t="shared" si="164"/>
        <v>2283.5070000000001</v>
      </c>
      <c r="J1932" s="13">
        <f t="shared" si="165"/>
        <v>2913.4520000000002</v>
      </c>
    </row>
    <row r="1933" spans="1:10" s="1" customFormat="1" ht="25.5" customHeight="1" x14ac:dyDescent="0.2">
      <c r="A1933" s="11" t="s">
        <v>78</v>
      </c>
      <c r="B1933" s="21">
        <v>43106</v>
      </c>
      <c r="C1933" s="806" t="s">
        <v>663</v>
      </c>
      <c r="D1933" s="807"/>
      <c r="E1933" s="11" t="s">
        <v>81</v>
      </c>
      <c r="F1933" s="12">
        <v>13</v>
      </c>
      <c r="G1933" s="12">
        <v>103.37</v>
      </c>
      <c r="H1933" s="12">
        <v>131.88999999999999</v>
      </c>
      <c r="I1933" s="13">
        <f t="shared" si="164"/>
        <v>1343.81</v>
      </c>
      <c r="J1933" s="13">
        <f t="shared" si="165"/>
        <v>1714.5699999999997</v>
      </c>
    </row>
    <row r="1934" spans="1:10" s="1" customFormat="1" ht="25.5" customHeight="1" x14ac:dyDescent="0.2">
      <c r="A1934" s="8"/>
      <c r="B1934" s="9" t="s">
        <v>664</v>
      </c>
      <c r="C1934" s="808" t="s">
        <v>665</v>
      </c>
      <c r="D1934" s="809"/>
      <c r="E1934" s="8"/>
      <c r="F1934" s="8"/>
      <c r="G1934" s="8"/>
      <c r="H1934" s="8"/>
      <c r="I1934" s="8"/>
      <c r="J1934" s="8"/>
    </row>
    <row r="1935" spans="1:10" s="1" customFormat="1" ht="25.5" customHeight="1" x14ac:dyDescent="0.2">
      <c r="A1935" s="10">
        <v>89592</v>
      </c>
      <c r="B1935" s="21">
        <v>43132</v>
      </c>
      <c r="C1935" s="806" t="s">
        <v>666</v>
      </c>
      <c r="D1935" s="807"/>
      <c r="E1935" s="11" t="s">
        <v>102</v>
      </c>
      <c r="F1935" s="12">
        <v>11</v>
      </c>
      <c r="G1935" s="12">
        <v>231.71</v>
      </c>
      <c r="H1935" s="12">
        <v>295.63</v>
      </c>
      <c r="I1935" s="13">
        <f>F1935*G1935</f>
        <v>2548.81</v>
      </c>
      <c r="J1935" s="13">
        <f>F1935*H1935</f>
        <v>3251.93</v>
      </c>
    </row>
    <row r="1936" spans="1:10" s="1" customFormat="1" ht="25.5" customHeight="1" x14ac:dyDescent="0.2">
      <c r="A1936" s="10">
        <v>89587</v>
      </c>
      <c r="B1936" s="21">
        <v>43133</v>
      </c>
      <c r="C1936" s="806" t="s">
        <v>667</v>
      </c>
      <c r="D1936" s="807"/>
      <c r="E1936" s="11" t="s">
        <v>102</v>
      </c>
      <c r="F1936" s="12">
        <v>1</v>
      </c>
      <c r="G1936" s="12">
        <v>35.79</v>
      </c>
      <c r="H1936" s="12">
        <v>45.67</v>
      </c>
      <c r="I1936" s="13">
        <f>F1936*G1936</f>
        <v>35.79</v>
      </c>
      <c r="J1936" s="13">
        <f>F1936*H1936</f>
        <v>45.67</v>
      </c>
    </row>
    <row r="1937" spans="1:10" s="1" customFormat="1" ht="25.5" customHeight="1" x14ac:dyDescent="0.2">
      <c r="A1937" s="8"/>
      <c r="B1937" s="9" t="s">
        <v>668</v>
      </c>
      <c r="C1937" s="808" t="s">
        <v>635</v>
      </c>
      <c r="D1937" s="809"/>
      <c r="E1937" s="8"/>
      <c r="F1937" s="8"/>
      <c r="G1937" s="8"/>
      <c r="H1937" s="8"/>
      <c r="I1937" s="8"/>
      <c r="J1937" s="8"/>
    </row>
    <row r="1938" spans="1:10" s="1" customFormat="1" ht="25.5" customHeight="1" x14ac:dyDescent="0.2">
      <c r="A1938" s="10">
        <v>89591</v>
      </c>
      <c r="B1938" s="21">
        <v>43160</v>
      </c>
      <c r="C1938" s="806" t="s">
        <v>669</v>
      </c>
      <c r="D1938" s="807"/>
      <c r="E1938" s="11" t="s">
        <v>102</v>
      </c>
      <c r="F1938" s="12">
        <v>2</v>
      </c>
      <c r="G1938" s="12">
        <v>56.03</v>
      </c>
      <c r="H1938" s="12">
        <v>71.489999999999995</v>
      </c>
      <c r="I1938" s="13">
        <f>F1938*G1938</f>
        <v>112.06</v>
      </c>
      <c r="J1938" s="13">
        <f>F1938*H1938</f>
        <v>142.97999999999999</v>
      </c>
    </row>
    <row r="1939" spans="1:10" s="1" customFormat="1" ht="25.5" customHeight="1" x14ac:dyDescent="0.2">
      <c r="A1939" s="10">
        <v>89590</v>
      </c>
      <c r="B1939" s="21">
        <v>43161</v>
      </c>
      <c r="C1939" s="806" t="s">
        <v>670</v>
      </c>
      <c r="D1939" s="807"/>
      <c r="E1939" s="11" t="s">
        <v>102</v>
      </c>
      <c r="F1939" s="12">
        <v>2</v>
      </c>
      <c r="G1939" s="12">
        <v>68.44</v>
      </c>
      <c r="H1939" s="12">
        <v>87.32</v>
      </c>
      <c r="I1939" s="13">
        <f>F1939*G1939</f>
        <v>136.88</v>
      </c>
      <c r="J1939" s="13">
        <f>F1939*H1939</f>
        <v>174.64</v>
      </c>
    </row>
    <row r="1940" spans="1:10" s="1" customFormat="1" ht="25.5" customHeight="1" x14ac:dyDescent="0.2">
      <c r="A1940" s="8"/>
      <c r="B1940" s="9" t="s">
        <v>671</v>
      </c>
      <c r="C1940" s="808" t="s">
        <v>641</v>
      </c>
      <c r="D1940" s="809"/>
      <c r="E1940" s="8"/>
      <c r="F1940" s="8"/>
      <c r="G1940" s="8"/>
      <c r="H1940" s="8"/>
      <c r="I1940" s="8"/>
      <c r="J1940" s="8"/>
    </row>
    <row r="1941" spans="1:10" s="1" customFormat="1" ht="25.5" customHeight="1" x14ac:dyDescent="0.2">
      <c r="A1941" s="10">
        <v>89554</v>
      </c>
      <c r="B1941" s="21">
        <v>43191</v>
      </c>
      <c r="C1941" s="806" t="s">
        <v>672</v>
      </c>
      <c r="D1941" s="807"/>
      <c r="E1941" s="11" t="s">
        <v>102</v>
      </c>
      <c r="F1941" s="12">
        <v>2</v>
      </c>
      <c r="G1941" s="12">
        <v>12.67</v>
      </c>
      <c r="H1941" s="12">
        <v>16.170000000000002</v>
      </c>
      <c r="I1941" s="13">
        <f t="shared" ref="I1941:I1947" si="166">F1941*G1941</f>
        <v>25.34</v>
      </c>
      <c r="J1941" s="13">
        <f t="shared" ref="J1941:J1947" si="167">F1941*H1941</f>
        <v>32.340000000000003</v>
      </c>
    </row>
    <row r="1942" spans="1:10" s="1" customFormat="1" ht="25.5" customHeight="1" x14ac:dyDescent="0.2">
      <c r="A1942" s="10">
        <v>89677</v>
      </c>
      <c r="B1942" s="21">
        <v>43192</v>
      </c>
      <c r="C1942" s="806" t="s">
        <v>673</v>
      </c>
      <c r="D1942" s="807"/>
      <c r="E1942" s="11" t="s">
        <v>102</v>
      </c>
      <c r="F1942" s="12">
        <v>5</v>
      </c>
      <c r="G1942" s="12">
        <v>34.049999999999997</v>
      </c>
      <c r="H1942" s="12">
        <v>43.44</v>
      </c>
      <c r="I1942" s="13">
        <f t="shared" si="166"/>
        <v>170.25</v>
      </c>
      <c r="J1942" s="13">
        <f t="shared" si="167"/>
        <v>217.2</v>
      </c>
    </row>
    <row r="1943" spans="1:10" s="1" customFormat="1" ht="25.5" customHeight="1" x14ac:dyDescent="0.2">
      <c r="A1943" s="10">
        <v>3833</v>
      </c>
      <c r="B1943" s="21">
        <v>43193</v>
      </c>
      <c r="C1943" s="806" t="s">
        <v>674</v>
      </c>
      <c r="D1943" s="807"/>
      <c r="E1943" s="11" t="s">
        <v>102</v>
      </c>
      <c r="F1943" s="12">
        <v>1</v>
      </c>
      <c r="G1943" s="12">
        <v>8.4600000000000009</v>
      </c>
      <c r="H1943" s="12">
        <v>10.79</v>
      </c>
      <c r="I1943" s="13">
        <f t="shared" si="166"/>
        <v>8.4600000000000009</v>
      </c>
      <c r="J1943" s="13">
        <f t="shared" si="167"/>
        <v>10.79</v>
      </c>
    </row>
    <row r="1944" spans="1:10" s="1" customFormat="1" ht="25.5" customHeight="1" x14ac:dyDescent="0.2">
      <c r="A1944" s="10">
        <v>3835</v>
      </c>
      <c r="B1944" s="21">
        <v>43194</v>
      </c>
      <c r="C1944" s="806" t="s">
        <v>675</v>
      </c>
      <c r="D1944" s="807"/>
      <c r="E1944" s="11" t="s">
        <v>102</v>
      </c>
      <c r="F1944" s="12">
        <v>1</v>
      </c>
      <c r="G1944" s="12">
        <v>18.989999999999998</v>
      </c>
      <c r="H1944" s="12">
        <v>24.23</v>
      </c>
      <c r="I1944" s="13">
        <f t="shared" si="166"/>
        <v>18.989999999999998</v>
      </c>
      <c r="J1944" s="13">
        <f t="shared" si="167"/>
        <v>24.23</v>
      </c>
    </row>
    <row r="1945" spans="1:10" s="1" customFormat="1" ht="25.5" customHeight="1" x14ac:dyDescent="0.2">
      <c r="A1945" s="10">
        <v>3836</v>
      </c>
      <c r="B1945" s="21">
        <v>43195</v>
      </c>
      <c r="C1945" s="806" t="s">
        <v>676</v>
      </c>
      <c r="D1945" s="807"/>
      <c r="E1945" s="11" t="s">
        <v>102</v>
      </c>
      <c r="F1945" s="12">
        <v>3</v>
      </c>
      <c r="G1945" s="12">
        <v>49.1</v>
      </c>
      <c r="H1945" s="12">
        <v>62.65</v>
      </c>
      <c r="I1945" s="13">
        <f t="shared" si="166"/>
        <v>147.30000000000001</v>
      </c>
      <c r="J1945" s="13">
        <f t="shared" si="167"/>
        <v>187.95</v>
      </c>
    </row>
    <row r="1946" spans="1:10" s="1" customFormat="1" ht="25.5" customHeight="1" x14ac:dyDescent="0.2">
      <c r="A1946" s="10">
        <v>3830</v>
      </c>
      <c r="B1946" s="21">
        <v>43196</v>
      </c>
      <c r="C1946" s="806" t="s">
        <v>677</v>
      </c>
      <c r="D1946" s="807"/>
      <c r="E1946" s="11" t="s">
        <v>102</v>
      </c>
      <c r="F1946" s="12">
        <v>2</v>
      </c>
      <c r="G1946" s="12">
        <v>80.83</v>
      </c>
      <c r="H1946" s="12">
        <v>103.13</v>
      </c>
      <c r="I1946" s="13">
        <f t="shared" si="166"/>
        <v>161.66</v>
      </c>
      <c r="J1946" s="13">
        <f t="shared" si="167"/>
        <v>206.26</v>
      </c>
    </row>
    <row r="1947" spans="1:10" s="1" customFormat="1" ht="25.5" customHeight="1" x14ac:dyDescent="0.2">
      <c r="A1947" s="10">
        <v>3831</v>
      </c>
      <c r="B1947" s="21">
        <v>43197</v>
      </c>
      <c r="C1947" s="806" t="s">
        <v>678</v>
      </c>
      <c r="D1947" s="807"/>
      <c r="E1947" s="11" t="s">
        <v>102</v>
      </c>
      <c r="F1947" s="12">
        <v>1</v>
      </c>
      <c r="G1947" s="12">
        <v>125.22</v>
      </c>
      <c r="H1947" s="12">
        <v>159.77000000000001</v>
      </c>
      <c r="I1947" s="13">
        <f t="shared" si="166"/>
        <v>125.22</v>
      </c>
      <c r="J1947" s="13">
        <f t="shared" si="167"/>
        <v>159.77000000000001</v>
      </c>
    </row>
    <row r="1948" spans="1:10" s="1" customFormat="1" ht="25.5" customHeight="1" x14ac:dyDescent="0.2">
      <c r="A1948" s="8"/>
      <c r="B1948" s="9" t="s">
        <v>679</v>
      </c>
      <c r="C1948" s="808" t="s">
        <v>680</v>
      </c>
      <c r="D1948" s="809"/>
      <c r="E1948" s="8"/>
      <c r="F1948" s="8"/>
      <c r="G1948" s="8"/>
      <c r="H1948" s="8"/>
      <c r="I1948" s="8"/>
      <c r="J1948" s="8"/>
    </row>
    <row r="1949" spans="1:10" s="1" customFormat="1" ht="25.5" customHeight="1" x14ac:dyDescent="0.2">
      <c r="A1949" s="10">
        <v>38448</v>
      </c>
      <c r="B1949" s="21">
        <v>43221</v>
      </c>
      <c r="C1949" s="806" t="s">
        <v>681</v>
      </c>
      <c r="D1949" s="807"/>
      <c r="E1949" s="11" t="s">
        <v>102</v>
      </c>
      <c r="F1949" s="12">
        <v>11</v>
      </c>
      <c r="G1949" s="12">
        <v>149.65</v>
      </c>
      <c r="H1949" s="12">
        <v>190.94</v>
      </c>
      <c r="I1949" s="13">
        <f>F1949*G1949</f>
        <v>1646.15</v>
      </c>
      <c r="J1949" s="13">
        <f>F1949*H1949</f>
        <v>2100.34</v>
      </c>
    </row>
    <row r="1950" spans="1:10" s="1" customFormat="1" ht="25.5" customHeight="1" x14ac:dyDescent="0.2">
      <c r="A1950" s="10">
        <v>20183</v>
      </c>
      <c r="B1950" s="21">
        <v>43222</v>
      </c>
      <c r="C1950" s="806" t="s">
        <v>682</v>
      </c>
      <c r="D1950" s="807"/>
      <c r="E1950" s="11" t="s">
        <v>102</v>
      </c>
      <c r="F1950" s="12">
        <v>1</v>
      </c>
      <c r="G1950" s="12">
        <v>28.2</v>
      </c>
      <c r="H1950" s="12">
        <v>35.979999999999997</v>
      </c>
      <c r="I1950" s="13">
        <f>F1950*G1950</f>
        <v>28.2</v>
      </c>
      <c r="J1950" s="13">
        <f>F1950*H1950</f>
        <v>35.979999999999997</v>
      </c>
    </row>
    <row r="1951" spans="1:10" s="1" customFormat="1" ht="25.5" customHeight="1" x14ac:dyDescent="0.2">
      <c r="A1951" s="8"/>
      <c r="B1951" s="803" t="s">
        <v>683</v>
      </c>
      <c r="C1951" s="804"/>
      <c r="D1951" s="804"/>
      <c r="E1951" s="804"/>
      <c r="F1951" s="804"/>
      <c r="G1951" s="805"/>
      <c r="H1951" s="8"/>
      <c r="I1951" s="14">
        <f>SUM(I1928:I1950)-0.25</f>
        <v>14342.140999999996</v>
      </c>
      <c r="J1951" s="15">
        <f>SUM(J1928:J1950)</f>
        <v>18298.804</v>
      </c>
    </row>
    <row r="1952" spans="1:10" s="1" customFormat="1" ht="25.5" customHeight="1" x14ac:dyDescent="0.2">
      <c r="A1952" s="8"/>
      <c r="B1952" s="43">
        <v>19</v>
      </c>
      <c r="C1952" s="808" t="s">
        <v>684</v>
      </c>
      <c r="D1952" s="809"/>
      <c r="E1952" s="8"/>
      <c r="F1952" s="8"/>
      <c r="G1952" s="8"/>
      <c r="H1952" s="8"/>
      <c r="I1952" s="8"/>
      <c r="J1952" s="8"/>
    </row>
    <row r="1953" spans="1:10" s="1" customFormat="1" ht="25.5" customHeight="1" x14ac:dyDescent="0.2">
      <c r="A1953" s="8"/>
      <c r="B1953" s="9" t="s">
        <v>685</v>
      </c>
      <c r="C1953" s="808" t="s">
        <v>686</v>
      </c>
      <c r="D1953" s="809"/>
      <c r="E1953" s="8"/>
      <c r="F1953" s="8"/>
      <c r="G1953" s="8"/>
      <c r="H1953" s="8"/>
      <c r="I1953" s="8"/>
      <c r="J1953" s="8"/>
    </row>
    <row r="1954" spans="1:10" s="1" customFormat="1" ht="25.5" customHeight="1" x14ac:dyDescent="0.2">
      <c r="A1954" s="11" t="s">
        <v>687</v>
      </c>
      <c r="B1954" s="21">
        <v>43466</v>
      </c>
      <c r="C1954" s="806" t="s">
        <v>688</v>
      </c>
      <c r="D1954" s="807"/>
      <c r="E1954" s="11" t="s">
        <v>102</v>
      </c>
      <c r="F1954" s="12">
        <v>11</v>
      </c>
      <c r="G1954" s="12">
        <v>45.06</v>
      </c>
      <c r="H1954" s="12">
        <v>57.5</v>
      </c>
      <c r="I1954" s="13">
        <f>F1954*G1954</f>
        <v>495.66</v>
      </c>
      <c r="J1954" s="13">
        <f>F1954*H1954</f>
        <v>632.5</v>
      </c>
    </row>
    <row r="1955" spans="1:10" s="1" customFormat="1" ht="25.5" customHeight="1" x14ac:dyDescent="0.2">
      <c r="A1955" s="11" t="s">
        <v>689</v>
      </c>
      <c r="B1955" s="21">
        <v>43467</v>
      </c>
      <c r="C1955" s="806" t="s">
        <v>690</v>
      </c>
      <c r="D1955" s="807"/>
      <c r="E1955" s="11" t="s">
        <v>102</v>
      </c>
      <c r="F1955" s="12">
        <v>1</v>
      </c>
      <c r="G1955" s="12">
        <v>26.35</v>
      </c>
      <c r="H1955" s="12">
        <v>33.619999999999997</v>
      </c>
      <c r="I1955" s="13">
        <f>F1955*G1955</f>
        <v>26.35</v>
      </c>
      <c r="J1955" s="13">
        <f>F1955*H1955</f>
        <v>33.619999999999997</v>
      </c>
    </row>
    <row r="1956" spans="1:10" s="1" customFormat="1" ht="25.5" customHeight="1" x14ac:dyDescent="0.2">
      <c r="A1956" s="8"/>
      <c r="B1956" s="9" t="s">
        <v>691</v>
      </c>
      <c r="C1956" s="808" t="s">
        <v>692</v>
      </c>
      <c r="D1956" s="809"/>
      <c r="E1956" s="8"/>
      <c r="F1956" s="8"/>
      <c r="G1956" s="8"/>
      <c r="H1956" s="8"/>
      <c r="I1956" s="8"/>
      <c r="J1956" s="8"/>
    </row>
    <row r="1957" spans="1:10" s="1" customFormat="1" ht="25.5" customHeight="1" x14ac:dyDescent="0.2">
      <c r="A1957" s="11" t="s">
        <v>693</v>
      </c>
      <c r="B1957" s="21">
        <v>43497</v>
      </c>
      <c r="C1957" s="806" t="s">
        <v>694</v>
      </c>
      <c r="D1957" s="807"/>
      <c r="E1957" s="11" t="s">
        <v>102</v>
      </c>
      <c r="F1957" s="12">
        <v>9</v>
      </c>
      <c r="G1957" s="12">
        <v>226.16</v>
      </c>
      <c r="H1957" s="12">
        <v>288.56</v>
      </c>
      <c r="I1957" s="13">
        <f>F1957*G1957</f>
        <v>2035.44</v>
      </c>
      <c r="J1957" s="13">
        <f>F1957*H1957</f>
        <v>2597.04</v>
      </c>
    </row>
    <row r="1958" spans="1:10" s="1" customFormat="1" ht="25.5" customHeight="1" x14ac:dyDescent="0.2">
      <c r="A1958" s="10">
        <v>6171</v>
      </c>
      <c r="B1958" s="21">
        <v>43498</v>
      </c>
      <c r="C1958" s="806" t="s">
        <v>695</v>
      </c>
      <c r="D1958" s="807"/>
      <c r="E1958" s="11" t="s">
        <v>102</v>
      </c>
      <c r="F1958" s="12">
        <v>9</v>
      </c>
      <c r="G1958" s="12">
        <v>21.74</v>
      </c>
      <c r="H1958" s="12">
        <v>27.74</v>
      </c>
      <c r="I1958" s="13">
        <f>F1958*G1958</f>
        <v>195.66</v>
      </c>
      <c r="J1958" s="13">
        <f>F1958*H1958</f>
        <v>249.66</v>
      </c>
    </row>
    <row r="1959" spans="1:10" s="1" customFormat="1" ht="25.5" customHeight="1" x14ac:dyDescent="0.2">
      <c r="A1959" s="11" t="s">
        <v>696</v>
      </c>
      <c r="B1959" s="21">
        <v>43499</v>
      </c>
      <c r="C1959" s="806" t="s">
        <v>697</v>
      </c>
      <c r="D1959" s="807"/>
      <c r="E1959" s="11" t="s">
        <v>102</v>
      </c>
      <c r="F1959" s="12">
        <v>5</v>
      </c>
      <c r="G1959" s="12">
        <v>165.35</v>
      </c>
      <c r="H1959" s="12">
        <v>210.97</v>
      </c>
      <c r="I1959" s="13">
        <f>F1959*G1959</f>
        <v>826.75</v>
      </c>
      <c r="J1959" s="13">
        <f>F1959*H1959</f>
        <v>1054.8499999999999</v>
      </c>
    </row>
    <row r="1960" spans="1:10" s="1" customFormat="1" ht="25.5" customHeight="1" x14ac:dyDescent="0.2">
      <c r="A1960" s="11" t="s">
        <v>698</v>
      </c>
      <c r="B1960" s="21">
        <v>43500</v>
      </c>
      <c r="C1960" s="806" t="s">
        <v>699</v>
      </c>
      <c r="D1960" s="807"/>
      <c r="E1960" s="11" t="s">
        <v>102</v>
      </c>
      <c r="F1960" s="12">
        <v>5</v>
      </c>
      <c r="G1960" s="12">
        <v>112.26</v>
      </c>
      <c r="H1960" s="12">
        <v>143.22999999999999</v>
      </c>
      <c r="I1960" s="13">
        <f>F1960*G1960</f>
        <v>561.30000000000007</v>
      </c>
      <c r="J1960" s="13">
        <f>F1960*H1960</f>
        <v>716.15</v>
      </c>
    </row>
    <row r="1961" spans="1:10" s="1" customFormat="1" ht="25.5" customHeight="1" x14ac:dyDescent="0.2">
      <c r="A1961" s="11" t="s">
        <v>700</v>
      </c>
      <c r="B1961" s="21">
        <v>43501</v>
      </c>
      <c r="C1961" s="806" t="s">
        <v>701</v>
      </c>
      <c r="D1961" s="807"/>
      <c r="E1961" s="11" t="s">
        <v>102</v>
      </c>
      <c r="F1961" s="12">
        <v>2</v>
      </c>
      <c r="G1961" s="12">
        <v>171</v>
      </c>
      <c r="H1961" s="12">
        <v>218.18</v>
      </c>
      <c r="I1961" s="13">
        <f>F1961*G1961</f>
        <v>342</v>
      </c>
      <c r="J1961" s="13">
        <f>F1961*H1961</f>
        <v>436.36</v>
      </c>
    </row>
    <row r="1962" spans="1:10" s="1" customFormat="1" ht="25.5" customHeight="1" x14ac:dyDescent="0.2">
      <c r="A1962" s="8"/>
      <c r="B1962" s="9" t="s">
        <v>702</v>
      </c>
      <c r="C1962" s="808" t="s">
        <v>703</v>
      </c>
      <c r="D1962" s="809"/>
      <c r="E1962" s="8"/>
      <c r="F1962" s="8"/>
      <c r="G1962" s="8"/>
      <c r="H1962" s="8"/>
      <c r="I1962" s="8"/>
      <c r="J1962" s="8"/>
    </row>
    <row r="1963" spans="1:10" s="1" customFormat="1" ht="25.5" customHeight="1" x14ac:dyDescent="0.2">
      <c r="A1963" s="11" t="s">
        <v>704</v>
      </c>
      <c r="B1963" s="21">
        <v>43525</v>
      </c>
      <c r="C1963" s="806" t="s">
        <v>705</v>
      </c>
      <c r="D1963" s="807"/>
      <c r="E1963" s="11" t="s">
        <v>102</v>
      </c>
      <c r="F1963" s="12">
        <v>1</v>
      </c>
      <c r="G1963" s="13">
        <v>1880.53</v>
      </c>
      <c r="H1963" s="13">
        <v>2399.37</v>
      </c>
      <c r="I1963" s="13">
        <f>F1963*G1963</f>
        <v>1880.53</v>
      </c>
      <c r="J1963" s="13">
        <f>F1963*H1963</f>
        <v>2399.37</v>
      </c>
    </row>
    <row r="1964" spans="1:10" s="1" customFormat="1" ht="25.5" customHeight="1" x14ac:dyDescent="0.2">
      <c r="A1964" s="10">
        <v>6171</v>
      </c>
      <c r="B1964" s="21">
        <v>43526</v>
      </c>
      <c r="C1964" s="806" t="s">
        <v>706</v>
      </c>
      <c r="D1964" s="807"/>
      <c r="E1964" s="11" t="s">
        <v>102</v>
      </c>
      <c r="F1964" s="12">
        <v>1</v>
      </c>
      <c r="G1964" s="12">
        <v>21.74</v>
      </c>
      <c r="H1964" s="12">
        <v>27.74</v>
      </c>
      <c r="I1964" s="13">
        <f>F1964*G1964</f>
        <v>21.74</v>
      </c>
      <c r="J1964" s="13">
        <f>F1964*H1964</f>
        <v>27.74</v>
      </c>
    </row>
    <row r="1965" spans="1:10" s="1" customFormat="1" ht="25.5" customHeight="1" x14ac:dyDescent="0.2">
      <c r="A1965" s="8"/>
      <c r="B1965" s="9" t="s">
        <v>707</v>
      </c>
      <c r="C1965" s="808" t="s">
        <v>708</v>
      </c>
      <c r="D1965" s="809"/>
      <c r="E1965" s="8"/>
      <c r="F1965" s="8"/>
      <c r="G1965" s="8"/>
      <c r="H1965" s="8"/>
      <c r="I1965" s="8"/>
      <c r="J1965" s="8"/>
    </row>
    <row r="1966" spans="1:10" s="1" customFormat="1" ht="25.5" customHeight="1" x14ac:dyDescent="0.2">
      <c r="A1966" s="10">
        <v>1332</v>
      </c>
      <c r="B1966" s="21">
        <v>43556</v>
      </c>
      <c r="C1966" s="806" t="s">
        <v>709</v>
      </c>
      <c r="D1966" s="807"/>
      <c r="E1966" s="11" t="s">
        <v>102</v>
      </c>
      <c r="F1966" s="12">
        <v>5</v>
      </c>
      <c r="G1966" s="12">
        <v>7.59</v>
      </c>
      <c r="H1966" s="12">
        <v>9.68</v>
      </c>
      <c r="I1966" s="13">
        <f>F1966*G1966</f>
        <v>37.950000000000003</v>
      </c>
      <c r="J1966" s="13">
        <f>F1966*H1966</f>
        <v>48.4</v>
      </c>
    </row>
    <row r="1967" spans="1:10" s="1" customFormat="1" ht="25.5" customHeight="1" x14ac:dyDescent="0.2">
      <c r="A1967" s="8"/>
      <c r="B1967" s="9" t="s">
        <v>710</v>
      </c>
      <c r="C1967" s="808" t="s">
        <v>711</v>
      </c>
      <c r="D1967" s="809"/>
      <c r="E1967" s="8"/>
      <c r="F1967" s="8"/>
      <c r="G1967" s="8"/>
      <c r="H1967" s="8"/>
      <c r="I1967" s="8"/>
      <c r="J1967" s="8"/>
    </row>
    <row r="1968" spans="1:10" s="1" customFormat="1" ht="25.5" customHeight="1" x14ac:dyDescent="0.2">
      <c r="A1968" s="11" t="s">
        <v>712</v>
      </c>
      <c r="B1968" s="21">
        <v>43586</v>
      </c>
      <c r="C1968" s="806" t="s">
        <v>713</v>
      </c>
      <c r="D1968" s="807"/>
      <c r="E1968" s="11" t="s">
        <v>81</v>
      </c>
      <c r="F1968" s="12">
        <v>8</v>
      </c>
      <c r="G1968" s="12">
        <v>267.89</v>
      </c>
      <c r="H1968" s="12">
        <v>341.81</v>
      </c>
      <c r="I1968" s="13">
        <f>F1968*G1968</f>
        <v>2143.12</v>
      </c>
      <c r="J1968" s="13">
        <f>F1968*H1968</f>
        <v>2734.48</v>
      </c>
    </row>
    <row r="1969" spans="1:10" s="1" customFormat="1" ht="25.5" customHeight="1" x14ac:dyDescent="0.2">
      <c r="A1969" s="11" t="s">
        <v>714</v>
      </c>
      <c r="B1969" s="21">
        <v>43587</v>
      </c>
      <c r="C1969" s="806" t="s">
        <v>715</v>
      </c>
      <c r="D1969" s="807"/>
      <c r="E1969" s="11" t="s">
        <v>81</v>
      </c>
      <c r="F1969" s="12">
        <v>2</v>
      </c>
      <c r="G1969" s="12">
        <v>57.59</v>
      </c>
      <c r="H1969" s="12">
        <v>73.48</v>
      </c>
      <c r="I1969" s="13">
        <f>F1969*G1969</f>
        <v>115.18</v>
      </c>
      <c r="J1969" s="13">
        <f>F1969*H1969</f>
        <v>146.96</v>
      </c>
    </row>
    <row r="1970" spans="1:10" s="1" customFormat="1" ht="25.5" customHeight="1" x14ac:dyDescent="0.2">
      <c r="A1970" s="8"/>
      <c r="B1970" s="803" t="s">
        <v>716</v>
      </c>
      <c r="C1970" s="804"/>
      <c r="D1970" s="804"/>
      <c r="E1970" s="804"/>
      <c r="F1970" s="804"/>
      <c r="G1970" s="805"/>
      <c r="H1970" s="8"/>
      <c r="I1970" s="14">
        <f>SUM(I1954:I1969)</f>
        <v>8681.68</v>
      </c>
      <c r="J1970" s="15">
        <f>SUM(J1954:J1969)-0.1</f>
        <v>11077.029999999997</v>
      </c>
    </row>
    <row r="1971" spans="1:10" s="1" customFormat="1" ht="25.5" customHeight="1" x14ac:dyDescent="0.2">
      <c r="A1971" s="8"/>
      <c r="B1971" s="9" t="s">
        <v>717</v>
      </c>
      <c r="C1971" s="808" t="s">
        <v>718</v>
      </c>
      <c r="D1971" s="809"/>
      <c r="E1971" s="8"/>
      <c r="F1971" s="8"/>
      <c r="G1971" s="8"/>
      <c r="H1971" s="8"/>
      <c r="I1971" s="8"/>
      <c r="J1971" s="8"/>
    </row>
    <row r="1972" spans="1:10" s="1" customFormat="1" ht="25.5" customHeight="1" x14ac:dyDescent="0.2">
      <c r="A1972" s="8"/>
      <c r="B1972" s="9" t="s">
        <v>719</v>
      </c>
      <c r="C1972" s="808" t="s">
        <v>626</v>
      </c>
      <c r="D1972" s="809"/>
      <c r="E1972" s="8"/>
      <c r="F1972" s="8"/>
      <c r="G1972" s="8"/>
      <c r="H1972" s="8"/>
      <c r="I1972" s="8"/>
      <c r="J1972" s="8"/>
    </row>
    <row r="1973" spans="1:10" s="1" customFormat="1" ht="25.5" customHeight="1" x14ac:dyDescent="0.2">
      <c r="A1973" s="10">
        <v>89580</v>
      </c>
      <c r="B1973" s="21">
        <v>43831</v>
      </c>
      <c r="C1973" s="806" t="s">
        <v>720</v>
      </c>
      <c r="D1973" s="807"/>
      <c r="E1973" s="11" t="s">
        <v>81</v>
      </c>
      <c r="F1973" s="12">
        <v>204</v>
      </c>
      <c r="G1973" s="12">
        <v>38.24</v>
      </c>
      <c r="H1973" s="12">
        <v>48.79</v>
      </c>
      <c r="I1973" s="13">
        <f>F1973*G1973</f>
        <v>7800.96</v>
      </c>
      <c r="J1973" s="13">
        <f>F1973*H1973</f>
        <v>9953.16</v>
      </c>
    </row>
    <row r="1974" spans="1:10" s="1" customFormat="1" ht="25.5" customHeight="1" x14ac:dyDescent="0.2">
      <c r="A1974" s="11" t="s">
        <v>721</v>
      </c>
      <c r="B1974" s="21">
        <v>43832</v>
      </c>
      <c r="C1974" s="806" t="s">
        <v>722</v>
      </c>
      <c r="D1974" s="807"/>
      <c r="E1974" s="11" t="s">
        <v>81</v>
      </c>
      <c r="F1974" s="12">
        <v>108</v>
      </c>
      <c r="G1974" s="12">
        <v>31.84</v>
      </c>
      <c r="H1974" s="12">
        <v>40.619999999999997</v>
      </c>
      <c r="I1974" s="13">
        <f>F1974*G1974</f>
        <v>3438.72</v>
      </c>
      <c r="J1974" s="13">
        <f>F1974*H1974</f>
        <v>4386.96</v>
      </c>
    </row>
    <row r="1975" spans="1:10" s="1" customFormat="1" ht="25.5" customHeight="1" x14ac:dyDescent="0.2">
      <c r="A1975" s="10">
        <v>89511</v>
      </c>
      <c r="B1975" s="21">
        <v>43833</v>
      </c>
      <c r="C1975" s="806" t="s">
        <v>723</v>
      </c>
      <c r="D1975" s="807"/>
      <c r="E1975" s="11" t="s">
        <v>81</v>
      </c>
      <c r="F1975" s="12">
        <v>120</v>
      </c>
      <c r="G1975" s="12">
        <v>24.3</v>
      </c>
      <c r="H1975" s="12">
        <v>31</v>
      </c>
      <c r="I1975" s="13">
        <f>F1975*G1975</f>
        <v>2916</v>
      </c>
      <c r="J1975" s="13">
        <f>F1975*H1975</f>
        <v>3720</v>
      </c>
    </row>
    <row r="1976" spans="1:10" s="1" customFormat="1" ht="25.5" customHeight="1" x14ac:dyDescent="0.2">
      <c r="A1976" s="10">
        <v>89509</v>
      </c>
      <c r="B1976" s="21">
        <v>43834</v>
      </c>
      <c r="C1976" s="806" t="s">
        <v>724</v>
      </c>
      <c r="D1976" s="807"/>
      <c r="E1976" s="11" t="s">
        <v>81</v>
      </c>
      <c r="F1976" s="12">
        <v>210</v>
      </c>
      <c r="G1976" s="12">
        <v>16.3</v>
      </c>
      <c r="H1976" s="12">
        <v>20.8</v>
      </c>
      <c r="I1976" s="13">
        <f>F1976*G1976</f>
        <v>3423</v>
      </c>
      <c r="J1976" s="13">
        <f>F1976*H1976</f>
        <v>4368</v>
      </c>
    </row>
    <row r="1977" spans="1:10" s="1" customFormat="1" ht="25.5" customHeight="1" x14ac:dyDescent="0.2">
      <c r="A1977" s="10">
        <v>89508</v>
      </c>
      <c r="B1977" s="21">
        <v>43835</v>
      </c>
      <c r="C1977" s="806" t="s">
        <v>725</v>
      </c>
      <c r="D1977" s="807"/>
      <c r="E1977" s="11" t="s">
        <v>81</v>
      </c>
      <c r="F1977" s="12">
        <v>102</v>
      </c>
      <c r="G1977" s="12">
        <v>11.22</v>
      </c>
      <c r="H1977" s="12">
        <v>14.32</v>
      </c>
      <c r="I1977" s="13">
        <f>F1977*G1977</f>
        <v>1144.44</v>
      </c>
      <c r="J1977" s="13">
        <f>F1977*H1977</f>
        <v>1460.64</v>
      </c>
    </row>
    <row r="1978" spans="1:10" s="1" customFormat="1" ht="25.5" customHeight="1" x14ac:dyDescent="0.2">
      <c r="A1978" s="8"/>
      <c r="B1978" s="9" t="s">
        <v>726</v>
      </c>
      <c r="C1978" s="808" t="s">
        <v>727</v>
      </c>
      <c r="D1978" s="809"/>
      <c r="E1978" s="8"/>
      <c r="F1978" s="8"/>
      <c r="G1978" s="8"/>
      <c r="H1978" s="8"/>
      <c r="I1978" s="8"/>
      <c r="J1978" s="8"/>
    </row>
    <row r="1979" spans="1:10" s="1" customFormat="1" ht="25.5" customHeight="1" x14ac:dyDescent="0.2">
      <c r="A1979" s="11" t="s">
        <v>728</v>
      </c>
      <c r="B1979" s="21">
        <v>43862</v>
      </c>
      <c r="C1979" s="806" t="s">
        <v>729</v>
      </c>
      <c r="D1979" s="807"/>
      <c r="E1979" s="11" t="s">
        <v>102</v>
      </c>
      <c r="F1979" s="12">
        <v>2</v>
      </c>
      <c r="G1979" s="12">
        <v>11.18</v>
      </c>
      <c r="H1979" s="12">
        <v>14.26</v>
      </c>
      <c r="I1979" s="13">
        <f>F1979*G1979</f>
        <v>22.36</v>
      </c>
      <c r="J1979" s="13">
        <f>F1979*H1979</f>
        <v>28.52</v>
      </c>
    </row>
    <row r="1980" spans="1:10" s="1" customFormat="1" ht="25.5" customHeight="1" x14ac:dyDescent="0.2">
      <c r="A1980" s="8"/>
      <c r="B1980" s="9" t="s">
        <v>730</v>
      </c>
      <c r="C1980" s="808" t="s">
        <v>635</v>
      </c>
      <c r="D1980" s="809"/>
      <c r="E1980" s="8"/>
      <c r="F1980" s="8"/>
      <c r="G1980" s="8"/>
      <c r="H1980" s="8"/>
      <c r="I1980" s="8"/>
      <c r="J1980" s="12"/>
    </row>
    <row r="1981" spans="1:10" s="1" customFormat="1" ht="25.5" customHeight="1" x14ac:dyDescent="0.2">
      <c r="A1981" s="10">
        <v>20151</v>
      </c>
      <c r="B1981" s="21">
        <v>43891</v>
      </c>
      <c r="C1981" s="806" t="s">
        <v>731</v>
      </c>
      <c r="D1981" s="807"/>
      <c r="E1981" s="11" t="s">
        <v>102</v>
      </c>
      <c r="F1981" s="12">
        <v>11</v>
      </c>
      <c r="G1981" s="12">
        <v>15.18</v>
      </c>
      <c r="H1981" s="12">
        <v>19.37</v>
      </c>
      <c r="I1981" s="13">
        <f t="shared" ref="I1981:I1988" si="168">F1981*G1981</f>
        <v>166.98</v>
      </c>
      <c r="J1981" s="13">
        <f t="shared" ref="J1981:J1988" si="169">F1981*H1981</f>
        <v>213.07000000000002</v>
      </c>
    </row>
    <row r="1982" spans="1:10" s="1" customFormat="1" ht="25.5" customHeight="1" x14ac:dyDescent="0.2">
      <c r="A1982" s="10">
        <v>20150</v>
      </c>
      <c r="B1982" s="21">
        <v>43892</v>
      </c>
      <c r="C1982" s="806" t="s">
        <v>732</v>
      </c>
      <c r="D1982" s="807"/>
      <c r="E1982" s="11" t="s">
        <v>102</v>
      </c>
      <c r="F1982" s="12">
        <v>18</v>
      </c>
      <c r="G1982" s="12">
        <v>11.04</v>
      </c>
      <c r="H1982" s="12">
        <v>14.09</v>
      </c>
      <c r="I1982" s="13">
        <f t="shared" si="168"/>
        <v>198.71999999999997</v>
      </c>
      <c r="J1982" s="13">
        <f t="shared" si="169"/>
        <v>253.62</v>
      </c>
    </row>
    <row r="1983" spans="1:10" s="1" customFormat="1" ht="25.5" customHeight="1" x14ac:dyDescent="0.2">
      <c r="A1983" s="10">
        <v>20149</v>
      </c>
      <c r="B1983" s="21">
        <v>43893</v>
      </c>
      <c r="C1983" s="806" t="s">
        <v>733</v>
      </c>
      <c r="D1983" s="807"/>
      <c r="E1983" s="11" t="s">
        <v>102</v>
      </c>
      <c r="F1983" s="12">
        <v>13</v>
      </c>
      <c r="G1983" s="12">
        <v>4.2</v>
      </c>
      <c r="H1983" s="12">
        <v>5.36</v>
      </c>
      <c r="I1983" s="13">
        <f t="shared" si="168"/>
        <v>54.6</v>
      </c>
      <c r="J1983" s="13">
        <f t="shared" si="169"/>
        <v>69.680000000000007</v>
      </c>
    </row>
    <row r="1984" spans="1:10" s="1" customFormat="1" ht="25.5" customHeight="1" x14ac:dyDescent="0.2">
      <c r="A1984" s="10">
        <v>20148</v>
      </c>
      <c r="B1984" s="21">
        <v>43894</v>
      </c>
      <c r="C1984" s="806" t="s">
        <v>734</v>
      </c>
      <c r="D1984" s="807"/>
      <c r="E1984" s="11" t="s">
        <v>102</v>
      </c>
      <c r="F1984" s="12">
        <v>33</v>
      </c>
      <c r="G1984" s="12">
        <v>2.79</v>
      </c>
      <c r="H1984" s="12">
        <v>3.56</v>
      </c>
      <c r="I1984" s="13">
        <f t="shared" si="168"/>
        <v>92.070000000000007</v>
      </c>
      <c r="J1984" s="13">
        <f t="shared" si="169"/>
        <v>117.48</v>
      </c>
    </row>
    <row r="1985" spans="1:10" s="1" customFormat="1" ht="25.5" customHeight="1" x14ac:dyDescent="0.2">
      <c r="A1985" s="10">
        <v>20157</v>
      </c>
      <c r="B1985" s="21">
        <v>43895</v>
      </c>
      <c r="C1985" s="806" t="s">
        <v>735</v>
      </c>
      <c r="D1985" s="807"/>
      <c r="E1985" s="11" t="s">
        <v>102</v>
      </c>
      <c r="F1985" s="12">
        <v>23</v>
      </c>
      <c r="G1985" s="12">
        <v>18.87</v>
      </c>
      <c r="H1985" s="12">
        <v>24.08</v>
      </c>
      <c r="I1985" s="13">
        <f t="shared" si="168"/>
        <v>434.01000000000005</v>
      </c>
      <c r="J1985" s="13">
        <f t="shared" si="169"/>
        <v>553.83999999999992</v>
      </c>
    </row>
    <row r="1986" spans="1:10" s="1" customFormat="1" ht="25.5" customHeight="1" x14ac:dyDescent="0.2">
      <c r="A1986" s="10">
        <v>20156</v>
      </c>
      <c r="B1986" s="21">
        <v>43896</v>
      </c>
      <c r="C1986" s="806" t="s">
        <v>736</v>
      </c>
      <c r="D1986" s="807"/>
      <c r="E1986" s="11" t="s">
        <v>102</v>
      </c>
      <c r="F1986" s="12">
        <v>7</v>
      </c>
      <c r="G1986" s="12">
        <v>11.44</v>
      </c>
      <c r="H1986" s="12">
        <v>14.6</v>
      </c>
      <c r="I1986" s="13">
        <f t="shared" si="168"/>
        <v>80.08</v>
      </c>
      <c r="J1986" s="13">
        <f t="shared" si="169"/>
        <v>102.2</v>
      </c>
    </row>
    <row r="1987" spans="1:10" s="1" customFormat="1" ht="25.5" customHeight="1" x14ac:dyDescent="0.2">
      <c r="A1987" s="10">
        <v>20155</v>
      </c>
      <c r="B1987" s="21">
        <v>43897</v>
      </c>
      <c r="C1987" s="806" t="s">
        <v>737</v>
      </c>
      <c r="D1987" s="807"/>
      <c r="E1987" s="11" t="s">
        <v>102</v>
      </c>
      <c r="F1987" s="12">
        <v>80</v>
      </c>
      <c r="G1987" s="12">
        <v>4.8099999999999996</v>
      </c>
      <c r="H1987" s="12">
        <v>6.14</v>
      </c>
      <c r="I1987" s="13">
        <f t="shared" si="168"/>
        <v>384.79999999999995</v>
      </c>
      <c r="J1987" s="13">
        <f t="shared" si="169"/>
        <v>491.2</v>
      </c>
    </row>
    <row r="1988" spans="1:10" s="1" customFormat="1" ht="25.5" customHeight="1" x14ac:dyDescent="0.2">
      <c r="A1988" s="10">
        <v>20154</v>
      </c>
      <c r="B1988" s="21">
        <v>43898</v>
      </c>
      <c r="C1988" s="806" t="s">
        <v>738</v>
      </c>
      <c r="D1988" s="807"/>
      <c r="E1988" s="11" t="s">
        <v>102</v>
      </c>
      <c r="F1988" s="12">
        <v>69</v>
      </c>
      <c r="G1988" s="12">
        <v>3.07</v>
      </c>
      <c r="H1988" s="12">
        <v>3.92</v>
      </c>
      <c r="I1988" s="13">
        <f t="shared" si="168"/>
        <v>211.82999999999998</v>
      </c>
      <c r="J1988" s="13">
        <f t="shared" si="169"/>
        <v>270.48</v>
      </c>
    </row>
    <row r="1989" spans="1:10" s="1" customFormat="1" ht="25.5" customHeight="1" x14ac:dyDescent="0.2">
      <c r="A1989" s="8"/>
      <c r="B1989" s="9" t="s">
        <v>739</v>
      </c>
      <c r="C1989" s="808" t="s">
        <v>740</v>
      </c>
      <c r="D1989" s="809"/>
      <c r="E1989" s="8"/>
      <c r="F1989" s="8"/>
      <c r="G1989" s="8"/>
      <c r="H1989" s="8"/>
      <c r="I1989" s="8"/>
      <c r="J1989" s="8"/>
    </row>
    <row r="1990" spans="1:10" s="1" customFormat="1" ht="25.5" customHeight="1" x14ac:dyDescent="0.2">
      <c r="A1990" s="10">
        <v>20141</v>
      </c>
      <c r="B1990" s="21">
        <v>43922</v>
      </c>
      <c r="C1990" s="806" t="s">
        <v>741</v>
      </c>
      <c r="D1990" s="807"/>
      <c r="E1990" s="11" t="s">
        <v>102</v>
      </c>
      <c r="F1990" s="12">
        <v>6</v>
      </c>
      <c r="G1990" s="12">
        <v>8.65</v>
      </c>
      <c r="H1990" s="12">
        <v>11.04</v>
      </c>
      <c r="I1990" s="13">
        <f>F1990*G1990</f>
        <v>51.900000000000006</v>
      </c>
      <c r="J1990" s="13">
        <f>F1990*H1990</f>
        <v>66.239999999999995</v>
      </c>
    </row>
    <row r="1991" spans="1:10" s="1" customFormat="1" ht="25.5" customHeight="1" x14ac:dyDescent="0.2">
      <c r="A1991" s="10">
        <v>20140</v>
      </c>
      <c r="B1991" s="21">
        <v>43923</v>
      </c>
      <c r="C1991" s="806" t="s">
        <v>742</v>
      </c>
      <c r="D1991" s="807"/>
      <c r="E1991" s="11" t="s">
        <v>102</v>
      </c>
      <c r="F1991" s="12">
        <v>3</v>
      </c>
      <c r="G1991" s="12">
        <v>5.75</v>
      </c>
      <c r="H1991" s="12">
        <v>7.34</v>
      </c>
      <c r="I1991" s="13">
        <f>F1991*G1991</f>
        <v>17.25</v>
      </c>
      <c r="J1991" s="13">
        <f>F1991*H1991</f>
        <v>22.02</v>
      </c>
    </row>
    <row r="1992" spans="1:10" s="1" customFormat="1" ht="25.5" customHeight="1" x14ac:dyDescent="0.2">
      <c r="A1992" s="8"/>
      <c r="B1992" s="9" t="s">
        <v>743</v>
      </c>
      <c r="C1992" s="808" t="s">
        <v>641</v>
      </c>
      <c r="D1992" s="809"/>
      <c r="E1992" s="8"/>
      <c r="F1992" s="8"/>
      <c r="G1992" s="8"/>
      <c r="H1992" s="8"/>
      <c r="I1992" s="8"/>
      <c r="J1992" s="8"/>
    </row>
    <row r="1993" spans="1:10" s="1" customFormat="1" ht="25.5" customHeight="1" x14ac:dyDescent="0.2">
      <c r="A1993" s="19">
        <v>20171</v>
      </c>
      <c r="B1993" s="21">
        <v>43952</v>
      </c>
      <c r="C1993" s="806" t="s">
        <v>744</v>
      </c>
      <c r="D1993" s="807"/>
      <c r="E1993" s="11" t="s">
        <v>102</v>
      </c>
      <c r="F1993" s="12">
        <v>13</v>
      </c>
      <c r="G1993" s="12">
        <v>25.8</v>
      </c>
      <c r="H1993" s="12">
        <v>32.92</v>
      </c>
      <c r="I1993" s="13">
        <f>F1993*G1993</f>
        <v>335.40000000000003</v>
      </c>
      <c r="J1993" s="13">
        <f>F1993*H1993</f>
        <v>427.96000000000004</v>
      </c>
    </row>
    <row r="1994" spans="1:10" s="1" customFormat="1" ht="25.5" customHeight="1" x14ac:dyDescent="0.2">
      <c r="A1994" s="19">
        <v>20170</v>
      </c>
      <c r="B1994" s="21">
        <v>43953</v>
      </c>
      <c r="C1994" s="806" t="s">
        <v>745</v>
      </c>
      <c r="D1994" s="807"/>
      <c r="E1994" s="11" t="s">
        <v>102</v>
      </c>
      <c r="F1994" s="12">
        <v>7</v>
      </c>
      <c r="G1994" s="12">
        <v>8.23</v>
      </c>
      <c r="H1994" s="12">
        <v>10.5</v>
      </c>
      <c r="I1994" s="13">
        <f>F1994*G1994</f>
        <v>57.61</v>
      </c>
      <c r="J1994" s="13">
        <f>F1994*H1994</f>
        <v>73.5</v>
      </c>
    </row>
    <row r="1995" spans="1:10" s="1" customFormat="1" ht="25.5" customHeight="1" x14ac:dyDescent="0.2">
      <c r="A1995" s="19">
        <v>20169</v>
      </c>
      <c r="B1995" s="21">
        <v>43954</v>
      </c>
      <c r="C1995" s="806" t="s">
        <v>746</v>
      </c>
      <c r="D1995" s="807"/>
      <c r="E1995" s="11" t="s">
        <v>102</v>
      </c>
      <c r="F1995" s="12">
        <v>8</v>
      </c>
      <c r="G1995" s="12">
        <v>6.79</v>
      </c>
      <c r="H1995" s="12">
        <v>8.66</v>
      </c>
      <c r="I1995" s="13">
        <f>F1995*G1995</f>
        <v>54.32</v>
      </c>
      <c r="J1995" s="13">
        <f>F1995*H1995</f>
        <v>69.28</v>
      </c>
    </row>
    <row r="1996" spans="1:10" s="1" customFormat="1" ht="25.5" customHeight="1" x14ac:dyDescent="0.2">
      <c r="A1996" s="19">
        <v>20168</v>
      </c>
      <c r="B1996" s="21">
        <v>43955</v>
      </c>
      <c r="C1996" s="806" t="s">
        <v>747</v>
      </c>
      <c r="D1996" s="807"/>
      <c r="E1996" s="11" t="s">
        <v>102</v>
      </c>
      <c r="F1996" s="12">
        <v>14</v>
      </c>
      <c r="G1996" s="12">
        <v>4.83</v>
      </c>
      <c r="H1996" s="12">
        <v>6.16</v>
      </c>
      <c r="I1996" s="13">
        <f>F1996*G1996</f>
        <v>67.62</v>
      </c>
      <c r="J1996" s="13">
        <f>F1996*H1996</f>
        <v>86.240000000000009</v>
      </c>
    </row>
    <row r="1997" spans="1:10" s="1" customFormat="1" ht="25.5" customHeight="1" x14ac:dyDescent="0.2">
      <c r="A1997" s="19">
        <v>20167</v>
      </c>
      <c r="B1997" s="21">
        <v>43956</v>
      </c>
      <c r="C1997" s="806" t="s">
        <v>748</v>
      </c>
      <c r="D1997" s="807"/>
      <c r="E1997" s="11" t="s">
        <v>102</v>
      </c>
      <c r="F1997" s="12">
        <v>7</v>
      </c>
      <c r="G1997" s="12">
        <v>3.24</v>
      </c>
      <c r="H1997" s="12">
        <v>4.13</v>
      </c>
      <c r="I1997" s="13">
        <f>F1997*G1997</f>
        <v>22.68</v>
      </c>
      <c r="J1997" s="13">
        <f>F1997*H1997</f>
        <v>28.91</v>
      </c>
    </row>
    <row r="1998" spans="1:10" s="1" customFormat="1" ht="25.5" customHeight="1" x14ac:dyDescent="0.2">
      <c r="A1998" s="8"/>
      <c r="B1998" s="9" t="s">
        <v>749</v>
      </c>
      <c r="C1998" s="808" t="s">
        <v>750</v>
      </c>
      <c r="D1998" s="809"/>
      <c r="E1998" s="8"/>
      <c r="F1998" s="8"/>
      <c r="G1998" s="8"/>
      <c r="H1998" s="8"/>
      <c r="I1998" s="8"/>
      <c r="J1998" s="8"/>
    </row>
    <row r="1999" spans="1:10" s="1" customFormat="1" ht="25.5" customHeight="1" x14ac:dyDescent="0.2">
      <c r="A1999" s="19">
        <v>20042</v>
      </c>
      <c r="B1999" s="21">
        <v>43983</v>
      </c>
      <c r="C1999" s="806" t="s">
        <v>751</v>
      </c>
      <c r="D1999" s="807"/>
      <c r="E1999" s="11" t="s">
        <v>102</v>
      </c>
      <c r="F1999" s="12">
        <v>9</v>
      </c>
      <c r="G1999" s="12">
        <v>3.11</v>
      </c>
      <c r="H1999" s="12">
        <v>3.97</v>
      </c>
      <c r="I1999" s="13">
        <f>F1999*G1999</f>
        <v>27.99</v>
      </c>
      <c r="J1999" s="13">
        <f>F1999*H1999</f>
        <v>35.730000000000004</v>
      </c>
    </row>
    <row r="2000" spans="1:10" s="1" customFormat="1" ht="25.5" customHeight="1" x14ac:dyDescent="0.2">
      <c r="A2000" s="19">
        <v>38418</v>
      </c>
      <c r="B2000" s="21">
        <v>43984</v>
      </c>
      <c r="C2000" s="806" t="s">
        <v>752</v>
      </c>
      <c r="D2000" s="807"/>
      <c r="E2000" s="11" t="s">
        <v>102</v>
      </c>
      <c r="F2000" s="12">
        <v>2</v>
      </c>
      <c r="G2000" s="12">
        <v>3.14</v>
      </c>
      <c r="H2000" s="12">
        <v>4.01</v>
      </c>
      <c r="I2000" s="13">
        <f>F2000*G2000</f>
        <v>6.28</v>
      </c>
      <c r="J2000" s="13">
        <f>F2000*H2000</f>
        <v>8.02</v>
      </c>
    </row>
    <row r="2001" spans="1:10" s="1" customFormat="1" ht="25.5" customHeight="1" x14ac:dyDescent="0.2">
      <c r="A2001" s="8"/>
      <c r="B2001" s="9" t="s">
        <v>753</v>
      </c>
      <c r="C2001" s="808" t="s">
        <v>754</v>
      </c>
      <c r="D2001" s="809"/>
      <c r="E2001" s="8"/>
      <c r="F2001" s="8"/>
      <c r="G2001" s="8"/>
      <c r="H2001" s="8"/>
      <c r="I2001" s="8"/>
      <c r="J2001" s="8"/>
    </row>
    <row r="2002" spans="1:10" s="1" customFormat="1" ht="25.5" customHeight="1" x14ac:dyDescent="0.2">
      <c r="A2002" s="19">
        <v>89834</v>
      </c>
      <c r="B2002" s="21">
        <v>44013</v>
      </c>
      <c r="C2002" s="806" t="s">
        <v>755</v>
      </c>
      <c r="D2002" s="807"/>
      <c r="E2002" s="11" t="s">
        <v>102</v>
      </c>
      <c r="F2002" s="12">
        <v>23</v>
      </c>
      <c r="G2002" s="12">
        <v>26.88</v>
      </c>
      <c r="H2002" s="12">
        <v>34.299999999999997</v>
      </c>
      <c r="I2002" s="13">
        <f>F2002*G2002</f>
        <v>618.24</v>
      </c>
      <c r="J2002" s="13">
        <f>F2002*H2002</f>
        <v>788.9</v>
      </c>
    </row>
    <row r="2003" spans="1:10" s="1" customFormat="1" ht="25.5" customHeight="1" x14ac:dyDescent="0.2">
      <c r="A2003" s="8"/>
      <c r="B2003" s="9" t="s">
        <v>756</v>
      </c>
      <c r="C2003" s="808" t="s">
        <v>757</v>
      </c>
      <c r="D2003" s="809"/>
      <c r="E2003" s="8"/>
      <c r="F2003" s="8"/>
      <c r="G2003" s="8"/>
      <c r="H2003" s="8"/>
      <c r="I2003" s="8"/>
      <c r="J2003" s="8"/>
    </row>
    <row r="2004" spans="1:10" s="1" customFormat="1" ht="25.5" customHeight="1" x14ac:dyDescent="0.2">
      <c r="A2004" s="19">
        <v>6138</v>
      </c>
      <c r="B2004" s="21">
        <v>44044</v>
      </c>
      <c r="C2004" s="806" t="s">
        <v>758</v>
      </c>
      <c r="D2004" s="807"/>
      <c r="E2004" s="11" t="s">
        <v>102</v>
      </c>
      <c r="F2004" s="12">
        <v>23</v>
      </c>
      <c r="G2004" s="12">
        <v>1.66</v>
      </c>
      <c r="H2004" s="12">
        <v>2.12</v>
      </c>
      <c r="I2004" s="13">
        <f>F2004*G2004</f>
        <v>38.18</v>
      </c>
      <c r="J2004" s="13">
        <f>F2004*H2004</f>
        <v>48.760000000000005</v>
      </c>
    </row>
    <row r="2005" spans="1:10" s="1" customFormat="1" ht="25.5" customHeight="1" x14ac:dyDescent="0.2">
      <c r="A2005" s="8"/>
      <c r="B2005" s="9" t="s">
        <v>759</v>
      </c>
      <c r="C2005" s="808" t="s">
        <v>760</v>
      </c>
      <c r="D2005" s="809"/>
      <c r="E2005" s="8"/>
      <c r="F2005" s="8"/>
      <c r="G2005" s="8"/>
      <c r="H2005" s="8"/>
      <c r="I2005" s="8"/>
      <c r="J2005" s="8"/>
    </row>
    <row r="2006" spans="1:10" s="1" customFormat="1" ht="25.5" customHeight="1" x14ac:dyDescent="0.2">
      <c r="A2006" s="24">
        <v>84</v>
      </c>
      <c r="B2006" s="21">
        <v>44075</v>
      </c>
      <c r="C2006" s="806" t="s">
        <v>761</v>
      </c>
      <c r="D2006" s="807"/>
      <c r="E2006" s="11" t="s">
        <v>102</v>
      </c>
      <c r="F2006" s="12">
        <v>17</v>
      </c>
      <c r="G2006" s="12">
        <v>1.34</v>
      </c>
      <c r="H2006" s="12">
        <v>1.71</v>
      </c>
      <c r="I2006" s="13">
        <f>F2006*G2006</f>
        <v>22.78</v>
      </c>
      <c r="J2006" s="13">
        <f>F2006*H2006</f>
        <v>29.07</v>
      </c>
    </row>
    <row r="2007" spans="1:10" s="1" customFormat="1" ht="25.5" customHeight="1" x14ac:dyDescent="0.2">
      <c r="A2007" s="8"/>
      <c r="B2007" s="9" t="s">
        <v>762</v>
      </c>
      <c r="C2007" s="808" t="s">
        <v>450</v>
      </c>
      <c r="D2007" s="809"/>
      <c r="E2007" s="8"/>
      <c r="F2007" s="8"/>
      <c r="G2007" s="8"/>
      <c r="H2007" s="8"/>
      <c r="I2007" s="8"/>
      <c r="J2007" s="8"/>
    </row>
    <row r="2008" spans="1:10" s="1" customFormat="1" ht="25.5" customHeight="1" x14ac:dyDescent="0.2">
      <c r="A2008" s="19">
        <v>20178</v>
      </c>
      <c r="B2008" s="25">
        <v>44105</v>
      </c>
      <c r="C2008" s="806" t="s">
        <v>763</v>
      </c>
      <c r="D2008" s="807"/>
      <c r="E2008" s="11" t="s">
        <v>102</v>
      </c>
      <c r="F2008" s="12">
        <v>23</v>
      </c>
      <c r="G2008" s="12">
        <v>21.6</v>
      </c>
      <c r="H2008" s="12">
        <v>27.56</v>
      </c>
      <c r="I2008" s="13">
        <f>F2008*G2008</f>
        <v>496.8</v>
      </c>
      <c r="J2008" s="13">
        <f>F2008*H2008</f>
        <v>633.88</v>
      </c>
    </row>
    <row r="2009" spans="1:10" s="1" customFormat="1" ht="25.5" customHeight="1" x14ac:dyDescent="0.2">
      <c r="A2009" s="22" t="s">
        <v>308</v>
      </c>
      <c r="B2009" s="25">
        <v>44106</v>
      </c>
      <c r="C2009" s="806" t="s">
        <v>764</v>
      </c>
      <c r="D2009" s="807"/>
      <c r="E2009" s="11" t="s">
        <v>102</v>
      </c>
      <c r="F2009" s="12">
        <v>21</v>
      </c>
      <c r="G2009" s="12">
        <v>15.9</v>
      </c>
      <c r="H2009" s="12">
        <v>20.29</v>
      </c>
      <c r="I2009" s="13">
        <f>F2009*G2009</f>
        <v>333.90000000000003</v>
      </c>
      <c r="J2009" s="13">
        <f>F2009*H2009</f>
        <v>426.09</v>
      </c>
    </row>
    <row r="2010" spans="1:10" s="1" customFormat="1" ht="25.5" customHeight="1" x14ac:dyDescent="0.2">
      <c r="A2010" s="19">
        <v>20179</v>
      </c>
      <c r="B2010" s="25">
        <v>44107</v>
      </c>
      <c r="C2010" s="806" t="s">
        <v>765</v>
      </c>
      <c r="D2010" s="807"/>
      <c r="E2010" s="11" t="s">
        <v>102</v>
      </c>
      <c r="F2010" s="12">
        <v>2</v>
      </c>
      <c r="G2010" s="12">
        <v>29.74</v>
      </c>
      <c r="H2010" s="12">
        <v>37.950000000000003</v>
      </c>
      <c r="I2010" s="13">
        <f>F2010*G2010</f>
        <v>59.48</v>
      </c>
      <c r="J2010" s="13">
        <f>F2010*H2010</f>
        <v>75.900000000000006</v>
      </c>
    </row>
    <row r="2011" spans="1:10" s="1" customFormat="1" ht="25.5" customHeight="1" x14ac:dyDescent="0.2">
      <c r="A2011" s="19">
        <v>20177</v>
      </c>
      <c r="B2011" s="25">
        <v>44108</v>
      </c>
      <c r="C2011" s="806" t="s">
        <v>766</v>
      </c>
      <c r="D2011" s="807"/>
      <c r="E2011" s="11" t="s">
        <v>102</v>
      </c>
      <c r="F2011" s="12">
        <v>4</v>
      </c>
      <c r="G2011" s="12">
        <v>17.09</v>
      </c>
      <c r="H2011" s="12">
        <v>21.81</v>
      </c>
      <c r="I2011" s="13">
        <f>F2011*G2011</f>
        <v>68.36</v>
      </c>
      <c r="J2011" s="13">
        <f>F2011*H2011</f>
        <v>87.24</v>
      </c>
    </row>
    <row r="2012" spans="1:10" s="1" customFormat="1" ht="25.5" customHeight="1" x14ac:dyDescent="0.2">
      <c r="A2012" s="19">
        <v>7097</v>
      </c>
      <c r="B2012" s="25">
        <v>44109</v>
      </c>
      <c r="C2012" s="806" t="s">
        <v>767</v>
      </c>
      <c r="D2012" s="807"/>
      <c r="E2012" s="11" t="s">
        <v>102</v>
      </c>
      <c r="F2012" s="12">
        <v>50</v>
      </c>
      <c r="G2012" s="12">
        <v>5.2</v>
      </c>
      <c r="H2012" s="12">
        <v>6.63</v>
      </c>
      <c r="I2012" s="13">
        <f>F2012*G2012</f>
        <v>260</v>
      </c>
      <c r="J2012" s="13">
        <f>F2012*H2012</f>
        <v>331.5</v>
      </c>
    </row>
    <row r="2013" spans="1:10" s="1" customFormat="1" ht="25.5" customHeight="1" x14ac:dyDescent="0.2">
      <c r="A2013" s="8"/>
      <c r="B2013" s="9" t="s">
        <v>768</v>
      </c>
      <c r="C2013" s="808" t="s">
        <v>684</v>
      </c>
      <c r="D2013" s="809"/>
      <c r="E2013" s="8"/>
      <c r="F2013" s="8"/>
      <c r="G2013" s="8"/>
      <c r="H2013" s="8"/>
      <c r="I2013" s="8"/>
      <c r="J2013" s="8"/>
    </row>
    <row r="2014" spans="1:10" s="1" customFormat="1" ht="25.5" customHeight="1" x14ac:dyDescent="0.2">
      <c r="A2014" s="8"/>
      <c r="B2014" s="26">
        <v>44136</v>
      </c>
      <c r="C2014" s="808" t="s">
        <v>769</v>
      </c>
      <c r="D2014" s="809"/>
      <c r="E2014" s="8"/>
      <c r="F2014" s="8"/>
      <c r="G2014" s="8"/>
      <c r="H2014" s="8"/>
      <c r="I2014" s="8"/>
      <c r="J2014" s="8"/>
    </row>
    <row r="2015" spans="1:10" s="1" customFormat="1" ht="25.5" customHeight="1" x14ac:dyDescent="0.2">
      <c r="A2015" s="19">
        <v>11880</v>
      </c>
      <c r="B2015" s="11" t="s">
        <v>770</v>
      </c>
      <c r="C2015" s="806" t="s">
        <v>771</v>
      </c>
      <c r="D2015" s="807"/>
      <c r="E2015" s="11" t="s">
        <v>102</v>
      </c>
      <c r="F2015" s="12">
        <v>4</v>
      </c>
      <c r="G2015" s="12">
        <v>68.53</v>
      </c>
      <c r="H2015" s="12">
        <v>87.44</v>
      </c>
      <c r="I2015" s="13">
        <f>F2015*G2015</f>
        <v>274.12</v>
      </c>
      <c r="J2015" s="13">
        <f>F2015*H2015</f>
        <v>349.76</v>
      </c>
    </row>
    <row r="2016" spans="1:10" s="1" customFormat="1" ht="25.5" customHeight="1" x14ac:dyDescent="0.2">
      <c r="A2016" s="19">
        <v>89491</v>
      </c>
      <c r="B2016" s="11" t="s">
        <v>772</v>
      </c>
      <c r="C2016" s="806" t="s">
        <v>773</v>
      </c>
      <c r="D2016" s="807"/>
      <c r="E2016" s="11" t="s">
        <v>102</v>
      </c>
      <c r="F2016" s="12">
        <v>18</v>
      </c>
      <c r="G2016" s="12">
        <v>44.44</v>
      </c>
      <c r="H2016" s="12">
        <v>56.7</v>
      </c>
      <c r="I2016" s="13">
        <f>F2016*G2016</f>
        <v>799.92</v>
      </c>
      <c r="J2016" s="13">
        <f>F2016*H2016</f>
        <v>1020.6</v>
      </c>
    </row>
    <row r="2017" spans="1:10" s="1" customFormat="1" ht="25.5" customHeight="1" x14ac:dyDescent="0.2">
      <c r="A2017" s="8"/>
      <c r="B2017" s="26">
        <v>44137</v>
      </c>
      <c r="C2017" s="808" t="s">
        <v>774</v>
      </c>
      <c r="D2017" s="809"/>
      <c r="E2017" s="8"/>
      <c r="F2017" s="8"/>
      <c r="G2017" s="8"/>
      <c r="H2017" s="8"/>
      <c r="I2017" s="8"/>
      <c r="J2017" s="12">
        <v>0</v>
      </c>
    </row>
    <row r="2018" spans="1:10" s="1" customFormat="1" ht="25.5" customHeight="1" x14ac:dyDescent="0.2">
      <c r="A2018" s="19">
        <v>11716</v>
      </c>
      <c r="B2018" s="11" t="s">
        <v>775</v>
      </c>
      <c r="C2018" s="806" t="s">
        <v>776</v>
      </c>
      <c r="D2018" s="807"/>
      <c r="E2018" s="11" t="s">
        <v>102</v>
      </c>
      <c r="F2018" s="12">
        <v>6</v>
      </c>
      <c r="G2018" s="12">
        <v>10.38</v>
      </c>
      <c r="H2018" s="12">
        <v>13.24</v>
      </c>
      <c r="I2018" s="13">
        <f>F2018*G2018</f>
        <v>62.28</v>
      </c>
      <c r="J2018" s="13">
        <f>F2018*H2018</f>
        <v>79.44</v>
      </c>
    </row>
    <row r="2019" spans="1:10" s="1" customFormat="1" ht="25.5" customHeight="1" x14ac:dyDescent="0.2">
      <c r="A2019" s="8"/>
      <c r="B2019" s="26">
        <v>44138</v>
      </c>
      <c r="C2019" s="808" t="s">
        <v>711</v>
      </c>
      <c r="D2019" s="809"/>
      <c r="E2019" s="8"/>
      <c r="F2019" s="8"/>
      <c r="G2019" s="8"/>
      <c r="H2019" s="8"/>
      <c r="I2019" s="8"/>
      <c r="J2019" s="8"/>
    </row>
    <row r="2020" spans="1:10" s="1" customFormat="1" ht="25.5" customHeight="1" x14ac:dyDescent="0.2">
      <c r="A2020" s="22" t="s">
        <v>308</v>
      </c>
      <c r="B2020" s="11" t="s">
        <v>777</v>
      </c>
      <c r="C2020" s="806" t="s">
        <v>778</v>
      </c>
      <c r="D2020" s="807"/>
      <c r="E2020" s="11" t="s">
        <v>102</v>
      </c>
      <c r="F2020" s="12">
        <v>13</v>
      </c>
      <c r="G2020" s="12">
        <v>24.15</v>
      </c>
      <c r="H2020" s="12">
        <v>30.81</v>
      </c>
      <c r="I2020" s="13">
        <f t="shared" ref="I2020:I2030" si="170">F2020*G2020</f>
        <v>313.95</v>
      </c>
      <c r="J2020" s="13">
        <f t="shared" ref="J2020:J2030" si="171">F2020*H2020</f>
        <v>400.53</v>
      </c>
    </row>
    <row r="2021" spans="1:10" s="1" customFormat="1" ht="25.5" customHeight="1" x14ac:dyDescent="0.2">
      <c r="A2021" s="22" t="s">
        <v>308</v>
      </c>
      <c r="B2021" s="11" t="s">
        <v>779</v>
      </c>
      <c r="C2021" s="806" t="s">
        <v>780</v>
      </c>
      <c r="D2021" s="807"/>
      <c r="E2021" s="11" t="s">
        <v>102</v>
      </c>
      <c r="F2021" s="12">
        <v>2</v>
      </c>
      <c r="G2021" s="12">
        <v>11.66</v>
      </c>
      <c r="H2021" s="12">
        <v>14.88</v>
      </c>
      <c r="I2021" s="13">
        <f t="shared" si="170"/>
        <v>23.32</v>
      </c>
      <c r="J2021" s="13">
        <f t="shared" si="171"/>
        <v>29.76</v>
      </c>
    </row>
    <row r="2022" spans="1:10" s="1" customFormat="1" ht="25.5" customHeight="1" x14ac:dyDescent="0.2">
      <c r="A2022" s="22" t="s">
        <v>308</v>
      </c>
      <c r="B2022" s="11" t="s">
        <v>781</v>
      </c>
      <c r="C2022" s="806" t="s">
        <v>782</v>
      </c>
      <c r="D2022" s="807"/>
      <c r="E2022" s="11" t="s">
        <v>102</v>
      </c>
      <c r="F2022" s="12">
        <v>5</v>
      </c>
      <c r="G2022" s="12">
        <v>16.05</v>
      </c>
      <c r="H2022" s="12">
        <v>20.48</v>
      </c>
      <c r="I2022" s="13">
        <f t="shared" si="170"/>
        <v>80.25</v>
      </c>
      <c r="J2022" s="13">
        <f t="shared" si="171"/>
        <v>102.4</v>
      </c>
    </row>
    <row r="2023" spans="1:10" s="1" customFormat="1" ht="25.5" customHeight="1" x14ac:dyDescent="0.2">
      <c r="A2023" s="22" t="s">
        <v>308</v>
      </c>
      <c r="B2023" s="11" t="s">
        <v>783</v>
      </c>
      <c r="C2023" s="806" t="s">
        <v>784</v>
      </c>
      <c r="D2023" s="807"/>
      <c r="E2023" s="11" t="s">
        <v>102</v>
      </c>
      <c r="F2023" s="12">
        <v>4</v>
      </c>
      <c r="G2023" s="12">
        <v>9.69</v>
      </c>
      <c r="H2023" s="12">
        <v>12.36</v>
      </c>
      <c r="I2023" s="13">
        <f t="shared" si="170"/>
        <v>38.76</v>
      </c>
      <c r="J2023" s="13">
        <f t="shared" si="171"/>
        <v>49.44</v>
      </c>
    </row>
    <row r="2024" spans="1:10" s="1" customFormat="1" ht="25.5" customHeight="1" x14ac:dyDescent="0.2">
      <c r="A2024" s="22" t="s">
        <v>308</v>
      </c>
      <c r="B2024" s="11" t="s">
        <v>785</v>
      </c>
      <c r="C2024" s="806" t="s">
        <v>786</v>
      </c>
      <c r="D2024" s="807"/>
      <c r="E2024" s="11" t="s">
        <v>102</v>
      </c>
      <c r="F2024" s="12">
        <v>8</v>
      </c>
      <c r="G2024" s="12">
        <v>128.66</v>
      </c>
      <c r="H2024" s="12">
        <v>164.16</v>
      </c>
      <c r="I2024" s="13">
        <f t="shared" si="170"/>
        <v>1029.28</v>
      </c>
      <c r="J2024" s="13">
        <f t="shared" si="171"/>
        <v>1313.28</v>
      </c>
    </row>
    <row r="2025" spans="1:10" s="1" customFormat="1" ht="25.5" customHeight="1" x14ac:dyDescent="0.2">
      <c r="A2025" s="22" t="s">
        <v>308</v>
      </c>
      <c r="B2025" s="11" t="s">
        <v>787</v>
      </c>
      <c r="C2025" s="806" t="s">
        <v>788</v>
      </c>
      <c r="D2025" s="807"/>
      <c r="E2025" s="11" t="s">
        <v>102</v>
      </c>
      <c r="F2025" s="12">
        <v>40</v>
      </c>
      <c r="G2025" s="12">
        <v>61.54</v>
      </c>
      <c r="H2025" s="12">
        <v>78.52</v>
      </c>
      <c r="I2025" s="13">
        <f t="shared" si="170"/>
        <v>2461.6</v>
      </c>
      <c r="J2025" s="13">
        <f t="shared" si="171"/>
        <v>3140.7999999999997</v>
      </c>
    </row>
    <row r="2026" spans="1:10" s="1" customFormat="1" ht="25.5" customHeight="1" x14ac:dyDescent="0.2">
      <c r="A2026" s="22" t="s">
        <v>308</v>
      </c>
      <c r="B2026" s="11" t="s">
        <v>789</v>
      </c>
      <c r="C2026" s="806" t="s">
        <v>790</v>
      </c>
      <c r="D2026" s="807"/>
      <c r="E2026" s="11" t="s">
        <v>102</v>
      </c>
      <c r="F2026" s="12">
        <v>1</v>
      </c>
      <c r="G2026" s="12">
        <v>23.8</v>
      </c>
      <c r="H2026" s="12">
        <v>30.37</v>
      </c>
      <c r="I2026" s="13">
        <f t="shared" si="170"/>
        <v>23.8</v>
      </c>
      <c r="J2026" s="13">
        <f t="shared" si="171"/>
        <v>30.37</v>
      </c>
    </row>
    <row r="2027" spans="1:10" s="1" customFormat="1" ht="25.5" customHeight="1" x14ac:dyDescent="0.2">
      <c r="A2027" s="22" t="s">
        <v>308</v>
      </c>
      <c r="B2027" s="11" t="s">
        <v>791</v>
      </c>
      <c r="C2027" s="806" t="s">
        <v>792</v>
      </c>
      <c r="D2027" s="807"/>
      <c r="E2027" s="11" t="s">
        <v>102</v>
      </c>
      <c r="F2027" s="12">
        <v>4</v>
      </c>
      <c r="G2027" s="12">
        <v>39.9</v>
      </c>
      <c r="H2027" s="12">
        <v>50.91</v>
      </c>
      <c r="I2027" s="13">
        <f t="shared" si="170"/>
        <v>159.6</v>
      </c>
      <c r="J2027" s="13">
        <f t="shared" si="171"/>
        <v>203.64</v>
      </c>
    </row>
    <row r="2028" spans="1:10" s="1" customFormat="1" ht="25.5" customHeight="1" x14ac:dyDescent="0.2">
      <c r="A2028" s="22" t="s">
        <v>308</v>
      </c>
      <c r="B2028" s="11" t="s">
        <v>793</v>
      </c>
      <c r="C2028" s="806" t="s">
        <v>794</v>
      </c>
      <c r="D2028" s="807"/>
      <c r="E2028" s="11" t="s">
        <v>102</v>
      </c>
      <c r="F2028" s="12">
        <v>4</v>
      </c>
      <c r="G2028" s="12">
        <v>12.92</v>
      </c>
      <c r="H2028" s="12">
        <v>16.48</v>
      </c>
      <c r="I2028" s="13">
        <f t="shared" si="170"/>
        <v>51.68</v>
      </c>
      <c r="J2028" s="13">
        <f t="shared" si="171"/>
        <v>65.92</v>
      </c>
    </row>
    <row r="2029" spans="1:10" s="1" customFormat="1" ht="25.5" customHeight="1" x14ac:dyDescent="0.2">
      <c r="A2029" s="22" t="s">
        <v>308</v>
      </c>
      <c r="B2029" s="11" t="s">
        <v>795</v>
      </c>
      <c r="C2029" s="806" t="s">
        <v>796</v>
      </c>
      <c r="D2029" s="807"/>
      <c r="E2029" s="11" t="s">
        <v>102</v>
      </c>
      <c r="F2029" s="12">
        <v>18</v>
      </c>
      <c r="G2029" s="12">
        <v>3.73</v>
      </c>
      <c r="H2029" s="12">
        <v>4.76</v>
      </c>
      <c r="I2029" s="13">
        <f t="shared" si="170"/>
        <v>67.14</v>
      </c>
      <c r="J2029" s="13">
        <f t="shared" si="171"/>
        <v>85.679999999999993</v>
      </c>
    </row>
    <row r="2030" spans="1:10" s="1" customFormat="1" ht="25.5" customHeight="1" x14ac:dyDescent="0.2">
      <c r="A2030" s="22" t="s">
        <v>308</v>
      </c>
      <c r="B2030" s="11" t="s">
        <v>797</v>
      </c>
      <c r="C2030" s="806" t="s">
        <v>798</v>
      </c>
      <c r="D2030" s="807"/>
      <c r="E2030" s="11" t="s">
        <v>102</v>
      </c>
      <c r="F2030" s="12">
        <v>6</v>
      </c>
      <c r="G2030" s="12">
        <v>3.01</v>
      </c>
      <c r="H2030" s="12">
        <v>3.84</v>
      </c>
      <c r="I2030" s="13">
        <f t="shared" si="170"/>
        <v>18.059999999999999</v>
      </c>
      <c r="J2030" s="13">
        <f t="shared" si="171"/>
        <v>23.04</v>
      </c>
    </row>
    <row r="2031" spans="1:10" s="1" customFormat="1" ht="25.5" customHeight="1" x14ac:dyDescent="0.2">
      <c r="A2031" s="8"/>
      <c r="B2031" s="26">
        <v>44139</v>
      </c>
      <c r="C2031" s="808" t="s">
        <v>799</v>
      </c>
      <c r="D2031" s="809"/>
      <c r="E2031" s="8"/>
      <c r="F2031" s="8"/>
      <c r="G2031" s="8"/>
      <c r="H2031" s="8"/>
      <c r="I2031" s="8"/>
      <c r="J2031" s="8"/>
    </row>
    <row r="2032" spans="1:10" s="1" customFormat="1" ht="25.5" customHeight="1" x14ac:dyDescent="0.2">
      <c r="A2032" s="19">
        <v>98108</v>
      </c>
      <c r="B2032" s="11" t="s">
        <v>800</v>
      </c>
      <c r="C2032" s="806" t="s">
        <v>801</v>
      </c>
      <c r="D2032" s="807"/>
      <c r="E2032" s="11" t="s">
        <v>102</v>
      </c>
      <c r="F2032" s="12">
        <v>1</v>
      </c>
      <c r="G2032" s="12">
        <v>347.61</v>
      </c>
      <c r="H2032" s="12">
        <v>443.52</v>
      </c>
      <c r="I2032" s="13">
        <f>F2032*G2032</f>
        <v>347.61</v>
      </c>
      <c r="J2032" s="13">
        <f>F2032*H2032</f>
        <v>443.52</v>
      </c>
    </row>
    <row r="2033" spans="1:10" s="1" customFormat="1" ht="25.5" customHeight="1" x14ac:dyDescent="0.2">
      <c r="A2033" s="19">
        <v>98106</v>
      </c>
      <c r="B2033" s="11" t="s">
        <v>802</v>
      </c>
      <c r="C2033" s="806" t="s">
        <v>803</v>
      </c>
      <c r="D2033" s="807"/>
      <c r="E2033" s="11" t="s">
        <v>102</v>
      </c>
      <c r="F2033" s="12">
        <v>1</v>
      </c>
      <c r="G2033" s="12">
        <v>786.65</v>
      </c>
      <c r="H2033" s="13">
        <v>1003.69</v>
      </c>
      <c r="I2033" s="13">
        <f>F2033*G2033</f>
        <v>786.65</v>
      </c>
      <c r="J2033" s="13">
        <f>F2033*H2033</f>
        <v>1003.69</v>
      </c>
    </row>
    <row r="2034" spans="1:10" s="1" customFormat="1" ht="25.5" customHeight="1" x14ac:dyDescent="0.2">
      <c r="A2034" s="22" t="s">
        <v>308</v>
      </c>
      <c r="B2034" s="11" t="s">
        <v>804</v>
      </c>
      <c r="C2034" s="806" t="s">
        <v>805</v>
      </c>
      <c r="D2034" s="807"/>
      <c r="E2034" s="11" t="s">
        <v>102</v>
      </c>
      <c r="F2034" s="12">
        <v>2</v>
      </c>
      <c r="G2034" s="12">
        <v>205.99</v>
      </c>
      <c r="H2034" s="12">
        <v>262.82</v>
      </c>
      <c r="I2034" s="13">
        <f>F2034*G2034</f>
        <v>411.98</v>
      </c>
      <c r="J2034" s="13">
        <f>F2034*H2034</f>
        <v>525.64</v>
      </c>
    </row>
    <row r="2035" spans="1:10" s="1" customFormat="1" ht="25.5" customHeight="1" x14ac:dyDescent="0.2">
      <c r="A2035" s="8"/>
      <c r="B2035" s="26">
        <v>44140</v>
      </c>
      <c r="C2035" s="808" t="s">
        <v>806</v>
      </c>
      <c r="D2035" s="809"/>
      <c r="E2035" s="8"/>
      <c r="F2035" s="8"/>
      <c r="G2035" s="8"/>
      <c r="H2035" s="8"/>
      <c r="I2035" s="8"/>
      <c r="J2035" s="8"/>
    </row>
    <row r="2036" spans="1:10" s="1" customFormat="1" ht="25.5" customHeight="1" x14ac:dyDescent="0.2">
      <c r="A2036" s="19">
        <v>39320</v>
      </c>
      <c r="B2036" s="11" t="s">
        <v>807</v>
      </c>
      <c r="C2036" s="806" t="s">
        <v>808</v>
      </c>
      <c r="D2036" s="807"/>
      <c r="E2036" s="11" t="s">
        <v>102</v>
      </c>
      <c r="F2036" s="12">
        <v>9</v>
      </c>
      <c r="G2036" s="12">
        <v>5.18</v>
      </c>
      <c r="H2036" s="12">
        <v>6.61</v>
      </c>
      <c r="I2036" s="13">
        <f>F2036*G2036</f>
        <v>46.62</v>
      </c>
      <c r="J2036" s="13">
        <f>F2036*H2036</f>
        <v>59.49</v>
      </c>
    </row>
    <row r="2037" spans="1:10" s="1" customFormat="1" ht="25.5" customHeight="1" x14ac:dyDescent="0.2">
      <c r="A2037" s="19">
        <v>39319</v>
      </c>
      <c r="B2037" s="11" t="s">
        <v>809</v>
      </c>
      <c r="C2037" s="806" t="s">
        <v>810</v>
      </c>
      <c r="D2037" s="807"/>
      <c r="E2037" s="11" t="s">
        <v>102</v>
      </c>
      <c r="F2037" s="12">
        <v>6</v>
      </c>
      <c r="G2037" s="12">
        <v>4.34</v>
      </c>
      <c r="H2037" s="12">
        <v>5.54</v>
      </c>
      <c r="I2037" s="13">
        <f>F2037*G2037</f>
        <v>26.04</v>
      </c>
      <c r="J2037" s="13">
        <f>F2037*H2037</f>
        <v>33.24</v>
      </c>
    </row>
    <row r="2038" spans="1:10" s="1" customFormat="1" ht="25.5" customHeight="1" x14ac:dyDescent="0.2">
      <c r="A2038" s="8"/>
      <c r="B2038" s="26">
        <v>44141</v>
      </c>
      <c r="C2038" s="808" t="s">
        <v>811</v>
      </c>
      <c r="D2038" s="809"/>
      <c r="E2038" s="8"/>
      <c r="F2038" s="8"/>
      <c r="G2038" s="8"/>
      <c r="H2038" s="8"/>
      <c r="I2038" s="8"/>
      <c r="J2038" s="8"/>
    </row>
    <row r="2039" spans="1:10" s="1" customFormat="1" ht="25.5" customHeight="1" x14ac:dyDescent="0.2">
      <c r="A2039" s="27" t="s">
        <v>78</v>
      </c>
      <c r="B2039" s="11" t="s">
        <v>812</v>
      </c>
      <c r="C2039" s="806" t="s">
        <v>813</v>
      </c>
      <c r="D2039" s="807"/>
      <c r="E2039" s="11" t="s">
        <v>102</v>
      </c>
      <c r="F2039" s="12">
        <v>11</v>
      </c>
      <c r="G2039" s="12">
        <v>376.56</v>
      </c>
      <c r="H2039" s="12">
        <v>480.45</v>
      </c>
      <c r="I2039" s="13">
        <f>F2039*G2039</f>
        <v>4142.16</v>
      </c>
      <c r="J2039" s="13">
        <f>F2039*H2039</f>
        <v>5284.95</v>
      </c>
    </row>
    <row r="2040" spans="1:10" s="1" customFormat="1" ht="25.5" customHeight="1" x14ac:dyDescent="0.2">
      <c r="A2040" s="22" t="s">
        <v>308</v>
      </c>
      <c r="B2040" s="11" t="s">
        <v>814</v>
      </c>
      <c r="C2040" s="806" t="s">
        <v>815</v>
      </c>
      <c r="D2040" s="807"/>
      <c r="E2040" s="11" t="s">
        <v>102</v>
      </c>
      <c r="F2040" s="12">
        <v>13</v>
      </c>
      <c r="G2040" s="12">
        <v>205.99</v>
      </c>
      <c r="H2040" s="12">
        <v>262.82</v>
      </c>
      <c r="I2040" s="13">
        <f>F2040*G2040</f>
        <v>2677.87</v>
      </c>
      <c r="J2040" s="13">
        <f>F2040*H2040</f>
        <v>3416.66</v>
      </c>
    </row>
    <row r="2041" spans="1:10" s="1" customFormat="1" ht="25.5" customHeight="1" x14ac:dyDescent="0.2">
      <c r="A2041" s="27" t="s">
        <v>78</v>
      </c>
      <c r="B2041" s="11" t="s">
        <v>816</v>
      </c>
      <c r="C2041" s="806" t="s">
        <v>817</v>
      </c>
      <c r="D2041" s="807"/>
      <c r="E2041" s="11" t="s">
        <v>102</v>
      </c>
      <c r="F2041" s="12">
        <v>2</v>
      </c>
      <c r="G2041" s="12">
        <v>472.96</v>
      </c>
      <c r="H2041" s="12">
        <v>603.45000000000005</v>
      </c>
      <c r="I2041" s="13">
        <f>F2041*G2041</f>
        <v>945.92</v>
      </c>
      <c r="J2041" s="13">
        <f>F2041*H2041</f>
        <v>1206.9000000000001</v>
      </c>
    </row>
    <row r="2042" spans="1:10" s="1" customFormat="1" ht="25.5" customHeight="1" x14ac:dyDescent="0.2">
      <c r="A2042" s="8"/>
      <c r="B2042" s="26">
        <v>44142</v>
      </c>
      <c r="C2042" s="808" t="s">
        <v>703</v>
      </c>
      <c r="D2042" s="809"/>
      <c r="E2042" s="8"/>
      <c r="F2042" s="8"/>
      <c r="G2042" s="8"/>
      <c r="H2042" s="8"/>
      <c r="I2042" s="8"/>
      <c r="J2042" s="8"/>
    </row>
    <row r="2043" spans="1:10" s="1" customFormat="1" ht="25.5" customHeight="1" x14ac:dyDescent="0.2">
      <c r="A2043" s="27" t="s">
        <v>818</v>
      </c>
      <c r="B2043" s="11" t="s">
        <v>819</v>
      </c>
      <c r="C2043" s="806" t="s">
        <v>820</v>
      </c>
      <c r="D2043" s="807"/>
      <c r="E2043" s="11" t="s">
        <v>102</v>
      </c>
      <c r="F2043" s="12">
        <v>1</v>
      </c>
      <c r="G2043" s="13">
        <v>3604.47</v>
      </c>
      <c r="H2043" s="13">
        <v>4598.9399999999996</v>
      </c>
      <c r="I2043" s="13">
        <f>F2043*G2043</f>
        <v>3604.47</v>
      </c>
      <c r="J2043" s="13">
        <f>F2043*H2043</f>
        <v>4598.9399999999996</v>
      </c>
    </row>
    <row r="2044" spans="1:10" s="1" customFormat="1" ht="25.5" customHeight="1" x14ac:dyDescent="0.2">
      <c r="A2044" s="22" t="s">
        <v>308</v>
      </c>
      <c r="B2044" s="11" t="s">
        <v>821</v>
      </c>
      <c r="C2044" s="806" t="s">
        <v>822</v>
      </c>
      <c r="D2044" s="807"/>
      <c r="E2044" s="11" t="s">
        <v>102</v>
      </c>
      <c r="F2044" s="12">
        <v>1</v>
      </c>
      <c r="G2044" s="12">
        <v>308.99</v>
      </c>
      <c r="H2044" s="12">
        <v>394.24</v>
      </c>
      <c r="I2044" s="13">
        <f>F2044*G2044</f>
        <v>308.99</v>
      </c>
      <c r="J2044" s="13">
        <f>F2044*H2044</f>
        <v>394.24</v>
      </c>
    </row>
    <row r="2045" spans="1:10" s="1" customFormat="1" ht="25.5" customHeight="1" x14ac:dyDescent="0.2">
      <c r="A2045" s="8"/>
      <c r="B2045" s="803" t="s">
        <v>823</v>
      </c>
      <c r="C2045" s="804"/>
      <c r="D2045" s="804"/>
      <c r="E2045" s="804"/>
      <c r="F2045" s="804"/>
      <c r="G2045" s="805"/>
      <c r="H2045" s="8"/>
      <c r="I2045" s="14">
        <f>SUM(I1973:I2044)</f>
        <v>41609.429999999993</v>
      </c>
      <c r="J2045" s="15">
        <f>SUM(J1973:J2044)-1</f>
        <v>53089.01999999999</v>
      </c>
    </row>
    <row r="2046" spans="1:10" s="1" customFormat="1" ht="25.5" customHeight="1" x14ac:dyDescent="0.2">
      <c r="A2046" s="8"/>
      <c r="B2046" s="46"/>
      <c r="C2046" s="821"/>
      <c r="D2046" s="822"/>
      <c r="E2046" s="8"/>
      <c r="F2046" s="8"/>
      <c r="G2046" s="8"/>
      <c r="H2046" s="8"/>
      <c r="I2046" s="8"/>
      <c r="J2046" s="8"/>
    </row>
    <row r="2047" spans="1:10" s="1" customFormat="1" ht="25.5" customHeight="1" x14ac:dyDescent="0.2">
      <c r="A2047" s="8"/>
      <c r="B2047" s="9" t="s">
        <v>824</v>
      </c>
      <c r="C2047" s="808" t="s">
        <v>825</v>
      </c>
      <c r="D2047" s="809"/>
      <c r="E2047" s="8"/>
      <c r="F2047" s="8"/>
      <c r="G2047" s="8"/>
      <c r="H2047" s="8"/>
      <c r="I2047" s="8"/>
      <c r="J2047" s="8"/>
    </row>
    <row r="2048" spans="1:10" s="1" customFormat="1" ht="25.5" customHeight="1" x14ac:dyDescent="0.2">
      <c r="A2048" s="8"/>
      <c r="B2048" s="9" t="s">
        <v>826</v>
      </c>
      <c r="C2048" s="808" t="s">
        <v>827</v>
      </c>
      <c r="D2048" s="809"/>
      <c r="E2048" s="8"/>
      <c r="F2048" s="8"/>
      <c r="G2048" s="8"/>
      <c r="H2048" s="8"/>
      <c r="I2048" s="8"/>
      <c r="J2048" s="8"/>
    </row>
    <row r="2049" spans="1:10" s="1" customFormat="1" ht="25.5" customHeight="1" x14ac:dyDescent="0.2">
      <c r="A2049" s="19">
        <v>96985</v>
      </c>
      <c r="B2049" s="21">
        <v>44197</v>
      </c>
      <c r="C2049" s="823" t="s">
        <v>863</v>
      </c>
      <c r="D2049" s="824"/>
      <c r="E2049" s="11" t="s">
        <v>102</v>
      </c>
      <c r="F2049" s="12">
        <v>3</v>
      </c>
      <c r="G2049" s="12">
        <v>38.270000000000003</v>
      </c>
      <c r="H2049" s="12">
        <v>48.83</v>
      </c>
      <c r="I2049" s="13">
        <f>F2049*G2049</f>
        <v>114.81</v>
      </c>
      <c r="J2049" s="13">
        <f>F2049*H2049</f>
        <v>146.49</v>
      </c>
    </row>
    <row r="2050" spans="1:10" s="1" customFormat="1" ht="25.5" customHeight="1" x14ac:dyDescent="0.2">
      <c r="A2050" s="19">
        <v>98111</v>
      </c>
      <c r="B2050" s="21">
        <v>44198</v>
      </c>
      <c r="C2050" s="806" t="s">
        <v>828</v>
      </c>
      <c r="D2050" s="807"/>
      <c r="E2050" s="11" t="s">
        <v>102</v>
      </c>
      <c r="F2050" s="12">
        <v>1</v>
      </c>
      <c r="G2050" s="12">
        <v>17.170000000000002</v>
      </c>
      <c r="H2050" s="12">
        <v>21.91</v>
      </c>
      <c r="I2050" s="13">
        <f>F2050*G2050</f>
        <v>17.170000000000002</v>
      </c>
      <c r="J2050" s="13">
        <f>F2050*H2050</f>
        <v>21.91</v>
      </c>
    </row>
    <row r="2051" spans="1:10" s="1" customFormat="1" ht="25.5" customHeight="1" x14ac:dyDescent="0.2">
      <c r="A2051" s="19">
        <v>39862</v>
      </c>
      <c r="B2051" s="21">
        <v>44199</v>
      </c>
      <c r="C2051" s="806" t="s">
        <v>829</v>
      </c>
      <c r="D2051" s="807"/>
      <c r="E2051" s="11" t="s">
        <v>102</v>
      </c>
      <c r="F2051" s="12">
        <v>3</v>
      </c>
      <c r="G2051" s="12">
        <v>5.62</v>
      </c>
      <c r="H2051" s="12">
        <v>7.17</v>
      </c>
      <c r="I2051" s="13">
        <f>F2051*G2051</f>
        <v>16.86</v>
      </c>
      <c r="J2051" s="13">
        <f>F2051*H2051</f>
        <v>21.509999999999998</v>
      </c>
    </row>
    <row r="2052" spans="1:10" s="1" customFormat="1" ht="25.5" customHeight="1" x14ac:dyDescent="0.2">
      <c r="A2052" s="8"/>
      <c r="B2052" s="803" t="s">
        <v>830</v>
      </c>
      <c r="C2052" s="804"/>
      <c r="D2052" s="804"/>
      <c r="E2052" s="804"/>
      <c r="F2052" s="804"/>
      <c r="G2052" s="805"/>
      <c r="H2052" s="8"/>
      <c r="I2052" s="28">
        <f>SUM(I2049:I2051)</f>
        <v>148.84000000000003</v>
      </c>
      <c r="J2052" s="28">
        <f>SUM(J2049:J2051)</f>
        <v>189.91</v>
      </c>
    </row>
    <row r="2053" spans="1:10" s="1" customFormat="1" ht="25.5" customHeight="1" x14ac:dyDescent="0.2">
      <c r="A2053" s="8"/>
      <c r="B2053" s="9" t="s">
        <v>831</v>
      </c>
      <c r="C2053" s="808" t="s">
        <v>832</v>
      </c>
      <c r="D2053" s="809"/>
      <c r="E2053" s="8"/>
      <c r="F2053" s="8"/>
      <c r="G2053" s="8"/>
      <c r="H2053" s="8"/>
      <c r="I2053" s="8"/>
      <c r="J2053" s="8"/>
    </row>
    <row r="2054" spans="1:10" s="1" customFormat="1" ht="25.5" customHeight="1" x14ac:dyDescent="0.2">
      <c r="A2054" s="19">
        <v>96974</v>
      </c>
      <c r="B2054" s="21">
        <v>44228</v>
      </c>
      <c r="C2054" s="806" t="s">
        <v>833</v>
      </c>
      <c r="D2054" s="807"/>
      <c r="E2054" s="11" t="s">
        <v>81</v>
      </c>
      <c r="F2054" s="12">
        <v>15</v>
      </c>
      <c r="G2054" s="12">
        <v>36.83</v>
      </c>
      <c r="H2054" s="12">
        <v>46.99</v>
      </c>
      <c r="I2054" s="13">
        <f>F2054*G2054</f>
        <v>552.44999999999993</v>
      </c>
      <c r="J2054" s="13">
        <f>F2054*H2054</f>
        <v>704.85</v>
      </c>
    </row>
    <row r="2055" spans="1:10" s="1" customFormat="1" ht="25.5" customHeight="1" x14ac:dyDescent="0.2">
      <c r="A2055" s="19">
        <v>96973</v>
      </c>
      <c r="B2055" s="21">
        <v>44229</v>
      </c>
      <c r="C2055" s="806" t="s">
        <v>834</v>
      </c>
      <c r="D2055" s="807"/>
      <c r="E2055" s="11" t="s">
        <v>81</v>
      </c>
      <c r="F2055" s="12">
        <v>8</v>
      </c>
      <c r="G2055" s="12">
        <v>29.32</v>
      </c>
      <c r="H2055" s="12">
        <v>37.409999999999997</v>
      </c>
      <c r="I2055" s="13">
        <f>F2055*G2055</f>
        <v>234.56</v>
      </c>
      <c r="J2055" s="13">
        <f>F2055*H2055</f>
        <v>299.27999999999997</v>
      </c>
    </row>
    <row r="2056" spans="1:10" s="1" customFormat="1" ht="25.5" customHeight="1" x14ac:dyDescent="0.2">
      <c r="A2056" s="8"/>
      <c r="B2056" s="803" t="s">
        <v>835</v>
      </c>
      <c r="C2056" s="804"/>
      <c r="D2056" s="804"/>
      <c r="E2056" s="804"/>
      <c r="F2056" s="804"/>
      <c r="G2056" s="805"/>
      <c r="H2056" s="8"/>
      <c r="I2056" s="28">
        <f>SUM(I2054:I2055)</f>
        <v>787.01</v>
      </c>
      <c r="J2056" s="18">
        <f>SUM(J2054:J2055)</f>
        <v>1004.13</v>
      </c>
    </row>
    <row r="2057" spans="1:10" s="1" customFormat="1" ht="25.5" customHeight="1" x14ac:dyDescent="0.2">
      <c r="A2057" s="8"/>
      <c r="B2057" s="9" t="s">
        <v>836</v>
      </c>
      <c r="C2057" s="808" t="s">
        <v>837</v>
      </c>
      <c r="D2057" s="809"/>
      <c r="E2057" s="8"/>
      <c r="F2057" s="8"/>
      <c r="G2057" s="8"/>
      <c r="H2057" s="8"/>
      <c r="I2057" s="8"/>
      <c r="J2057" s="8"/>
    </row>
    <row r="2058" spans="1:10" s="1" customFormat="1" ht="25.5" customHeight="1" x14ac:dyDescent="0.2">
      <c r="A2058" s="2" t="s">
        <v>838</v>
      </c>
      <c r="B2058" s="21">
        <v>44256</v>
      </c>
      <c r="C2058" s="806" t="s">
        <v>839</v>
      </c>
      <c r="D2058" s="807"/>
      <c r="E2058" s="11" t="s">
        <v>102</v>
      </c>
      <c r="F2058" s="12">
        <v>1</v>
      </c>
      <c r="G2058" s="13">
        <v>1679.04</v>
      </c>
      <c r="H2058" s="13">
        <v>2142.29</v>
      </c>
      <c r="I2058" s="13">
        <f t="shared" ref="I2058:I2063" si="172">F2058*G2058</f>
        <v>1679.04</v>
      </c>
      <c r="J2058" s="13">
        <f t="shared" ref="J2058:J2063" si="173">F2058*H2058</f>
        <v>2142.29</v>
      </c>
    </row>
    <row r="2059" spans="1:10" s="1" customFormat="1" ht="25.5" customHeight="1" x14ac:dyDescent="0.2">
      <c r="A2059" s="27" t="s">
        <v>840</v>
      </c>
      <c r="B2059" s="21">
        <v>44257</v>
      </c>
      <c r="C2059" s="806" t="s">
        <v>841</v>
      </c>
      <c r="D2059" s="807"/>
      <c r="E2059" s="11" t="s">
        <v>102</v>
      </c>
      <c r="F2059" s="12">
        <v>1</v>
      </c>
      <c r="G2059" s="12">
        <v>214.05</v>
      </c>
      <c r="H2059" s="12">
        <v>273.10000000000002</v>
      </c>
      <c r="I2059" s="13">
        <f t="shared" si="172"/>
        <v>214.05</v>
      </c>
      <c r="J2059" s="13">
        <f t="shared" si="173"/>
        <v>273.10000000000002</v>
      </c>
    </row>
    <row r="2060" spans="1:10" s="1" customFormat="1" ht="25.5" customHeight="1" x14ac:dyDescent="0.2">
      <c r="A2060" s="27" t="s">
        <v>842</v>
      </c>
      <c r="B2060" s="21">
        <v>44258</v>
      </c>
      <c r="C2060" s="806" t="s">
        <v>843</v>
      </c>
      <c r="D2060" s="807"/>
      <c r="E2060" s="11" t="s">
        <v>102</v>
      </c>
      <c r="F2060" s="12">
        <v>2</v>
      </c>
      <c r="G2060" s="12">
        <v>320</v>
      </c>
      <c r="H2060" s="12">
        <v>408.28</v>
      </c>
      <c r="I2060" s="13">
        <f t="shared" si="172"/>
        <v>640</v>
      </c>
      <c r="J2060" s="13">
        <f t="shared" si="173"/>
        <v>816.56</v>
      </c>
    </row>
    <row r="2061" spans="1:10" s="1" customFormat="1" ht="25.5" customHeight="1" x14ac:dyDescent="0.2">
      <c r="A2061" s="27" t="s">
        <v>842</v>
      </c>
      <c r="B2061" s="21">
        <v>44259</v>
      </c>
      <c r="C2061" s="806" t="s">
        <v>844</v>
      </c>
      <c r="D2061" s="807"/>
      <c r="E2061" s="11" t="s">
        <v>102</v>
      </c>
      <c r="F2061" s="12">
        <v>1</v>
      </c>
      <c r="G2061" s="12">
        <v>320</v>
      </c>
      <c r="H2061" s="12">
        <v>408.28</v>
      </c>
      <c r="I2061" s="13">
        <f t="shared" si="172"/>
        <v>320</v>
      </c>
      <c r="J2061" s="13">
        <f t="shared" si="173"/>
        <v>408.28</v>
      </c>
    </row>
    <row r="2062" spans="1:10" s="1" customFormat="1" ht="25.5" customHeight="1" x14ac:dyDescent="0.2">
      <c r="A2062" s="27" t="s">
        <v>842</v>
      </c>
      <c r="B2062" s="21">
        <v>44260</v>
      </c>
      <c r="C2062" s="806" t="s">
        <v>845</v>
      </c>
      <c r="D2062" s="807"/>
      <c r="E2062" s="11" t="s">
        <v>102</v>
      </c>
      <c r="F2062" s="12">
        <v>1</v>
      </c>
      <c r="G2062" s="12">
        <v>320</v>
      </c>
      <c r="H2062" s="12">
        <v>408.28</v>
      </c>
      <c r="I2062" s="13">
        <f t="shared" si="172"/>
        <v>320</v>
      </c>
      <c r="J2062" s="13">
        <f t="shared" si="173"/>
        <v>408.28</v>
      </c>
    </row>
    <row r="2063" spans="1:10" s="1" customFormat="1" ht="25.5" customHeight="1" x14ac:dyDescent="0.2">
      <c r="A2063" s="22" t="s">
        <v>308</v>
      </c>
      <c r="B2063" s="21">
        <v>44261</v>
      </c>
      <c r="C2063" s="806" t="s">
        <v>846</v>
      </c>
      <c r="D2063" s="807"/>
      <c r="E2063" s="11" t="s">
        <v>102</v>
      </c>
      <c r="F2063" s="12">
        <v>1</v>
      </c>
      <c r="G2063" s="12">
        <v>282.57</v>
      </c>
      <c r="H2063" s="12">
        <v>360.53</v>
      </c>
      <c r="I2063" s="13">
        <f t="shared" si="172"/>
        <v>282.57</v>
      </c>
      <c r="J2063" s="13">
        <f t="shared" si="173"/>
        <v>360.53</v>
      </c>
    </row>
    <row r="2064" spans="1:10" s="1" customFormat="1" ht="25.5" customHeight="1" x14ac:dyDescent="0.2">
      <c r="A2064" s="8"/>
      <c r="B2064" s="803" t="s">
        <v>847</v>
      </c>
      <c r="C2064" s="804"/>
      <c r="D2064" s="804"/>
      <c r="E2064" s="804"/>
      <c r="F2064" s="804"/>
      <c r="G2064" s="805"/>
      <c r="H2064" s="8"/>
      <c r="I2064" s="18">
        <f>SUM(I2058:I2063)</f>
        <v>3455.6600000000003</v>
      </c>
      <c r="J2064" s="18">
        <f>SUM(J2058:J2063)</f>
        <v>4409.0399999999991</v>
      </c>
    </row>
    <row r="2065" spans="1:10" s="1" customFormat="1" ht="25.5" customHeight="1" x14ac:dyDescent="0.2">
      <c r="A2065" s="8"/>
      <c r="B2065" s="9" t="s">
        <v>848</v>
      </c>
      <c r="C2065" s="808" t="s">
        <v>849</v>
      </c>
      <c r="D2065" s="809"/>
      <c r="E2065" s="8"/>
      <c r="F2065" s="8"/>
      <c r="G2065" s="8"/>
      <c r="H2065" s="8"/>
      <c r="I2065" s="8"/>
      <c r="J2065" s="8"/>
    </row>
    <row r="2066" spans="1:10" s="1" customFormat="1" ht="25.5" customHeight="1" x14ac:dyDescent="0.2">
      <c r="A2066" s="27" t="s">
        <v>842</v>
      </c>
      <c r="B2066" s="21">
        <v>44287</v>
      </c>
      <c r="C2066" s="806" t="s">
        <v>850</v>
      </c>
      <c r="D2066" s="807"/>
      <c r="E2066" s="11" t="s">
        <v>102</v>
      </c>
      <c r="F2066" s="12">
        <v>2</v>
      </c>
      <c r="G2066" s="12">
        <v>320</v>
      </c>
      <c r="H2066" s="12">
        <v>408.28</v>
      </c>
      <c r="I2066" s="13">
        <f>F2066*G2066</f>
        <v>640</v>
      </c>
      <c r="J2066" s="13">
        <f>F2066*H2066</f>
        <v>816.56</v>
      </c>
    </row>
    <row r="2067" spans="1:10" s="1" customFormat="1" ht="25.5" customHeight="1" x14ac:dyDescent="0.2">
      <c r="A2067" s="27" t="s">
        <v>851</v>
      </c>
      <c r="B2067" s="21">
        <v>44288</v>
      </c>
      <c r="C2067" s="806" t="s">
        <v>852</v>
      </c>
      <c r="D2067" s="807"/>
      <c r="E2067" s="11" t="s">
        <v>102</v>
      </c>
      <c r="F2067" s="12">
        <v>1</v>
      </c>
      <c r="G2067" s="12">
        <v>950.49</v>
      </c>
      <c r="H2067" s="13">
        <v>1212.73</v>
      </c>
      <c r="I2067" s="13">
        <f>F2067*G2067</f>
        <v>950.49</v>
      </c>
      <c r="J2067" s="13">
        <f>F2067*H2067</f>
        <v>1212.73</v>
      </c>
    </row>
    <row r="2068" spans="1:10" s="1" customFormat="1" ht="25.5" customHeight="1" x14ac:dyDescent="0.2">
      <c r="A2068" s="29" t="s">
        <v>853</v>
      </c>
      <c r="B2068" s="30">
        <v>44289</v>
      </c>
      <c r="C2068" s="823" t="s">
        <v>864</v>
      </c>
      <c r="D2068" s="824"/>
      <c r="E2068" s="31" t="s">
        <v>102</v>
      </c>
      <c r="F2068" s="32">
        <v>1</v>
      </c>
      <c r="G2068" s="33">
        <v>1309.99</v>
      </c>
      <c r="H2068" s="33">
        <v>1671.41</v>
      </c>
      <c r="I2068" s="13">
        <f>F2068*G2068</f>
        <v>1309.99</v>
      </c>
      <c r="J2068" s="13">
        <f>F2068*H2068</f>
        <v>1671.41</v>
      </c>
    </row>
    <row r="2069" spans="1:10" s="1" customFormat="1" ht="25.5" customHeight="1" x14ac:dyDescent="0.2">
      <c r="A2069" s="8"/>
      <c r="B2069" s="803" t="s">
        <v>854</v>
      </c>
      <c r="C2069" s="804"/>
      <c r="D2069" s="804"/>
      <c r="E2069" s="804"/>
      <c r="F2069" s="804"/>
      <c r="G2069" s="805"/>
      <c r="H2069" s="8"/>
      <c r="I2069" s="18">
        <f>SUM(I2066:I2068)</f>
        <v>2900.48</v>
      </c>
      <c r="J2069" s="18">
        <f>SUM(J2066:J2068)</f>
        <v>3700.7</v>
      </c>
    </row>
    <row r="2070" spans="1:10" s="1" customFormat="1" ht="25.5" customHeight="1" x14ac:dyDescent="0.2">
      <c r="A2070" s="8"/>
      <c r="B2070" s="9" t="s">
        <v>855</v>
      </c>
      <c r="C2070" s="808" t="s">
        <v>856</v>
      </c>
      <c r="D2070" s="809"/>
      <c r="E2070" s="8"/>
      <c r="F2070" s="8"/>
      <c r="G2070" s="8"/>
      <c r="H2070" s="8"/>
      <c r="I2070" s="8"/>
      <c r="J2070" s="8"/>
    </row>
    <row r="2071" spans="1:10" s="1" customFormat="1" ht="25.5" customHeight="1" x14ac:dyDescent="0.2">
      <c r="A2071" s="19">
        <v>2504</v>
      </c>
      <c r="B2071" s="21">
        <v>44317</v>
      </c>
      <c r="C2071" s="806" t="s">
        <v>857</v>
      </c>
      <c r="D2071" s="807"/>
      <c r="E2071" s="11" t="s">
        <v>81</v>
      </c>
      <c r="F2071" s="12">
        <v>160</v>
      </c>
      <c r="G2071" s="12">
        <v>5.51</v>
      </c>
      <c r="H2071" s="12">
        <v>7.03</v>
      </c>
      <c r="I2071" s="13">
        <f t="shared" ref="I2071:I2082" si="174">F2071*G2071</f>
        <v>881.59999999999991</v>
      </c>
      <c r="J2071" s="13">
        <f t="shared" ref="J2071:J2082" si="175">F2071*H2071</f>
        <v>1124.8</v>
      </c>
    </row>
    <row r="2072" spans="1:10" s="1" customFormat="1" ht="25.5" customHeight="1" x14ac:dyDescent="0.2">
      <c r="A2072" s="19">
        <v>91844</v>
      </c>
      <c r="B2072" s="21">
        <v>44318</v>
      </c>
      <c r="C2072" s="806" t="s">
        <v>858</v>
      </c>
      <c r="D2072" s="807"/>
      <c r="E2072" s="11" t="s">
        <v>81</v>
      </c>
      <c r="F2072" s="13">
        <v>1250</v>
      </c>
      <c r="G2072" s="12">
        <v>4.1500000000000004</v>
      </c>
      <c r="H2072" s="12">
        <v>5.29</v>
      </c>
      <c r="I2072" s="13">
        <f t="shared" si="174"/>
        <v>5187.5</v>
      </c>
      <c r="J2072" s="13">
        <f t="shared" si="175"/>
        <v>6612.5</v>
      </c>
    </row>
    <row r="2073" spans="1:10" s="1" customFormat="1" ht="25.5" customHeight="1" x14ac:dyDescent="0.2">
      <c r="A2073" s="19">
        <v>91846</v>
      </c>
      <c r="B2073" s="21">
        <v>44319</v>
      </c>
      <c r="C2073" s="806" t="s">
        <v>859</v>
      </c>
      <c r="D2073" s="807"/>
      <c r="E2073" s="11" t="s">
        <v>81</v>
      </c>
      <c r="F2073" s="12">
        <v>200</v>
      </c>
      <c r="G2073" s="12">
        <v>5.77</v>
      </c>
      <c r="H2073" s="12">
        <v>7.36</v>
      </c>
      <c r="I2073" s="13">
        <f t="shared" si="174"/>
        <v>1154</v>
      </c>
      <c r="J2073" s="13">
        <f t="shared" si="175"/>
        <v>1472</v>
      </c>
    </row>
    <row r="2074" spans="1:10" s="1" customFormat="1" ht="25.5" customHeight="1" x14ac:dyDescent="0.2">
      <c r="A2074" s="27" t="s">
        <v>78</v>
      </c>
      <c r="B2074" s="21">
        <v>44320</v>
      </c>
      <c r="C2074" s="806" t="s">
        <v>860</v>
      </c>
      <c r="D2074" s="807"/>
      <c r="E2074" s="11" t="s">
        <v>102</v>
      </c>
      <c r="F2074" s="12">
        <v>25</v>
      </c>
      <c r="G2074" s="12">
        <v>44.63</v>
      </c>
      <c r="H2074" s="12">
        <v>56.94</v>
      </c>
      <c r="I2074" s="13">
        <f t="shared" si="174"/>
        <v>1115.75</v>
      </c>
      <c r="J2074" s="13">
        <f t="shared" si="175"/>
        <v>1423.5</v>
      </c>
    </row>
    <row r="2075" spans="1:10" s="1" customFormat="1" ht="25.5" customHeight="1" x14ac:dyDescent="0.2">
      <c r="A2075" s="19">
        <v>39246</v>
      </c>
      <c r="B2075" s="21">
        <v>44321</v>
      </c>
      <c r="C2075" s="806" t="s">
        <v>861</v>
      </c>
      <c r="D2075" s="807"/>
      <c r="E2075" s="11" t="s">
        <v>81</v>
      </c>
      <c r="F2075" s="12">
        <v>30</v>
      </c>
      <c r="G2075" s="12">
        <v>2.0299999999999998</v>
      </c>
      <c r="H2075" s="12">
        <v>2.6</v>
      </c>
      <c r="I2075" s="13">
        <f t="shared" si="174"/>
        <v>60.899999999999991</v>
      </c>
      <c r="J2075" s="13">
        <f t="shared" si="175"/>
        <v>78</v>
      </c>
    </row>
    <row r="2076" spans="1:10" s="1" customFormat="1" ht="25.5" customHeight="1" x14ac:dyDescent="0.2">
      <c r="A2076" s="19">
        <v>2446</v>
      </c>
      <c r="B2076" s="21">
        <v>44322</v>
      </c>
      <c r="C2076" s="806" t="s">
        <v>862</v>
      </c>
      <c r="D2076" s="807"/>
      <c r="E2076" s="11" t="s">
        <v>81</v>
      </c>
      <c r="F2076" s="12">
        <v>55</v>
      </c>
      <c r="G2076" s="12">
        <v>2.93</v>
      </c>
      <c r="H2076" s="12">
        <v>3.73</v>
      </c>
      <c r="I2076" s="13">
        <f t="shared" si="174"/>
        <v>161.15</v>
      </c>
      <c r="J2076" s="13">
        <f t="shared" si="175"/>
        <v>205.15</v>
      </c>
    </row>
    <row r="2077" spans="1:10" s="1" customFormat="1" ht="25.5" customHeight="1" x14ac:dyDescent="0.2">
      <c r="A2077" s="19">
        <v>2442</v>
      </c>
      <c r="B2077" s="21">
        <v>44323</v>
      </c>
      <c r="C2077" s="806" t="s">
        <v>865</v>
      </c>
      <c r="D2077" s="807"/>
      <c r="E2077" s="11" t="s">
        <v>81</v>
      </c>
      <c r="F2077" s="12">
        <v>60</v>
      </c>
      <c r="G2077" s="12">
        <v>4.0999999999999996</v>
      </c>
      <c r="H2077" s="12">
        <v>5.22</v>
      </c>
      <c r="I2077" s="13">
        <f t="shared" si="174"/>
        <v>245.99999999999997</v>
      </c>
      <c r="J2077" s="13">
        <f t="shared" si="175"/>
        <v>313.2</v>
      </c>
    </row>
    <row r="2078" spans="1:10" s="1" customFormat="1" ht="25.5" customHeight="1" x14ac:dyDescent="0.2">
      <c r="A2078" s="19">
        <v>39248</v>
      </c>
      <c r="B2078" s="21">
        <v>44324</v>
      </c>
      <c r="C2078" s="806" t="s">
        <v>866</v>
      </c>
      <c r="D2078" s="807"/>
      <c r="E2078" s="11" t="s">
        <v>81</v>
      </c>
      <c r="F2078" s="12">
        <v>60</v>
      </c>
      <c r="G2078" s="12">
        <v>5.71</v>
      </c>
      <c r="H2078" s="12">
        <v>7.28</v>
      </c>
      <c r="I2078" s="13">
        <f t="shared" si="174"/>
        <v>342.6</v>
      </c>
      <c r="J2078" s="13">
        <f t="shared" si="175"/>
        <v>436.8</v>
      </c>
    </row>
    <row r="2079" spans="1:10" s="1" customFormat="1" ht="25.5" customHeight="1" x14ac:dyDescent="0.2">
      <c r="A2079" s="22" t="s">
        <v>308</v>
      </c>
      <c r="B2079" s="21">
        <v>44325</v>
      </c>
      <c r="C2079" s="806" t="s">
        <v>867</v>
      </c>
      <c r="D2079" s="807"/>
      <c r="E2079" s="11" t="s">
        <v>81</v>
      </c>
      <c r="F2079" s="12">
        <v>200</v>
      </c>
      <c r="G2079" s="12">
        <v>9.8699999999999992</v>
      </c>
      <c r="H2079" s="12">
        <v>12.59</v>
      </c>
      <c r="I2079" s="13">
        <f t="shared" si="174"/>
        <v>1973.9999999999998</v>
      </c>
      <c r="J2079" s="13">
        <f t="shared" si="175"/>
        <v>2518</v>
      </c>
    </row>
    <row r="2080" spans="1:10" s="1" customFormat="1" ht="25.5" customHeight="1" x14ac:dyDescent="0.2">
      <c r="A2080" s="19">
        <v>39272</v>
      </c>
      <c r="B2080" s="34">
        <v>40319</v>
      </c>
      <c r="C2080" s="806" t="s">
        <v>868</v>
      </c>
      <c r="D2080" s="807"/>
      <c r="E2080" s="11" t="s">
        <v>102</v>
      </c>
      <c r="F2080" s="12">
        <v>180</v>
      </c>
      <c r="G2080" s="12">
        <v>1.47</v>
      </c>
      <c r="H2080" s="12">
        <v>1.87</v>
      </c>
      <c r="I2080" s="13">
        <f t="shared" si="174"/>
        <v>264.60000000000002</v>
      </c>
      <c r="J2080" s="13">
        <f t="shared" si="175"/>
        <v>336.6</v>
      </c>
    </row>
    <row r="2081" spans="1:10" s="1" customFormat="1" ht="25.5" customHeight="1" x14ac:dyDescent="0.2">
      <c r="A2081" s="22" t="s">
        <v>308</v>
      </c>
      <c r="B2081" s="34">
        <v>40684</v>
      </c>
      <c r="C2081" s="806" t="s">
        <v>869</v>
      </c>
      <c r="D2081" s="807"/>
      <c r="E2081" s="11" t="s">
        <v>102</v>
      </c>
      <c r="F2081" s="12">
        <v>800</v>
      </c>
      <c r="G2081" s="12">
        <v>1.1200000000000001</v>
      </c>
      <c r="H2081" s="12">
        <v>1.43</v>
      </c>
      <c r="I2081" s="13">
        <f t="shared" si="174"/>
        <v>896.00000000000011</v>
      </c>
      <c r="J2081" s="13">
        <f t="shared" si="175"/>
        <v>1144</v>
      </c>
    </row>
    <row r="2082" spans="1:10" s="1" customFormat="1" ht="25.5" customHeight="1" x14ac:dyDescent="0.2">
      <c r="A2082" s="22" t="s">
        <v>308</v>
      </c>
      <c r="B2082" s="34">
        <v>41050</v>
      </c>
      <c r="C2082" s="806" t="s">
        <v>870</v>
      </c>
      <c r="D2082" s="807"/>
      <c r="E2082" s="11" t="s">
        <v>102</v>
      </c>
      <c r="F2082" s="12">
        <v>120</v>
      </c>
      <c r="G2082" s="12">
        <v>2.2400000000000002</v>
      </c>
      <c r="H2082" s="12">
        <v>2.86</v>
      </c>
      <c r="I2082" s="13">
        <f t="shared" si="174"/>
        <v>268.8</v>
      </c>
      <c r="J2082" s="13">
        <f t="shared" si="175"/>
        <v>343.2</v>
      </c>
    </row>
    <row r="2083" spans="1:10" s="1" customFormat="1" ht="25.5" customHeight="1" x14ac:dyDescent="0.2">
      <c r="A2083" s="8"/>
      <c r="B2083" s="803" t="s">
        <v>871</v>
      </c>
      <c r="C2083" s="804"/>
      <c r="D2083" s="804"/>
      <c r="E2083" s="804"/>
      <c r="F2083" s="804"/>
      <c r="G2083" s="805"/>
      <c r="H2083" s="8"/>
      <c r="I2083" s="18">
        <f>SUM(I2071:I2082)</f>
        <v>12552.9</v>
      </c>
      <c r="J2083" s="18">
        <f>SUM(J2071:J2082)</f>
        <v>16007.75</v>
      </c>
    </row>
    <row r="2084" spans="1:10" s="1" customFormat="1" ht="25.5" customHeight="1" x14ac:dyDescent="0.2">
      <c r="A2084" s="8"/>
      <c r="B2084" s="9" t="s">
        <v>872</v>
      </c>
      <c r="C2084" s="808" t="s">
        <v>873</v>
      </c>
      <c r="D2084" s="809"/>
      <c r="E2084" s="8"/>
      <c r="F2084" s="8"/>
      <c r="G2084" s="8"/>
      <c r="H2084" s="8"/>
      <c r="I2084" s="8"/>
      <c r="J2084" s="8"/>
    </row>
    <row r="2085" spans="1:10" s="1" customFormat="1" ht="25.5" customHeight="1" x14ac:dyDescent="0.2">
      <c r="A2085" s="35"/>
      <c r="B2085" s="47"/>
      <c r="C2085" s="806" t="s">
        <v>874</v>
      </c>
      <c r="D2085" s="807"/>
      <c r="E2085" s="35"/>
      <c r="F2085" s="35"/>
      <c r="G2085" s="35"/>
      <c r="H2085" s="35"/>
      <c r="I2085" s="35"/>
      <c r="J2085" s="35"/>
    </row>
    <row r="2086" spans="1:10" s="1" customFormat="1" ht="25.5" customHeight="1" x14ac:dyDescent="0.2">
      <c r="A2086" s="24">
        <v>1014</v>
      </c>
      <c r="B2086" s="21">
        <v>44348</v>
      </c>
      <c r="C2086" s="806" t="s">
        <v>875</v>
      </c>
      <c r="D2086" s="807"/>
      <c r="E2086" s="11" t="s">
        <v>81</v>
      </c>
      <c r="F2086" s="13">
        <v>7200</v>
      </c>
      <c r="G2086" s="12">
        <v>1.03</v>
      </c>
      <c r="H2086" s="12">
        <v>1.31</v>
      </c>
      <c r="I2086" s="13">
        <f>F2086*G2086</f>
        <v>7416</v>
      </c>
      <c r="J2086" s="13">
        <f>F2086*H2086</f>
        <v>9432</v>
      </c>
    </row>
    <row r="2087" spans="1:10" s="1" customFormat="1" ht="25.5" customHeight="1" x14ac:dyDescent="0.2">
      <c r="A2087" s="24">
        <v>981</v>
      </c>
      <c r="B2087" s="21">
        <v>44349</v>
      </c>
      <c r="C2087" s="806" t="s">
        <v>876</v>
      </c>
      <c r="D2087" s="807"/>
      <c r="E2087" s="11" t="s">
        <v>81</v>
      </c>
      <c r="F2087" s="12">
        <v>750</v>
      </c>
      <c r="G2087" s="12">
        <v>1.84</v>
      </c>
      <c r="H2087" s="12">
        <v>2.35</v>
      </c>
      <c r="I2087" s="13">
        <f>F2087*G2087</f>
        <v>1380</v>
      </c>
      <c r="J2087" s="13">
        <f>F2087*H2087</f>
        <v>1762.5</v>
      </c>
    </row>
    <row r="2088" spans="1:10" s="1" customFormat="1" ht="25.5" customHeight="1" x14ac:dyDescent="0.2">
      <c r="A2088" s="24">
        <v>982</v>
      </c>
      <c r="B2088" s="21">
        <v>44350</v>
      </c>
      <c r="C2088" s="806" t="s">
        <v>877</v>
      </c>
      <c r="D2088" s="807"/>
      <c r="E2088" s="11" t="s">
        <v>81</v>
      </c>
      <c r="F2088" s="12">
        <v>300</v>
      </c>
      <c r="G2088" s="12">
        <v>2.57</v>
      </c>
      <c r="H2088" s="12">
        <v>3.28</v>
      </c>
      <c r="I2088" s="13">
        <f>F2088*G2088</f>
        <v>771</v>
      </c>
      <c r="J2088" s="13">
        <f>F2088*H2088</f>
        <v>983.99999999999989</v>
      </c>
    </row>
    <row r="2089" spans="1:10" s="1" customFormat="1" ht="25.5" customHeight="1" x14ac:dyDescent="0.2">
      <c r="A2089" s="35"/>
      <c r="B2089" s="47"/>
      <c r="C2089" s="806" t="s">
        <v>878</v>
      </c>
      <c r="D2089" s="807"/>
      <c r="E2089" s="35"/>
      <c r="F2089" s="35"/>
      <c r="G2089" s="35"/>
      <c r="H2089" s="35"/>
      <c r="I2089" s="35"/>
      <c r="J2089" s="35"/>
    </row>
    <row r="2090" spans="1:10" s="1" customFormat="1" ht="25.5" customHeight="1" x14ac:dyDescent="0.2">
      <c r="A2090" s="24">
        <v>994</v>
      </c>
      <c r="B2090" s="21">
        <v>44351</v>
      </c>
      <c r="C2090" s="806" t="s">
        <v>877</v>
      </c>
      <c r="D2090" s="807"/>
      <c r="E2090" s="11" t="s">
        <v>81</v>
      </c>
      <c r="F2090" s="12">
        <v>400</v>
      </c>
      <c r="G2090" s="12">
        <v>3</v>
      </c>
      <c r="H2090" s="12">
        <v>3.83</v>
      </c>
      <c r="I2090" s="13">
        <f t="shared" ref="I2090:I2095" si="176">F2090*G2090</f>
        <v>1200</v>
      </c>
      <c r="J2090" s="13">
        <f t="shared" ref="J2090:J2095" si="177">F2090*H2090</f>
        <v>1532</v>
      </c>
    </row>
    <row r="2091" spans="1:10" s="1" customFormat="1" ht="25.5" customHeight="1" x14ac:dyDescent="0.2">
      <c r="A2091" s="24">
        <v>1020</v>
      </c>
      <c r="B2091" s="21">
        <v>44352</v>
      </c>
      <c r="C2091" s="806" t="s">
        <v>879</v>
      </c>
      <c r="D2091" s="807"/>
      <c r="E2091" s="11" t="s">
        <v>81</v>
      </c>
      <c r="F2091" s="12">
        <v>100</v>
      </c>
      <c r="G2091" s="12">
        <v>4.8</v>
      </c>
      <c r="H2091" s="12">
        <v>6.12</v>
      </c>
      <c r="I2091" s="13">
        <f t="shared" si="176"/>
        <v>480</v>
      </c>
      <c r="J2091" s="13">
        <f t="shared" si="177"/>
        <v>612</v>
      </c>
    </row>
    <row r="2092" spans="1:10" s="1" customFormat="1" ht="25.5" customHeight="1" x14ac:dyDescent="0.2">
      <c r="A2092" s="24">
        <v>995</v>
      </c>
      <c r="B2092" s="21">
        <v>44353</v>
      </c>
      <c r="C2092" s="806" t="s">
        <v>880</v>
      </c>
      <c r="D2092" s="807"/>
      <c r="E2092" s="11" t="s">
        <v>81</v>
      </c>
      <c r="F2092" s="12">
        <v>500</v>
      </c>
      <c r="G2092" s="12">
        <v>7.37</v>
      </c>
      <c r="H2092" s="12">
        <v>9.4</v>
      </c>
      <c r="I2092" s="13">
        <f t="shared" si="176"/>
        <v>3685</v>
      </c>
      <c r="J2092" s="13">
        <f t="shared" si="177"/>
        <v>4700</v>
      </c>
    </row>
    <row r="2093" spans="1:10" s="1" customFormat="1" ht="25.5" customHeight="1" x14ac:dyDescent="0.2">
      <c r="A2093" s="24">
        <v>996</v>
      </c>
      <c r="B2093" s="21">
        <v>44354</v>
      </c>
      <c r="C2093" s="806" t="s">
        <v>881</v>
      </c>
      <c r="D2093" s="807"/>
      <c r="E2093" s="11" t="s">
        <v>81</v>
      </c>
      <c r="F2093" s="12">
        <v>25</v>
      </c>
      <c r="G2093" s="12">
        <v>11.21</v>
      </c>
      <c r="H2093" s="12">
        <v>14.3</v>
      </c>
      <c r="I2093" s="13">
        <f t="shared" si="176"/>
        <v>280.25</v>
      </c>
      <c r="J2093" s="13">
        <f t="shared" si="177"/>
        <v>357.5</v>
      </c>
    </row>
    <row r="2094" spans="1:10" s="1" customFormat="1" ht="25.5" customHeight="1" x14ac:dyDescent="0.2">
      <c r="A2094" s="24">
        <v>1019</v>
      </c>
      <c r="B2094" s="21">
        <v>44355</v>
      </c>
      <c r="C2094" s="806" t="s">
        <v>882</v>
      </c>
      <c r="D2094" s="807"/>
      <c r="E2094" s="11" t="s">
        <v>81</v>
      </c>
      <c r="F2094" s="12">
        <v>125</v>
      </c>
      <c r="G2094" s="12">
        <v>15.46</v>
      </c>
      <c r="H2094" s="12">
        <v>19.73</v>
      </c>
      <c r="I2094" s="13">
        <f t="shared" si="176"/>
        <v>1932.5</v>
      </c>
      <c r="J2094" s="13">
        <f t="shared" si="177"/>
        <v>2466.25</v>
      </c>
    </row>
    <row r="2095" spans="1:10" s="1" customFormat="1" ht="25.5" customHeight="1" x14ac:dyDescent="0.2">
      <c r="A2095" s="24">
        <v>1018</v>
      </c>
      <c r="B2095" s="21">
        <v>44356</v>
      </c>
      <c r="C2095" s="806" t="s">
        <v>883</v>
      </c>
      <c r="D2095" s="807"/>
      <c r="E2095" s="11" t="s">
        <v>81</v>
      </c>
      <c r="F2095" s="12">
        <v>130</v>
      </c>
      <c r="G2095" s="12">
        <v>22.04</v>
      </c>
      <c r="H2095" s="12">
        <v>28.12</v>
      </c>
      <c r="I2095" s="13">
        <f t="shared" si="176"/>
        <v>2865.2</v>
      </c>
      <c r="J2095" s="13">
        <f t="shared" si="177"/>
        <v>3655.6</v>
      </c>
    </row>
    <row r="2096" spans="1:10" s="1" customFormat="1" ht="25.5" customHeight="1" x14ac:dyDescent="0.2">
      <c r="A2096" s="35"/>
      <c r="B2096" s="47"/>
      <c r="C2096" s="806" t="s">
        <v>884</v>
      </c>
      <c r="D2096" s="807"/>
      <c r="E2096" s="35"/>
      <c r="F2096" s="35"/>
      <c r="G2096" s="35"/>
      <c r="H2096" s="35"/>
      <c r="I2096" s="35"/>
      <c r="J2096" s="35"/>
    </row>
    <row r="2097" spans="1:10" s="1" customFormat="1" ht="25.5" customHeight="1" x14ac:dyDescent="0.2">
      <c r="A2097" s="19">
        <v>39257</v>
      </c>
      <c r="B2097" s="34">
        <v>40350</v>
      </c>
      <c r="C2097" s="806" t="s">
        <v>885</v>
      </c>
      <c r="D2097" s="807"/>
      <c r="E2097" s="11" t="s">
        <v>81</v>
      </c>
      <c r="F2097" s="12">
        <v>50</v>
      </c>
      <c r="G2097" s="12">
        <v>2.81</v>
      </c>
      <c r="H2097" s="12">
        <v>3.59</v>
      </c>
      <c r="I2097" s="13">
        <f>F2097*G2097</f>
        <v>140.5</v>
      </c>
      <c r="J2097" s="13">
        <f>F2097*H2097</f>
        <v>179.5</v>
      </c>
    </row>
    <row r="2098" spans="1:10" s="1" customFormat="1" ht="25.5" customHeight="1" x14ac:dyDescent="0.2">
      <c r="A2098" s="19">
        <v>39258</v>
      </c>
      <c r="B2098" s="34">
        <v>40715</v>
      </c>
      <c r="C2098" s="806" t="s">
        <v>886</v>
      </c>
      <c r="D2098" s="807"/>
      <c r="E2098" s="11" t="s">
        <v>81</v>
      </c>
      <c r="F2098" s="12">
        <v>60</v>
      </c>
      <c r="G2098" s="12">
        <v>4.17</v>
      </c>
      <c r="H2098" s="12">
        <v>5.32</v>
      </c>
      <c r="I2098" s="13">
        <f>F2098*G2098</f>
        <v>250.2</v>
      </c>
      <c r="J2098" s="13">
        <f>F2098*H2098</f>
        <v>319.20000000000005</v>
      </c>
    </row>
    <row r="2099" spans="1:10" s="1" customFormat="1" ht="25.5" customHeight="1" x14ac:dyDescent="0.2">
      <c r="A2099" s="8"/>
      <c r="B2099" s="803" t="s">
        <v>887</v>
      </c>
      <c r="C2099" s="804"/>
      <c r="D2099" s="804"/>
      <c r="E2099" s="804"/>
      <c r="F2099" s="804"/>
      <c r="G2099" s="805"/>
      <c r="H2099" s="8"/>
      <c r="I2099" s="18">
        <f>SUM(I2086:I2098)</f>
        <v>20400.650000000001</v>
      </c>
      <c r="J2099" s="18">
        <f>SUM(J2086:J2098)</f>
        <v>26000.55</v>
      </c>
    </row>
    <row r="2100" spans="1:10" s="1" customFormat="1" ht="25.5" customHeight="1" x14ac:dyDescent="0.2">
      <c r="A2100" s="8"/>
      <c r="B2100" s="9" t="s">
        <v>888</v>
      </c>
      <c r="C2100" s="808" t="s">
        <v>889</v>
      </c>
      <c r="D2100" s="809"/>
      <c r="E2100" s="8"/>
      <c r="F2100" s="8"/>
      <c r="G2100" s="8"/>
      <c r="H2100" s="8"/>
      <c r="I2100" s="8"/>
      <c r="J2100" s="8"/>
    </row>
    <row r="2101" spans="1:10" s="1" customFormat="1" ht="25.5" customHeight="1" x14ac:dyDescent="0.2">
      <c r="A2101" s="19">
        <v>2574</v>
      </c>
      <c r="B2101" s="21">
        <v>44378</v>
      </c>
      <c r="C2101" s="806" t="s">
        <v>890</v>
      </c>
      <c r="D2101" s="807"/>
      <c r="E2101" s="11" t="s">
        <v>102</v>
      </c>
      <c r="F2101" s="12">
        <v>8</v>
      </c>
      <c r="G2101" s="12">
        <v>8.1999999999999993</v>
      </c>
      <c r="H2101" s="12">
        <v>10.46</v>
      </c>
      <c r="I2101" s="13">
        <f t="shared" ref="I2101:I2113" si="178">F2101*G2101</f>
        <v>65.599999999999994</v>
      </c>
      <c r="J2101" s="13">
        <f t="shared" ref="J2101:J2113" si="179">F2101*H2101</f>
        <v>83.68</v>
      </c>
    </row>
    <row r="2102" spans="1:10" s="1" customFormat="1" ht="25.5" customHeight="1" x14ac:dyDescent="0.2">
      <c r="A2102" s="19">
        <v>2559</v>
      </c>
      <c r="B2102" s="21">
        <v>44379</v>
      </c>
      <c r="C2102" s="806" t="s">
        <v>891</v>
      </c>
      <c r="D2102" s="807"/>
      <c r="E2102" s="11" t="s">
        <v>102</v>
      </c>
      <c r="F2102" s="12">
        <v>12</v>
      </c>
      <c r="G2102" s="12">
        <v>8.5</v>
      </c>
      <c r="H2102" s="12">
        <v>10.85</v>
      </c>
      <c r="I2102" s="13">
        <f t="shared" si="178"/>
        <v>102</v>
      </c>
      <c r="J2102" s="13">
        <f t="shared" si="179"/>
        <v>130.19999999999999</v>
      </c>
    </row>
    <row r="2103" spans="1:10" s="1" customFormat="1" ht="25.5" customHeight="1" x14ac:dyDescent="0.2">
      <c r="A2103" s="19">
        <v>2565</v>
      </c>
      <c r="B2103" s="21">
        <v>44380</v>
      </c>
      <c r="C2103" s="806" t="s">
        <v>892</v>
      </c>
      <c r="D2103" s="807"/>
      <c r="E2103" s="11" t="s">
        <v>102</v>
      </c>
      <c r="F2103" s="12">
        <v>14</v>
      </c>
      <c r="G2103" s="12">
        <v>6.88</v>
      </c>
      <c r="H2103" s="12">
        <v>8.7799999999999994</v>
      </c>
      <c r="I2103" s="13">
        <f t="shared" si="178"/>
        <v>96.32</v>
      </c>
      <c r="J2103" s="13">
        <f t="shared" si="179"/>
        <v>122.91999999999999</v>
      </c>
    </row>
    <row r="2104" spans="1:10" s="1" customFormat="1" ht="25.5" customHeight="1" x14ac:dyDescent="0.2">
      <c r="A2104" s="19">
        <v>2580</v>
      </c>
      <c r="B2104" s="21">
        <v>44381</v>
      </c>
      <c r="C2104" s="806" t="s">
        <v>893</v>
      </c>
      <c r="D2104" s="807"/>
      <c r="E2104" s="11" t="s">
        <v>102</v>
      </c>
      <c r="F2104" s="12">
        <v>3</v>
      </c>
      <c r="G2104" s="12">
        <v>10.83</v>
      </c>
      <c r="H2104" s="12">
        <v>13.82</v>
      </c>
      <c r="I2104" s="13">
        <f t="shared" si="178"/>
        <v>32.49</v>
      </c>
      <c r="J2104" s="13">
        <f t="shared" si="179"/>
        <v>41.46</v>
      </c>
    </row>
    <row r="2105" spans="1:10" s="1" customFormat="1" ht="25.5" customHeight="1" x14ac:dyDescent="0.2">
      <c r="A2105" s="19">
        <v>2593</v>
      </c>
      <c r="B2105" s="21">
        <v>44382</v>
      </c>
      <c r="C2105" s="806" t="s">
        <v>894</v>
      </c>
      <c r="D2105" s="807"/>
      <c r="E2105" s="11" t="s">
        <v>102</v>
      </c>
      <c r="F2105" s="12">
        <v>5</v>
      </c>
      <c r="G2105" s="12">
        <v>7.11</v>
      </c>
      <c r="H2105" s="12">
        <v>9.07</v>
      </c>
      <c r="I2105" s="13">
        <f t="shared" si="178"/>
        <v>35.550000000000004</v>
      </c>
      <c r="J2105" s="13">
        <f t="shared" si="179"/>
        <v>45.35</v>
      </c>
    </row>
    <row r="2106" spans="1:10" s="1" customFormat="1" ht="25.5" customHeight="1" x14ac:dyDescent="0.2">
      <c r="A2106" s="19">
        <v>39346</v>
      </c>
      <c r="B2106" s="21">
        <v>44383</v>
      </c>
      <c r="C2106" s="806" t="s">
        <v>895</v>
      </c>
      <c r="D2106" s="807"/>
      <c r="E2106" s="11" t="s">
        <v>102</v>
      </c>
      <c r="F2106" s="12">
        <v>8</v>
      </c>
      <c r="G2106" s="12">
        <v>2.09</v>
      </c>
      <c r="H2106" s="12">
        <v>2.67</v>
      </c>
      <c r="I2106" s="13">
        <f t="shared" si="178"/>
        <v>16.72</v>
      </c>
      <c r="J2106" s="13">
        <f t="shared" si="179"/>
        <v>21.36</v>
      </c>
    </row>
    <row r="2107" spans="1:10" s="1" customFormat="1" ht="25.5" customHeight="1" x14ac:dyDescent="0.2">
      <c r="A2107" s="19">
        <v>7543</v>
      </c>
      <c r="B2107" s="21">
        <v>44384</v>
      </c>
      <c r="C2107" s="806" t="s">
        <v>896</v>
      </c>
      <c r="D2107" s="807"/>
      <c r="E2107" s="11" t="s">
        <v>102</v>
      </c>
      <c r="F2107" s="12">
        <v>14</v>
      </c>
      <c r="G2107" s="12">
        <v>3.39</v>
      </c>
      <c r="H2107" s="12">
        <v>4.33</v>
      </c>
      <c r="I2107" s="13">
        <f t="shared" si="178"/>
        <v>47.46</v>
      </c>
      <c r="J2107" s="13">
        <f t="shared" si="179"/>
        <v>60.620000000000005</v>
      </c>
    </row>
    <row r="2108" spans="1:10" s="1" customFormat="1" ht="25.5" customHeight="1" x14ac:dyDescent="0.2">
      <c r="A2108" s="19">
        <v>39351</v>
      </c>
      <c r="B2108" s="21">
        <v>44385</v>
      </c>
      <c r="C2108" s="806" t="s">
        <v>897</v>
      </c>
      <c r="D2108" s="807"/>
      <c r="E2108" s="11" t="s">
        <v>102</v>
      </c>
      <c r="F2108" s="12">
        <v>20</v>
      </c>
      <c r="G2108" s="12">
        <v>2.6</v>
      </c>
      <c r="H2108" s="12">
        <v>3.32</v>
      </c>
      <c r="I2108" s="13">
        <f t="shared" si="178"/>
        <v>52</v>
      </c>
      <c r="J2108" s="13">
        <f t="shared" si="179"/>
        <v>66.399999999999991</v>
      </c>
    </row>
    <row r="2109" spans="1:10" s="1" customFormat="1" ht="25.5" customHeight="1" x14ac:dyDescent="0.2">
      <c r="A2109" s="22" t="s">
        <v>308</v>
      </c>
      <c r="B2109" s="21">
        <v>44386</v>
      </c>
      <c r="C2109" s="806" t="s">
        <v>898</v>
      </c>
      <c r="D2109" s="807"/>
      <c r="E2109" s="11" t="s">
        <v>102</v>
      </c>
      <c r="F2109" s="12">
        <v>300</v>
      </c>
      <c r="G2109" s="12">
        <v>4.9000000000000004</v>
      </c>
      <c r="H2109" s="12">
        <v>6.25</v>
      </c>
      <c r="I2109" s="13">
        <f t="shared" si="178"/>
        <v>1470</v>
      </c>
      <c r="J2109" s="13">
        <f t="shared" si="179"/>
        <v>1875</v>
      </c>
    </row>
    <row r="2110" spans="1:10" s="1" customFormat="1" ht="25.5" customHeight="1" x14ac:dyDescent="0.2">
      <c r="A2110" s="22" t="s">
        <v>308</v>
      </c>
      <c r="B2110" s="34">
        <v>40380</v>
      </c>
      <c r="C2110" s="806" t="s">
        <v>899</v>
      </c>
      <c r="D2110" s="807"/>
      <c r="E2110" s="11" t="s">
        <v>102</v>
      </c>
      <c r="F2110" s="12">
        <v>150</v>
      </c>
      <c r="G2110" s="12">
        <v>9.0500000000000007</v>
      </c>
      <c r="H2110" s="12">
        <v>11.55</v>
      </c>
      <c r="I2110" s="13">
        <f t="shared" si="178"/>
        <v>1357.5</v>
      </c>
      <c r="J2110" s="13">
        <f t="shared" si="179"/>
        <v>1732.5</v>
      </c>
    </row>
    <row r="2111" spans="1:10" s="1" customFormat="1" ht="25.5" customHeight="1" x14ac:dyDescent="0.2">
      <c r="A2111" s="19">
        <v>39771</v>
      </c>
      <c r="B2111" s="34">
        <v>40745</v>
      </c>
      <c r="C2111" s="806" t="s">
        <v>900</v>
      </c>
      <c r="D2111" s="807"/>
      <c r="E2111" s="11" t="s">
        <v>102</v>
      </c>
      <c r="F2111" s="12">
        <v>3</v>
      </c>
      <c r="G2111" s="12">
        <v>15.43</v>
      </c>
      <c r="H2111" s="12">
        <v>19.690000000000001</v>
      </c>
      <c r="I2111" s="13">
        <f t="shared" si="178"/>
        <v>46.29</v>
      </c>
      <c r="J2111" s="13">
        <f t="shared" si="179"/>
        <v>59.070000000000007</v>
      </c>
    </row>
    <row r="2112" spans="1:10" s="1" customFormat="1" ht="25.5" customHeight="1" x14ac:dyDescent="0.2">
      <c r="A2112" s="27" t="s">
        <v>901</v>
      </c>
      <c r="B2112" s="34">
        <v>41111</v>
      </c>
      <c r="C2112" s="806" t="s">
        <v>902</v>
      </c>
      <c r="D2112" s="807"/>
      <c r="E2112" s="11" t="s">
        <v>102</v>
      </c>
      <c r="F2112" s="12">
        <v>8</v>
      </c>
      <c r="G2112" s="12">
        <v>80.319999999999993</v>
      </c>
      <c r="H2112" s="12">
        <v>102.48</v>
      </c>
      <c r="I2112" s="13">
        <f t="shared" si="178"/>
        <v>642.55999999999995</v>
      </c>
      <c r="J2112" s="13">
        <f t="shared" si="179"/>
        <v>819.84</v>
      </c>
    </row>
    <row r="2113" spans="1:10" s="1" customFormat="1" ht="25.5" customHeight="1" x14ac:dyDescent="0.2">
      <c r="A2113" s="27" t="s">
        <v>696</v>
      </c>
      <c r="B2113" s="34">
        <v>41476</v>
      </c>
      <c r="C2113" s="806" t="s">
        <v>903</v>
      </c>
      <c r="D2113" s="807"/>
      <c r="E2113" s="11" t="s">
        <v>102</v>
      </c>
      <c r="F2113" s="12">
        <v>8</v>
      </c>
      <c r="G2113" s="12">
        <v>165.35</v>
      </c>
      <c r="H2113" s="12">
        <v>210.97</v>
      </c>
      <c r="I2113" s="13">
        <f t="shared" si="178"/>
        <v>1322.8</v>
      </c>
      <c r="J2113" s="13">
        <f t="shared" si="179"/>
        <v>1687.76</v>
      </c>
    </row>
    <row r="2114" spans="1:10" s="1" customFormat="1" ht="25.5" customHeight="1" x14ac:dyDescent="0.2">
      <c r="A2114" s="8"/>
      <c r="B2114" s="803" t="s">
        <v>904</v>
      </c>
      <c r="C2114" s="804"/>
      <c r="D2114" s="804"/>
      <c r="E2114" s="804"/>
      <c r="F2114" s="804"/>
      <c r="G2114" s="805"/>
      <c r="H2114" s="8"/>
      <c r="I2114" s="18">
        <f>SUM(I2101:I2113)</f>
        <v>5287.29</v>
      </c>
      <c r="J2114" s="18">
        <f>SUM(J2101:J2113)</f>
        <v>6746.16</v>
      </c>
    </row>
    <row r="2115" spans="1:10" s="1" customFormat="1" ht="25.5" customHeight="1" x14ac:dyDescent="0.2">
      <c r="A2115" s="8"/>
      <c r="B2115" s="9" t="s">
        <v>905</v>
      </c>
      <c r="C2115" s="808" t="s">
        <v>906</v>
      </c>
      <c r="D2115" s="809"/>
      <c r="E2115" s="8"/>
      <c r="F2115" s="8"/>
      <c r="G2115" s="8"/>
      <c r="H2115" s="8"/>
      <c r="I2115" s="8"/>
      <c r="J2115" s="8"/>
    </row>
    <row r="2116" spans="1:10" s="1" customFormat="1" ht="25.5" customHeight="1" x14ac:dyDescent="0.2">
      <c r="A2116" s="22" t="s">
        <v>308</v>
      </c>
      <c r="B2116" s="21">
        <v>44409</v>
      </c>
      <c r="C2116" s="806" t="s">
        <v>907</v>
      </c>
      <c r="D2116" s="807"/>
      <c r="E2116" s="11" t="s">
        <v>102</v>
      </c>
      <c r="F2116" s="12">
        <v>4</v>
      </c>
      <c r="G2116" s="12">
        <v>53.79</v>
      </c>
      <c r="H2116" s="12">
        <v>68.63</v>
      </c>
      <c r="I2116" s="13">
        <f t="shared" ref="I2116:I2127" si="180">F2116*G2116</f>
        <v>215.16</v>
      </c>
      <c r="J2116" s="13">
        <f t="shared" ref="J2116:J2127" si="181">F2116*H2116</f>
        <v>274.52</v>
      </c>
    </row>
    <row r="2117" spans="1:10" s="1" customFormat="1" ht="25.5" customHeight="1" x14ac:dyDescent="0.2">
      <c r="A2117" s="22" t="s">
        <v>308</v>
      </c>
      <c r="B2117" s="21">
        <v>44410</v>
      </c>
      <c r="C2117" s="806" t="s">
        <v>908</v>
      </c>
      <c r="D2117" s="807"/>
      <c r="E2117" s="11" t="s">
        <v>102</v>
      </c>
      <c r="F2117" s="12">
        <v>1</v>
      </c>
      <c r="G2117" s="12">
        <v>53.79</v>
      </c>
      <c r="H2117" s="12">
        <v>68.63</v>
      </c>
      <c r="I2117" s="13">
        <f t="shared" si="180"/>
        <v>53.79</v>
      </c>
      <c r="J2117" s="13">
        <f t="shared" si="181"/>
        <v>68.63</v>
      </c>
    </row>
    <row r="2118" spans="1:10" s="1" customFormat="1" ht="25.5" customHeight="1" x14ac:dyDescent="0.2">
      <c r="A2118" s="22" t="s">
        <v>308</v>
      </c>
      <c r="B2118" s="21">
        <v>44411</v>
      </c>
      <c r="C2118" s="806" t="s">
        <v>909</v>
      </c>
      <c r="D2118" s="807"/>
      <c r="E2118" s="11" t="s">
        <v>102</v>
      </c>
      <c r="F2118" s="12">
        <v>1</v>
      </c>
      <c r="G2118" s="12">
        <v>115.99</v>
      </c>
      <c r="H2118" s="12">
        <v>147.99</v>
      </c>
      <c r="I2118" s="13">
        <f t="shared" si="180"/>
        <v>115.99</v>
      </c>
      <c r="J2118" s="13">
        <f t="shared" si="181"/>
        <v>147.99</v>
      </c>
    </row>
    <row r="2119" spans="1:10" s="1" customFormat="1" ht="25.5" customHeight="1" x14ac:dyDescent="0.2">
      <c r="A2119" s="22" t="s">
        <v>308</v>
      </c>
      <c r="B2119" s="21">
        <v>44412</v>
      </c>
      <c r="C2119" s="806" t="s">
        <v>910</v>
      </c>
      <c r="D2119" s="807"/>
      <c r="E2119" s="11" t="s">
        <v>102</v>
      </c>
      <c r="F2119" s="12">
        <v>3</v>
      </c>
      <c r="G2119" s="12">
        <v>232.9</v>
      </c>
      <c r="H2119" s="12">
        <v>297.16000000000003</v>
      </c>
      <c r="I2119" s="13">
        <f t="shared" si="180"/>
        <v>698.7</v>
      </c>
      <c r="J2119" s="13">
        <f t="shared" si="181"/>
        <v>891.48</v>
      </c>
    </row>
    <row r="2120" spans="1:10" s="1" customFormat="1" ht="25.5" customHeight="1" x14ac:dyDescent="0.2">
      <c r="A2120" s="22" t="s">
        <v>308</v>
      </c>
      <c r="B2120" s="21">
        <v>44413</v>
      </c>
      <c r="C2120" s="806" t="s">
        <v>911</v>
      </c>
      <c r="D2120" s="807"/>
      <c r="E2120" s="11" t="s">
        <v>102</v>
      </c>
      <c r="F2120" s="12">
        <v>1</v>
      </c>
      <c r="G2120" s="12">
        <v>120</v>
      </c>
      <c r="H2120" s="12">
        <v>153.11000000000001</v>
      </c>
      <c r="I2120" s="13">
        <f t="shared" si="180"/>
        <v>120</v>
      </c>
      <c r="J2120" s="13">
        <f t="shared" si="181"/>
        <v>153.11000000000001</v>
      </c>
    </row>
    <row r="2121" spans="1:10" s="1" customFormat="1" ht="25.5" customHeight="1" x14ac:dyDescent="0.2">
      <c r="A2121" s="22" t="s">
        <v>308</v>
      </c>
      <c r="B2121" s="21">
        <v>44414</v>
      </c>
      <c r="C2121" s="806" t="s">
        <v>912</v>
      </c>
      <c r="D2121" s="807"/>
      <c r="E2121" s="11" t="s">
        <v>102</v>
      </c>
      <c r="F2121" s="12">
        <v>1</v>
      </c>
      <c r="G2121" s="12">
        <v>66.87</v>
      </c>
      <c r="H2121" s="12">
        <v>85.32</v>
      </c>
      <c r="I2121" s="13">
        <f t="shared" si="180"/>
        <v>66.87</v>
      </c>
      <c r="J2121" s="13">
        <f t="shared" si="181"/>
        <v>85.32</v>
      </c>
    </row>
    <row r="2122" spans="1:10" s="1" customFormat="1" ht="25.5" customHeight="1" x14ac:dyDescent="0.2">
      <c r="A2122" s="22" t="s">
        <v>308</v>
      </c>
      <c r="B2122" s="21">
        <v>44415</v>
      </c>
      <c r="C2122" s="806" t="s">
        <v>913</v>
      </c>
      <c r="D2122" s="807"/>
      <c r="E2122" s="11" t="s">
        <v>102</v>
      </c>
      <c r="F2122" s="12">
        <v>1</v>
      </c>
      <c r="G2122" s="12">
        <v>89.11</v>
      </c>
      <c r="H2122" s="12">
        <v>113.7</v>
      </c>
      <c r="I2122" s="13">
        <f t="shared" si="180"/>
        <v>89.11</v>
      </c>
      <c r="J2122" s="13">
        <f t="shared" si="181"/>
        <v>113.7</v>
      </c>
    </row>
    <row r="2123" spans="1:10" s="1" customFormat="1" ht="25.5" customHeight="1" x14ac:dyDescent="0.2">
      <c r="A2123" s="22" t="s">
        <v>308</v>
      </c>
      <c r="B2123" s="21">
        <v>44416</v>
      </c>
      <c r="C2123" s="806" t="s">
        <v>914</v>
      </c>
      <c r="D2123" s="807"/>
      <c r="E2123" s="11" t="s">
        <v>102</v>
      </c>
      <c r="F2123" s="12">
        <v>1</v>
      </c>
      <c r="G2123" s="12">
        <v>98.32</v>
      </c>
      <c r="H2123" s="12">
        <v>125.45</v>
      </c>
      <c r="I2123" s="13">
        <f t="shared" si="180"/>
        <v>98.32</v>
      </c>
      <c r="J2123" s="13">
        <f t="shared" si="181"/>
        <v>125.45</v>
      </c>
    </row>
    <row r="2124" spans="1:10" s="1" customFormat="1" ht="25.5" customHeight="1" x14ac:dyDescent="0.2">
      <c r="A2124" s="27" t="s">
        <v>915</v>
      </c>
      <c r="B2124" s="21">
        <v>44417</v>
      </c>
      <c r="C2124" s="806" t="s">
        <v>916</v>
      </c>
      <c r="D2124" s="807"/>
      <c r="E2124" s="11" t="s">
        <v>102</v>
      </c>
      <c r="F2124" s="12">
        <v>1</v>
      </c>
      <c r="G2124" s="12">
        <v>81.760000000000005</v>
      </c>
      <c r="H2124" s="12">
        <v>104.31</v>
      </c>
      <c r="I2124" s="13">
        <f t="shared" si="180"/>
        <v>81.760000000000005</v>
      </c>
      <c r="J2124" s="13">
        <f t="shared" si="181"/>
        <v>104.31</v>
      </c>
    </row>
    <row r="2125" spans="1:10" s="1" customFormat="1" ht="25.5" customHeight="1" x14ac:dyDescent="0.2">
      <c r="A2125" s="27" t="s">
        <v>917</v>
      </c>
      <c r="B2125" s="34">
        <v>40411</v>
      </c>
      <c r="C2125" s="806" t="s">
        <v>918</v>
      </c>
      <c r="D2125" s="807"/>
      <c r="E2125" s="11" t="s">
        <v>102</v>
      </c>
      <c r="F2125" s="12">
        <v>1</v>
      </c>
      <c r="G2125" s="12">
        <v>72.62</v>
      </c>
      <c r="H2125" s="12">
        <v>92.66</v>
      </c>
      <c r="I2125" s="13">
        <f t="shared" si="180"/>
        <v>72.62</v>
      </c>
      <c r="J2125" s="13">
        <f t="shared" si="181"/>
        <v>92.66</v>
      </c>
    </row>
    <row r="2126" spans="1:10" s="1" customFormat="1" ht="25.5" customHeight="1" x14ac:dyDescent="0.2">
      <c r="A2126" s="22" t="s">
        <v>308</v>
      </c>
      <c r="B2126" s="34">
        <v>40776</v>
      </c>
      <c r="C2126" s="806" t="s">
        <v>919</v>
      </c>
      <c r="D2126" s="807"/>
      <c r="E2126" s="11" t="s">
        <v>102</v>
      </c>
      <c r="F2126" s="12">
        <v>3</v>
      </c>
      <c r="G2126" s="12">
        <v>17.100000000000001</v>
      </c>
      <c r="H2126" s="12">
        <v>21.82</v>
      </c>
      <c r="I2126" s="13">
        <f t="shared" si="180"/>
        <v>51.300000000000004</v>
      </c>
      <c r="J2126" s="13">
        <f t="shared" si="181"/>
        <v>65.460000000000008</v>
      </c>
    </row>
    <row r="2127" spans="1:10" s="1" customFormat="1" ht="25.5" customHeight="1" x14ac:dyDescent="0.2">
      <c r="A2127" s="22" t="s">
        <v>308</v>
      </c>
      <c r="B2127" s="34">
        <v>41142</v>
      </c>
      <c r="C2127" s="806" t="s">
        <v>920</v>
      </c>
      <c r="D2127" s="807"/>
      <c r="E2127" s="11" t="s">
        <v>102</v>
      </c>
      <c r="F2127" s="12">
        <v>2</v>
      </c>
      <c r="G2127" s="12">
        <v>17.100000000000001</v>
      </c>
      <c r="H2127" s="12">
        <v>21.82</v>
      </c>
      <c r="I2127" s="13">
        <f t="shared" si="180"/>
        <v>34.200000000000003</v>
      </c>
      <c r="J2127" s="13">
        <f t="shared" si="181"/>
        <v>43.64</v>
      </c>
    </row>
    <row r="2128" spans="1:10" s="1" customFormat="1" ht="25.5" customHeight="1" x14ac:dyDescent="0.2">
      <c r="A2128" s="8"/>
      <c r="B2128" s="803" t="s">
        <v>921</v>
      </c>
      <c r="C2128" s="804"/>
      <c r="D2128" s="804"/>
      <c r="E2128" s="804"/>
      <c r="F2128" s="804"/>
      <c r="G2128" s="805"/>
      <c r="H2128" s="8"/>
      <c r="I2128" s="18">
        <f>SUM(I2116:I2127)</f>
        <v>1697.8200000000002</v>
      </c>
      <c r="J2128" s="18">
        <f>SUM(J2116:J2127)</f>
        <v>2166.27</v>
      </c>
    </row>
    <row r="2129" spans="1:10" s="1" customFormat="1" ht="25.5" customHeight="1" x14ac:dyDescent="0.2">
      <c r="A2129" s="8"/>
      <c r="B2129" s="9" t="s">
        <v>922</v>
      </c>
      <c r="C2129" s="808" t="s">
        <v>923</v>
      </c>
      <c r="D2129" s="809"/>
      <c r="E2129" s="8"/>
      <c r="F2129" s="8"/>
      <c r="G2129" s="8"/>
      <c r="H2129" s="8"/>
      <c r="I2129" s="8"/>
      <c r="J2129" s="8"/>
    </row>
    <row r="2130" spans="1:10" s="1" customFormat="1" ht="25.5" customHeight="1" x14ac:dyDescent="0.2">
      <c r="A2130" s="19">
        <v>93655</v>
      </c>
      <c r="B2130" s="21">
        <v>44440</v>
      </c>
      <c r="C2130" s="806" t="s">
        <v>924</v>
      </c>
      <c r="D2130" s="807"/>
      <c r="E2130" s="11" t="s">
        <v>102</v>
      </c>
      <c r="F2130" s="12">
        <v>41</v>
      </c>
      <c r="G2130" s="12">
        <v>11.19</v>
      </c>
      <c r="H2130" s="12">
        <v>14.28</v>
      </c>
      <c r="I2130" s="13">
        <f t="shared" ref="I2130:I2145" si="182">F2130*G2130</f>
        <v>458.78999999999996</v>
      </c>
      <c r="J2130" s="13">
        <f t="shared" ref="J2130:J2145" si="183">F2130*H2130</f>
        <v>585.48</v>
      </c>
    </row>
    <row r="2131" spans="1:10" s="1" customFormat="1" ht="25.5" customHeight="1" x14ac:dyDescent="0.2">
      <c r="A2131" s="19">
        <v>93656</v>
      </c>
      <c r="B2131" s="21">
        <v>44441</v>
      </c>
      <c r="C2131" s="806" t="s">
        <v>925</v>
      </c>
      <c r="D2131" s="807"/>
      <c r="E2131" s="11" t="s">
        <v>102</v>
      </c>
      <c r="F2131" s="12">
        <v>25</v>
      </c>
      <c r="G2131" s="12">
        <v>11.19</v>
      </c>
      <c r="H2131" s="12">
        <v>14.28</v>
      </c>
      <c r="I2131" s="13">
        <f t="shared" si="182"/>
        <v>279.75</v>
      </c>
      <c r="J2131" s="13">
        <f t="shared" si="183"/>
        <v>357</v>
      </c>
    </row>
    <row r="2132" spans="1:10" s="1" customFormat="1" ht="25.5" customHeight="1" x14ac:dyDescent="0.2">
      <c r="A2132" s="19">
        <v>93667</v>
      </c>
      <c r="B2132" s="21">
        <v>44442</v>
      </c>
      <c r="C2132" s="806" t="s">
        <v>926</v>
      </c>
      <c r="D2132" s="807"/>
      <c r="E2132" s="11" t="s">
        <v>102</v>
      </c>
      <c r="F2132" s="12">
        <v>1</v>
      </c>
      <c r="G2132" s="12">
        <v>63.11</v>
      </c>
      <c r="H2132" s="12">
        <v>80.52</v>
      </c>
      <c r="I2132" s="13">
        <f t="shared" si="182"/>
        <v>63.11</v>
      </c>
      <c r="J2132" s="13">
        <f t="shared" si="183"/>
        <v>80.52</v>
      </c>
    </row>
    <row r="2133" spans="1:10" s="1" customFormat="1" ht="25.5" customHeight="1" x14ac:dyDescent="0.2">
      <c r="A2133" s="19">
        <v>93669</v>
      </c>
      <c r="B2133" s="21">
        <v>44443</v>
      </c>
      <c r="C2133" s="806" t="s">
        <v>927</v>
      </c>
      <c r="D2133" s="807"/>
      <c r="E2133" s="11" t="s">
        <v>102</v>
      </c>
      <c r="F2133" s="12">
        <v>2</v>
      </c>
      <c r="G2133" s="12">
        <v>66.849999999999994</v>
      </c>
      <c r="H2133" s="12">
        <v>85.29</v>
      </c>
      <c r="I2133" s="13">
        <f t="shared" si="182"/>
        <v>133.69999999999999</v>
      </c>
      <c r="J2133" s="13">
        <f t="shared" si="183"/>
        <v>170.58</v>
      </c>
    </row>
    <row r="2134" spans="1:10" s="1" customFormat="1" ht="25.5" customHeight="1" x14ac:dyDescent="0.2">
      <c r="A2134" s="19">
        <v>93671</v>
      </c>
      <c r="B2134" s="21">
        <v>44444</v>
      </c>
      <c r="C2134" s="806" t="s">
        <v>928</v>
      </c>
      <c r="D2134" s="807"/>
      <c r="E2134" s="11" t="s">
        <v>102</v>
      </c>
      <c r="F2134" s="12">
        <v>3</v>
      </c>
      <c r="G2134" s="12">
        <v>69.86</v>
      </c>
      <c r="H2134" s="12">
        <v>89.13</v>
      </c>
      <c r="I2134" s="13">
        <f t="shared" si="182"/>
        <v>209.57999999999998</v>
      </c>
      <c r="J2134" s="13">
        <f t="shared" si="183"/>
        <v>267.39</v>
      </c>
    </row>
    <row r="2135" spans="1:10" s="1" customFormat="1" ht="25.5" customHeight="1" x14ac:dyDescent="0.2">
      <c r="A2135" s="19">
        <v>93673</v>
      </c>
      <c r="B2135" s="21">
        <v>44445</v>
      </c>
      <c r="C2135" s="806" t="s">
        <v>929</v>
      </c>
      <c r="D2135" s="807"/>
      <c r="E2135" s="11" t="s">
        <v>102</v>
      </c>
      <c r="F2135" s="12">
        <v>1</v>
      </c>
      <c r="G2135" s="12">
        <v>80.959999999999994</v>
      </c>
      <c r="H2135" s="12">
        <v>103.3</v>
      </c>
      <c r="I2135" s="13">
        <f t="shared" si="182"/>
        <v>80.959999999999994</v>
      </c>
      <c r="J2135" s="13">
        <f t="shared" si="183"/>
        <v>103.3</v>
      </c>
    </row>
    <row r="2136" spans="1:10" s="1" customFormat="1" ht="25.5" customHeight="1" x14ac:dyDescent="0.2">
      <c r="A2136" s="27" t="s">
        <v>930</v>
      </c>
      <c r="B2136" s="21">
        <v>44446</v>
      </c>
      <c r="C2136" s="806" t="s">
        <v>931</v>
      </c>
      <c r="D2136" s="807"/>
      <c r="E2136" s="11" t="s">
        <v>102</v>
      </c>
      <c r="F2136" s="12">
        <v>1</v>
      </c>
      <c r="G2136" s="12">
        <v>84.91</v>
      </c>
      <c r="H2136" s="12">
        <v>108.33</v>
      </c>
      <c r="I2136" s="13">
        <f t="shared" si="182"/>
        <v>84.91</v>
      </c>
      <c r="J2136" s="13">
        <f t="shared" si="183"/>
        <v>108.33</v>
      </c>
    </row>
    <row r="2137" spans="1:10" s="1" customFormat="1" ht="25.5" customHeight="1" x14ac:dyDescent="0.2">
      <c r="A2137" s="27" t="s">
        <v>932</v>
      </c>
      <c r="B2137" s="21">
        <v>44447</v>
      </c>
      <c r="C2137" s="806" t="s">
        <v>933</v>
      </c>
      <c r="D2137" s="807"/>
      <c r="E2137" s="11" t="s">
        <v>102</v>
      </c>
      <c r="F2137" s="12">
        <v>1</v>
      </c>
      <c r="G2137" s="12">
        <v>84.91</v>
      </c>
      <c r="H2137" s="12">
        <v>108.33</v>
      </c>
      <c r="I2137" s="13">
        <f t="shared" si="182"/>
        <v>84.91</v>
      </c>
      <c r="J2137" s="13">
        <f t="shared" si="183"/>
        <v>108.33</v>
      </c>
    </row>
    <row r="2138" spans="1:10" s="1" customFormat="1" ht="25.5" customHeight="1" x14ac:dyDescent="0.2">
      <c r="A2138" s="27" t="s">
        <v>78</v>
      </c>
      <c r="B2138" s="21">
        <v>44448</v>
      </c>
      <c r="C2138" s="806" t="s">
        <v>934</v>
      </c>
      <c r="D2138" s="807"/>
      <c r="E2138" s="11" t="s">
        <v>102</v>
      </c>
      <c r="F2138" s="12">
        <v>2</v>
      </c>
      <c r="G2138" s="12">
        <v>72.77</v>
      </c>
      <c r="H2138" s="12">
        <v>92.84</v>
      </c>
      <c r="I2138" s="13">
        <f t="shared" si="182"/>
        <v>145.54</v>
      </c>
      <c r="J2138" s="13">
        <f t="shared" si="183"/>
        <v>185.68</v>
      </c>
    </row>
    <row r="2139" spans="1:10" s="1" customFormat="1" ht="25.5" customHeight="1" x14ac:dyDescent="0.2">
      <c r="A2139" s="27" t="s">
        <v>78</v>
      </c>
      <c r="B2139" s="34">
        <v>40442</v>
      </c>
      <c r="C2139" s="806" t="s">
        <v>935</v>
      </c>
      <c r="D2139" s="807"/>
      <c r="E2139" s="11" t="s">
        <v>102</v>
      </c>
      <c r="F2139" s="12">
        <v>1</v>
      </c>
      <c r="G2139" s="12">
        <v>72.77</v>
      </c>
      <c r="H2139" s="12">
        <v>92.84</v>
      </c>
      <c r="I2139" s="13">
        <f t="shared" si="182"/>
        <v>72.77</v>
      </c>
      <c r="J2139" s="13">
        <f t="shared" si="183"/>
        <v>92.84</v>
      </c>
    </row>
    <row r="2140" spans="1:10" s="1" customFormat="1" ht="25.5" customHeight="1" x14ac:dyDescent="0.2">
      <c r="A2140" s="22" t="s">
        <v>308</v>
      </c>
      <c r="B2140" s="34">
        <v>40807</v>
      </c>
      <c r="C2140" s="806" t="s">
        <v>936</v>
      </c>
      <c r="D2140" s="807"/>
      <c r="E2140" s="11" t="s">
        <v>102</v>
      </c>
      <c r="F2140" s="12">
        <v>1</v>
      </c>
      <c r="G2140" s="12">
        <v>750</v>
      </c>
      <c r="H2140" s="12">
        <v>956.93</v>
      </c>
      <c r="I2140" s="13">
        <f t="shared" si="182"/>
        <v>750</v>
      </c>
      <c r="J2140" s="13">
        <f t="shared" si="183"/>
        <v>956.93</v>
      </c>
    </row>
    <row r="2141" spans="1:10" s="1" customFormat="1" ht="25.5" customHeight="1" x14ac:dyDescent="0.2">
      <c r="A2141" s="27" t="s">
        <v>937</v>
      </c>
      <c r="B2141" s="34">
        <v>41173</v>
      </c>
      <c r="C2141" s="806" t="s">
        <v>938</v>
      </c>
      <c r="D2141" s="807"/>
      <c r="E2141" s="11" t="s">
        <v>102</v>
      </c>
      <c r="F2141" s="12">
        <v>1</v>
      </c>
      <c r="G2141" s="12">
        <v>397.29</v>
      </c>
      <c r="H2141" s="12">
        <v>506.9</v>
      </c>
      <c r="I2141" s="13">
        <f t="shared" si="182"/>
        <v>397.29</v>
      </c>
      <c r="J2141" s="13">
        <f t="shared" si="183"/>
        <v>506.9</v>
      </c>
    </row>
    <row r="2142" spans="1:10" s="1" customFormat="1" ht="25.5" customHeight="1" x14ac:dyDescent="0.2">
      <c r="A2142" s="27" t="s">
        <v>939</v>
      </c>
      <c r="B2142" s="34">
        <v>41538</v>
      </c>
      <c r="C2142" s="806" t="s">
        <v>940</v>
      </c>
      <c r="D2142" s="807"/>
      <c r="E2142" s="11" t="s">
        <v>102</v>
      </c>
      <c r="F2142" s="12">
        <v>1</v>
      </c>
      <c r="G2142" s="12">
        <v>762.97</v>
      </c>
      <c r="H2142" s="12">
        <v>973.47</v>
      </c>
      <c r="I2142" s="13">
        <f t="shared" si="182"/>
        <v>762.97</v>
      </c>
      <c r="J2142" s="13">
        <f t="shared" si="183"/>
        <v>973.47</v>
      </c>
    </row>
    <row r="2143" spans="1:10" s="1" customFormat="1" ht="25.5" customHeight="1" x14ac:dyDescent="0.2">
      <c r="A2143" s="27" t="s">
        <v>78</v>
      </c>
      <c r="B2143" s="34">
        <v>41903</v>
      </c>
      <c r="C2143" s="806" t="s">
        <v>941</v>
      </c>
      <c r="D2143" s="807"/>
      <c r="E2143" s="11" t="s">
        <v>102</v>
      </c>
      <c r="F2143" s="12">
        <v>57</v>
      </c>
      <c r="G2143" s="12">
        <v>126.31</v>
      </c>
      <c r="H2143" s="12">
        <v>161.15</v>
      </c>
      <c r="I2143" s="13">
        <f t="shared" si="182"/>
        <v>7199.67</v>
      </c>
      <c r="J2143" s="13">
        <f t="shared" si="183"/>
        <v>9185.5500000000011</v>
      </c>
    </row>
    <row r="2144" spans="1:10" s="1" customFormat="1" ht="25.5" customHeight="1" x14ac:dyDescent="0.2">
      <c r="A2144" s="27" t="s">
        <v>78</v>
      </c>
      <c r="B2144" s="34">
        <v>42268</v>
      </c>
      <c r="C2144" s="806" t="s">
        <v>942</v>
      </c>
      <c r="D2144" s="807"/>
      <c r="E2144" s="11" t="s">
        <v>102</v>
      </c>
      <c r="F2144" s="12">
        <v>1</v>
      </c>
      <c r="G2144" s="12">
        <v>157.28</v>
      </c>
      <c r="H2144" s="12">
        <v>200.67</v>
      </c>
      <c r="I2144" s="13">
        <f t="shared" si="182"/>
        <v>157.28</v>
      </c>
      <c r="J2144" s="13">
        <f t="shared" si="183"/>
        <v>200.67</v>
      </c>
    </row>
    <row r="2145" spans="1:10" s="1" customFormat="1" ht="25.5" customHeight="1" x14ac:dyDescent="0.2">
      <c r="A2145" s="27" t="s">
        <v>943</v>
      </c>
      <c r="B2145" s="34">
        <v>42634</v>
      </c>
      <c r="C2145" s="806" t="s">
        <v>944</v>
      </c>
      <c r="D2145" s="807"/>
      <c r="E2145" s="11" t="s">
        <v>102</v>
      </c>
      <c r="F2145" s="12">
        <v>4</v>
      </c>
      <c r="G2145" s="12">
        <v>99.53</v>
      </c>
      <c r="H2145" s="12">
        <v>126.99</v>
      </c>
      <c r="I2145" s="13">
        <f t="shared" si="182"/>
        <v>398.12</v>
      </c>
      <c r="J2145" s="13">
        <f t="shared" si="183"/>
        <v>507.96</v>
      </c>
    </row>
    <row r="2146" spans="1:10" s="1" customFormat="1" ht="25.5" customHeight="1" x14ac:dyDescent="0.2">
      <c r="A2146" s="8"/>
      <c r="B2146" s="803" t="s">
        <v>945</v>
      </c>
      <c r="C2146" s="804"/>
      <c r="D2146" s="804"/>
      <c r="E2146" s="804"/>
      <c r="F2146" s="804"/>
      <c r="G2146" s="805"/>
      <c r="H2146" s="8"/>
      <c r="I2146" s="18">
        <f>SUM(I2130:I2145)</f>
        <v>11279.350000000002</v>
      </c>
      <c r="J2146" s="18">
        <f>SUM(J2130:J2145)</f>
        <v>14390.93</v>
      </c>
    </row>
    <row r="2147" spans="1:10" s="1" customFormat="1" ht="25.5" customHeight="1" x14ac:dyDescent="0.2">
      <c r="A2147" s="8"/>
      <c r="B2147" s="9" t="s">
        <v>946</v>
      </c>
      <c r="C2147" s="808" t="s">
        <v>947</v>
      </c>
      <c r="D2147" s="820"/>
      <c r="E2147" s="820"/>
      <c r="F2147" s="820"/>
      <c r="G2147" s="820"/>
      <c r="H2147" s="820"/>
      <c r="I2147" s="809"/>
      <c r="J2147" s="8"/>
    </row>
    <row r="2148" spans="1:10" s="1" customFormat="1" ht="25.5" customHeight="1" x14ac:dyDescent="0.2">
      <c r="A2148" s="27" t="s">
        <v>948</v>
      </c>
      <c r="B2148" s="25">
        <v>44470</v>
      </c>
      <c r="C2148" s="806" t="s">
        <v>949</v>
      </c>
      <c r="D2148" s="807"/>
      <c r="E2148" s="11" t="s">
        <v>102</v>
      </c>
      <c r="F2148" s="12">
        <v>116</v>
      </c>
      <c r="G2148" s="12">
        <v>63.58</v>
      </c>
      <c r="H2148" s="12">
        <v>81.12</v>
      </c>
      <c r="I2148" s="13">
        <f t="shared" ref="I2148:I2154" si="184">F2148*G2148</f>
        <v>7375.28</v>
      </c>
      <c r="J2148" s="13">
        <f t="shared" ref="J2148:J2154" si="185">F2148*H2148</f>
        <v>9409.92</v>
      </c>
    </row>
    <row r="2149" spans="1:10" s="1" customFormat="1" ht="25.5" customHeight="1" x14ac:dyDescent="0.2">
      <c r="A2149" s="27" t="s">
        <v>950</v>
      </c>
      <c r="B2149" s="25">
        <v>44471</v>
      </c>
      <c r="C2149" s="806" t="s">
        <v>951</v>
      </c>
      <c r="D2149" s="807"/>
      <c r="E2149" s="11" t="s">
        <v>102</v>
      </c>
      <c r="F2149" s="12">
        <v>19</v>
      </c>
      <c r="G2149" s="12">
        <v>102.79</v>
      </c>
      <c r="H2149" s="12">
        <v>131.15</v>
      </c>
      <c r="I2149" s="13">
        <f t="shared" si="184"/>
        <v>1953.0100000000002</v>
      </c>
      <c r="J2149" s="13">
        <f t="shared" si="185"/>
        <v>2491.85</v>
      </c>
    </row>
    <row r="2150" spans="1:10" s="1" customFormat="1" ht="25.5" customHeight="1" x14ac:dyDescent="0.2">
      <c r="A2150" s="19">
        <v>38769</v>
      </c>
      <c r="B2150" s="25">
        <v>44472</v>
      </c>
      <c r="C2150" s="806" t="s">
        <v>952</v>
      </c>
      <c r="D2150" s="807"/>
      <c r="E2150" s="11" t="s">
        <v>102</v>
      </c>
      <c r="F2150" s="12">
        <v>12</v>
      </c>
      <c r="G2150" s="12">
        <v>22.83</v>
      </c>
      <c r="H2150" s="12">
        <v>29.13</v>
      </c>
      <c r="I2150" s="13">
        <f t="shared" si="184"/>
        <v>273.95999999999998</v>
      </c>
      <c r="J2150" s="13">
        <f t="shared" si="185"/>
        <v>349.56</v>
      </c>
    </row>
    <row r="2151" spans="1:10" s="1" customFormat="1" ht="25.5" customHeight="1" x14ac:dyDescent="0.2">
      <c r="A2151" s="19">
        <v>38769</v>
      </c>
      <c r="B2151" s="25">
        <v>44473</v>
      </c>
      <c r="C2151" s="806" t="s">
        <v>953</v>
      </c>
      <c r="D2151" s="807"/>
      <c r="E2151" s="11" t="s">
        <v>102</v>
      </c>
      <c r="F2151" s="12">
        <v>18</v>
      </c>
      <c r="G2151" s="12">
        <v>22.83</v>
      </c>
      <c r="H2151" s="12">
        <v>29.13</v>
      </c>
      <c r="I2151" s="13">
        <f t="shared" si="184"/>
        <v>410.93999999999994</v>
      </c>
      <c r="J2151" s="13">
        <f t="shared" si="185"/>
        <v>524.34</v>
      </c>
    </row>
    <row r="2152" spans="1:10" s="1" customFormat="1" ht="25.5" customHeight="1" x14ac:dyDescent="0.2">
      <c r="A2152" s="27" t="s">
        <v>954</v>
      </c>
      <c r="B2152" s="25">
        <v>44474</v>
      </c>
      <c r="C2152" s="806" t="s">
        <v>955</v>
      </c>
      <c r="D2152" s="807"/>
      <c r="E2152" s="11" t="s">
        <v>102</v>
      </c>
      <c r="F2152" s="12">
        <v>2</v>
      </c>
      <c r="G2152" s="13">
        <v>3877.9</v>
      </c>
      <c r="H2152" s="13">
        <v>4947.82</v>
      </c>
      <c r="I2152" s="13">
        <f t="shared" si="184"/>
        <v>7755.8</v>
      </c>
      <c r="J2152" s="13">
        <f t="shared" si="185"/>
        <v>9895.64</v>
      </c>
    </row>
    <row r="2153" spans="1:10" s="1" customFormat="1" ht="25.5" customHeight="1" x14ac:dyDescent="0.2">
      <c r="A2153" s="27" t="s">
        <v>956</v>
      </c>
      <c r="B2153" s="25">
        <v>44475</v>
      </c>
      <c r="C2153" s="806" t="s">
        <v>957</v>
      </c>
      <c r="D2153" s="807"/>
      <c r="E2153" s="11" t="s">
        <v>102</v>
      </c>
      <c r="F2153" s="12">
        <v>4</v>
      </c>
      <c r="G2153" s="13">
        <v>2717.21</v>
      </c>
      <c r="H2153" s="13">
        <v>3466.89</v>
      </c>
      <c r="I2153" s="13">
        <f t="shared" si="184"/>
        <v>10868.84</v>
      </c>
      <c r="J2153" s="13">
        <f t="shared" si="185"/>
        <v>13867.56</v>
      </c>
    </row>
    <row r="2154" spans="1:10" s="1" customFormat="1" ht="25.5" customHeight="1" x14ac:dyDescent="0.2">
      <c r="A2154" s="45" t="s">
        <v>308</v>
      </c>
      <c r="B2154" s="37">
        <v>44476</v>
      </c>
      <c r="C2154" s="806" t="s">
        <v>958</v>
      </c>
      <c r="D2154" s="807"/>
      <c r="E2154" s="31" t="s">
        <v>102</v>
      </c>
      <c r="F2154" s="32">
        <v>5</v>
      </c>
      <c r="G2154" s="32">
        <v>135.36000000000001</v>
      </c>
      <c r="H2154" s="32">
        <v>172.71</v>
      </c>
      <c r="I2154" s="13">
        <f t="shared" si="184"/>
        <v>676.80000000000007</v>
      </c>
      <c r="J2154" s="13">
        <f t="shared" si="185"/>
        <v>863.55000000000007</v>
      </c>
    </row>
    <row r="2155" spans="1:10" s="1" customFormat="1" ht="25.5" customHeight="1" x14ac:dyDescent="0.2">
      <c r="A2155" s="8"/>
      <c r="B2155" s="803" t="s">
        <v>959</v>
      </c>
      <c r="C2155" s="804"/>
      <c r="D2155" s="804"/>
      <c r="E2155" s="804"/>
      <c r="F2155" s="804"/>
      <c r="G2155" s="805"/>
      <c r="H2155" s="8"/>
      <c r="I2155" s="18">
        <f>SUM(I2148:I2154)</f>
        <v>29314.63</v>
      </c>
      <c r="J2155" s="18">
        <f>SUM(J2148:J2154)</f>
        <v>37402.42</v>
      </c>
    </row>
    <row r="2156" spans="1:10" s="1" customFormat="1" ht="25.5" customHeight="1" x14ac:dyDescent="0.2">
      <c r="A2156" s="8"/>
      <c r="B2156" s="9" t="s">
        <v>960</v>
      </c>
      <c r="C2156" s="808" t="s">
        <v>961</v>
      </c>
      <c r="D2156" s="809"/>
      <c r="E2156" s="8"/>
      <c r="F2156" s="8"/>
      <c r="G2156" s="8"/>
      <c r="H2156" s="8"/>
      <c r="I2156" s="8"/>
      <c r="J2156" s="8"/>
    </row>
    <row r="2157" spans="1:10" s="1" customFormat="1" ht="25.5" customHeight="1" x14ac:dyDescent="0.2">
      <c r="A2157" s="19">
        <v>38112</v>
      </c>
      <c r="B2157" s="25">
        <v>44501</v>
      </c>
      <c r="C2157" s="806" t="s">
        <v>962</v>
      </c>
      <c r="D2157" s="807"/>
      <c r="E2157" s="11" t="s">
        <v>102</v>
      </c>
      <c r="F2157" s="12">
        <v>1</v>
      </c>
      <c r="G2157" s="12">
        <v>5.53</v>
      </c>
      <c r="H2157" s="12">
        <v>7.06</v>
      </c>
      <c r="I2157" s="13">
        <f t="shared" ref="I2157:I2169" si="186">F2157*G2157</f>
        <v>5.53</v>
      </c>
      <c r="J2157" s="13">
        <f t="shared" ref="J2157:J2169" si="187">F2157*H2157</f>
        <v>7.06</v>
      </c>
    </row>
    <row r="2158" spans="1:10" s="1" customFormat="1" ht="25.5" customHeight="1" x14ac:dyDescent="0.2">
      <c r="A2158" s="19">
        <v>38112</v>
      </c>
      <c r="B2158" s="25">
        <v>44502</v>
      </c>
      <c r="C2158" s="806" t="s">
        <v>963</v>
      </c>
      <c r="D2158" s="807"/>
      <c r="E2158" s="11" t="s">
        <v>102</v>
      </c>
      <c r="F2158" s="12">
        <v>49</v>
      </c>
      <c r="G2158" s="12">
        <v>5.53</v>
      </c>
      <c r="H2158" s="12">
        <v>7.06</v>
      </c>
      <c r="I2158" s="13">
        <f t="shared" si="186"/>
        <v>270.97000000000003</v>
      </c>
      <c r="J2158" s="13">
        <f t="shared" si="187"/>
        <v>345.94</v>
      </c>
    </row>
    <row r="2159" spans="1:10" s="1" customFormat="1" ht="25.5" customHeight="1" x14ac:dyDescent="0.2">
      <c r="A2159" s="19">
        <v>38079</v>
      </c>
      <c r="B2159" s="25">
        <v>44503</v>
      </c>
      <c r="C2159" s="806" t="s">
        <v>964</v>
      </c>
      <c r="D2159" s="807"/>
      <c r="E2159" s="11" t="s">
        <v>102</v>
      </c>
      <c r="F2159" s="12">
        <v>2</v>
      </c>
      <c r="G2159" s="12">
        <v>17.579999999999998</v>
      </c>
      <c r="H2159" s="12">
        <v>22.43</v>
      </c>
      <c r="I2159" s="13">
        <f t="shared" si="186"/>
        <v>35.159999999999997</v>
      </c>
      <c r="J2159" s="13">
        <f t="shared" si="187"/>
        <v>44.86</v>
      </c>
    </row>
    <row r="2160" spans="1:10" s="1" customFormat="1" ht="25.5" customHeight="1" x14ac:dyDescent="0.2">
      <c r="A2160" s="19">
        <v>38071</v>
      </c>
      <c r="B2160" s="25">
        <v>44504</v>
      </c>
      <c r="C2160" s="806" t="s">
        <v>965</v>
      </c>
      <c r="D2160" s="807"/>
      <c r="E2160" s="11" t="s">
        <v>102</v>
      </c>
      <c r="F2160" s="12">
        <v>5</v>
      </c>
      <c r="G2160" s="12">
        <v>13.94</v>
      </c>
      <c r="H2160" s="12">
        <v>17.79</v>
      </c>
      <c r="I2160" s="13">
        <f t="shared" si="186"/>
        <v>69.7</v>
      </c>
      <c r="J2160" s="13">
        <f t="shared" si="187"/>
        <v>88.949999999999989</v>
      </c>
    </row>
    <row r="2161" spans="1:10" s="1" customFormat="1" ht="25.5" customHeight="1" x14ac:dyDescent="0.2">
      <c r="A2161" s="19">
        <v>38070</v>
      </c>
      <c r="B2161" s="25">
        <v>44505</v>
      </c>
      <c r="C2161" s="806" t="s">
        <v>966</v>
      </c>
      <c r="D2161" s="807"/>
      <c r="E2161" s="11" t="s">
        <v>102</v>
      </c>
      <c r="F2161" s="12">
        <v>2</v>
      </c>
      <c r="G2161" s="12">
        <v>13.47</v>
      </c>
      <c r="H2161" s="12">
        <v>17.190000000000001</v>
      </c>
      <c r="I2161" s="13">
        <f t="shared" si="186"/>
        <v>26.94</v>
      </c>
      <c r="J2161" s="13">
        <f t="shared" si="187"/>
        <v>34.380000000000003</v>
      </c>
    </row>
    <row r="2162" spans="1:10" s="1" customFormat="1" ht="25.5" customHeight="1" x14ac:dyDescent="0.2">
      <c r="A2162" s="19">
        <v>38070</v>
      </c>
      <c r="B2162" s="25">
        <v>44506</v>
      </c>
      <c r="C2162" s="806" t="s">
        <v>967</v>
      </c>
      <c r="D2162" s="807"/>
      <c r="E2162" s="11" t="s">
        <v>102</v>
      </c>
      <c r="F2162" s="12">
        <v>18</v>
      </c>
      <c r="G2162" s="12">
        <v>13.47</v>
      </c>
      <c r="H2162" s="12">
        <v>17.190000000000001</v>
      </c>
      <c r="I2162" s="13">
        <f t="shared" si="186"/>
        <v>242.46</v>
      </c>
      <c r="J2162" s="13">
        <f t="shared" si="187"/>
        <v>309.42</v>
      </c>
    </row>
    <row r="2163" spans="1:10" s="1" customFormat="1" ht="25.5" customHeight="1" x14ac:dyDescent="0.2">
      <c r="A2163" s="19">
        <v>38074</v>
      </c>
      <c r="B2163" s="25">
        <v>44507</v>
      </c>
      <c r="C2163" s="806" t="s">
        <v>968</v>
      </c>
      <c r="D2163" s="807"/>
      <c r="E2163" s="11" t="s">
        <v>102</v>
      </c>
      <c r="F2163" s="12">
        <v>2</v>
      </c>
      <c r="G2163" s="12">
        <v>20.48</v>
      </c>
      <c r="H2163" s="12">
        <v>26.13</v>
      </c>
      <c r="I2163" s="13">
        <f t="shared" si="186"/>
        <v>40.96</v>
      </c>
      <c r="J2163" s="13">
        <f t="shared" si="187"/>
        <v>52.26</v>
      </c>
    </row>
    <row r="2164" spans="1:10" s="1" customFormat="1" ht="25.5" customHeight="1" x14ac:dyDescent="0.2">
      <c r="A2164" s="22" t="s">
        <v>308</v>
      </c>
      <c r="B2164" s="25">
        <v>44508</v>
      </c>
      <c r="C2164" s="806" t="s">
        <v>969</v>
      </c>
      <c r="D2164" s="807"/>
      <c r="E2164" s="11" t="s">
        <v>102</v>
      </c>
      <c r="F2164" s="12">
        <v>1</v>
      </c>
      <c r="G2164" s="12">
        <v>3.9</v>
      </c>
      <c r="H2164" s="12">
        <v>4.9800000000000004</v>
      </c>
      <c r="I2164" s="13">
        <f t="shared" si="186"/>
        <v>3.9</v>
      </c>
      <c r="J2164" s="13">
        <f t="shared" si="187"/>
        <v>4.9800000000000004</v>
      </c>
    </row>
    <row r="2165" spans="1:10" s="1" customFormat="1" ht="25.5" customHeight="1" x14ac:dyDescent="0.2">
      <c r="A2165" s="19">
        <v>38108</v>
      </c>
      <c r="B2165" s="25">
        <v>44509</v>
      </c>
      <c r="C2165" s="806" t="s">
        <v>970</v>
      </c>
      <c r="D2165" s="807"/>
      <c r="E2165" s="11" t="s">
        <v>102</v>
      </c>
      <c r="F2165" s="12">
        <v>6</v>
      </c>
      <c r="G2165" s="12">
        <v>38.54</v>
      </c>
      <c r="H2165" s="12">
        <v>49.17</v>
      </c>
      <c r="I2165" s="13">
        <f t="shared" si="186"/>
        <v>231.24</v>
      </c>
      <c r="J2165" s="13">
        <f t="shared" si="187"/>
        <v>295.02</v>
      </c>
    </row>
    <row r="2166" spans="1:10" s="1" customFormat="1" ht="25.5" customHeight="1" x14ac:dyDescent="0.2">
      <c r="A2166" s="19">
        <v>38092</v>
      </c>
      <c r="B2166" s="38">
        <v>40503</v>
      </c>
      <c r="C2166" s="806" t="s">
        <v>971</v>
      </c>
      <c r="D2166" s="807"/>
      <c r="E2166" s="11" t="s">
        <v>102</v>
      </c>
      <c r="F2166" s="12">
        <v>49</v>
      </c>
      <c r="G2166" s="12">
        <v>1.85</v>
      </c>
      <c r="H2166" s="12">
        <v>2.36</v>
      </c>
      <c r="I2166" s="13">
        <f t="shared" si="186"/>
        <v>90.65</v>
      </c>
      <c r="J2166" s="13">
        <f t="shared" si="187"/>
        <v>115.64</v>
      </c>
    </row>
    <row r="2167" spans="1:10" s="1" customFormat="1" ht="25.5" customHeight="1" x14ac:dyDescent="0.2">
      <c r="A2167" s="19">
        <v>38093</v>
      </c>
      <c r="B2167" s="38">
        <v>40868</v>
      </c>
      <c r="C2167" s="806" t="s">
        <v>972</v>
      </c>
      <c r="D2167" s="807"/>
      <c r="E2167" s="11" t="s">
        <v>102</v>
      </c>
      <c r="F2167" s="12">
        <v>20</v>
      </c>
      <c r="G2167" s="12">
        <v>1.91</v>
      </c>
      <c r="H2167" s="12">
        <v>2.44</v>
      </c>
      <c r="I2167" s="13">
        <f t="shared" si="186"/>
        <v>38.199999999999996</v>
      </c>
      <c r="J2167" s="13">
        <f t="shared" si="187"/>
        <v>48.8</v>
      </c>
    </row>
    <row r="2168" spans="1:10" s="1" customFormat="1" ht="25.5" customHeight="1" x14ac:dyDescent="0.2">
      <c r="A2168" s="19">
        <v>38094</v>
      </c>
      <c r="B2168" s="38">
        <v>41234</v>
      </c>
      <c r="C2168" s="806" t="s">
        <v>973</v>
      </c>
      <c r="D2168" s="807"/>
      <c r="E2168" s="11" t="s">
        <v>102</v>
      </c>
      <c r="F2168" s="12">
        <v>5</v>
      </c>
      <c r="G2168" s="12">
        <v>2.34</v>
      </c>
      <c r="H2168" s="12">
        <v>2.99</v>
      </c>
      <c r="I2168" s="13">
        <f t="shared" si="186"/>
        <v>11.7</v>
      </c>
      <c r="J2168" s="13">
        <f t="shared" si="187"/>
        <v>14.950000000000001</v>
      </c>
    </row>
    <row r="2169" spans="1:10" s="1" customFormat="1" ht="25.5" customHeight="1" x14ac:dyDescent="0.2">
      <c r="A2169" s="19">
        <v>38097</v>
      </c>
      <c r="B2169" s="38">
        <v>41599</v>
      </c>
      <c r="C2169" s="806" t="s">
        <v>974</v>
      </c>
      <c r="D2169" s="807"/>
      <c r="E2169" s="11" t="s">
        <v>102</v>
      </c>
      <c r="F2169" s="12">
        <v>1</v>
      </c>
      <c r="G2169" s="12">
        <v>4.76</v>
      </c>
      <c r="H2169" s="12">
        <v>6.07</v>
      </c>
      <c r="I2169" s="13">
        <f t="shared" si="186"/>
        <v>4.76</v>
      </c>
      <c r="J2169" s="13">
        <f t="shared" si="187"/>
        <v>6.07</v>
      </c>
    </row>
    <row r="2170" spans="1:10" s="1" customFormat="1" ht="25.5" customHeight="1" x14ac:dyDescent="0.2">
      <c r="A2170" s="8"/>
      <c r="B2170" s="803" t="s">
        <v>975</v>
      </c>
      <c r="C2170" s="804"/>
      <c r="D2170" s="804"/>
      <c r="E2170" s="804"/>
      <c r="F2170" s="804"/>
      <c r="G2170" s="805"/>
      <c r="H2170" s="8"/>
      <c r="I2170" s="18">
        <f>SUM(I2157:I2169)</f>
        <v>1072.17</v>
      </c>
      <c r="J2170" s="18">
        <f>SUM(J2157:J2169)</f>
        <v>1368.3300000000002</v>
      </c>
    </row>
    <row r="2171" spans="1:10" s="1" customFormat="1" ht="25.5" customHeight="1" x14ac:dyDescent="0.2">
      <c r="A2171" s="8"/>
      <c r="B2171" s="9" t="s">
        <v>976</v>
      </c>
      <c r="C2171" s="808" t="s">
        <v>977</v>
      </c>
      <c r="D2171" s="820"/>
      <c r="E2171" s="820"/>
      <c r="F2171" s="820"/>
      <c r="G2171" s="820"/>
      <c r="H2171" s="820"/>
      <c r="I2171" s="809"/>
      <c r="J2171" s="8"/>
    </row>
    <row r="2172" spans="1:10" s="1" customFormat="1" ht="25.5" customHeight="1" x14ac:dyDescent="0.2">
      <c r="A2172" s="19">
        <v>38075</v>
      </c>
      <c r="B2172" s="25">
        <v>44531</v>
      </c>
      <c r="C2172" s="806" t="s">
        <v>978</v>
      </c>
      <c r="D2172" s="807"/>
      <c r="E2172" s="11" t="s">
        <v>102</v>
      </c>
      <c r="F2172" s="12">
        <v>14</v>
      </c>
      <c r="G2172" s="12">
        <v>12.82</v>
      </c>
      <c r="H2172" s="12">
        <v>16.36</v>
      </c>
      <c r="I2172" s="13">
        <f t="shared" ref="I2172:I2177" si="188">F2172*G2172</f>
        <v>179.48000000000002</v>
      </c>
      <c r="J2172" s="13">
        <f t="shared" ref="J2172:J2177" si="189">F2172*H2172</f>
        <v>229.04</v>
      </c>
    </row>
    <row r="2173" spans="1:10" s="1" customFormat="1" ht="25.5" customHeight="1" x14ac:dyDescent="0.2">
      <c r="A2173" s="22" t="s">
        <v>308</v>
      </c>
      <c r="B2173" s="25">
        <v>44532</v>
      </c>
      <c r="C2173" s="806" t="s">
        <v>979</v>
      </c>
      <c r="D2173" s="807"/>
      <c r="E2173" s="11" t="s">
        <v>102</v>
      </c>
      <c r="F2173" s="12">
        <v>7</v>
      </c>
      <c r="G2173" s="12">
        <v>3.9</v>
      </c>
      <c r="H2173" s="12">
        <v>4.9800000000000004</v>
      </c>
      <c r="I2173" s="13">
        <f t="shared" si="188"/>
        <v>27.3</v>
      </c>
      <c r="J2173" s="13">
        <f t="shared" si="189"/>
        <v>34.86</v>
      </c>
    </row>
    <row r="2174" spans="1:10" s="1" customFormat="1" ht="25.5" customHeight="1" x14ac:dyDescent="0.2">
      <c r="A2174" s="27" t="s">
        <v>980</v>
      </c>
      <c r="B2174" s="25">
        <v>44533</v>
      </c>
      <c r="C2174" s="806" t="s">
        <v>981</v>
      </c>
      <c r="D2174" s="807"/>
      <c r="E2174" s="11" t="s">
        <v>102</v>
      </c>
      <c r="F2174" s="12">
        <v>191</v>
      </c>
      <c r="G2174" s="12">
        <v>16.91</v>
      </c>
      <c r="H2174" s="12">
        <v>21.58</v>
      </c>
      <c r="I2174" s="13">
        <f t="shared" si="188"/>
        <v>3229.81</v>
      </c>
      <c r="J2174" s="13">
        <f t="shared" si="189"/>
        <v>4121.78</v>
      </c>
    </row>
    <row r="2175" spans="1:10" s="1" customFormat="1" ht="25.5" customHeight="1" x14ac:dyDescent="0.2">
      <c r="A2175" s="27" t="s">
        <v>982</v>
      </c>
      <c r="B2175" s="25">
        <v>44534</v>
      </c>
      <c r="C2175" s="806" t="s">
        <v>983</v>
      </c>
      <c r="D2175" s="807"/>
      <c r="E2175" s="11" t="s">
        <v>102</v>
      </c>
      <c r="F2175" s="12">
        <v>8</v>
      </c>
      <c r="G2175" s="12">
        <v>36.520000000000003</v>
      </c>
      <c r="H2175" s="12">
        <v>46.6</v>
      </c>
      <c r="I2175" s="13">
        <f t="shared" si="188"/>
        <v>292.16000000000003</v>
      </c>
      <c r="J2175" s="13">
        <f t="shared" si="189"/>
        <v>372.8</v>
      </c>
    </row>
    <row r="2176" spans="1:10" s="1" customFormat="1" ht="25.5" customHeight="1" x14ac:dyDescent="0.2">
      <c r="A2176" s="19">
        <v>38093</v>
      </c>
      <c r="B2176" s="25">
        <v>44535</v>
      </c>
      <c r="C2176" s="806" t="s">
        <v>984</v>
      </c>
      <c r="D2176" s="807"/>
      <c r="E2176" s="11" t="s">
        <v>102</v>
      </c>
      <c r="F2176" s="12">
        <v>191</v>
      </c>
      <c r="G2176" s="12">
        <v>1.91</v>
      </c>
      <c r="H2176" s="12">
        <v>2.44</v>
      </c>
      <c r="I2176" s="13">
        <f t="shared" si="188"/>
        <v>364.81</v>
      </c>
      <c r="J2176" s="13">
        <f t="shared" si="189"/>
        <v>466.03999999999996</v>
      </c>
    </row>
    <row r="2177" spans="1:10" s="1" customFormat="1" ht="25.5" customHeight="1" x14ac:dyDescent="0.2">
      <c r="A2177" s="19">
        <v>38091</v>
      </c>
      <c r="B2177" s="25">
        <v>44536</v>
      </c>
      <c r="C2177" s="806" t="s">
        <v>985</v>
      </c>
      <c r="D2177" s="807"/>
      <c r="E2177" s="11" t="s">
        <v>102</v>
      </c>
      <c r="F2177" s="12">
        <v>28</v>
      </c>
      <c r="G2177" s="12">
        <v>1.95</v>
      </c>
      <c r="H2177" s="12">
        <v>2.4900000000000002</v>
      </c>
      <c r="I2177" s="13">
        <f t="shared" si="188"/>
        <v>54.6</v>
      </c>
      <c r="J2177" s="13">
        <f t="shared" si="189"/>
        <v>69.72</v>
      </c>
    </row>
    <row r="2178" spans="1:10" s="1" customFormat="1" ht="25.5" customHeight="1" x14ac:dyDescent="0.2">
      <c r="A2178" s="8"/>
      <c r="B2178" s="803" t="s">
        <v>986</v>
      </c>
      <c r="C2178" s="804"/>
      <c r="D2178" s="804"/>
      <c r="E2178" s="804"/>
      <c r="F2178" s="804"/>
      <c r="G2178" s="805"/>
      <c r="H2178" s="8"/>
      <c r="I2178" s="18">
        <f>SUM(I2172:I2177)</f>
        <v>4148.16</v>
      </c>
      <c r="J2178" s="18">
        <f>SUM(J2172:J2177)</f>
        <v>5294.24</v>
      </c>
    </row>
    <row r="2179" spans="1:10" s="1" customFormat="1" ht="25.5" customHeight="1" x14ac:dyDescent="0.2">
      <c r="A2179" s="8"/>
      <c r="B2179" s="9" t="s">
        <v>987</v>
      </c>
      <c r="C2179" s="808" t="s">
        <v>988</v>
      </c>
      <c r="D2179" s="820"/>
      <c r="E2179" s="820"/>
      <c r="F2179" s="820"/>
      <c r="G2179" s="820"/>
      <c r="H2179" s="820"/>
      <c r="I2179" s="809"/>
      <c r="J2179" s="8"/>
    </row>
    <row r="2180" spans="1:10" s="1" customFormat="1" ht="25.5" customHeight="1" x14ac:dyDescent="0.2">
      <c r="A2180" s="27" t="s">
        <v>989</v>
      </c>
      <c r="B2180" s="11" t="s">
        <v>990</v>
      </c>
      <c r="C2180" s="806" t="s">
        <v>991</v>
      </c>
      <c r="D2180" s="807"/>
      <c r="E2180" s="11" t="s">
        <v>102</v>
      </c>
      <c r="F2180" s="12">
        <v>64</v>
      </c>
      <c r="G2180" s="12">
        <v>3.46</v>
      </c>
      <c r="H2180" s="12">
        <v>4.41</v>
      </c>
      <c r="I2180" s="13">
        <f t="shared" ref="I2180:I2185" si="190">F2180*G2180</f>
        <v>221.44</v>
      </c>
      <c r="J2180" s="13">
        <f t="shared" ref="J2180:J2185" si="191">F2180*H2180</f>
        <v>282.24</v>
      </c>
    </row>
    <row r="2181" spans="1:10" s="1" customFormat="1" ht="25.5" customHeight="1" x14ac:dyDescent="0.2">
      <c r="A2181" s="19">
        <v>11950</v>
      </c>
      <c r="B2181" s="11" t="s">
        <v>992</v>
      </c>
      <c r="C2181" s="806" t="s">
        <v>993</v>
      </c>
      <c r="D2181" s="807"/>
      <c r="E2181" s="11" t="s">
        <v>102</v>
      </c>
      <c r="F2181" s="13">
        <v>1200</v>
      </c>
      <c r="G2181" s="12">
        <v>0.14000000000000001</v>
      </c>
      <c r="H2181" s="12">
        <v>0.18</v>
      </c>
      <c r="I2181" s="13">
        <f t="shared" si="190"/>
        <v>168.00000000000003</v>
      </c>
      <c r="J2181" s="13">
        <f t="shared" si="191"/>
        <v>216</v>
      </c>
    </row>
    <row r="2182" spans="1:10" s="1" customFormat="1" ht="25.5" customHeight="1" x14ac:dyDescent="0.2">
      <c r="A2182" s="22" t="s">
        <v>308</v>
      </c>
      <c r="B2182" s="11" t="s">
        <v>994</v>
      </c>
      <c r="C2182" s="806" t="s">
        <v>995</v>
      </c>
      <c r="D2182" s="807"/>
      <c r="E2182" s="11" t="s">
        <v>102</v>
      </c>
      <c r="F2182" s="12">
        <v>32</v>
      </c>
      <c r="G2182" s="12">
        <v>4.9000000000000004</v>
      </c>
      <c r="H2182" s="12">
        <v>6.25</v>
      </c>
      <c r="I2182" s="13">
        <f t="shared" si="190"/>
        <v>156.80000000000001</v>
      </c>
      <c r="J2182" s="13">
        <f t="shared" si="191"/>
        <v>200</v>
      </c>
    </row>
    <row r="2183" spans="1:10" s="1" customFormat="1" ht="25.5" customHeight="1" x14ac:dyDescent="0.2">
      <c r="A2183" s="22" t="s">
        <v>308</v>
      </c>
      <c r="B2183" s="11" t="s">
        <v>996</v>
      </c>
      <c r="C2183" s="806" t="s">
        <v>997</v>
      </c>
      <c r="D2183" s="807"/>
      <c r="E2183" s="11" t="s">
        <v>102</v>
      </c>
      <c r="F2183" s="12">
        <v>32</v>
      </c>
      <c r="G2183" s="12">
        <v>17</v>
      </c>
      <c r="H2183" s="12">
        <v>21.69</v>
      </c>
      <c r="I2183" s="13">
        <f t="shared" si="190"/>
        <v>544</v>
      </c>
      <c r="J2183" s="13">
        <f t="shared" si="191"/>
        <v>694.08</v>
      </c>
    </row>
    <row r="2184" spans="1:10" s="1" customFormat="1" ht="25.5" customHeight="1" x14ac:dyDescent="0.2">
      <c r="A2184" s="19">
        <v>39997</v>
      </c>
      <c r="B2184" s="11" t="s">
        <v>998</v>
      </c>
      <c r="C2184" s="806" t="s">
        <v>999</v>
      </c>
      <c r="D2184" s="807"/>
      <c r="E2184" s="11" t="s">
        <v>102</v>
      </c>
      <c r="F2184" s="12">
        <v>300</v>
      </c>
      <c r="G2184" s="12">
        <v>0.14000000000000001</v>
      </c>
      <c r="H2184" s="12">
        <v>0.18</v>
      </c>
      <c r="I2184" s="13">
        <f t="shared" si="190"/>
        <v>42.000000000000007</v>
      </c>
      <c r="J2184" s="13">
        <f t="shared" si="191"/>
        <v>54</v>
      </c>
    </row>
    <row r="2185" spans="1:10" s="1" customFormat="1" ht="25.5" customHeight="1" x14ac:dyDescent="0.2">
      <c r="A2185" s="19">
        <v>39996</v>
      </c>
      <c r="B2185" s="11" t="s">
        <v>1000</v>
      </c>
      <c r="C2185" s="806" t="s">
        <v>1001</v>
      </c>
      <c r="D2185" s="807"/>
      <c r="E2185" s="11" t="s">
        <v>81</v>
      </c>
      <c r="F2185" s="12">
        <v>120</v>
      </c>
      <c r="G2185" s="12">
        <v>2.35</v>
      </c>
      <c r="H2185" s="12">
        <v>3</v>
      </c>
      <c r="I2185" s="13">
        <f t="shared" si="190"/>
        <v>282</v>
      </c>
      <c r="J2185" s="13">
        <f t="shared" si="191"/>
        <v>360</v>
      </c>
    </row>
    <row r="2186" spans="1:10" s="1" customFormat="1" ht="25.5" customHeight="1" x14ac:dyDescent="0.2">
      <c r="A2186" s="8"/>
      <c r="B2186" s="803" t="s">
        <v>1002</v>
      </c>
      <c r="C2186" s="804"/>
      <c r="D2186" s="804"/>
      <c r="E2186" s="804"/>
      <c r="F2186" s="804"/>
      <c r="G2186" s="805"/>
      <c r="H2186" s="8"/>
      <c r="I2186" s="18">
        <f>SUM(I2180:I2185)</f>
        <v>1414.24</v>
      </c>
      <c r="J2186" s="18">
        <f>SUM(J2180:J2185)</f>
        <v>1806.3200000000002</v>
      </c>
    </row>
    <row r="2187" spans="1:10" s="1" customFormat="1" ht="25.5" customHeight="1" x14ac:dyDescent="0.2">
      <c r="A2187" s="8"/>
      <c r="B2187" s="9" t="s">
        <v>1003</v>
      </c>
      <c r="C2187" s="808" t="s">
        <v>1004</v>
      </c>
      <c r="D2187" s="820"/>
      <c r="E2187" s="820"/>
      <c r="F2187" s="820"/>
      <c r="G2187" s="820"/>
      <c r="H2187" s="820"/>
      <c r="I2187" s="809"/>
      <c r="J2187" s="8"/>
    </row>
    <row r="2188" spans="1:10" s="1" customFormat="1" ht="25.5" customHeight="1" x14ac:dyDescent="0.2">
      <c r="A2188" s="8"/>
      <c r="B2188" s="9" t="s">
        <v>1005</v>
      </c>
      <c r="C2188" s="808" t="s">
        <v>1006</v>
      </c>
      <c r="D2188" s="820"/>
      <c r="E2188" s="820"/>
      <c r="F2188" s="820"/>
      <c r="G2188" s="820"/>
      <c r="H2188" s="820"/>
      <c r="I2188" s="809"/>
      <c r="J2188" s="8"/>
    </row>
    <row r="2189" spans="1:10" s="1" customFormat="1" ht="25.5" customHeight="1" x14ac:dyDescent="0.2">
      <c r="A2189" s="19">
        <v>4274</v>
      </c>
      <c r="B2189" s="11" t="s">
        <v>1007</v>
      </c>
      <c r="C2189" s="806" t="s">
        <v>1008</v>
      </c>
      <c r="D2189" s="807"/>
      <c r="E2189" s="11" t="s">
        <v>1009</v>
      </c>
      <c r="F2189" s="12">
        <v>1</v>
      </c>
      <c r="G2189" s="12">
        <v>72.459999999999994</v>
      </c>
      <c r="H2189" s="12">
        <v>92.45</v>
      </c>
      <c r="I2189" s="13">
        <f>F2189*G2189</f>
        <v>72.459999999999994</v>
      </c>
      <c r="J2189" s="13">
        <f>F2189*H2189</f>
        <v>92.45</v>
      </c>
    </row>
    <row r="2190" spans="1:10" s="1" customFormat="1" ht="25.5" customHeight="1" x14ac:dyDescent="0.2">
      <c r="A2190" s="24">
        <v>863</v>
      </c>
      <c r="B2190" s="11" t="s">
        <v>1010</v>
      </c>
      <c r="C2190" s="806" t="s">
        <v>1011</v>
      </c>
      <c r="D2190" s="807"/>
      <c r="E2190" s="11" t="s">
        <v>81</v>
      </c>
      <c r="F2190" s="12">
        <v>600</v>
      </c>
      <c r="G2190" s="12">
        <v>13.97</v>
      </c>
      <c r="H2190" s="12">
        <v>17.82</v>
      </c>
      <c r="I2190" s="13">
        <f>F2190*G2190</f>
        <v>8382</v>
      </c>
      <c r="J2190" s="13">
        <f>F2190*H2190</f>
        <v>10692</v>
      </c>
    </row>
    <row r="2191" spans="1:10" s="1" customFormat="1" ht="25.5" customHeight="1" x14ac:dyDescent="0.2">
      <c r="A2191" s="27" t="s">
        <v>1012</v>
      </c>
      <c r="B2191" s="11" t="s">
        <v>1013</v>
      </c>
      <c r="C2191" s="806" t="s">
        <v>1014</v>
      </c>
      <c r="D2191" s="807"/>
      <c r="E2191" s="11" t="s">
        <v>1009</v>
      </c>
      <c r="F2191" s="12">
        <v>12</v>
      </c>
      <c r="G2191" s="12">
        <v>61.88</v>
      </c>
      <c r="H2191" s="12">
        <v>78.959999999999994</v>
      </c>
      <c r="I2191" s="13">
        <f>F2191*G2191</f>
        <v>742.56000000000006</v>
      </c>
      <c r="J2191" s="13">
        <f>F2191*H2191</f>
        <v>947.52</v>
      </c>
    </row>
    <row r="2192" spans="1:10" s="1" customFormat="1" ht="25.5" customHeight="1" x14ac:dyDescent="0.2">
      <c r="A2192" s="8"/>
      <c r="B2192" s="9" t="s">
        <v>1015</v>
      </c>
      <c r="C2192" s="808" t="s">
        <v>1016</v>
      </c>
      <c r="D2192" s="809"/>
      <c r="E2192" s="8"/>
      <c r="F2192" s="8"/>
      <c r="G2192" s="8"/>
      <c r="H2192" s="8"/>
      <c r="I2192" s="8"/>
      <c r="J2192" s="8"/>
    </row>
    <row r="2193" spans="1:10" s="1" customFormat="1" ht="25.5" customHeight="1" x14ac:dyDescent="0.2">
      <c r="A2193" s="22" t="s">
        <v>308</v>
      </c>
      <c r="B2193" s="11" t="s">
        <v>1017</v>
      </c>
      <c r="C2193" s="806" t="s">
        <v>1018</v>
      </c>
      <c r="D2193" s="807"/>
      <c r="E2193" s="11" t="s">
        <v>1009</v>
      </c>
      <c r="F2193" s="12">
        <v>2</v>
      </c>
      <c r="G2193" s="12">
        <v>4.3899999999999997</v>
      </c>
      <c r="H2193" s="12">
        <v>5.6</v>
      </c>
      <c r="I2193" s="13">
        <f>F2193*G2193</f>
        <v>8.7799999999999994</v>
      </c>
      <c r="J2193" s="13">
        <f>F2193*H2193</f>
        <v>11.2</v>
      </c>
    </row>
    <row r="2194" spans="1:10" s="1" customFormat="1" ht="25.5" customHeight="1" x14ac:dyDescent="0.2">
      <c r="A2194" s="27" t="s">
        <v>1019</v>
      </c>
      <c r="B2194" s="11" t="s">
        <v>1020</v>
      </c>
      <c r="C2194" s="806" t="s">
        <v>1021</v>
      </c>
      <c r="D2194" s="807"/>
      <c r="E2194" s="11" t="s">
        <v>1009</v>
      </c>
      <c r="F2194" s="12">
        <v>40</v>
      </c>
      <c r="G2194" s="12">
        <v>5.64</v>
      </c>
      <c r="H2194" s="12">
        <v>7.2</v>
      </c>
      <c r="I2194" s="13">
        <f>F2194*G2194</f>
        <v>225.6</v>
      </c>
      <c r="J2194" s="13">
        <f>F2194*H2194</f>
        <v>288</v>
      </c>
    </row>
    <row r="2195" spans="1:10" s="1" customFormat="1" ht="25.5" customHeight="1" x14ac:dyDescent="0.2">
      <c r="A2195" s="22" t="s">
        <v>308</v>
      </c>
      <c r="B2195" s="11" t="s">
        <v>1022</v>
      </c>
      <c r="C2195" s="806" t="s">
        <v>1023</v>
      </c>
      <c r="D2195" s="807"/>
      <c r="E2195" s="11" t="s">
        <v>1009</v>
      </c>
      <c r="F2195" s="12">
        <v>76</v>
      </c>
      <c r="G2195" s="12">
        <v>1.84</v>
      </c>
      <c r="H2195" s="12">
        <v>2.34</v>
      </c>
      <c r="I2195" s="13">
        <f>F2195*G2195</f>
        <v>139.84</v>
      </c>
      <c r="J2195" s="13">
        <f>F2195*H2195</f>
        <v>177.83999999999997</v>
      </c>
    </row>
    <row r="2196" spans="1:10" s="1" customFormat="1" ht="25.5" customHeight="1" x14ac:dyDescent="0.2">
      <c r="A2196" s="27" t="s">
        <v>1024</v>
      </c>
      <c r="B2196" s="11" t="s">
        <v>1025</v>
      </c>
      <c r="C2196" s="806" t="s">
        <v>1026</v>
      </c>
      <c r="D2196" s="807"/>
      <c r="E2196" s="11" t="s">
        <v>1009</v>
      </c>
      <c r="F2196" s="12">
        <v>130</v>
      </c>
      <c r="G2196" s="12">
        <v>6.28</v>
      </c>
      <c r="H2196" s="12">
        <v>8.02</v>
      </c>
      <c r="I2196" s="13">
        <f>F2196*G2196</f>
        <v>816.4</v>
      </c>
      <c r="J2196" s="13">
        <f>F2196*H2196</f>
        <v>1042.5999999999999</v>
      </c>
    </row>
    <row r="2197" spans="1:10" s="1" customFormat="1" ht="25.5" customHeight="1" x14ac:dyDescent="0.2">
      <c r="A2197" s="8"/>
      <c r="B2197" s="9" t="s">
        <v>1027</v>
      </c>
      <c r="C2197" s="808" t="s">
        <v>1028</v>
      </c>
      <c r="D2197" s="809"/>
      <c r="E2197" s="8"/>
      <c r="F2197" s="8"/>
      <c r="G2197" s="8"/>
      <c r="H2197" s="8"/>
      <c r="I2197" s="8"/>
      <c r="J2197" s="8"/>
    </row>
    <row r="2198" spans="1:10" s="1" customFormat="1" ht="25.5" customHeight="1" x14ac:dyDescent="0.2">
      <c r="A2198" s="27" t="s">
        <v>1012</v>
      </c>
      <c r="B2198" s="11" t="s">
        <v>1029</v>
      </c>
      <c r="C2198" s="806" t="s">
        <v>1014</v>
      </c>
      <c r="D2198" s="807"/>
      <c r="E2198" s="11" t="s">
        <v>1009</v>
      </c>
      <c r="F2198" s="12">
        <v>34</v>
      </c>
      <c r="G2198" s="12">
        <v>61.88</v>
      </c>
      <c r="H2198" s="12">
        <v>78.959999999999994</v>
      </c>
      <c r="I2198" s="13">
        <f>F2198*G2198</f>
        <v>2103.92</v>
      </c>
      <c r="J2198" s="13">
        <f>F2198*H2198</f>
        <v>2684.64</v>
      </c>
    </row>
    <row r="2199" spans="1:10" s="1" customFormat="1" ht="25.5" customHeight="1" x14ac:dyDescent="0.2">
      <c r="A2199" s="8"/>
      <c r="B2199" s="9" t="s">
        <v>1030</v>
      </c>
      <c r="C2199" s="808" t="s">
        <v>1031</v>
      </c>
      <c r="D2199" s="809"/>
      <c r="E2199" s="8"/>
      <c r="F2199" s="8"/>
      <c r="G2199" s="8"/>
      <c r="H2199" s="8"/>
      <c r="I2199" s="8"/>
      <c r="J2199" s="8"/>
    </row>
    <row r="2200" spans="1:10" s="1" customFormat="1" ht="25.5" customHeight="1" x14ac:dyDescent="0.2">
      <c r="A2200" s="27" t="s">
        <v>1012</v>
      </c>
      <c r="B2200" s="11" t="s">
        <v>1032</v>
      </c>
      <c r="C2200" s="806" t="s">
        <v>1014</v>
      </c>
      <c r="D2200" s="807"/>
      <c r="E2200" s="11" t="s">
        <v>1009</v>
      </c>
      <c r="F2200" s="12">
        <v>43</v>
      </c>
      <c r="G2200" s="12">
        <v>61.88</v>
      </c>
      <c r="H2200" s="12">
        <v>78.959999999999994</v>
      </c>
      <c r="I2200" s="13">
        <f>F2200*G2200</f>
        <v>2660.84</v>
      </c>
      <c r="J2200" s="13">
        <f>F2200*H2200</f>
        <v>3395.2799999999997</v>
      </c>
    </row>
    <row r="2201" spans="1:10" s="1" customFormat="1" ht="25.5" customHeight="1" x14ac:dyDescent="0.2">
      <c r="A2201" s="27" t="s">
        <v>1033</v>
      </c>
      <c r="B2201" s="11" t="s">
        <v>1034</v>
      </c>
      <c r="C2201" s="806" t="s">
        <v>1035</v>
      </c>
      <c r="D2201" s="807"/>
      <c r="E2201" s="11" t="s">
        <v>1009</v>
      </c>
      <c r="F2201" s="12">
        <v>2</v>
      </c>
      <c r="G2201" s="12">
        <v>25.37</v>
      </c>
      <c r="H2201" s="12">
        <v>32.369999999999997</v>
      </c>
      <c r="I2201" s="13">
        <f>F2201*G2201</f>
        <v>50.74</v>
      </c>
      <c r="J2201" s="13">
        <f>F2201*H2201</f>
        <v>64.739999999999995</v>
      </c>
    </row>
    <row r="2202" spans="1:10" s="1" customFormat="1" ht="25.5" customHeight="1" x14ac:dyDescent="0.2">
      <c r="A2202" s="19">
        <v>72254</v>
      </c>
      <c r="B2202" s="11" t="s">
        <v>1036</v>
      </c>
      <c r="C2202" s="806" t="s">
        <v>1037</v>
      </c>
      <c r="D2202" s="807"/>
      <c r="E2202" s="11" t="s">
        <v>81</v>
      </c>
      <c r="F2202" s="12">
        <v>75</v>
      </c>
      <c r="G2202" s="12">
        <v>30.9</v>
      </c>
      <c r="H2202" s="12">
        <v>39.43</v>
      </c>
      <c r="I2202" s="13">
        <f>F2202*G2202</f>
        <v>2317.5</v>
      </c>
      <c r="J2202" s="13">
        <f>F2202*H2202</f>
        <v>2957.25</v>
      </c>
    </row>
    <row r="2203" spans="1:10" s="1" customFormat="1" ht="25.5" customHeight="1" x14ac:dyDescent="0.2">
      <c r="A2203" s="8"/>
      <c r="B2203" s="9" t="s">
        <v>1038</v>
      </c>
      <c r="C2203" s="808" t="s">
        <v>1039</v>
      </c>
      <c r="D2203" s="809"/>
      <c r="E2203" s="8"/>
      <c r="F2203" s="8"/>
      <c r="G2203" s="8"/>
      <c r="H2203" s="8"/>
      <c r="I2203" s="8"/>
      <c r="J2203" s="8"/>
    </row>
    <row r="2204" spans="1:10" s="1" customFormat="1" ht="25.5" customHeight="1" x14ac:dyDescent="0.2">
      <c r="A2204" s="27" t="s">
        <v>1040</v>
      </c>
      <c r="B2204" s="11" t="s">
        <v>1041</v>
      </c>
      <c r="C2204" s="806" t="s">
        <v>1042</v>
      </c>
      <c r="D2204" s="807"/>
      <c r="E2204" s="11" t="s">
        <v>1009</v>
      </c>
      <c r="F2204" s="12">
        <v>2</v>
      </c>
      <c r="G2204" s="12">
        <v>202.58</v>
      </c>
      <c r="H2204" s="12">
        <v>258.47000000000003</v>
      </c>
      <c r="I2204" s="13">
        <f>F2204*G2204</f>
        <v>405.16</v>
      </c>
      <c r="J2204" s="13">
        <f>F2204*H2204</f>
        <v>516.94000000000005</v>
      </c>
    </row>
    <row r="2205" spans="1:10" s="1" customFormat="1" ht="25.5" customHeight="1" x14ac:dyDescent="0.2">
      <c r="A2205" s="8"/>
      <c r="B2205" s="803" t="s">
        <v>1043</v>
      </c>
      <c r="C2205" s="804"/>
      <c r="D2205" s="804"/>
      <c r="E2205" s="804"/>
      <c r="F2205" s="804"/>
      <c r="G2205" s="805"/>
      <c r="H2205" s="8"/>
      <c r="I2205" s="18">
        <f>SUM(I2189:I2204)</f>
        <v>17925.8</v>
      </c>
      <c r="J2205" s="18">
        <f>SUM(J2189:J2204)</f>
        <v>22870.460000000003</v>
      </c>
    </row>
    <row r="2206" spans="1:10" s="1" customFormat="1" ht="25.5" customHeight="1" x14ac:dyDescent="0.2">
      <c r="A2206" s="8"/>
      <c r="B2206" s="803" t="s">
        <v>1044</v>
      </c>
      <c r="C2206" s="804"/>
      <c r="D2206" s="804"/>
      <c r="E2206" s="804"/>
      <c r="F2206" s="804"/>
      <c r="G2206" s="805"/>
      <c r="H2206" s="8"/>
      <c r="I2206" s="14">
        <f>SUM(I2205,I2186,I2178,I2170,I2155,I2146,I2128,I2114,I2099,I2083,I2069,I2064,I2056,I2052)-4</f>
        <v>112381</v>
      </c>
      <c r="J2206" s="15">
        <f>SUM(J2205,J2186,J2178,J2170,J2155,J2146,J2128,J2114,J2099,J2083,J2069,J2064,J2056,J2052)+30</f>
        <v>143387.21000000005</v>
      </c>
    </row>
    <row r="2207" spans="1:10" s="1" customFormat="1" ht="25.5" customHeight="1" x14ac:dyDescent="0.2">
      <c r="A2207" s="8"/>
      <c r="B2207" s="9" t="s">
        <v>1045</v>
      </c>
      <c r="C2207" s="808" t="s">
        <v>1046</v>
      </c>
      <c r="D2207" s="809"/>
      <c r="E2207" s="8"/>
      <c r="F2207" s="8"/>
      <c r="G2207" s="8"/>
      <c r="H2207" s="8"/>
      <c r="I2207" s="8"/>
      <c r="J2207" s="8"/>
    </row>
    <row r="2208" spans="1:10" s="1" customFormat="1" ht="25.5" customHeight="1" x14ac:dyDescent="0.2">
      <c r="A2208" s="8"/>
      <c r="B2208" s="9" t="s">
        <v>1047</v>
      </c>
      <c r="C2208" s="808" t="s">
        <v>1048</v>
      </c>
      <c r="D2208" s="809"/>
      <c r="E2208" s="8"/>
      <c r="F2208" s="8"/>
      <c r="G2208" s="8"/>
      <c r="H2208" s="8"/>
      <c r="I2208" s="8"/>
      <c r="J2208" s="8"/>
    </row>
    <row r="2209" spans="1:10" s="1" customFormat="1" ht="25.5" customHeight="1" x14ac:dyDescent="0.2">
      <c r="A2209" s="19">
        <v>98302</v>
      </c>
      <c r="B2209" s="21">
        <v>44562</v>
      </c>
      <c r="C2209" s="806" t="s">
        <v>1049</v>
      </c>
      <c r="D2209" s="807"/>
      <c r="E2209" s="11" t="s">
        <v>102</v>
      </c>
      <c r="F2209" s="12">
        <v>4</v>
      </c>
      <c r="G2209" s="12">
        <v>683.89</v>
      </c>
      <c r="H2209" s="12">
        <v>872.58</v>
      </c>
      <c r="I2209" s="13">
        <f t="shared" ref="I2209:I2215" si="192">F2209*G2209</f>
        <v>2735.56</v>
      </c>
      <c r="J2209" s="13">
        <f t="shared" ref="J2209:J2215" si="193">F2209*H2209</f>
        <v>3490.32</v>
      </c>
    </row>
    <row r="2210" spans="1:10" s="1" customFormat="1" ht="25.5" customHeight="1" x14ac:dyDescent="0.2">
      <c r="A2210" s="22" t="s">
        <v>308</v>
      </c>
      <c r="B2210" s="21">
        <v>44563</v>
      </c>
      <c r="C2210" s="806" t="s">
        <v>1050</v>
      </c>
      <c r="D2210" s="807"/>
      <c r="E2210" s="11" t="s">
        <v>102</v>
      </c>
      <c r="F2210" s="12">
        <v>1</v>
      </c>
      <c r="G2210" s="12">
        <v>159.38</v>
      </c>
      <c r="H2210" s="12">
        <v>203.35</v>
      </c>
      <c r="I2210" s="13">
        <f t="shared" si="192"/>
        <v>159.38</v>
      </c>
      <c r="J2210" s="13">
        <f t="shared" si="193"/>
        <v>203.35</v>
      </c>
    </row>
    <row r="2211" spans="1:10" s="1" customFormat="1" ht="25.5" customHeight="1" x14ac:dyDescent="0.2">
      <c r="A2211" s="27" t="s">
        <v>1051</v>
      </c>
      <c r="B2211" s="21">
        <v>44564</v>
      </c>
      <c r="C2211" s="806" t="s">
        <v>1052</v>
      </c>
      <c r="D2211" s="807"/>
      <c r="E2211" s="11" t="s">
        <v>102</v>
      </c>
      <c r="F2211" s="12">
        <v>6</v>
      </c>
      <c r="G2211" s="12">
        <v>9.15</v>
      </c>
      <c r="H2211" s="12">
        <v>11.68</v>
      </c>
      <c r="I2211" s="13">
        <f t="shared" si="192"/>
        <v>54.900000000000006</v>
      </c>
      <c r="J2211" s="13">
        <f t="shared" si="193"/>
        <v>70.08</v>
      </c>
    </row>
    <row r="2212" spans="1:10" s="1" customFormat="1" ht="25.5" customHeight="1" x14ac:dyDescent="0.2">
      <c r="A2212" s="27" t="s">
        <v>1051</v>
      </c>
      <c r="B2212" s="21">
        <v>44565</v>
      </c>
      <c r="C2212" s="806" t="s">
        <v>1053</v>
      </c>
      <c r="D2212" s="807"/>
      <c r="E2212" s="11" t="s">
        <v>102</v>
      </c>
      <c r="F2212" s="12">
        <v>6</v>
      </c>
      <c r="G2212" s="12">
        <v>9.15</v>
      </c>
      <c r="H2212" s="12">
        <v>11.68</v>
      </c>
      <c r="I2212" s="13">
        <f t="shared" si="192"/>
        <v>54.900000000000006</v>
      </c>
      <c r="J2212" s="13">
        <f t="shared" si="193"/>
        <v>70.08</v>
      </c>
    </row>
    <row r="2213" spans="1:10" s="1" customFormat="1" ht="25.5" customHeight="1" x14ac:dyDescent="0.2">
      <c r="A2213" s="22" t="s">
        <v>308</v>
      </c>
      <c r="B2213" s="21">
        <v>44566</v>
      </c>
      <c r="C2213" s="806" t="s">
        <v>1054</v>
      </c>
      <c r="D2213" s="807"/>
      <c r="E2213" s="11" t="s">
        <v>102</v>
      </c>
      <c r="F2213" s="12">
        <v>6</v>
      </c>
      <c r="G2213" s="12">
        <v>84.99</v>
      </c>
      <c r="H2213" s="12">
        <v>108.44</v>
      </c>
      <c r="I2213" s="13">
        <f t="shared" si="192"/>
        <v>509.93999999999994</v>
      </c>
      <c r="J2213" s="13">
        <f t="shared" si="193"/>
        <v>650.64</v>
      </c>
    </row>
    <row r="2214" spans="1:10" s="1" customFormat="1" ht="25.5" customHeight="1" x14ac:dyDescent="0.2">
      <c r="A2214" s="27" t="s">
        <v>1051</v>
      </c>
      <c r="B2214" s="21">
        <v>44567</v>
      </c>
      <c r="C2214" s="806" t="s">
        <v>1055</v>
      </c>
      <c r="D2214" s="807"/>
      <c r="E2214" s="11" t="s">
        <v>102</v>
      </c>
      <c r="F2214" s="12">
        <v>2</v>
      </c>
      <c r="G2214" s="12">
        <v>9.15</v>
      </c>
      <c r="H2214" s="12">
        <v>11.68</v>
      </c>
      <c r="I2214" s="13">
        <f t="shared" si="192"/>
        <v>18.3</v>
      </c>
      <c r="J2214" s="13">
        <f t="shared" si="193"/>
        <v>23.36</v>
      </c>
    </row>
    <row r="2215" spans="1:10" s="1" customFormat="1" ht="25.5" customHeight="1" x14ac:dyDescent="0.2">
      <c r="A2215" s="27" t="s">
        <v>1051</v>
      </c>
      <c r="B2215" s="21">
        <v>44568</v>
      </c>
      <c r="C2215" s="806" t="s">
        <v>1056</v>
      </c>
      <c r="D2215" s="807"/>
      <c r="E2215" s="11" t="s">
        <v>102</v>
      </c>
      <c r="F2215" s="12">
        <v>1</v>
      </c>
      <c r="G2215" s="12">
        <v>9.15</v>
      </c>
      <c r="H2215" s="12">
        <v>11.68</v>
      </c>
      <c r="I2215" s="13">
        <f t="shared" si="192"/>
        <v>9.15</v>
      </c>
      <c r="J2215" s="13">
        <f t="shared" si="193"/>
        <v>11.68</v>
      </c>
    </row>
    <row r="2216" spans="1:10" s="1" customFormat="1" ht="25.5" customHeight="1" x14ac:dyDescent="0.2">
      <c r="A2216" s="8"/>
      <c r="B2216" s="9" t="s">
        <v>1057</v>
      </c>
      <c r="C2216" s="808" t="s">
        <v>1058</v>
      </c>
      <c r="D2216" s="809"/>
      <c r="E2216" s="8"/>
      <c r="F2216" s="8"/>
      <c r="G2216" s="8"/>
      <c r="H2216" s="8"/>
      <c r="I2216" s="8"/>
      <c r="J2216" s="8"/>
    </row>
    <row r="2217" spans="1:10" s="1" customFormat="1" ht="25.5" customHeight="1" x14ac:dyDescent="0.2">
      <c r="A2217" s="22" t="s">
        <v>308</v>
      </c>
      <c r="B2217" s="21">
        <v>44593</v>
      </c>
      <c r="C2217" s="806" t="s">
        <v>1059</v>
      </c>
      <c r="D2217" s="807"/>
      <c r="E2217" s="11" t="s">
        <v>81</v>
      </c>
      <c r="F2217" s="12">
        <v>890</v>
      </c>
      <c r="G2217" s="12">
        <v>2.84</v>
      </c>
      <c r="H2217" s="12">
        <v>3.62</v>
      </c>
      <c r="I2217" s="13">
        <f>F2217*G2217</f>
        <v>2527.6</v>
      </c>
      <c r="J2217" s="13">
        <f>F2217*H2217</f>
        <v>3221.8</v>
      </c>
    </row>
    <row r="2218" spans="1:10" s="1" customFormat="1" ht="25.5" customHeight="1" x14ac:dyDescent="0.2">
      <c r="A2218" s="19">
        <v>98268</v>
      </c>
      <c r="B2218" s="21">
        <v>44594</v>
      </c>
      <c r="C2218" s="806" t="s">
        <v>1060</v>
      </c>
      <c r="D2218" s="807"/>
      <c r="E2218" s="11" t="s">
        <v>81</v>
      </c>
      <c r="F2218" s="12">
        <v>8</v>
      </c>
      <c r="G2218" s="12">
        <v>10.48</v>
      </c>
      <c r="H2218" s="12">
        <v>13.37</v>
      </c>
      <c r="I2218" s="13">
        <f>F2218*G2218</f>
        <v>83.84</v>
      </c>
      <c r="J2218" s="13">
        <f>F2218*H2218</f>
        <v>106.96</v>
      </c>
    </row>
    <row r="2219" spans="1:10" s="1" customFormat="1" ht="25.5" customHeight="1" x14ac:dyDescent="0.2">
      <c r="A2219" s="8"/>
      <c r="B2219" s="9" t="s">
        <v>1061</v>
      </c>
      <c r="C2219" s="808" t="s">
        <v>1062</v>
      </c>
      <c r="D2219" s="809"/>
      <c r="E2219" s="8"/>
      <c r="F2219" s="8"/>
      <c r="G2219" s="8"/>
      <c r="H2219" s="8"/>
      <c r="I2219" s="8"/>
      <c r="J2219" s="8"/>
    </row>
    <row r="2220" spans="1:10" s="1" customFormat="1" ht="25.5" customHeight="1" x14ac:dyDescent="0.2">
      <c r="A2220" s="19">
        <v>39606</v>
      </c>
      <c r="B2220" s="21">
        <v>44621</v>
      </c>
      <c r="C2220" s="806" t="s">
        <v>1063</v>
      </c>
      <c r="D2220" s="807"/>
      <c r="E2220" s="11" t="s">
        <v>102</v>
      </c>
      <c r="F2220" s="12">
        <v>41</v>
      </c>
      <c r="G2220" s="12">
        <v>24.43</v>
      </c>
      <c r="H2220" s="12">
        <v>31.17</v>
      </c>
      <c r="I2220" s="13">
        <f>F2220*G2220</f>
        <v>1001.63</v>
      </c>
      <c r="J2220" s="13">
        <f>F2220*H2220</f>
        <v>1277.97</v>
      </c>
    </row>
    <row r="2221" spans="1:10" s="1" customFormat="1" ht="25.5" customHeight="1" x14ac:dyDescent="0.2">
      <c r="A2221" s="19">
        <v>39604</v>
      </c>
      <c r="B2221" s="21">
        <v>44622</v>
      </c>
      <c r="C2221" s="806" t="s">
        <v>1064</v>
      </c>
      <c r="D2221" s="807"/>
      <c r="E2221" s="11" t="s">
        <v>102</v>
      </c>
      <c r="F2221" s="12">
        <v>48</v>
      </c>
      <c r="G2221" s="12">
        <v>24.43</v>
      </c>
      <c r="H2221" s="12">
        <v>31.17</v>
      </c>
      <c r="I2221" s="13">
        <f>F2221*G2221</f>
        <v>1172.6399999999999</v>
      </c>
      <c r="J2221" s="13">
        <f>F2221*H2221</f>
        <v>1496.16</v>
      </c>
    </row>
    <row r="2222" spans="1:10" s="1" customFormat="1" ht="25.5" customHeight="1" x14ac:dyDescent="0.2">
      <c r="A2222" s="22" t="s">
        <v>308</v>
      </c>
      <c r="B2222" s="21">
        <v>44623</v>
      </c>
      <c r="C2222" s="806" t="s">
        <v>1065</v>
      </c>
      <c r="D2222" s="807"/>
      <c r="E2222" s="11" t="s">
        <v>102</v>
      </c>
      <c r="F2222" s="12">
        <v>35</v>
      </c>
      <c r="G2222" s="12">
        <v>24.43</v>
      </c>
      <c r="H2222" s="12">
        <v>31.17</v>
      </c>
      <c r="I2222" s="13">
        <f>F2222*G2222</f>
        <v>855.05</v>
      </c>
      <c r="J2222" s="13">
        <f>F2222*H2222</f>
        <v>1090.95</v>
      </c>
    </row>
    <row r="2223" spans="1:10" s="1" customFormat="1" ht="25.5" customHeight="1" x14ac:dyDescent="0.2">
      <c r="A2223" s="22" t="s">
        <v>308</v>
      </c>
      <c r="B2223" s="21">
        <v>44624</v>
      </c>
      <c r="C2223" s="806" t="s">
        <v>1066</v>
      </c>
      <c r="D2223" s="807"/>
      <c r="E2223" s="11" t="s">
        <v>102</v>
      </c>
      <c r="F2223" s="12">
        <v>15</v>
      </c>
      <c r="G2223" s="12">
        <v>24.43</v>
      </c>
      <c r="H2223" s="12">
        <v>31.17</v>
      </c>
      <c r="I2223" s="13">
        <f>F2223*G2223</f>
        <v>366.45</v>
      </c>
      <c r="J2223" s="13">
        <f>F2223*H2223</f>
        <v>467.55</v>
      </c>
    </row>
    <row r="2224" spans="1:10" s="1" customFormat="1" ht="25.5" customHeight="1" x14ac:dyDescent="0.2">
      <c r="A2224" s="8"/>
      <c r="B2224" s="9" t="s">
        <v>1067</v>
      </c>
      <c r="C2224" s="808" t="s">
        <v>977</v>
      </c>
      <c r="D2224" s="809"/>
      <c r="E2224" s="8"/>
      <c r="F2224" s="8"/>
      <c r="G2224" s="8"/>
      <c r="H2224" s="8"/>
      <c r="I2224" s="8"/>
      <c r="J2224" s="8"/>
    </row>
    <row r="2225" spans="1:10" s="1" customFormat="1" ht="25.5" customHeight="1" x14ac:dyDescent="0.2">
      <c r="A2225" s="22" t="s">
        <v>308</v>
      </c>
      <c r="B2225" s="21">
        <v>44652</v>
      </c>
      <c r="C2225" s="806" t="s">
        <v>1068</v>
      </c>
      <c r="D2225" s="807"/>
      <c r="E2225" s="11" t="s">
        <v>102</v>
      </c>
      <c r="F2225" s="12">
        <v>41</v>
      </c>
      <c r="G2225" s="12">
        <v>23.36</v>
      </c>
      <c r="H2225" s="12">
        <v>29.81</v>
      </c>
      <c r="I2225" s="13">
        <f>F2225*G2225</f>
        <v>957.76</v>
      </c>
      <c r="J2225" s="13">
        <f>F2225*H2225</f>
        <v>1222.21</v>
      </c>
    </row>
    <row r="2226" spans="1:10" s="1" customFormat="1" ht="25.5" customHeight="1" x14ac:dyDescent="0.2">
      <c r="A2226" s="22" t="s">
        <v>308</v>
      </c>
      <c r="B2226" s="21">
        <v>44653</v>
      </c>
      <c r="C2226" s="806" t="s">
        <v>1069</v>
      </c>
      <c r="D2226" s="807"/>
      <c r="E2226" s="11" t="s">
        <v>102</v>
      </c>
      <c r="F2226" s="12">
        <v>2</v>
      </c>
      <c r="G2226" s="12">
        <v>3.6</v>
      </c>
      <c r="H2226" s="12">
        <v>4.59</v>
      </c>
      <c r="I2226" s="13">
        <f>F2226*G2226</f>
        <v>7.2</v>
      </c>
      <c r="J2226" s="13">
        <f>F2226*H2226</f>
        <v>9.18</v>
      </c>
    </row>
    <row r="2227" spans="1:10" s="1" customFormat="1" ht="25.5" customHeight="1" x14ac:dyDescent="0.2">
      <c r="A2227" s="8"/>
      <c r="B2227" s="9" t="s">
        <v>1070</v>
      </c>
      <c r="C2227" s="808" t="s">
        <v>1071</v>
      </c>
      <c r="D2227" s="809"/>
      <c r="E2227" s="8"/>
      <c r="F2227" s="8"/>
      <c r="G2227" s="8"/>
      <c r="H2227" s="8"/>
      <c r="I2227" s="8"/>
      <c r="J2227" s="8"/>
    </row>
    <row r="2228" spans="1:10" s="1" customFormat="1" ht="25.5" customHeight="1" x14ac:dyDescent="0.2">
      <c r="A2228" s="19">
        <v>2559</v>
      </c>
      <c r="B2228" s="21">
        <v>44682</v>
      </c>
      <c r="C2228" s="806" t="s">
        <v>1072</v>
      </c>
      <c r="D2228" s="807"/>
      <c r="E2228" s="11" t="s">
        <v>102</v>
      </c>
      <c r="F2228" s="12">
        <v>2</v>
      </c>
      <c r="G2228" s="12">
        <v>8.5</v>
      </c>
      <c r="H2228" s="12">
        <v>10.85</v>
      </c>
      <c r="I2228" s="13">
        <f t="shared" ref="I2228:I2235" si="194">F2228*G2228</f>
        <v>17</v>
      </c>
      <c r="J2228" s="13">
        <f t="shared" ref="J2228:J2235" si="195">F2228*H2228</f>
        <v>21.7</v>
      </c>
    </row>
    <row r="2229" spans="1:10" s="1" customFormat="1" ht="25.5" customHeight="1" x14ac:dyDescent="0.2">
      <c r="A2229" s="27" t="s">
        <v>78</v>
      </c>
      <c r="B2229" s="21">
        <v>44683</v>
      </c>
      <c r="C2229" s="806" t="s">
        <v>1073</v>
      </c>
      <c r="D2229" s="807"/>
      <c r="E2229" s="11" t="s">
        <v>102</v>
      </c>
      <c r="F2229" s="12">
        <v>1</v>
      </c>
      <c r="G2229" s="12">
        <v>344.17</v>
      </c>
      <c r="H2229" s="12">
        <v>439.13</v>
      </c>
      <c r="I2229" s="13">
        <f t="shared" si="194"/>
        <v>344.17</v>
      </c>
      <c r="J2229" s="13">
        <f t="shared" si="195"/>
        <v>439.13</v>
      </c>
    </row>
    <row r="2230" spans="1:10" s="1" customFormat="1" ht="25.5" customHeight="1" x14ac:dyDescent="0.2">
      <c r="A2230" s="11" t="s">
        <v>78</v>
      </c>
      <c r="B2230" s="21">
        <v>44684</v>
      </c>
      <c r="C2230" s="806" t="s">
        <v>1074</v>
      </c>
      <c r="D2230" s="807"/>
      <c r="E2230" s="11" t="s">
        <v>102</v>
      </c>
      <c r="F2230" s="12">
        <v>2</v>
      </c>
      <c r="G2230" s="12">
        <v>191.15</v>
      </c>
      <c r="H2230" s="12">
        <v>243.89</v>
      </c>
      <c r="I2230" s="13">
        <f t="shared" si="194"/>
        <v>382.3</v>
      </c>
      <c r="J2230" s="13">
        <f t="shared" si="195"/>
        <v>487.78</v>
      </c>
    </row>
    <row r="2231" spans="1:10" s="1" customFormat="1" ht="25.5" customHeight="1" x14ac:dyDescent="0.2">
      <c r="A2231" s="11" t="s">
        <v>308</v>
      </c>
      <c r="B2231" s="21">
        <v>44685</v>
      </c>
      <c r="C2231" s="806" t="s">
        <v>1075</v>
      </c>
      <c r="D2231" s="807"/>
      <c r="E2231" s="11" t="s">
        <v>102</v>
      </c>
      <c r="F2231" s="12">
        <v>1</v>
      </c>
      <c r="G2231" s="12">
        <v>7.52</v>
      </c>
      <c r="H2231" s="12">
        <v>9.59</v>
      </c>
      <c r="I2231" s="13">
        <f t="shared" si="194"/>
        <v>7.52</v>
      </c>
      <c r="J2231" s="13">
        <f t="shared" si="195"/>
        <v>9.59</v>
      </c>
    </row>
    <row r="2232" spans="1:10" s="1" customFormat="1" ht="25.5" customHeight="1" x14ac:dyDescent="0.2">
      <c r="A2232" s="11" t="s">
        <v>308</v>
      </c>
      <c r="B2232" s="21">
        <v>44686</v>
      </c>
      <c r="C2232" s="806" t="s">
        <v>1076</v>
      </c>
      <c r="D2232" s="807"/>
      <c r="E2232" s="11" t="s">
        <v>102</v>
      </c>
      <c r="F2232" s="12">
        <v>13</v>
      </c>
      <c r="G2232" s="12">
        <v>8.4</v>
      </c>
      <c r="H2232" s="12">
        <v>10.72</v>
      </c>
      <c r="I2232" s="13">
        <f t="shared" si="194"/>
        <v>109.2</v>
      </c>
      <c r="J2232" s="13">
        <f t="shared" si="195"/>
        <v>139.36000000000001</v>
      </c>
    </row>
    <row r="2233" spans="1:10" s="1" customFormat="1" ht="25.5" customHeight="1" x14ac:dyDescent="0.2">
      <c r="A2233" s="11" t="s">
        <v>308</v>
      </c>
      <c r="B2233" s="21">
        <v>44687</v>
      </c>
      <c r="C2233" s="806" t="s">
        <v>1077</v>
      </c>
      <c r="D2233" s="807"/>
      <c r="E2233" s="11" t="s">
        <v>102</v>
      </c>
      <c r="F2233" s="12">
        <v>1</v>
      </c>
      <c r="G2233" s="12">
        <v>2.4900000000000002</v>
      </c>
      <c r="H2233" s="12">
        <v>3.18</v>
      </c>
      <c r="I2233" s="13">
        <f t="shared" si="194"/>
        <v>2.4900000000000002</v>
      </c>
      <c r="J2233" s="13">
        <f t="shared" si="195"/>
        <v>3.18</v>
      </c>
    </row>
    <row r="2234" spans="1:10" s="1" customFormat="1" ht="25.5" customHeight="1" x14ac:dyDescent="0.2">
      <c r="A2234" s="11" t="s">
        <v>308</v>
      </c>
      <c r="B2234" s="21">
        <v>44688</v>
      </c>
      <c r="C2234" s="806" t="s">
        <v>1078</v>
      </c>
      <c r="D2234" s="807"/>
      <c r="E2234" s="11" t="s">
        <v>102</v>
      </c>
      <c r="F2234" s="12">
        <v>1</v>
      </c>
      <c r="G2234" s="12">
        <v>2.46</v>
      </c>
      <c r="H2234" s="12">
        <v>3.14</v>
      </c>
      <c r="I2234" s="13">
        <f t="shared" si="194"/>
        <v>2.46</v>
      </c>
      <c r="J2234" s="13">
        <f t="shared" si="195"/>
        <v>3.14</v>
      </c>
    </row>
    <row r="2235" spans="1:10" s="1" customFormat="1" ht="25.5" customHeight="1" x14ac:dyDescent="0.2">
      <c r="A2235" s="11" t="s">
        <v>308</v>
      </c>
      <c r="B2235" s="21">
        <v>44689</v>
      </c>
      <c r="C2235" s="806" t="s">
        <v>1079</v>
      </c>
      <c r="D2235" s="807"/>
      <c r="E2235" s="11" t="s">
        <v>102</v>
      </c>
      <c r="F2235" s="12">
        <v>14</v>
      </c>
      <c r="G2235" s="12">
        <v>3.26</v>
      </c>
      <c r="H2235" s="12">
        <v>4.16</v>
      </c>
      <c r="I2235" s="13">
        <f t="shared" si="194"/>
        <v>45.64</v>
      </c>
      <c r="J2235" s="13">
        <f t="shared" si="195"/>
        <v>58.24</v>
      </c>
    </row>
    <row r="2236" spans="1:10" s="1" customFormat="1" ht="25.5" customHeight="1" x14ac:dyDescent="0.2">
      <c r="A2236" s="8"/>
      <c r="B2236" s="9" t="s">
        <v>1080</v>
      </c>
      <c r="C2236" s="808" t="s">
        <v>856</v>
      </c>
      <c r="D2236" s="809"/>
      <c r="E2236" s="8"/>
      <c r="F2236" s="8"/>
      <c r="G2236" s="8"/>
      <c r="H2236" s="8"/>
      <c r="I2236" s="8"/>
      <c r="J2236" s="8"/>
    </row>
    <row r="2237" spans="1:10" s="1" customFormat="1" ht="25.5" customHeight="1" x14ac:dyDescent="0.2">
      <c r="A2237" s="8"/>
      <c r="B2237" s="46"/>
      <c r="C2237" s="806" t="s">
        <v>1081</v>
      </c>
      <c r="D2237" s="807"/>
      <c r="E2237" s="8"/>
      <c r="F2237" s="8"/>
      <c r="G2237" s="8"/>
      <c r="H2237" s="8"/>
      <c r="I2237" s="8"/>
      <c r="J2237" s="8"/>
    </row>
    <row r="2238" spans="1:10" s="1" customFormat="1" ht="25.5" customHeight="1" x14ac:dyDescent="0.2">
      <c r="A2238" s="11" t="s">
        <v>308</v>
      </c>
      <c r="B2238" s="21">
        <v>44713</v>
      </c>
      <c r="C2238" s="806" t="s">
        <v>1082</v>
      </c>
      <c r="D2238" s="807"/>
      <c r="E2238" s="11" t="s">
        <v>81</v>
      </c>
      <c r="F2238" s="12">
        <v>1</v>
      </c>
      <c r="G2238" s="12">
        <v>9.9499999999999993</v>
      </c>
      <c r="H2238" s="12">
        <v>12.7</v>
      </c>
      <c r="I2238" s="13">
        <f>F2238*G2238</f>
        <v>9.9499999999999993</v>
      </c>
      <c r="J2238" s="13">
        <f>F2238*H2238</f>
        <v>12.7</v>
      </c>
    </row>
    <row r="2239" spans="1:10" s="1" customFormat="1" ht="25.5" customHeight="1" x14ac:dyDescent="0.2">
      <c r="A2239" s="11" t="s">
        <v>308</v>
      </c>
      <c r="B2239" s="21">
        <v>44714</v>
      </c>
      <c r="C2239" s="806" t="s">
        <v>1083</v>
      </c>
      <c r="D2239" s="807"/>
      <c r="E2239" s="11" t="s">
        <v>81</v>
      </c>
      <c r="F2239" s="12">
        <v>70</v>
      </c>
      <c r="G2239" s="12">
        <v>5.24</v>
      </c>
      <c r="H2239" s="12">
        <v>6.69</v>
      </c>
      <c r="I2239" s="13">
        <f>F2239*G2239</f>
        <v>366.8</v>
      </c>
      <c r="J2239" s="13">
        <f>F2239*H2239</f>
        <v>468.3</v>
      </c>
    </row>
    <row r="2240" spans="1:10" s="1" customFormat="1" ht="25.5" customHeight="1" x14ac:dyDescent="0.2">
      <c r="A2240" s="8"/>
      <c r="B2240" s="46"/>
      <c r="C2240" s="806" t="s">
        <v>1084</v>
      </c>
      <c r="D2240" s="807"/>
      <c r="E2240" s="8"/>
      <c r="F2240" s="8"/>
      <c r="G2240" s="8"/>
      <c r="H2240" s="8"/>
      <c r="I2240" s="8"/>
      <c r="J2240" s="8"/>
    </row>
    <row r="2241" spans="1:10" s="1" customFormat="1" ht="25.5" customHeight="1" x14ac:dyDescent="0.2">
      <c r="A2241" s="11" t="s">
        <v>308</v>
      </c>
      <c r="B2241" s="21">
        <v>44715</v>
      </c>
      <c r="C2241" s="806" t="s">
        <v>1083</v>
      </c>
      <c r="D2241" s="807"/>
      <c r="E2241" s="11" t="s">
        <v>81</v>
      </c>
      <c r="F2241" s="12">
        <v>10</v>
      </c>
      <c r="G2241" s="12">
        <v>12.83</v>
      </c>
      <c r="H2241" s="12">
        <v>16.37</v>
      </c>
      <c r="I2241" s="13">
        <f>F2241*G2241</f>
        <v>128.30000000000001</v>
      </c>
      <c r="J2241" s="13">
        <f>F2241*H2241</f>
        <v>163.70000000000002</v>
      </c>
    </row>
    <row r="2242" spans="1:10" s="1" customFormat="1" ht="25.5" customHeight="1" x14ac:dyDescent="0.2">
      <c r="A2242" s="8"/>
      <c r="B2242" s="46"/>
      <c r="C2242" s="806" t="s">
        <v>1085</v>
      </c>
      <c r="D2242" s="807"/>
      <c r="E2242" s="8"/>
      <c r="F2242" s="8"/>
      <c r="G2242" s="8"/>
      <c r="H2242" s="8"/>
      <c r="I2242" s="8"/>
      <c r="J2242" s="8"/>
    </row>
    <row r="2243" spans="1:10" s="1" customFormat="1" ht="25.5" customHeight="1" x14ac:dyDescent="0.2">
      <c r="A2243" s="11" t="s">
        <v>308</v>
      </c>
      <c r="B2243" s="21">
        <v>44716</v>
      </c>
      <c r="C2243" s="806" t="s">
        <v>1083</v>
      </c>
      <c r="D2243" s="807"/>
      <c r="E2243" s="11" t="s">
        <v>81</v>
      </c>
      <c r="F2243" s="12">
        <v>45</v>
      </c>
      <c r="G2243" s="12">
        <v>12.83</v>
      </c>
      <c r="H2243" s="12">
        <v>16.37</v>
      </c>
      <c r="I2243" s="13">
        <f>F2243*G2243</f>
        <v>577.35</v>
      </c>
      <c r="J2243" s="13">
        <f>F2243*H2243</f>
        <v>736.65000000000009</v>
      </c>
    </row>
    <row r="2244" spans="1:10" s="1" customFormat="1" ht="25.5" customHeight="1" x14ac:dyDescent="0.2">
      <c r="A2244" s="8"/>
      <c r="B2244" s="46"/>
      <c r="C2244" s="806" t="s">
        <v>1086</v>
      </c>
      <c r="D2244" s="807"/>
      <c r="E2244" s="8"/>
      <c r="F2244" s="8"/>
      <c r="G2244" s="8"/>
      <c r="H2244" s="8"/>
      <c r="I2244" s="8"/>
      <c r="J2244" s="8"/>
    </row>
    <row r="2245" spans="1:10" s="1" customFormat="1" ht="25.5" customHeight="1" x14ac:dyDescent="0.2">
      <c r="A2245" s="11" t="s">
        <v>308</v>
      </c>
      <c r="B2245" s="21">
        <v>44717</v>
      </c>
      <c r="C2245" s="806" t="s">
        <v>1087</v>
      </c>
      <c r="D2245" s="807"/>
      <c r="E2245" s="11" t="s">
        <v>81</v>
      </c>
      <c r="F2245" s="12">
        <v>10</v>
      </c>
      <c r="G2245" s="12">
        <v>6.65</v>
      </c>
      <c r="H2245" s="12">
        <v>8.48</v>
      </c>
      <c r="I2245" s="13">
        <f>F2245*G2245</f>
        <v>66.5</v>
      </c>
      <c r="J2245" s="13">
        <f>F2245*H2245</f>
        <v>84.800000000000011</v>
      </c>
    </row>
    <row r="2246" spans="1:10" s="1" customFormat="1" ht="25.5" customHeight="1" x14ac:dyDescent="0.2">
      <c r="A2246" s="8"/>
      <c r="B2246" s="46"/>
      <c r="C2246" s="806" t="s">
        <v>1088</v>
      </c>
      <c r="D2246" s="807"/>
      <c r="E2246" s="8"/>
      <c r="F2246" s="8"/>
      <c r="G2246" s="8"/>
      <c r="H2246" s="8"/>
      <c r="I2246" s="8"/>
      <c r="J2246" s="8"/>
    </row>
    <row r="2247" spans="1:10" s="1" customFormat="1" ht="25.5" customHeight="1" x14ac:dyDescent="0.2">
      <c r="A2247" s="11" t="s">
        <v>308</v>
      </c>
      <c r="B2247" s="21">
        <v>44718</v>
      </c>
      <c r="C2247" s="806" t="s">
        <v>1083</v>
      </c>
      <c r="D2247" s="807"/>
      <c r="E2247" s="11" t="s">
        <v>102</v>
      </c>
      <c r="F2247" s="12">
        <v>75</v>
      </c>
      <c r="G2247" s="12">
        <v>0.7</v>
      </c>
      <c r="H2247" s="12">
        <v>0.89</v>
      </c>
      <c r="I2247" s="13">
        <f t="shared" ref="I2247:I2252" si="196">F2247*G2247</f>
        <v>52.5</v>
      </c>
      <c r="J2247" s="13">
        <f t="shared" ref="J2247:J2252" si="197">F2247*H2247</f>
        <v>66.75</v>
      </c>
    </row>
    <row r="2248" spans="1:10" s="1" customFormat="1" ht="25.5" customHeight="1" x14ac:dyDescent="0.2">
      <c r="A2248" s="11" t="s">
        <v>308</v>
      </c>
      <c r="B2248" s="21">
        <v>44719</v>
      </c>
      <c r="C2248" s="806" t="s">
        <v>1089</v>
      </c>
      <c r="D2248" s="807"/>
      <c r="E2248" s="11" t="s">
        <v>102</v>
      </c>
      <c r="F2248" s="12">
        <v>75</v>
      </c>
      <c r="G2248" s="12">
        <v>6.95</v>
      </c>
      <c r="H2248" s="12">
        <v>8.8699999999999992</v>
      </c>
      <c r="I2248" s="13">
        <f t="shared" si="196"/>
        <v>521.25</v>
      </c>
      <c r="J2248" s="13">
        <f t="shared" si="197"/>
        <v>665.24999999999989</v>
      </c>
    </row>
    <row r="2249" spans="1:10" s="1" customFormat="1" ht="25.5" customHeight="1" x14ac:dyDescent="0.2">
      <c r="A2249" s="10">
        <v>4376</v>
      </c>
      <c r="B2249" s="21">
        <v>44720</v>
      </c>
      <c r="C2249" s="806" t="s">
        <v>1090</v>
      </c>
      <c r="D2249" s="807"/>
      <c r="E2249" s="11" t="s">
        <v>102</v>
      </c>
      <c r="F2249" s="12">
        <v>75</v>
      </c>
      <c r="G2249" s="12">
        <v>0.13</v>
      </c>
      <c r="H2249" s="12">
        <v>0.17</v>
      </c>
      <c r="I2249" s="13">
        <f t="shared" si="196"/>
        <v>9.75</v>
      </c>
      <c r="J2249" s="13">
        <f t="shared" si="197"/>
        <v>12.750000000000002</v>
      </c>
    </row>
    <row r="2250" spans="1:10" s="1" customFormat="1" ht="25.5" customHeight="1" x14ac:dyDescent="0.2">
      <c r="A2250" s="11" t="s">
        <v>308</v>
      </c>
      <c r="B2250" s="21">
        <v>44721</v>
      </c>
      <c r="C2250" s="806" t="s">
        <v>1091</v>
      </c>
      <c r="D2250" s="807"/>
      <c r="E2250" s="11" t="s">
        <v>102</v>
      </c>
      <c r="F2250" s="12">
        <v>75</v>
      </c>
      <c r="G2250" s="12">
        <v>0.32</v>
      </c>
      <c r="H2250" s="12">
        <v>0.41</v>
      </c>
      <c r="I2250" s="13">
        <f t="shared" si="196"/>
        <v>24</v>
      </c>
      <c r="J2250" s="13">
        <f t="shared" si="197"/>
        <v>30.749999999999996</v>
      </c>
    </row>
    <row r="2251" spans="1:10" s="1" customFormat="1" ht="25.5" customHeight="1" x14ac:dyDescent="0.2">
      <c r="A2251" s="11" t="s">
        <v>308</v>
      </c>
      <c r="B2251" s="34">
        <v>40351</v>
      </c>
      <c r="C2251" s="806" t="s">
        <v>1092</v>
      </c>
      <c r="D2251" s="807"/>
      <c r="E2251" s="11" t="s">
        <v>102</v>
      </c>
      <c r="F2251" s="12">
        <v>75</v>
      </c>
      <c r="G2251" s="12">
        <v>0.12</v>
      </c>
      <c r="H2251" s="12">
        <v>0.15</v>
      </c>
      <c r="I2251" s="13">
        <f t="shared" si="196"/>
        <v>9</v>
      </c>
      <c r="J2251" s="13">
        <f t="shared" si="197"/>
        <v>11.25</v>
      </c>
    </row>
    <row r="2252" spans="1:10" s="1" customFormat="1" ht="25.5" customHeight="1" x14ac:dyDescent="0.2">
      <c r="A2252" s="11" t="s">
        <v>308</v>
      </c>
      <c r="B2252" s="34">
        <v>40716</v>
      </c>
      <c r="C2252" s="806" t="s">
        <v>1093</v>
      </c>
      <c r="D2252" s="807"/>
      <c r="E2252" s="11" t="s">
        <v>102</v>
      </c>
      <c r="F2252" s="12">
        <v>100</v>
      </c>
      <c r="G2252" s="12">
        <v>0.09</v>
      </c>
      <c r="H2252" s="12">
        <v>0.11</v>
      </c>
      <c r="I2252" s="13">
        <f t="shared" si="196"/>
        <v>9</v>
      </c>
      <c r="J2252" s="13">
        <f t="shared" si="197"/>
        <v>11</v>
      </c>
    </row>
    <row r="2253" spans="1:10" s="1" customFormat="1" ht="25.5" customHeight="1" x14ac:dyDescent="0.2">
      <c r="A2253" s="8"/>
      <c r="B2253" s="9" t="s">
        <v>1094</v>
      </c>
      <c r="C2253" s="808" t="s">
        <v>1095</v>
      </c>
      <c r="D2253" s="820"/>
      <c r="E2253" s="820"/>
      <c r="F2253" s="820"/>
      <c r="G2253" s="820"/>
      <c r="H2253" s="820"/>
      <c r="I2253" s="809"/>
      <c r="J2253" s="8"/>
    </row>
    <row r="2254" spans="1:10" s="1" customFormat="1" ht="25.5" customHeight="1" x14ac:dyDescent="0.2">
      <c r="A2254" s="11" t="s">
        <v>78</v>
      </c>
      <c r="B2254" s="21">
        <v>44743</v>
      </c>
      <c r="C2254" s="806" t="s">
        <v>1096</v>
      </c>
      <c r="D2254" s="807"/>
      <c r="E2254" s="11" t="s">
        <v>102</v>
      </c>
      <c r="F2254" s="12">
        <v>12</v>
      </c>
      <c r="G2254" s="12">
        <v>79.47</v>
      </c>
      <c r="H2254" s="12">
        <v>101.4</v>
      </c>
      <c r="I2254" s="13">
        <f t="shared" ref="I2254:I2268" si="198">F2254*G2254</f>
        <v>953.64</v>
      </c>
      <c r="J2254" s="13">
        <f t="shared" ref="J2254:J2268" si="199">F2254*H2254</f>
        <v>1216.8000000000002</v>
      </c>
    </row>
    <row r="2255" spans="1:10" s="1" customFormat="1" ht="25.5" customHeight="1" x14ac:dyDescent="0.2">
      <c r="A2255" s="11" t="s">
        <v>308</v>
      </c>
      <c r="B2255" s="21">
        <v>44744</v>
      </c>
      <c r="C2255" s="806" t="s">
        <v>1097</v>
      </c>
      <c r="D2255" s="807"/>
      <c r="E2255" s="11" t="s">
        <v>102</v>
      </c>
      <c r="F2255" s="12">
        <v>6</v>
      </c>
      <c r="G2255" s="12">
        <v>20.45</v>
      </c>
      <c r="H2255" s="12">
        <v>26.09</v>
      </c>
      <c r="I2255" s="13">
        <f t="shared" si="198"/>
        <v>122.69999999999999</v>
      </c>
      <c r="J2255" s="13">
        <f t="shared" si="199"/>
        <v>156.54</v>
      </c>
    </row>
    <row r="2256" spans="1:10" s="1" customFormat="1" ht="25.5" customHeight="1" x14ac:dyDescent="0.2">
      <c r="A2256" s="11" t="s">
        <v>308</v>
      </c>
      <c r="B2256" s="21">
        <v>44745</v>
      </c>
      <c r="C2256" s="806" t="s">
        <v>1098</v>
      </c>
      <c r="D2256" s="807"/>
      <c r="E2256" s="11" t="s">
        <v>102</v>
      </c>
      <c r="F2256" s="12">
        <v>1</v>
      </c>
      <c r="G2256" s="12">
        <v>33.450000000000003</v>
      </c>
      <c r="H2256" s="12">
        <v>42.68</v>
      </c>
      <c r="I2256" s="13">
        <f t="shared" si="198"/>
        <v>33.450000000000003</v>
      </c>
      <c r="J2256" s="13">
        <f t="shared" si="199"/>
        <v>42.68</v>
      </c>
    </row>
    <row r="2257" spans="1:10" s="1" customFormat="1" ht="25.5" customHeight="1" x14ac:dyDescent="0.2">
      <c r="A2257" s="11" t="s">
        <v>308</v>
      </c>
      <c r="B2257" s="21">
        <v>44746</v>
      </c>
      <c r="C2257" s="806" t="s">
        <v>1099</v>
      </c>
      <c r="D2257" s="807"/>
      <c r="E2257" s="11" t="s">
        <v>102</v>
      </c>
      <c r="F2257" s="12">
        <v>2</v>
      </c>
      <c r="G2257" s="12">
        <v>23.95</v>
      </c>
      <c r="H2257" s="12">
        <v>30.56</v>
      </c>
      <c r="I2257" s="13">
        <f t="shared" si="198"/>
        <v>47.9</v>
      </c>
      <c r="J2257" s="13">
        <f t="shared" si="199"/>
        <v>61.12</v>
      </c>
    </row>
    <row r="2258" spans="1:10" s="1" customFormat="1" ht="25.5" customHeight="1" x14ac:dyDescent="0.2">
      <c r="A2258" s="11" t="s">
        <v>308</v>
      </c>
      <c r="B2258" s="21">
        <v>44747</v>
      </c>
      <c r="C2258" s="806" t="s">
        <v>1100</v>
      </c>
      <c r="D2258" s="807"/>
      <c r="E2258" s="11" t="s">
        <v>102</v>
      </c>
      <c r="F2258" s="12">
        <v>15</v>
      </c>
      <c r="G2258" s="12">
        <v>8.93</v>
      </c>
      <c r="H2258" s="12">
        <v>11.39</v>
      </c>
      <c r="I2258" s="13">
        <f t="shared" si="198"/>
        <v>133.94999999999999</v>
      </c>
      <c r="J2258" s="13">
        <f t="shared" si="199"/>
        <v>170.85000000000002</v>
      </c>
    </row>
    <row r="2259" spans="1:10" s="1" customFormat="1" ht="25.5" customHeight="1" x14ac:dyDescent="0.2">
      <c r="A2259" s="11" t="s">
        <v>308</v>
      </c>
      <c r="B2259" s="21">
        <v>44748</v>
      </c>
      <c r="C2259" s="806" t="s">
        <v>1101</v>
      </c>
      <c r="D2259" s="807"/>
      <c r="E2259" s="11" t="s">
        <v>102</v>
      </c>
      <c r="F2259" s="12">
        <v>4</v>
      </c>
      <c r="G2259" s="12">
        <v>8.1300000000000008</v>
      </c>
      <c r="H2259" s="12">
        <v>10.37</v>
      </c>
      <c r="I2259" s="13">
        <f t="shared" si="198"/>
        <v>32.520000000000003</v>
      </c>
      <c r="J2259" s="13">
        <f t="shared" si="199"/>
        <v>41.48</v>
      </c>
    </row>
    <row r="2260" spans="1:10" s="1" customFormat="1" ht="25.5" customHeight="1" x14ac:dyDescent="0.2">
      <c r="A2260" s="10">
        <v>89563</v>
      </c>
      <c r="B2260" s="21">
        <v>44749</v>
      </c>
      <c r="C2260" s="806" t="s">
        <v>1102</v>
      </c>
      <c r="D2260" s="807"/>
      <c r="E2260" s="11" t="s">
        <v>102</v>
      </c>
      <c r="F2260" s="12">
        <v>40</v>
      </c>
      <c r="G2260" s="12">
        <v>14.21</v>
      </c>
      <c r="H2260" s="12">
        <v>18.13</v>
      </c>
      <c r="I2260" s="13">
        <f t="shared" si="198"/>
        <v>568.40000000000009</v>
      </c>
      <c r="J2260" s="13">
        <f t="shared" si="199"/>
        <v>725.19999999999993</v>
      </c>
    </row>
    <row r="2261" spans="1:10" s="1" customFormat="1" ht="25.5" customHeight="1" x14ac:dyDescent="0.2">
      <c r="A2261" s="11" t="s">
        <v>308</v>
      </c>
      <c r="B2261" s="21">
        <v>44750</v>
      </c>
      <c r="C2261" s="806" t="s">
        <v>1103</v>
      </c>
      <c r="D2261" s="807"/>
      <c r="E2261" s="11" t="s">
        <v>102</v>
      </c>
      <c r="F2261" s="12">
        <v>20</v>
      </c>
      <c r="G2261" s="12">
        <v>33.74</v>
      </c>
      <c r="H2261" s="12">
        <v>43.05</v>
      </c>
      <c r="I2261" s="13">
        <f t="shared" si="198"/>
        <v>674.80000000000007</v>
      </c>
      <c r="J2261" s="13">
        <f t="shared" si="199"/>
        <v>861</v>
      </c>
    </row>
    <row r="2262" spans="1:10" s="1" customFormat="1" ht="25.5" customHeight="1" x14ac:dyDescent="0.2">
      <c r="A2262" s="11" t="s">
        <v>308</v>
      </c>
      <c r="B2262" s="21">
        <v>44751</v>
      </c>
      <c r="C2262" s="806" t="s">
        <v>1104</v>
      </c>
      <c r="D2262" s="807"/>
      <c r="E2262" s="11" t="s">
        <v>102</v>
      </c>
      <c r="F2262" s="12">
        <v>25</v>
      </c>
      <c r="G2262" s="12">
        <v>0.17</v>
      </c>
      <c r="H2262" s="12">
        <v>0.22</v>
      </c>
      <c r="I2262" s="13">
        <f t="shared" si="198"/>
        <v>4.25</v>
      </c>
      <c r="J2262" s="13">
        <f t="shared" si="199"/>
        <v>5.5</v>
      </c>
    </row>
    <row r="2263" spans="1:10" s="1" customFormat="1" ht="25.5" customHeight="1" x14ac:dyDescent="0.2">
      <c r="A2263" s="11" t="s">
        <v>308</v>
      </c>
      <c r="B2263" s="34">
        <v>40381</v>
      </c>
      <c r="C2263" s="806" t="s">
        <v>1105</v>
      </c>
      <c r="D2263" s="807"/>
      <c r="E2263" s="11" t="s">
        <v>102</v>
      </c>
      <c r="F2263" s="12">
        <v>160</v>
      </c>
      <c r="G2263" s="12">
        <v>0.19</v>
      </c>
      <c r="H2263" s="12">
        <v>0.24</v>
      </c>
      <c r="I2263" s="13">
        <f t="shared" si="198"/>
        <v>30.4</v>
      </c>
      <c r="J2263" s="13">
        <f t="shared" si="199"/>
        <v>38.4</v>
      </c>
    </row>
    <row r="2264" spans="1:10" s="1" customFormat="1" ht="25.5" customHeight="1" x14ac:dyDescent="0.2">
      <c r="A2264" s="11" t="s">
        <v>308</v>
      </c>
      <c r="B2264" s="34">
        <v>40746</v>
      </c>
      <c r="C2264" s="806" t="s">
        <v>1106</v>
      </c>
      <c r="D2264" s="807"/>
      <c r="E2264" s="11" t="s">
        <v>102</v>
      </c>
      <c r="F2264" s="12">
        <v>3</v>
      </c>
      <c r="G2264" s="12">
        <v>1.69</v>
      </c>
      <c r="H2264" s="12">
        <v>2.16</v>
      </c>
      <c r="I2264" s="13">
        <f t="shared" si="198"/>
        <v>5.07</v>
      </c>
      <c r="J2264" s="13">
        <f t="shared" si="199"/>
        <v>6.48</v>
      </c>
    </row>
    <row r="2265" spans="1:10" s="1" customFormat="1" ht="25.5" customHeight="1" x14ac:dyDescent="0.2">
      <c r="A2265" s="11" t="s">
        <v>308</v>
      </c>
      <c r="B2265" s="34">
        <v>41112</v>
      </c>
      <c r="C2265" s="806" t="s">
        <v>1107</v>
      </c>
      <c r="D2265" s="807"/>
      <c r="E2265" s="11" t="s">
        <v>102</v>
      </c>
      <c r="F2265" s="12">
        <v>25</v>
      </c>
      <c r="G2265" s="12">
        <v>1.54</v>
      </c>
      <c r="H2265" s="12">
        <v>1.96</v>
      </c>
      <c r="I2265" s="13">
        <f t="shared" si="198"/>
        <v>38.5</v>
      </c>
      <c r="J2265" s="13">
        <f t="shared" si="199"/>
        <v>49</v>
      </c>
    </row>
    <row r="2266" spans="1:10" s="1" customFormat="1" ht="25.5" customHeight="1" x14ac:dyDescent="0.2">
      <c r="A2266" s="11" t="s">
        <v>308</v>
      </c>
      <c r="B2266" s="34">
        <v>41477</v>
      </c>
      <c r="C2266" s="806" t="s">
        <v>1108</v>
      </c>
      <c r="D2266" s="807"/>
      <c r="E2266" s="11" t="s">
        <v>102</v>
      </c>
      <c r="F2266" s="12">
        <v>3</v>
      </c>
      <c r="G2266" s="12">
        <v>12.98</v>
      </c>
      <c r="H2266" s="12">
        <v>16.559999999999999</v>
      </c>
      <c r="I2266" s="13">
        <f t="shared" si="198"/>
        <v>38.94</v>
      </c>
      <c r="J2266" s="13">
        <f t="shared" si="199"/>
        <v>49.679999999999993</v>
      </c>
    </row>
    <row r="2267" spans="1:10" s="1" customFormat="1" ht="25.5" customHeight="1" x14ac:dyDescent="0.2">
      <c r="A2267" s="11" t="s">
        <v>308</v>
      </c>
      <c r="B2267" s="34">
        <v>41842</v>
      </c>
      <c r="C2267" s="806" t="s">
        <v>1109</v>
      </c>
      <c r="D2267" s="807"/>
      <c r="E2267" s="11" t="s">
        <v>102</v>
      </c>
      <c r="F2267" s="12">
        <v>300</v>
      </c>
      <c r="G2267" s="12">
        <v>0.09</v>
      </c>
      <c r="H2267" s="12">
        <v>0.11</v>
      </c>
      <c r="I2267" s="13">
        <f t="shared" si="198"/>
        <v>27</v>
      </c>
      <c r="J2267" s="13">
        <f t="shared" si="199"/>
        <v>33</v>
      </c>
    </row>
    <row r="2268" spans="1:10" s="1" customFormat="1" ht="25.5" customHeight="1" x14ac:dyDescent="0.2">
      <c r="A2268" s="11" t="s">
        <v>308</v>
      </c>
      <c r="B2268" s="34">
        <v>42207</v>
      </c>
      <c r="C2268" s="806" t="s">
        <v>1110</v>
      </c>
      <c r="D2268" s="807"/>
      <c r="E2268" s="11" t="s">
        <v>102</v>
      </c>
      <c r="F2268" s="12">
        <v>15</v>
      </c>
      <c r="G2268" s="12">
        <v>12.18</v>
      </c>
      <c r="H2268" s="12">
        <v>15.54</v>
      </c>
      <c r="I2268" s="13">
        <f t="shared" si="198"/>
        <v>182.7</v>
      </c>
      <c r="J2268" s="13">
        <f t="shared" si="199"/>
        <v>233.1</v>
      </c>
    </row>
    <row r="2269" spans="1:10" s="1" customFormat="1" ht="25.5" customHeight="1" x14ac:dyDescent="0.2">
      <c r="A2269" s="8"/>
      <c r="B2269" s="11" t="s">
        <v>1111</v>
      </c>
      <c r="C2269" s="808" t="s">
        <v>1112</v>
      </c>
      <c r="D2269" s="809"/>
      <c r="E2269" s="8"/>
      <c r="F2269" s="8"/>
      <c r="G2269" s="8"/>
      <c r="H2269" s="8"/>
      <c r="I2269" s="8"/>
      <c r="J2269" s="8"/>
    </row>
    <row r="2270" spans="1:10" s="1" customFormat="1" ht="25.5" customHeight="1" x14ac:dyDescent="0.2">
      <c r="A2270" s="11" t="s">
        <v>308</v>
      </c>
      <c r="B2270" s="21">
        <v>44774</v>
      </c>
      <c r="C2270" s="806" t="s">
        <v>1113</v>
      </c>
      <c r="D2270" s="807"/>
      <c r="E2270" s="11" t="s">
        <v>102</v>
      </c>
      <c r="F2270" s="12">
        <v>10</v>
      </c>
      <c r="G2270" s="12">
        <v>26.9</v>
      </c>
      <c r="H2270" s="12">
        <v>34.32</v>
      </c>
      <c r="I2270" s="13">
        <f t="shared" ref="I2270:I2276" si="200">F2270*G2270</f>
        <v>269</v>
      </c>
      <c r="J2270" s="13">
        <f t="shared" ref="J2270:J2276" si="201">F2270*H2270</f>
        <v>343.2</v>
      </c>
    </row>
    <row r="2271" spans="1:10" s="1" customFormat="1" ht="25.5" customHeight="1" x14ac:dyDescent="0.2">
      <c r="A2271" s="11" t="s">
        <v>308</v>
      </c>
      <c r="B2271" s="21">
        <v>44775</v>
      </c>
      <c r="C2271" s="806" t="s">
        <v>1114</v>
      </c>
      <c r="D2271" s="807"/>
      <c r="E2271" s="11" t="s">
        <v>102</v>
      </c>
      <c r="F2271" s="12">
        <v>10</v>
      </c>
      <c r="G2271" s="12">
        <v>15.67</v>
      </c>
      <c r="H2271" s="12">
        <v>19.989999999999998</v>
      </c>
      <c r="I2271" s="13">
        <f t="shared" si="200"/>
        <v>156.69999999999999</v>
      </c>
      <c r="J2271" s="13">
        <f t="shared" si="201"/>
        <v>199.89999999999998</v>
      </c>
    </row>
    <row r="2272" spans="1:10" s="1" customFormat="1" ht="25.5" customHeight="1" x14ac:dyDescent="0.2">
      <c r="A2272" s="11" t="s">
        <v>308</v>
      </c>
      <c r="B2272" s="21">
        <v>44776</v>
      </c>
      <c r="C2272" s="806" t="s">
        <v>1115</v>
      </c>
      <c r="D2272" s="807"/>
      <c r="E2272" s="11" t="s">
        <v>102</v>
      </c>
      <c r="F2272" s="12">
        <v>20</v>
      </c>
      <c r="G2272" s="12">
        <v>5.57</v>
      </c>
      <c r="H2272" s="12">
        <v>7.11</v>
      </c>
      <c r="I2272" s="13">
        <f t="shared" si="200"/>
        <v>111.4</v>
      </c>
      <c r="J2272" s="13">
        <f t="shared" si="201"/>
        <v>142.20000000000002</v>
      </c>
    </row>
    <row r="2273" spans="1:10" s="1" customFormat="1" ht="25.5" customHeight="1" x14ac:dyDescent="0.2">
      <c r="A2273" s="11" t="s">
        <v>308</v>
      </c>
      <c r="B2273" s="21">
        <v>44777</v>
      </c>
      <c r="C2273" s="806" t="s">
        <v>1116</v>
      </c>
      <c r="D2273" s="807"/>
      <c r="E2273" s="11" t="s">
        <v>102</v>
      </c>
      <c r="F2273" s="12">
        <v>2</v>
      </c>
      <c r="G2273" s="12">
        <v>7.1</v>
      </c>
      <c r="H2273" s="12">
        <v>9.06</v>
      </c>
      <c r="I2273" s="13">
        <f t="shared" si="200"/>
        <v>14.2</v>
      </c>
      <c r="J2273" s="13">
        <f t="shared" si="201"/>
        <v>18.12</v>
      </c>
    </row>
    <row r="2274" spans="1:10" s="1" customFormat="1" ht="25.5" customHeight="1" x14ac:dyDescent="0.2">
      <c r="A2274" s="11" t="s">
        <v>308</v>
      </c>
      <c r="B2274" s="21">
        <v>44778</v>
      </c>
      <c r="C2274" s="806" t="s">
        <v>1117</v>
      </c>
      <c r="D2274" s="807"/>
      <c r="E2274" s="11" t="s">
        <v>102</v>
      </c>
      <c r="F2274" s="12">
        <v>40</v>
      </c>
      <c r="G2274" s="12">
        <v>1.72</v>
      </c>
      <c r="H2274" s="12">
        <v>2.19</v>
      </c>
      <c r="I2274" s="13">
        <f t="shared" si="200"/>
        <v>68.8</v>
      </c>
      <c r="J2274" s="13">
        <f t="shared" si="201"/>
        <v>87.6</v>
      </c>
    </row>
    <row r="2275" spans="1:10" s="1" customFormat="1" ht="25.5" customHeight="1" x14ac:dyDescent="0.2">
      <c r="A2275" s="11" t="s">
        <v>308</v>
      </c>
      <c r="B2275" s="21">
        <v>44779</v>
      </c>
      <c r="C2275" s="806" t="s">
        <v>1118</v>
      </c>
      <c r="D2275" s="807"/>
      <c r="E2275" s="11" t="s">
        <v>102</v>
      </c>
      <c r="F2275" s="12">
        <v>4</v>
      </c>
      <c r="G2275" s="12">
        <v>2.33</v>
      </c>
      <c r="H2275" s="12">
        <v>2.97</v>
      </c>
      <c r="I2275" s="13">
        <f t="shared" si="200"/>
        <v>9.32</v>
      </c>
      <c r="J2275" s="13">
        <f t="shared" si="201"/>
        <v>11.88</v>
      </c>
    </row>
    <row r="2276" spans="1:10" s="1" customFormat="1" ht="25.5" customHeight="1" x14ac:dyDescent="0.2">
      <c r="A2276" s="11" t="s">
        <v>308</v>
      </c>
      <c r="B2276" s="21">
        <v>44780</v>
      </c>
      <c r="C2276" s="806" t="s">
        <v>1119</v>
      </c>
      <c r="D2276" s="807"/>
      <c r="E2276" s="11" t="s">
        <v>102</v>
      </c>
      <c r="F2276" s="12">
        <v>7</v>
      </c>
      <c r="G2276" s="12">
        <v>4.74</v>
      </c>
      <c r="H2276" s="12">
        <v>6.05</v>
      </c>
      <c r="I2276" s="13">
        <f t="shared" si="200"/>
        <v>33.18</v>
      </c>
      <c r="J2276" s="13">
        <f t="shared" si="201"/>
        <v>42.35</v>
      </c>
    </row>
    <row r="2277" spans="1:10" s="1" customFormat="1" ht="25.5" customHeight="1" x14ac:dyDescent="0.2">
      <c r="A2277" s="8"/>
      <c r="B2277" s="11" t="s">
        <v>1120</v>
      </c>
      <c r="C2277" s="808" t="s">
        <v>1121</v>
      </c>
      <c r="D2277" s="809"/>
      <c r="E2277" s="8"/>
      <c r="F2277" s="8"/>
      <c r="G2277" s="8"/>
      <c r="H2277" s="8"/>
      <c r="I2277" s="8"/>
      <c r="J2277" s="8"/>
    </row>
    <row r="2278" spans="1:10" s="1" customFormat="1" ht="25.5" customHeight="1" x14ac:dyDescent="0.2">
      <c r="A2278" s="11" t="s">
        <v>308</v>
      </c>
      <c r="B2278" s="21">
        <v>44805</v>
      </c>
      <c r="C2278" s="806" t="s">
        <v>1122</v>
      </c>
      <c r="D2278" s="807"/>
      <c r="E2278" s="11" t="s">
        <v>102</v>
      </c>
      <c r="F2278" s="12">
        <v>41</v>
      </c>
      <c r="G2278" s="12">
        <v>11.01</v>
      </c>
      <c r="H2278" s="12">
        <v>14.05</v>
      </c>
      <c r="I2278" s="13">
        <f>F2278*G2278</f>
        <v>451.40999999999997</v>
      </c>
      <c r="J2278" s="13">
        <f>F2278*H2278</f>
        <v>576.05000000000007</v>
      </c>
    </row>
    <row r="2279" spans="1:10" s="1" customFormat="1" ht="25.5" customHeight="1" x14ac:dyDescent="0.2">
      <c r="A2279" s="8"/>
      <c r="B2279" s="803" t="s">
        <v>1123</v>
      </c>
      <c r="C2279" s="804"/>
      <c r="D2279" s="804"/>
      <c r="E2279" s="804"/>
      <c r="F2279" s="804"/>
      <c r="G2279" s="805"/>
      <c r="H2279" s="8"/>
      <c r="I2279" s="14">
        <f>SUM(I2254:I2278,I2209:I2252)</f>
        <v>17207.709999999995</v>
      </c>
      <c r="J2279" s="15">
        <f>SUM(J2254:J2278,J2209:J2252)</f>
        <v>21950.440000000002</v>
      </c>
    </row>
    <row r="2280" spans="1:10" s="1" customFormat="1" ht="25.5" customHeight="1" x14ac:dyDescent="0.2">
      <c r="A2280" s="8"/>
      <c r="B2280" s="9" t="s">
        <v>1124</v>
      </c>
      <c r="C2280" s="808" t="s">
        <v>1125</v>
      </c>
      <c r="D2280" s="809"/>
      <c r="E2280" s="8"/>
      <c r="F2280" s="8"/>
      <c r="G2280" s="8"/>
      <c r="H2280" s="8"/>
      <c r="I2280" s="8"/>
      <c r="J2280" s="8"/>
    </row>
    <row r="2281" spans="1:10" s="1" customFormat="1" ht="25.5" customHeight="1" x14ac:dyDescent="0.2">
      <c r="A2281" s="8"/>
      <c r="B2281" s="9" t="s">
        <v>1126</v>
      </c>
      <c r="C2281" s="808" t="s">
        <v>684</v>
      </c>
      <c r="D2281" s="809"/>
      <c r="E2281" s="8"/>
      <c r="F2281" s="8"/>
      <c r="G2281" s="8"/>
      <c r="H2281" s="8"/>
      <c r="I2281" s="8"/>
      <c r="J2281" s="8"/>
    </row>
    <row r="2282" spans="1:10" s="1" customFormat="1" ht="25.5" customHeight="1" x14ac:dyDescent="0.2">
      <c r="A2282" s="11" t="s">
        <v>308</v>
      </c>
      <c r="B2282" s="21">
        <v>44927</v>
      </c>
      <c r="C2282" s="806" t="s">
        <v>1127</v>
      </c>
      <c r="D2282" s="807"/>
      <c r="E2282" s="11" t="s">
        <v>102</v>
      </c>
      <c r="F2282" s="12">
        <v>1</v>
      </c>
      <c r="G2282" s="12">
        <v>419.11</v>
      </c>
      <c r="H2282" s="12">
        <v>534.74</v>
      </c>
      <c r="I2282" s="13">
        <f>F2282*G2282</f>
        <v>419.11</v>
      </c>
      <c r="J2282" s="13">
        <f>F2282*H2282</f>
        <v>534.74</v>
      </c>
    </row>
    <row r="2283" spans="1:10" s="1" customFormat="1" ht="25.5" customHeight="1" x14ac:dyDescent="0.2">
      <c r="A2283" s="11" t="s">
        <v>308</v>
      </c>
      <c r="B2283" s="21">
        <v>44928</v>
      </c>
      <c r="C2283" s="806" t="s">
        <v>1128</v>
      </c>
      <c r="D2283" s="807"/>
      <c r="E2283" s="11" t="s">
        <v>102</v>
      </c>
      <c r="F2283" s="12">
        <v>1</v>
      </c>
      <c r="G2283" s="12">
        <v>385</v>
      </c>
      <c r="H2283" s="12">
        <v>491.22</v>
      </c>
      <c r="I2283" s="13">
        <f>F2283*G2283</f>
        <v>385</v>
      </c>
      <c r="J2283" s="13">
        <f>F2283*H2283</f>
        <v>491.22</v>
      </c>
    </row>
    <row r="2284" spans="1:10" s="1" customFormat="1" ht="25.5" customHeight="1" x14ac:dyDescent="0.2">
      <c r="A2284" s="11" t="s">
        <v>308</v>
      </c>
      <c r="B2284" s="21">
        <v>44929</v>
      </c>
      <c r="C2284" s="806" t="s">
        <v>1129</v>
      </c>
      <c r="D2284" s="807"/>
      <c r="E2284" s="11" t="s">
        <v>102</v>
      </c>
      <c r="F2284" s="12">
        <v>1</v>
      </c>
      <c r="G2284" s="12">
        <v>250</v>
      </c>
      <c r="H2284" s="12">
        <v>318.98</v>
      </c>
      <c r="I2284" s="13">
        <f>F2284*G2284</f>
        <v>250</v>
      </c>
      <c r="J2284" s="13">
        <f>F2284*H2284</f>
        <v>318.98</v>
      </c>
    </row>
    <row r="2285" spans="1:10" s="1" customFormat="1" ht="25.5" customHeight="1" x14ac:dyDescent="0.2">
      <c r="A2285" s="8"/>
      <c r="B2285" s="803" t="s">
        <v>1130</v>
      </c>
      <c r="C2285" s="804"/>
      <c r="D2285" s="804"/>
      <c r="E2285" s="804"/>
      <c r="F2285" s="804"/>
      <c r="G2285" s="805"/>
      <c r="H2285" s="8"/>
      <c r="I2285" s="18">
        <f>SUM(I2282:I2284)</f>
        <v>1054.1100000000001</v>
      </c>
      <c r="J2285" s="18">
        <f>SUM(J2282:J2284)</f>
        <v>1344.94</v>
      </c>
    </row>
    <row r="2286" spans="1:10" s="1" customFormat="1" ht="25.5" customHeight="1" x14ac:dyDescent="0.2">
      <c r="A2286" s="8"/>
      <c r="B2286" s="9" t="s">
        <v>1131</v>
      </c>
      <c r="C2286" s="808" t="s">
        <v>1132</v>
      </c>
      <c r="D2286" s="809"/>
      <c r="E2286" s="8"/>
      <c r="F2286" s="8"/>
      <c r="G2286" s="8"/>
      <c r="H2286" s="8"/>
      <c r="I2286" s="8"/>
      <c r="J2286" s="8"/>
    </row>
    <row r="2287" spans="1:10" s="1" customFormat="1" ht="25.5" customHeight="1" x14ac:dyDescent="0.2">
      <c r="A2287" s="8"/>
      <c r="B2287" s="23">
        <v>44958</v>
      </c>
      <c r="C2287" s="808" t="s">
        <v>1133</v>
      </c>
      <c r="D2287" s="809"/>
      <c r="E2287" s="8"/>
      <c r="F2287" s="8"/>
      <c r="G2287" s="8"/>
      <c r="H2287" s="8"/>
      <c r="I2287" s="8"/>
      <c r="J2287" s="8"/>
    </row>
    <row r="2288" spans="1:10" s="1" customFormat="1" ht="25.5" customHeight="1" x14ac:dyDescent="0.2">
      <c r="A2288" s="11" t="s">
        <v>308</v>
      </c>
      <c r="B2288" s="11" t="s">
        <v>1134</v>
      </c>
      <c r="C2288" s="806" t="s">
        <v>1175</v>
      </c>
      <c r="D2288" s="807"/>
      <c r="E2288" s="11" t="s">
        <v>35</v>
      </c>
      <c r="F2288" s="12">
        <v>8</v>
      </c>
      <c r="G2288" s="12">
        <v>15.25</v>
      </c>
      <c r="H2288" s="12">
        <v>19.46</v>
      </c>
      <c r="I2288" s="13">
        <f t="shared" ref="I2288:I2293" si="202">F2288*G2288</f>
        <v>122</v>
      </c>
      <c r="J2288" s="13">
        <f t="shared" ref="J2288:J2293" si="203">F2288*H2288</f>
        <v>155.68</v>
      </c>
    </row>
    <row r="2289" spans="1:10" s="1" customFormat="1" ht="25.5" customHeight="1" x14ac:dyDescent="0.2">
      <c r="A2289" s="11" t="s">
        <v>308</v>
      </c>
      <c r="B2289" s="11" t="s">
        <v>1135</v>
      </c>
      <c r="C2289" s="806" t="s">
        <v>1176</v>
      </c>
      <c r="D2289" s="807"/>
      <c r="E2289" s="11" t="s">
        <v>35</v>
      </c>
      <c r="F2289" s="12">
        <v>16</v>
      </c>
      <c r="G2289" s="12">
        <v>21.01</v>
      </c>
      <c r="H2289" s="12">
        <v>26.81</v>
      </c>
      <c r="I2289" s="13">
        <f t="shared" si="202"/>
        <v>336.16</v>
      </c>
      <c r="J2289" s="13">
        <f t="shared" si="203"/>
        <v>428.96</v>
      </c>
    </row>
    <row r="2290" spans="1:10" s="1" customFormat="1" ht="25.5" customHeight="1" x14ac:dyDescent="0.2">
      <c r="A2290" s="11" t="s">
        <v>308</v>
      </c>
      <c r="B2290" s="11" t="s">
        <v>1136</v>
      </c>
      <c r="C2290" s="806" t="s">
        <v>1137</v>
      </c>
      <c r="D2290" s="807"/>
      <c r="E2290" s="11" t="s">
        <v>102</v>
      </c>
      <c r="F2290" s="12">
        <v>1</v>
      </c>
      <c r="G2290" s="12">
        <v>64.55</v>
      </c>
      <c r="H2290" s="12">
        <v>82.36</v>
      </c>
      <c r="I2290" s="13">
        <f t="shared" si="202"/>
        <v>64.55</v>
      </c>
      <c r="J2290" s="13">
        <f t="shared" si="203"/>
        <v>82.36</v>
      </c>
    </row>
    <row r="2291" spans="1:10" s="1" customFormat="1" ht="25.5" customHeight="1" x14ac:dyDescent="0.2">
      <c r="A2291" s="11" t="s">
        <v>308</v>
      </c>
      <c r="B2291" s="11" t="s">
        <v>1138</v>
      </c>
      <c r="C2291" s="806" t="s">
        <v>1139</v>
      </c>
      <c r="D2291" s="807"/>
      <c r="E2291" s="11" t="s">
        <v>102</v>
      </c>
      <c r="F2291" s="12">
        <v>2</v>
      </c>
      <c r="G2291" s="12">
        <v>46.92</v>
      </c>
      <c r="H2291" s="12">
        <v>59.87</v>
      </c>
      <c r="I2291" s="13">
        <f t="shared" si="202"/>
        <v>93.84</v>
      </c>
      <c r="J2291" s="13">
        <f t="shared" si="203"/>
        <v>119.74</v>
      </c>
    </row>
    <row r="2292" spans="1:10" s="1" customFormat="1" ht="25.5" customHeight="1" x14ac:dyDescent="0.2">
      <c r="A2292" s="11" t="s">
        <v>308</v>
      </c>
      <c r="B2292" s="11" t="s">
        <v>1140</v>
      </c>
      <c r="C2292" s="806" t="s">
        <v>1141</v>
      </c>
      <c r="D2292" s="807"/>
      <c r="E2292" s="11" t="s">
        <v>102</v>
      </c>
      <c r="F2292" s="12">
        <v>2</v>
      </c>
      <c r="G2292" s="12">
        <v>63.34</v>
      </c>
      <c r="H2292" s="12">
        <v>80.819999999999993</v>
      </c>
      <c r="I2292" s="13">
        <f t="shared" si="202"/>
        <v>126.68</v>
      </c>
      <c r="J2292" s="13">
        <f t="shared" si="203"/>
        <v>161.63999999999999</v>
      </c>
    </row>
    <row r="2293" spans="1:10" s="1" customFormat="1" ht="25.5" customHeight="1" x14ac:dyDescent="0.2">
      <c r="A2293" s="11" t="s">
        <v>308</v>
      </c>
      <c r="B2293" s="11" t="s">
        <v>1142</v>
      </c>
      <c r="C2293" s="806" t="s">
        <v>1143</v>
      </c>
      <c r="D2293" s="807"/>
      <c r="E2293" s="11" t="s">
        <v>102</v>
      </c>
      <c r="F2293" s="12">
        <v>1</v>
      </c>
      <c r="G2293" s="12">
        <v>112.15</v>
      </c>
      <c r="H2293" s="12">
        <v>143.09</v>
      </c>
      <c r="I2293" s="13">
        <f t="shared" si="202"/>
        <v>112.15</v>
      </c>
      <c r="J2293" s="13">
        <f t="shared" si="203"/>
        <v>143.09</v>
      </c>
    </row>
    <row r="2294" spans="1:10" s="1" customFormat="1" ht="25.5" customHeight="1" x14ac:dyDescent="0.2">
      <c r="A2294" s="8"/>
      <c r="B2294" s="23">
        <v>44959</v>
      </c>
      <c r="C2294" s="808" t="s">
        <v>1144</v>
      </c>
      <c r="D2294" s="809"/>
      <c r="E2294" s="8"/>
      <c r="F2294" s="8"/>
      <c r="G2294" s="8"/>
      <c r="H2294" s="8"/>
      <c r="I2294" s="8"/>
      <c r="J2294" s="12"/>
    </row>
    <row r="2295" spans="1:10" s="1" customFormat="1" ht="25.5" customHeight="1" x14ac:dyDescent="0.2">
      <c r="A2295" s="11" t="s">
        <v>308</v>
      </c>
      <c r="B2295" s="11" t="s">
        <v>1145</v>
      </c>
      <c r="C2295" s="806" t="s">
        <v>1146</v>
      </c>
      <c r="D2295" s="807"/>
      <c r="E2295" s="11" t="s">
        <v>102</v>
      </c>
      <c r="F2295" s="12">
        <v>1</v>
      </c>
      <c r="G2295" s="12">
        <v>649.99</v>
      </c>
      <c r="H2295" s="12">
        <v>829.32</v>
      </c>
      <c r="I2295" s="13">
        <f t="shared" ref="I2295:I2300" si="204">F2295*G2295</f>
        <v>649.99</v>
      </c>
      <c r="J2295" s="13">
        <f t="shared" ref="J2295:J2300" si="205">F2295*H2295</f>
        <v>829.32</v>
      </c>
    </row>
    <row r="2296" spans="1:10" s="1" customFormat="1" ht="25.5" customHeight="1" x14ac:dyDescent="0.2">
      <c r="A2296" s="8"/>
      <c r="B2296" s="23">
        <v>44960</v>
      </c>
      <c r="C2296" s="808" t="s">
        <v>684</v>
      </c>
      <c r="D2296" s="809"/>
      <c r="E2296" s="8"/>
      <c r="F2296" s="8"/>
      <c r="G2296" s="8"/>
      <c r="H2296" s="8"/>
      <c r="I2296" s="13">
        <f t="shared" si="204"/>
        <v>0</v>
      </c>
      <c r="J2296" s="13">
        <f t="shared" si="205"/>
        <v>0</v>
      </c>
    </row>
    <row r="2297" spans="1:10" s="1" customFormat="1" ht="25.5" customHeight="1" x14ac:dyDescent="0.2">
      <c r="A2297" s="11" t="s">
        <v>308</v>
      </c>
      <c r="B2297" s="11" t="s">
        <v>1147</v>
      </c>
      <c r="C2297" s="806" t="s">
        <v>1148</v>
      </c>
      <c r="D2297" s="807"/>
      <c r="E2297" s="11" t="s">
        <v>102</v>
      </c>
      <c r="F2297" s="12">
        <v>3</v>
      </c>
      <c r="G2297" s="12">
        <v>33.46</v>
      </c>
      <c r="H2297" s="12">
        <v>42.69</v>
      </c>
      <c r="I2297" s="13">
        <f t="shared" si="204"/>
        <v>100.38</v>
      </c>
      <c r="J2297" s="13">
        <f t="shared" si="205"/>
        <v>128.07</v>
      </c>
    </row>
    <row r="2298" spans="1:10" s="1" customFormat="1" ht="25.5" customHeight="1" x14ac:dyDescent="0.2">
      <c r="A2298" s="11" t="s">
        <v>308</v>
      </c>
      <c r="B2298" s="11" t="s">
        <v>1149</v>
      </c>
      <c r="C2298" s="806" t="s">
        <v>1150</v>
      </c>
      <c r="D2298" s="807"/>
      <c r="E2298" s="11" t="s">
        <v>102</v>
      </c>
      <c r="F2298" s="12">
        <v>3</v>
      </c>
      <c r="G2298" s="12">
        <v>21.01</v>
      </c>
      <c r="H2298" s="12">
        <v>26.81</v>
      </c>
      <c r="I2298" s="13">
        <f t="shared" si="204"/>
        <v>63.03</v>
      </c>
      <c r="J2298" s="13">
        <f t="shared" si="205"/>
        <v>80.429999999999993</v>
      </c>
    </row>
    <row r="2299" spans="1:10" s="1" customFormat="1" ht="25.5" customHeight="1" x14ac:dyDescent="0.2">
      <c r="A2299" s="11" t="s">
        <v>308</v>
      </c>
      <c r="B2299" s="11" t="s">
        <v>1151</v>
      </c>
      <c r="C2299" s="806" t="s">
        <v>1152</v>
      </c>
      <c r="D2299" s="807"/>
      <c r="E2299" s="11" t="s">
        <v>102</v>
      </c>
      <c r="F2299" s="12">
        <v>2</v>
      </c>
      <c r="G2299" s="12">
        <v>33.46</v>
      </c>
      <c r="H2299" s="12">
        <v>42.69</v>
      </c>
      <c r="I2299" s="13">
        <f t="shared" si="204"/>
        <v>66.92</v>
      </c>
      <c r="J2299" s="13">
        <f t="shared" si="205"/>
        <v>85.38</v>
      </c>
    </row>
    <row r="2300" spans="1:10" s="1" customFormat="1" ht="25.5" customHeight="1" x14ac:dyDescent="0.2">
      <c r="A2300" s="11" t="s">
        <v>308</v>
      </c>
      <c r="B2300" s="11" t="s">
        <v>1153</v>
      </c>
      <c r="C2300" s="806" t="s">
        <v>1154</v>
      </c>
      <c r="D2300" s="807"/>
      <c r="E2300" s="11" t="s">
        <v>81</v>
      </c>
      <c r="F2300" s="12">
        <v>3</v>
      </c>
      <c r="G2300" s="12">
        <v>9.4</v>
      </c>
      <c r="H2300" s="12">
        <v>11.99</v>
      </c>
      <c r="I2300" s="13">
        <f t="shared" si="204"/>
        <v>28.200000000000003</v>
      </c>
      <c r="J2300" s="13">
        <f t="shared" si="205"/>
        <v>35.97</v>
      </c>
    </row>
    <row r="2301" spans="1:10" s="1" customFormat="1" ht="25.5" customHeight="1" x14ac:dyDescent="0.2">
      <c r="A2301" s="8"/>
      <c r="B2301" s="803" t="s">
        <v>1155</v>
      </c>
      <c r="C2301" s="804"/>
      <c r="D2301" s="804"/>
      <c r="E2301" s="804"/>
      <c r="F2301" s="804"/>
      <c r="G2301" s="805"/>
      <c r="H2301" s="8"/>
      <c r="I2301" s="18">
        <f>SUM(I2288:I2300)</f>
        <v>1763.9</v>
      </c>
      <c r="J2301" s="18">
        <f>SUM(J2288:J2300)</f>
        <v>2250.64</v>
      </c>
    </row>
    <row r="2302" spans="1:10" s="1" customFormat="1" ht="25.5" customHeight="1" x14ac:dyDescent="0.2">
      <c r="A2302" s="8"/>
      <c r="B2302" s="803" t="s">
        <v>1156</v>
      </c>
      <c r="C2302" s="804"/>
      <c r="D2302" s="804"/>
      <c r="E2302" s="804"/>
      <c r="F2302" s="804"/>
      <c r="G2302" s="805"/>
      <c r="H2302" s="8"/>
      <c r="I2302" s="14">
        <f>SUM(I2301,I2285)</f>
        <v>2818.01</v>
      </c>
      <c r="J2302" s="15">
        <f>SUM(J2301,J2285)-0.08</f>
        <v>3595.5</v>
      </c>
    </row>
    <row r="2303" spans="1:10" s="1" customFormat="1" ht="25.5" customHeight="1" x14ac:dyDescent="0.2">
      <c r="A2303" s="8"/>
      <c r="B2303" s="9" t="s">
        <v>1157</v>
      </c>
      <c r="C2303" s="808" t="s">
        <v>1158</v>
      </c>
      <c r="D2303" s="809"/>
      <c r="E2303" s="8"/>
      <c r="F2303" s="8"/>
      <c r="G2303" s="8"/>
      <c r="H2303" s="8"/>
      <c r="I2303" s="8"/>
      <c r="J2303" s="8"/>
    </row>
    <row r="2304" spans="1:10" s="1" customFormat="1" ht="25.5" customHeight="1" x14ac:dyDescent="0.2">
      <c r="A2304" s="8"/>
      <c r="B2304" s="9" t="s">
        <v>1159</v>
      </c>
      <c r="C2304" s="808" t="s">
        <v>1160</v>
      </c>
      <c r="D2304" s="820"/>
      <c r="E2304" s="820"/>
      <c r="F2304" s="820"/>
      <c r="G2304" s="820"/>
      <c r="H2304" s="820"/>
      <c r="I2304" s="809"/>
      <c r="J2304" s="8"/>
    </row>
    <row r="2305" spans="1:10" s="1" customFormat="1" ht="25.5" customHeight="1" x14ac:dyDescent="0.2">
      <c r="A2305" s="8"/>
      <c r="B2305" s="23">
        <v>45292</v>
      </c>
      <c r="C2305" s="808" t="s">
        <v>626</v>
      </c>
      <c r="D2305" s="820"/>
      <c r="E2305" s="820"/>
      <c r="F2305" s="820"/>
      <c r="G2305" s="820"/>
      <c r="H2305" s="820"/>
      <c r="I2305" s="809"/>
      <c r="J2305" s="8"/>
    </row>
    <row r="2306" spans="1:10" s="1" customFormat="1" ht="25.5" customHeight="1" x14ac:dyDescent="0.2">
      <c r="A2306" s="10">
        <v>92690</v>
      </c>
      <c r="B2306" s="11" t="s">
        <v>1161</v>
      </c>
      <c r="C2306" s="806" t="s">
        <v>1162</v>
      </c>
      <c r="D2306" s="807"/>
      <c r="E2306" s="11" t="s">
        <v>81</v>
      </c>
      <c r="F2306" s="12">
        <v>18</v>
      </c>
      <c r="G2306" s="12">
        <v>35.74</v>
      </c>
      <c r="H2306" s="12">
        <v>45.6</v>
      </c>
      <c r="I2306" s="13">
        <f>F2306*G2306</f>
        <v>643.32000000000005</v>
      </c>
      <c r="J2306" s="13">
        <f>F2306*H2306</f>
        <v>820.80000000000007</v>
      </c>
    </row>
    <row r="2307" spans="1:10" s="1" customFormat="1" ht="25.5" customHeight="1" x14ac:dyDescent="0.2">
      <c r="A2307" s="10">
        <v>92689</v>
      </c>
      <c r="B2307" s="11" t="s">
        <v>1163</v>
      </c>
      <c r="C2307" s="806" t="s">
        <v>1164</v>
      </c>
      <c r="D2307" s="807"/>
      <c r="E2307" s="11" t="s">
        <v>81</v>
      </c>
      <c r="F2307" s="12">
        <v>18</v>
      </c>
      <c r="G2307" s="12">
        <v>24.41</v>
      </c>
      <c r="H2307" s="12">
        <v>31.14</v>
      </c>
      <c r="I2307" s="13">
        <f>F2307*G2307</f>
        <v>439.38</v>
      </c>
      <c r="J2307" s="13">
        <f>F2307*H2307</f>
        <v>560.52</v>
      </c>
    </row>
    <row r="2308" spans="1:10" s="1" customFormat="1" ht="25.5" customHeight="1" x14ac:dyDescent="0.2">
      <c r="A2308" s="8"/>
      <c r="B2308" s="23">
        <v>45293</v>
      </c>
      <c r="C2308" s="808" t="s">
        <v>450</v>
      </c>
      <c r="D2308" s="809"/>
      <c r="E2308" s="8"/>
      <c r="F2308" s="8"/>
      <c r="G2308" s="8"/>
      <c r="H2308" s="8"/>
      <c r="I2308" s="8"/>
      <c r="J2308" s="8"/>
    </row>
    <row r="2309" spans="1:10" s="1" customFormat="1" ht="25.5" customHeight="1" x14ac:dyDescent="0.2">
      <c r="A2309" s="22" t="s">
        <v>308</v>
      </c>
      <c r="B2309" s="11" t="s">
        <v>1165</v>
      </c>
      <c r="C2309" s="806" t="s">
        <v>1166</v>
      </c>
      <c r="D2309" s="807"/>
      <c r="E2309" s="11" t="s">
        <v>102</v>
      </c>
      <c r="F2309" s="12">
        <v>2</v>
      </c>
      <c r="G2309" s="12">
        <v>18.7</v>
      </c>
      <c r="H2309" s="12">
        <v>23.86</v>
      </c>
      <c r="I2309" s="13">
        <f>F2309*G2309</f>
        <v>37.4</v>
      </c>
      <c r="J2309" s="13">
        <f>F2309*H2309</f>
        <v>47.72</v>
      </c>
    </row>
    <row r="2310" spans="1:10" s="1" customFormat="1" ht="25.5" customHeight="1" x14ac:dyDescent="0.2">
      <c r="A2310" s="8"/>
      <c r="B2310" s="23">
        <v>45294</v>
      </c>
      <c r="C2310" s="808" t="s">
        <v>750</v>
      </c>
      <c r="D2310" s="809"/>
      <c r="E2310" s="8"/>
      <c r="F2310" s="8"/>
      <c r="G2310" s="8"/>
      <c r="H2310" s="8"/>
      <c r="I2310" s="8"/>
      <c r="J2310" s="8"/>
    </row>
    <row r="2311" spans="1:10" s="1" customFormat="1" ht="25.5" customHeight="1" x14ac:dyDescent="0.2">
      <c r="A2311" s="22" t="s">
        <v>308</v>
      </c>
      <c r="B2311" s="11" t="s">
        <v>1167</v>
      </c>
      <c r="C2311" s="806" t="s">
        <v>1168</v>
      </c>
      <c r="D2311" s="807"/>
      <c r="E2311" s="11" t="s">
        <v>102</v>
      </c>
      <c r="F2311" s="12">
        <v>3</v>
      </c>
      <c r="G2311" s="12">
        <v>14.45</v>
      </c>
      <c r="H2311" s="12">
        <v>18.440000000000001</v>
      </c>
      <c r="I2311" s="13">
        <f>F2311*G2311</f>
        <v>43.349999999999994</v>
      </c>
      <c r="J2311" s="13">
        <f>F2311*H2311</f>
        <v>55.320000000000007</v>
      </c>
    </row>
    <row r="2312" spans="1:10" s="1" customFormat="1" ht="25.5" customHeight="1" x14ac:dyDescent="0.2">
      <c r="A2312" s="22" t="s">
        <v>308</v>
      </c>
      <c r="B2312" s="11" t="s">
        <v>1169</v>
      </c>
      <c r="C2312" s="806" t="s">
        <v>1170</v>
      </c>
      <c r="D2312" s="807"/>
      <c r="E2312" s="11" t="s">
        <v>102</v>
      </c>
      <c r="F2312" s="12">
        <v>3</v>
      </c>
      <c r="G2312" s="12">
        <v>11.87</v>
      </c>
      <c r="H2312" s="12">
        <v>15.14</v>
      </c>
      <c r="I2312" s="13">
        <f>F2312*G2312</f>
        <v>35.61</v>
      </c>
      <c r="J2312" s="13">
        <f>F2312*H2312</f>
        <v>45.42</v>
      </c>
    </row>
    <row r="2313" spans="1:10" s="1" customFormat="1" ht="25.5" customHeight="1" x14ac:dyDescent="0.2">
      <c r="A2313" s="8"/>
      <c r="B2313" s="23">
        <v>45295</v>
      </c>
      <c r="C2313" s="808" t="s">
        <v>652</v>
      </c>
      <c r="D2313" s="809"/>
      <c r="E2313" s="8"/>
      <c r="F2313" s="8"/>
      <c r="G2313" s="8"/>
      <c r="H2313" s="8"/>
      <c r="I2313" s="8"/>
      <c r="J2313" s="8"/>
    </row>
    <row r="2314" spans="1:10" s="1" customFormat="1" ht="25.5" customHeight="1" x14ac:dyDescent="0.2">
      <c r="A2314" s="22" t="s">
        <v>308</v>
      </c>
      <c r="B2314" s="11" t="s">
        <v>1171</v>
      </c>
      <c r="C2314" s="806" t="s">
        <v>1172</v>
      </c>
      <c r="D2314" s="807"/>
      <c r="E2314" s="11" t="s">
        <v>102</v>
      </c>
      <c r="F2314" s="12">
        <v>8</v>
      </c>
      <c r="G2314" s="12">
        <v>15.21</v>
      </c>
      <c r="H2314" s="12">
        <v>19.41</v>
      </c>
      <c r="I2314" s="13">
        <f>F2314*G2314</f>
        <v>121.68</v>
      </c>
      <c r="J2314" s="13">
        <f>F2314*H2314</f>
        <v>155.28</v>
      </c>
    </row>
    <row r="2315" spans="1:10" s="1" customFormat="1" ht="25.5" customHeight="1" x14ac:dyDescent="0.2">
      <c r="A2315" s="22" t="s">
        <v>308</v>
      </c>
      <c r="B2315" s="11" t="s">
        <v>1173</v>
      </c>
      <c r="C2315" s="806" t="s">
        <v>1174</v>
      </c>
      <c r="D2315" s="807"/>
      <c r="E2315" s="11" t="s">
        <v>102</v>
      </c>
      <c r="F2315" s="12">
        <v>2</v>
      </c>
      <c r="G2315" s="12">
        <v>15.21</v>
      </c>
      <c r="H2315" s="12">
        <v>19.41</v>
      </c>
      <c r="I2315" s="13">
        <f>F2315*G2315</f>
        <v>30.42</v>
      </c>
      <c r="J2315" s="13">
        <f>F2315*H2315</f>
        <v>38.82</v>
      </c>
    </row>
    <row r="2316" spans="1:10" s="1" customFormat="1" ht="25.5" customHeight="1" x14ac:dyDescent="0.2">
      <c r="A2316" s="8"/>
      <c r="B2316" s="23">
        <v>45296</v>
      </c>
      <c r="C2316" s="808" t="s">
        <v>1177</v>
      </c>
      <c r="D2316" s="809"/>
      <c r="E2316" s="8"/>
      <c r="F2316" s="8"/>
      <c r="G2316" s="8"/>
      <c r="H2316" s="8"/>
      <c r="I2316" s="8"/>
      <c r="J2316" s="8"/>
    </row>
    <row r="2317" spans="1:10" s="1" customFormat="1" ht="25.5" customHeight="1" x14ac:dyDescent="0.2">
      <c r="A2317" s="22" t="s">
        <v>308</v>
      </c>
      <c r="B2317" s="11" t="s">
        <v>1178</v>
      </c>
      <c r="C2317" s="806" t="s">
        <v>1179</v>
      </c>
      <c r="D2317" s="807"/>
      <c r="E2317" s="11" t="s">
        <v>102</v>
      </c>
      <c r="F2317" s="12">
        <v>2</v>
      </c>
      <c r="G2317" s="12">
        <v>20.8</v>
      </c>
      <c r="H2317" s="12">
        <v>26.54</v>
      </c>
      <c r="I2317" s="13">
        <f>F2317*G2317</f>
        <v>41.6</v>
      </c>
      <c r="J2317" s="13">
        <f>F2317*H2317</f>
        <v>53.08</v>
      </c>
    </row>
    <row r="2318" spans="1:10" s="1" customFormat="1" ht="25.5" customHeight="1" x14ac:dyDescent="0.2">
      <c r="A2318" s="8"/>
      <c r="B2318" s="23">
        <v>45297</v>
      </c>
      <c r="C2318" s="808" t="s">
        <v>473</v>
      </c>
      <c r="D2318" s="809"/>
      <c r="E2318" s="8"/>
      <c r="F2318" s="8"/>
      <c r="G2318" s="8"/>
      <c r="H2318" s="8"/>
      <c r="I2318" s="8"/>
      <c r="J2318" s="8"/>
    </row>
    <row r="2319" spans="1:10" s="1" customFormat="1" ht="25.5" customHeight="1" x14ac:dyDescent="0.2">
      <c r="A2319" s="22" t="s">
        <v>308</v>
      </c>
      <c r="B2319" s="11" t="s">
        <v>1180</v>
      </c>
      <c r="C2319" s="806" t="s">
        <v>1181</v>
      </c>
      <c r="D2319" s="807"/>
      <c r="E2319" s="11" t="s">
        <v>102</v>
      </c>
      <c r="F2319" s="12">
        <v>3</v>
      </c>
      <c r="G2319" s="12">
        <v>79</v>
      </c>
      <c r="H2319" s="12">
        <v>100.8</v>
      </c>
      <c r="I2319" s="13">
        <f>F2319*G2319</f>
        <v>237</v>
      </c>
      <c r="J2319" s="13">
        <f>F2319*H2319</f>
        <v>302.39999999999998</v>
      </c>
    </row>
    <row r="2320" spans="1:10" s="1" customFormat="1" ht="25.5" customHeight="1" x14ac:dyDescent="0.2">
      <c r="A2320" s="8"/>
      <c r="B2320" s="23">
        <v>45298</v>
      </c>
      <c r="C2320" s="808" t="s">
        <v>1182</v>
      </c>
      <c r="D2320" s="809"/>
      <c r="E2320" s="8"/>
      <c r="F2320" s="8"/>
      <c r="G2320" s="8"/>
      <c r="H2320" s="8"/>
      <c r="I2320" s="8"/>
      <c r="J2320" s="8"/>
    </row>
    <row r="2321" spans="1:10" s="1" customFormat="1" ht="25.5" customHeight="1" x14ac:dyDescent="0.2">
      <c r="A2321" s="22" t="s">
        <v>308</v>
      </c>
      <c r="B2321" s="11" t="s">
        <v>1183</v>
      </c>
      <c r="C2321" s="806" t="s">
        <v>1184</v>
      </c>
      <c r="D2321" s="807"/>
      <c r="E2321" s="11" t="s">
        <v>102</v>
      </c>
      <c r="F2321" s="12">
        <v>3</v>
      </c>
      <c r="G2321" s="12">
        <v>18.899999999999999</v>
      </c>
      <c r="H2321" s="12">
        <v>24.11</v>
      </c>
      <c r="I2321" s="13">
        <f>F2321*G2321</f>
        <v>56.699999999999996</v>
      </c>
      <c r="J2321" s="13">
        <f>F2321*H2321</f>
        <v>72.33</v>
      </c>
    </row>
    <row r="2322" spans="1:10" s="1" customFormat="1" ht="25.5" customHeight="1" x14ac:dyDescent="0.2">
      <c r="A2322" s="22" t="s">
        <v>308</v>
      </c>
      <c r="B2322" s="11" t="s">
        <v>1185</v>
      </c>
      <c r="C2322" s="806" t="s">
        <v>1186</v>
      </c>
      <c r="D2322" s="807"/>
      <c r="E2322" s="11" t="s">
        <v>102</v>
      </c>
      <c r="F2322" s="12">
        <v>5</v>
      </c>
      <c r="G2322" s="12">
        <v>15.9</v>
      </c>
      <c r="H2322" s="12">
        <v>20.29</v>
      </c>
      <c r="I2322" s="13">
        <f>F2322*G2322</f>
        <v>79.5</v>
      </c>
      <c r="J2322" s="13">
        <f>F2322*H2322</f>
        <v>101.44999999999999</v>
      </c>
    </row>
    <row r="2323" spans="1:10" s="1" customFormat="1" ht="25.5" customHeight="1" x14ac:dyDescent="0.2">
      <c r="A2323" s="8"/>
      <c r="B2323" s="23">
        <v>45299</v>
      </c>
      <c r="C2323" s="808" t="s">
        <v>1187</v>
      </c>
      <c r="D2323" s="809"/>
      <c r="E2323" s="8"/>
      <c r="F2323" s="8"/>
      <c r="G2323" s="8"/>
      <c r="H2323" s="8"/>
      <c r="I2323" s="8"/>
      <c r="J2323" s="8"/>
    </row>
    <row r="2324" spans="1:10" s="1" customFormat="1" ht="25.5" customHeight="1" x14ac:dyDescent="0.2">
      <c r="A2324" s="22" t="s">
        <v>308</v>
      </c>
      <c r="B2324" s="11" t="s">
        <v>1188</v>
      </c>
      <c r="C2324" s="806" t="s">
        <v>1189</v>
      </c>
      <c r="D2324" s="807"/>
      <c r="E2324" s="11" t="s">
        <v>102</v>
      </c>
      <c r="F2324" s="12">
        <v>4</v>
      </c>
      <c r="G2324" s="12">
        <v>96</v>
      </c>
      <c r="H2324" s="12">
        <v>122.49</v>
      </c>
      <c r="I2324" s="13">
        <f>F2324*G2324</f>
        <v>384</v>
      </c>
      <c r="J2324" s="13">
        <f>F2324*H2324</f>
        <v>489.96</v>
      </c>
    </row>
    <row r="2325" spans="1:10" s="1" customFormat="1" ht="25.5" customHeight="1" x14ac:dyDescent="0.2">
      <c r="A2325" s="8"/>
      <c r="B2325" s="23">
        <v>45300</v>
      </c>
      <c r="C2325" s="808" t="s">
        <v>1190</v>
      </c>
      <c r="D2325" s="809"/>
      <c r="E2325" s="8"/>
      <c r="F2325" s="8"/>
      <c r="G2325" s="8"/>
      <c r="H2325" s="8"/>
      <c r="I2325" s="8"/>
      <c r="J2325" s="8"/>
    </row>
    <row r="2326" spans="1:10" s="1" customFormat="1" ht="25.5" customHeight="1" x14ac:dyDescent="0.2">
      <c r="A2326" s="22" t="s">
        <v>308</v>
      </c>
      <c r="B2326" s="11" t="s">
        <v>1191</v>
      </c>
      <c r="C2326" s="806" t="s">
        <v>1192</v>
      </c>
      <c r="D2326" s="807"/>
      <c r="E2326" s="11" t="s">
        <v>102</v>
      </c>
      <c r="F2326" s="12">
        <v>1</v>
      </c>
      <c r="G2326" s="12">
        <v>28.29</v>
      </c>
      <c r="H2326" s="12">
        <v>36.1</v>
      </c>
      <c r="I2326" s="13">
        <f>F2326*G2326</f>
        <v>28.29</v>
      </c>
      <c r="J2326" s="13">
        <f>F2326*H2326</f>
        <v>36.1</v>
      </c>
    </row>
    <row r="2327" spans="1:10" s="1" customFormat="1" ht="25.5" customHeight="1" x14ac:dyDescent="0.2">
      <c r="A2327" s="22" t="s">
        <v>308</v>
      </c>
      <c r="B2327" s="11" t="s">
        <v>1193</v>
      </c>
      <c r="C2327" s="806" t="s">
        <v>1194</v>
      </c>
      <c r="D2327" s="807"/>
      <c r="E2327" s="11" t="s">
        <v>102</v>
      </c>
      <c r="F2327" s="12">
        <v>2</v>
      </c>
      <c r="G2327" s="12">
        <v>21.93</v>
      </c>
      <c r="H2327" s="12">
        <v>27.98</v>
      </c>
      <c r="I2327" s="13">
        <f>F2327*G2327</f>
        <v>43.86</v>
      </c>
      <c r="J2327" s="13">
        <f>F2327*H2327</f>
        <v>55.96</v>
      </c>
    </row>
    <row r="2328" spans="1:10" s="1" customFormat="1" ht="25.5" customHeight="1" x14ac:dyDescent="0.2">
      <c r="A2328" s="8"/>
      <c r="B2328" s="9" t="s">
        <v>1195</v>
      </c>
      <c r="C2328" s="808" t="s">
        <v>1196</v>
      </c>
      <c r="D2328" s="809"/>
      <c r="E2328" s="8"/>
      <c r="F2328" s="8"/>
      <c r="G2328" s="8"/>
      <c r="H2328" s="8"/>
      <c r="I2328" s="8"/>
      <c r="J2328" s="8"/>
    </row>
    <row r="2329" spans="1:10" s="1" customFormat="1" ht="25.5" customHeight="1" x14ac:dyDescent="0.2">
      <c r="A2329" s="8"/>
      <c r="B2329" s="23">
        <v>45323</v>
      </c>
      <c r="C2329" s="808" t="s">
        <v>1197</v>
      </c>
      <c r="D2329" s="809"/>
      <c r="E2329" s="8"/>
      <c r="F2329" s="8"/>
      <c r="G2329" s="8"/>
      <c r="H2329" s="8"/>
      <c r="I2329" s="8"/>
      <c r="J2329" s="8"/>
    </row>
    <row r="2330" spans="1:10" s="1" customFormat="1" ht="25.5" customHeight="1" x14ac:dyDescent="0.2">
      <c r="A2330" s="22" t="s">
        <v>308</v>
      </c>
      <c r="B2330" s="11" t="s">
        <v>1198</v>
      </c>
      <c r="C2330" s="806" t="s">
        <v>1199</v>
      </c>
      <c r="D2330" s="807"/>
      <c r="E2330" s="11" t="s">
        <v>102</v>
      </c>
      <c r="F2330" s="12">
        <v>2</v>
      </c>
      <c r="G2330" s="12">
        <v>14.99</v>
      </c>
      <c r="H2330" s="12">
        <v>19.13</v>
      </c>
      <c r="I2330" s="13">
        <f>F2330*G2330</f>
        <v>29.98</v>
      </c>
      <c r="J2330" s="13">
        <f>F2330*H2330</f>
        <v>38.26</v>
      </c>
    </row>
    <row r="2331" spans="1:10" s="1" customFormat="1" ht="25.5" customHeight="1" x14ac:dyDescent="0.2">
      <c r="A2331" s="8"/>
      <c r="B2331" s="23">
        <v>45324</v>
      </c>
      <c r="C2331" s="808" t="s">
        <v>1200</v>
      </c>
      <c r="D2331" s="809"/>
      <c r="E2331" s="8"/>
      <c r="F2331" s="8"/>
      <c r="G2331" s="8"/>
      <c r="H2331" s="8"/>
      <c r="I2331" s="8"/>
      <c r="J2331" s="8"/>
    </row>
    <row r="2332" spans="1:10" s="1" customFormat="1" ht="25.5" customHeight="1" x14ac:dyDescent="0.2">
      <c r="A2332" s="22" t="s">
        <v>308</v>
      </c>
      <c r="B2332" s="11" t="s">
        <v>1201</v>
      </c>
      <c r="C2332" s="806" t="s">
        <v>1202</v>
      </c>
      <c r="D2332" s="807"/>
      <c r="E2332" s="11" t="s">
        <v>102</v>
      </c>
      <c r="F2332" s="12">
        <v>1</v>
      </c>
      <c r="G2332" s="12">
        <v>180</v>
      </c>
      <c r="H2332" s="12">
        <v>229.66</v>
      </c>
      <c r="I2332" s="13">
        <f>F2332*G2332</f>
        <v>180</v>
      </c>
      <c r="J2332" s="13">
        <f>F2332*H2332</f>
        <v>229.66</v>
      </c>
    </row>
    <row r="2333" spans="1:10" s="1" customFormat="1" ht="25.5" customHeight="1" x14ac:dyDescent="0.2">
      <c r="A2333" s="22" t="s">
        <v>308</v>
      </c>
      <c r="B2333" s="11" t="s">
        <v>1203</v>
      </c>
      <c r="C2333" s="806" t="s">
        <v>1204</v>
      </c>
      <c r="D2333" s="807"/>
      <c r="E2333" s="11" t="s">
        <v>102</v>
      </c>
      <c r="F2333" s="12">
        <v>2</v>
      </c>
      <c r="G2333" s="12">
        <v>49.9</v>
      </c>
      <c r="H2333" s="12">
        <v>63.67</v>
      </c>
      <c r="I2333" s="13">
        <f>F2333*G2333</f>
        <v>99.8</v>
      </c>
      <c r="J2333" s="13">
        <f>F2333*H2333</f>
        <v>127.34</v>
      </c>
    </row>
    <row r="2334" spans="1:10" s="1" customFormat="1" ht="25.5" customHeight="1" x14ac:dyDescent="0.2">
      <c r="A2334" s="8"/>
      <c r="B2334" s="23">
        <v>45325</v>
      </c>
      <c r="C2334" s="808" t="s">
        <v>1205</v>
      </c>
      <c r="D2334" s="809"/>
      <c r="E2334" s="8"/>
      <c r="F2334" s="8"/>
      <c r="G2334" s="8"/>
      <c r="H2334" s="8"/>
      <c r="I2334" s="8"/>
      <c r="J2334" s="8"/>
    </row>
    <row r="2335" spans="1:10" s="1" customFormat="1" ht="25.5" customHeight="1" x14ac:dyDescent="0.2">
      <c r="A2335" s="22" t="s">
        <v>308</v>
      </c>
      <c r="B2335" s="11" t="s">
        <v>1206</v>
      </c>
      <c r="C2335" s="806" t="s">
        <v>1207</v>
      </c>
      <c r="D2335" s="807"/>
      <c r="E2335" s="11" t="s">
        <v>102</v>
      </c>
      <c r="F2335" s="12">
        <v>2</v>
      </c>
      <c r="G2335" s="12">
        <v>49</v>
      </c>
      <c r="H2335" s="12">
        <v>62.52</v>
      </c>
      <c r="I2335" s="13">
        <f>F2335*G2335</f>
        <v>98</v>
      </c>
      <c r="J2335" s="13">
        <f>F2335*H2335</f>
        <v>125.04</v>
      </c>
    </row>
    <row r="2336" spans="1:10" s="1" customFormat="1" ht="25.5" customHeight="1" x14ac:dyDescent="0.2">
      <c r="A2336" s="8"/>
      <c r="B2336" s="23">
        <v>45325</v>
      </c>
      <c r="C2336" s="808" t="s">
        <v>1208</v>
      </c>
      <c r="D2336" s="809"/>
      <c r="E2336" s="8"/>
      <c r="F2336" s="8"/>
      <c r="G2336" s="8"/>
      <c r="H2336" s="8"/>
      <c r="I2336" s="8"/>
      <c r="J2336" s="8"/>
    </row>
    <row r="2337" spans="1:10" s="1" customFormat="1" ht="25.5" customHeight="1" x14ac:dyDescent="0.2">
      <c r="A2337" s="22" t="s">
        <v>308</v>
      </c>
      <c r="B2337" s="11" t="s">
        <v>1206</v>
      </c>
      <c r="C2337" s="806" t="s">
        <v>1209</v>
      </c>
      <c r="D2337" s="807"/>
      <c r="E2337" s="11" t="s">
        <v>102</v>
      </c>
      <c r="F2337" s="12">
        <v>1</v>
      </c>
      <c r="G2337" s="12">
        <v>26.89</v>
      </c>
      <c r="H2337" s="12">
        <v>34.31</v>
      </c>
      <c r="I2337" s="13">
        <f>F2337*G2337</f>
        <v>26.89</v>
      </c>
      <c r="J2337" s="13">
        <f>F2337*H2337</f>
        <v>34.31</v>
      </c>
    </row>
    <row r="2338" spans="1:10" s="1" customFormat="1" ht="25.5" customHeight="1" x14ac:dyDescent="0.2">
      <c r="A2338" s="8"/>
      <c r="B2338" s="23">
        <v>45326</v>
      </c>
      <c r="C2338" s="808" t="s">
        <v>1210</v>
      </c>
      <c r="D2338" s="809"/>
      <c r="E2338" s="8"/>
      <c r="F2338" s="8"/>
      <c r="G2338" s="8"/>
      <c r="H2338" s="8"/>
      <c r="I2338" s="8"/>
      <c r="J2338" s="8"/>
    </row>
    <row r="2339" spans="1:10" s="1" customFormat="1" ht="25.5" customHeight="1" x14ac:dyDescent="0.2">
      <c r="A2339" s="22" t="s">
        <v>308</v>
      </c>
      <c r="B2339" s="11" t="s">
        <v>1211</v>
      </c>
      <c r="C2339" s="806" t="s">
        <v>1212</v>
      </c>
      <c r="D2339" s="807"/>
      <c r="E2339" s="11" t="s">
        <v>102</v>
      </c>
      <c r="F2339" s="12">
        <v>6</v>
      </c>
      <c r="G2339" s="12">
        <v>0.17</v>
      </c>
      <c r="H2339" s="12">
        <v>0.22</v>
      </c>
      <c r="I2339" s="13">
        <f>F2339*G2339</f>
        <v>1.02</v>
      </c>
      <c r="J2339" s="13">
        <f>F2339*H2339</f>
        <v>1.32</v>
      </c>
    </row>
    <row r="2340" spans="1:10" s="1" customFormat="1" ht="25.5" customHeight="1" x14ac:dyDescent="0.2">
      <c r="A2340" s="8"/>
      <c r="B2340" s="803" t="s">
        <v>1213</v>
      </c>
      <c r="C2340" s="804"/>
      <c r="D2340" s="804"/>
      <c r="E2340" s="804"/>
      <c r="F2340" s="804"/>
      <c r="G2340" s="805"/>
      <c r="H2340" s="8"/>
      <c r="I2340" s="14">
        <f>SUM(I2306:I2339)-0.05</f>
        <v>2657.75</v>
      </c>
      <c r="J2340" s="15">
        <f>SUM(J2306:J2339)-0.07</f>
        <v>3391.02</v>
      </c>
    </row>
    <row r="2341" spans="1:10" s="1" customFormat="1" ht="25.5" customHeight="1" x14ac:dyDescent="0.2">
      <c r="A2341" s="8"/>
      <c r="B2341" s="9" t="s">
        <v>1214</v>
      </c>
      <c r="C2341" s="808" t="s">
        <v>1215</v>
      </c>
      <c r="D2341" s="809"/>
      <c r="E2341" s="8"/>
      <c r="F2341" s="8"/>
      <c r="G2341" s="8"/>
      <c r="H2341" s="8"/>
      <c r="I2341" s="8"/>
      <c r="J2341" s="8"/>
    </row>
    <row r="2342" spans="1:10" s="1" customFormat="1" ht="25.5" customHeight="1" x14ac:dyDescent="0.2">
      <c r="A2342" s="8"/>
      <c r="B2342" s="9" t="s">
        <v>1216</v>
      </c>
      <c r="C2342" s="808" t="s">
        <v>1196</v>
      </c>
      <c r="D2342" s="820"/>
      <c r="E2342" s="820"/>
      <c r="F2342" s="820"/>
      <c r="G2342" s="820"/>
      <c r="H2342" s="820"/>
      <c r="I2342" s="809"/>
      <c r="J2342" s="8"/>
    </row>
    <row r="2343" spans="1:10" s="1" customFormat="1" ht="25.5" customHeight="1" x14ac:dyDescent="0.2">
      <c r="A2343" s="27" t="s">
        <v>78</v>
      </c>
      <c r="B2343" s="21">
        <v>45658</v>
      </c>
      <c r="C2343" s="806" t="s">
        <v>1217</v>
      </c>
      <c r="D2343" s="807"/>
      <c r="E2343" s="11" t="s">
        <v>102</v>
      </c>
      <c r="F2343" s="12">
        <v>8</v>
      </c>
      <c r="G2343" s="12">
        <v>95.52</v>
      </c>
      <c r="H2343" s="12">
        <v>121.87</v>
      </c>
      <c r="I2343" s="13">
        <f t="shared" ref="I2343:I2355" si="206">F2343*G2343</f>
        <v>764.16</v>
      </c>
      <c r="J2343" s="13">
        <f t="shared" ref="J2343:J2355" si="207">F2343*H2343</f>
        <v>974.96</v>
      </c>
    </row>
    <row r="2344" spans="1:10" s="1" customFormat="1" ht="25.5" customHeight="1" x14ac:dyDescent="0.2">
      <c r="A2344" s="22" t="s">
        <v>308</v>
      </c>
      <c r="B2344" s="21">
        <v>45659</v>
      </c>
      <c r="C2344" s="806" t="s">
        <v>1218</v>
      </c>
      <c r="D2344" s="807"/>
      <c r="E2344" s="11" t="s">
        <v>102</v>
      </c>
      <c r="F2344" s="12">
        <v>8</v>
      </c>
      <c r="G2344" s="12">
        <v>9.93</v>
      </c>
      <c r="H2344" s="12">
        <v>12.67</v>
      </c>
      <c r="I2344" s="13">
        <f t="shared" si="206"/>
        <v>79.44</v>
      </c>
      <c r="J2344" s="13">
        <f t="shared" si="207"/>
        <v>101.36</v>
      </c>
    </row>
    <row r="2345" spans="1:10" s="1" customFormat="1" ht="25.5" customHeight="1" x14ac:dyDescent="0.2">
      <c r="A2345" s="22" t="s">
        <v>308</v>
      </c>
      <c r="B2345" s="21">
        <v>45660</v>
      </c>
      <c r="C2345" s="806" t="s">
        <v>1219</v>
      </c>
      <c r="D2345" s="807"/>
      <c r="E2345" s="11" t="s">
        <v>102</v>
      </c>
      <c r="F2345" s="12">
        <v>2</v>
      </c>
      <c r="G2345" s="12">
        <v>12.71</v>
      </c>
      <c r="H2345" s="12">
        <v>16.22</v>
      </c>
      <c r="I2345" s="13">
        <f t="shared" si="206"/>
        <v>25.42</v>
      </c>
      <c r="J2345" s="13">
        <f t="shared" si="207"/>
        <v>32.44</v>
      </c>
    </row>
    <row r="2346" spans="1:10" s="1" customFormat="1" ht="25.5" customHeight="1" x14ac:dyDescent="0.2">
      <c r="A2346" s="22" t="s">
        <v>308</v>
      </c>
      <c r="B2346" s="21">
        <v>45661</v>
      </c>
      <c r="C2346" s="806" t="s">
        <v>1220</v>
      </c>
      <c r="D2346" s="807"/>
      <c r="E2346" s="11" t="s">
        <v>102</v>
      </c>
      <c r="F2346" s="12">
        <v>5</v>
      </c>
      <c r="G2346" s="12">
        <v>150</v>
      </c>
      <c r="H2346" s="12">
        <v>191.39</v>
      </c>
      <c r="I2346" s="13">
        <f t="shared" si="206"/>
        <v>750</v>
      </c>
      <c r="J2346" s="13">
        <f t="shared" si="207"/>
        <v>956.94999999999993</v>
      </c>
    </row>
    <row r="2347" spans="1:10" s="1" customFormat="1" ht="25.5" customHeight="1" x14ac:dyDescent="0.2">
      <c r="A2347" s="22" t="s">
        <v>308</v>
      </c>
      <c r="B2347" s="21">
        <v>45662</v>
      </c>
      <c r="C2347" s="806" t="s">
        <v>1221</v>
      </c>
      <c r="D2347" s="807"/>
      <c r="E2347" s="11" t="s">
        <v>102</v>
      </c>
      <c r="F2347" s="12">
        <v>38</v>
      </c>
      <c r="G2347" s="12">
        <v>59.9</v>
      </c>
      <c r="H2347" s="12">
        <v>76.430000000000007</v>
      </c>
      <c r="I2347" s="13">
        <f t="shared" si="206"/>
        <v>2276.1999999999998</v>
      </c>
      <c r="J2347" s="13">
        <f t="shared" si="207"/>
        <v>2904.34</v>
      </c>
    </row>
    <row r="2348" spans="1:10" s="1" customFormat="1" ht="25.5" customHeight="1" x14ac:dyDescent="0.2">
      <c r="A2348" s="22" t="s">
        <v>308</v>
      </c>
      <c r="B2348" s="21">
        <v>45663</v>
      </c>
      <c r="C2348" s="806" t="s">
        <v>1222</v>
      </c>
      <c r="D2348" s="807"/>
      <c r="E2348" s="11" t="s">
        <v>102</v>
      </c>
      <c r="F2348" s="12">
        <v>2</v>
      </c>
      <c r="G2348" s="12">
        <v>219</v>
      </c>
      <c r="H2348" s="12">
        <v>279.42</v>
      </c>
      <c r="I2348" s="13">
        <f t="shared" si="206"/>
        <v>438</v>
      </c>
      <c r="J2348" s="13">
        <f t="shared" si="207"/>
        <v>558.84</v>
      </c>
    </row>
    <row r="2349" spans="1:10" s="1" customFormat="1" ht="25.5" customHeight="1" x14ac:dyDescent="0.2">
      <c r="A2349" s="22" t="s">
        <v>308</v>
      </c>
      <c r="B2349" s="21">
        <v>45664</v>
      </c>
      <c r="C2349" s="806" t="s">
        <v>1223</v>
      </c>
      <c r="D2349" s="807"/>
      <c r="E2349" s="11" t="s">
        <v>102</v>
      </c>
      <c r="F2349" s="12">
        <v>9</v>
      </c>
      <c r="G2349" s="12">
        <v>19.3</v>
      </c>
      <c r="H2349" s="12">
        <v>24.62</v>
      </c>
      <c r="I2349" s="13">
        <f t="shared" si="206"/>
        <v>173.70000000000002</v>
      </c>
      <c r="J2349" s="13">
        <f t="shared" si="207"/>
        <v>221.58</v>
      </c>
    </row>
    <row r="2350" spans="1:10" s="1" customFormat="1" ht="25.5" customHeight="1" x14ac:dyDescent="0.2">
      <c r="A2350" s="22" t="s">
        <v>308</v>
      </c>
      <c r="B2350" s="21">
        <v>45665</v>
      </c>
      <c r="C2350" s="806" t="s">
        <v>1224</v>
      </c>
      <c r="D2350" s="807"/>
      <c r="E2350" s="11" t="s">
        <v>102</v>
      </c>
      <c r="F2350" s="12">
        <v>8</v>
      </c>
      <c r="G2350" s="12">
        <v>19.3</v>
      </c>
      <c r="H2350" s="12">
        <v>24.62</v>
      </c>
      <c r="I2350" s="13">
        <f t="shared" si="206"/>
        <v>154.4</v>
      </c>
      <c r="J2350" s="13">
        <f t="shared" si="207"/>
        <v>196.96</v>
      </c>
    </row>
    <row r="2351" spans="1:10" s="1" customFormat="1" ht="25.5" customHeight="1" x14ac:dyDescent="0.2">
      <c r="A2351" s="22" t="s">
        <v>308</v>
      </c>
      <c r="B2351" s="21">
        <v>45666</v>
      </c>
      <c r="C2351" s="806" t="s">
        <v>1225</v>
      </c>
      <c r="D2351" s="807"/>
      <c r="E2351" s="11" t="s">
        <v>102</v>
      </c>
      <c r="F2351" s="12">
        <v>8</v>
      </c>
      <c r="G2351" s="12">
        <v>9.9</v>
      </c>
      <c r="H2351" s="12">
        <v>12.63</v>
      </c>
      <c r="I2351" s="13">
        <f t="shared" si="206"/>
        <v>79.2</v>
      </c>
      <c r="J2351" s="13">
        <f t="shared" si="207"/>
        <v>101.04</v>
      </c>
    </row>
    <row r="2352" spans="1:10" s="1" customFormat="1" ht="25.5" customHeight="1" x14ac:dyDescent="0.2">
      <c r="A2352" s="22" t="s">
        <v>308</v>
      </c>
      <c r="B2352" s="34">
        <v>40203</v>
      </c>
      <c r="C2352" s="806" t="s">
        <v>1226</v>
      </c>
      <c r="D2352" s="807"/>
      <c r="E2352" s="11" t="s">
        <v>102</v>
      </c>
      <c r="F2352" s="12">
        <v>1</v>
      </c>
      <c r="G2352" s="12">
        <v>11.57</v>
      </c>
      <c r="H2352" s="12">
        <v>14.76</v>
      </c>
      <c r="I2352" s="13">
        <f t="shared" si="206"/>
        <v>11.57</v>
      </c>
      <c r="J2352" s="13">
        <f t="shared" si="207"/>
        <v>14.76</v>
      </c>
    </row>
    <row r="2353" spans="1:10" s="1" customFormat="1" ht="25.5" customHeight="1" x14ac:dyDescent="0.2">
      <c r="A2353" s="19">
        <v>38061</v>
      </c>
      <c r="B2353" s="34">
        <v>40568</v>
      </c>
      <c r="C2353" s="806" t="s">
        <v>1227</v>
      </c>
      <c r="D2353" s="807"/>
      <c r="E2353" s="11" t="s">
        <v>102</v>
      </c>
      <c r="F2353" s="12">
        <v>1</v>
      </c>
      <c r="G2353" s="12">
        <v>39.15</v>
      </c>
      <c r="H2353" s="12">
        <v>49.95</v>
      </c>
      <c r="I2353" s="13">
        <f t="shared" si="206"/>
        <v>39.15</v>
      </c>
      <c r="J2353" s="13">
        <f t="shared" si="207"/>
        <v>49.95</v>
      </c>
    </row>
    <row r="2354" spans="1:10" s="1" customFormat="1" ht="25.5" customHeight="1" x14ac:dyDescent="0.2">
      <c r="A2354" s="19">
        <v>38061</v>
      </c>
      <c r="B2354" s="34">
        <v>40933</v>
      </c>
      <c r="C2354" s="806" t="s">
        <v>1228</v>
      </c>
      <c r="D2354" s="807"/>
      <c r="E2354" s="11" t="s">
        <v>102</v>
      </c>
      <c r="F2354" s="12">
        <v>1</v>
      </c>
      <c r="G2354" s="12">
        <v>39.15</v>
      </c>
      <c r="H2354" s="12">
        <v>49.95</v>
      </c>
      <c r="I2354" s="13">
        <f t="shared" si="206"/>
        <v>39.15</v>
      </c>
      <c r="J2354" s="13">
        <f t="shared" si="207"/>
        <v>49.95</v>
      </c>
    </row>
    <row r="2355" spans="1:10" s="1" customFormat="1" ht="25.5" customHeight="1" x14ac:dyDescent="0.2">
      <c r="A2355" s="19">
        <v>38061</v>
      </c>
      <c r="B2355" s="34">
        <v>41299</v>
      </c>
      <c r="C2355" s="806" t="s">
        <v>1229</v>
      </c>
      <c r="D2355" s="807"/>
      <c r="E2355" s="11" t="s">
        <v>102</v>
      </c>
      <c r="F2355" s="12">
        <v>8</v>
      </c>
      <c r="G2355" s="12">
        <v>39.15</v>
      </c>
      <c r="H2355" s="12">
        <v>49.95</v>
      </c>
      <c r="I2355" s="13">
        <f t="shared" si="206"/>
        <v>313.2</v>
      </c>
      <c r="J2355" s="13">
        <f t="shared" si="207"/>
        <v>399.6</v>
      </c>
    </row>
    <row r="2356" spans="1:10" s="1" customFormat="1" ht="25.5" customHeight="1" x14ac:dyDescent="0.2">
      <c r="A2356" s="8"/>
      <c r="B2356" s="803" t="s">
        <v>1230</v>
      </c>
      <c r="C2356" s="804"/>
      <c r="D2356" s="804"/>
      <c r="E2356" s="804"/>
      <c r="F2356" s="804"/>
      <c r="G2356" s="805"/>
      <c r="H2356" s="8"/>
      <c r="I2356" s="14">
        <f>SUM(I2343:I2355)-0.02</f>
        <v>5143.569999999997</v>
      </c>
      <c r="J2356" s="15">
        <f>SUM(J2343:J2355)-0.3</f>
        <v>6562.43</v>
      </c>
    </row>
    <row r="2357" spans="1:10" s="1" customFormat="1" ht="25.5" customHeight="1" x14ac:dyDescent="0.2">
      <c r="A2357" s="8"/>
      <c r="B2357" s="821"/>
      <c r="C2357" s="825"/>
      <c r="D2357" s="825"/>
      <c r="E2357" s="825"/>
      <c r="F2357" s="825"/>
      <c r="G2357" s="825"/>
      <c r="H2357" s="825"/>
      <c r="I2357" s="822"/>
      <c r="J2357" s="8"/>
    </row>
    <row r="2358" spans="1:10" s="1" customFormat="1" ht="25.5" customHeight="1" x14ac:dyDescent="0.2">
      <c r="A2358" s="8"/>
      <c r="B2358" s="9" t="s">
        <v>1231</v>
      </c>
      <c r="C2358" s="808" t="s">
        <v>1232</v>
      </c>
      <c r="D2358" s="809"/>
      <c r="E2358" s="8"/>
      <c r="F2358" s="8"/>
      <c r="G2358" s="8"/>
      <c r="H2358" s="8"/>
      <c r="I2358" s="8"/>
      <c r="J2358" s="8"/>
    </row>
    <row r="2359" spans="1:10" s="1" customFormat="1" ht="25.5" customHeight="1" x14ac:dyDescent="0.2">
      <c r="A2359" s="19">
        <v>9537</v>
      </c>
      <c r="B2359" s="11" t="s">
        <v>1233</v>
      </c>
      <c r="C2359" s="806" t="s">
        <v>1234</v>
      </c>
      <c r="D2359" s="807"/>
      <c r="E2359" s="11" t="s">
        <v>14</v>
      </c>
      <c r="F2359" s="13">
        <v>1118.48</v>
      </c>
      <c r="G2359" s="12">
        <v>1.89</v>
      </c>
      <c r="H2359" s="12">
        <v>2.41</v>
      </c>
      <c r="I2359" s="13">
        <f>F2359*G2359</f>
        <v>2113.9272000000001</v>
      </c>
      <c r="J2359" s="13">
        <f>F2359*H2359</f>
        <v>2695.5368000000003</v>
      </c>
    </row>
    <row r="2360" spans="1:10" s="1" customFormat="1" ht="25.5" customHeight="1" x14ac:dyDescent="0.2">
      <c r="A2360" s="8"/>
      <c r="B2360" s="803" t="s">
        <v>1235</v>
      </c>
      <c r="C2360" s="804"/>
      <c r="D2360" s="804"/>
      <c r="E2360" s="804"/>
      <c r="F2360" s="804"/>
      <c r="G2360" s="805"/>
      <c r="H2360" s="8"/>
      <c r="I2360" s="14">
        <f>SUM(I2359)</f>
        <v>2113.9272000000001</v>
      </c>
      <c r="J2360" s="15">
        <f>SUM(J2359)+1.5</f>
        <v>2697.0368000000003</v>
      </c>
    </row>
    <row r="2361" spans="1:10" s="1" customFormat="1" ht="25.5" customHeight="1" x14ac:dyDescent="0.2">
      <c r="A2361" s="8"/>
      <c r="B2361" s="821"/>
      <c r="C2361" s="825"/>
      <c r="D2361" s="825"/>
      <c r="E2361" s="825"/>
      <c r="F2361" s="825"/>
      <c r="G2361" s="825"/>
      <c r="H2361" s="825"/>
      <c r="I2361" s="822"/>
      <c r="J2361" s="8"/>
    </row>
    <row r="2362" spans="1:10" s="1" customFormat="1" ht="25.5" customHeight="1" x14ac:dyDescent="0.2">
      <c r="A2362" s="8"/>
      <c r="B2362" s="9" t="s">
        <v>1236</v>
      </c>
      <c r="C2362" s="808" t="s">
        <v>1237</v>
      </c>
      <c r="D2362" s="809"/>
      <c r="E2362" s="8"/>
      <c r="F2362" s="8"/>
      <c r="G2362" s="8"/>
      <c r="H2362" s="8"/>
      <c r="I2362" s="8"/>
      <c r="J2362" s="8"/>
    </row>
    <row r="2363" spans="1:10" s="1" customFormat="1" ht="25.5" customHeight="1" x14ac:dyDescent="0.2">
      <c r="A2363" s="8"/>
      <c r="B2363" s="9" t="s">
        <v>1238</v>
      </c>
      <c r="C2363" s="808" t="s">
        <v>1239</v>
      </c>
      <c r="D2363" s="809"/>
      <c r="E2363" s="8"/>
      <c r="F2363" s="8"/>
      <c r="G2363" s="8"/>
      <c r="H2363" s="8"/>
      <c r="I2363" s="8"/>
      <c r="J2363" s="8"/>
    </row>
    <row r="2364" spans="1:10" s="1" customFormat="1" ht="25.5" customHeight="1" x14ac:dyDescent="0.2">
      <c r="A2364" s="19">
        <v>96523</v>
      </c>
      <c r="B2364" s="21">
        <v>46388</v>
      </c>
      <c r="C2364" s="806" t="s">
        <v>1240</v>
      </c>
      <c r="D2364" s="807"/>
      <c r="E2364" s="11" t="s">
        <v>14</v>
      </c>
      <c r="F2364" s="12">
        <v>43.47</v>
      </c>
      <c r="G2364" s="12">
        <v>59.37</v>
      </c>
      <c r="H2364" s="12">
        <v>75.75</v>
      </c>
      <c r="I2364" s="13">
        <f t="shared" ref="I2364:I2376" si="208">F2364*G2364</f>
        <v>2580.8138999999996</v>
      </c>
      <c r="J2364" s="13">
        <f t="shared" ref="J2364:J2376" si="209">F2364*H2364</f>
        <v>3292.8525</v>
      </c>
    </row>
    <row r="2365" spans="1:10" s="1" customFormat="1" ht="25.5" customHeight="1" x14ac:dyDescent="0.2">
      <c r="A2365" s="19">
        <v>96616</v>
      </c>
      <c r="B2365" s="21">
        <v>46389</v>
      </c>
      <c r="C2365" s="806" t="s">
        <v>1241</v>
      </c>
      <c r="D2365" s="807"/>
      <c r="E2365" s="16" t="s">
        <v>171</v>
      </c>
      <c r="F2365" s="12">
        <v>2.0699999999999998</v>
      </c>
      <c r="G2365" s="12">
        <v>395.1</v>
      </c>
      <c r="H2365" s="12">
        <v>504.11</v>
      </c>
      <c r="I2365" s="13">
        <f t="shared" si="208"/>
        <v>817.85699999999997</v>
      </c>
      <c r="J2365" s="13">
        <f t="shared" si="209"/>
        <v>1043.5076999999999</v>
      </c>
    </row>
    <row r="2366" spans="1:10" s="1" customFormat="1" ht="25.5" customHeight="1" x14ac:dyDescent="0.2">
      <c r="A2366" s="19">
        <v>95592</v>
      </c>
      <c r="B2366" s="21">
        <v>46390</v>
      </c>
      <c r="C2366" s="806" t="s">
        <v>1242</v>
      </c>
      <c r="D2366" s="807"/>
      <c r="E2366" s="11" t="s">
        <v>35</v>
      </c>
      <c r="F2366" s="13">
        <v>1051.68</v>
      </c>
      <c r="G2366" s="12">
        <v>12.22</v>
      </c>
      <c r="H2366" s="12">
        <v>15.59</v>
      </c>
      <c r="I2366" s="13">
        <f t="shared" si="208"/>
        <v>12851.529600000002</v>
      </c>
      <c r="J2366" s="13">
        <f t="shared" si="209"/>
        <v>16395.691200000001</v>
      </c>
    </row>
    <row r="2367" spans="1:10" s="1" customFormat="1" ht="25.5" customHeight="1" x14ac:dyDescent="0.2">
      <c r="A2367" s="19">
        <v>95585</v>
      </c>
      <c r="B2367" s="21">
        <v>46391</v>
      </c>
      <c r="C2367" s="806" t="s">
        <v>1243</v>
      </c>
      <c r="D2367" s="807"/>
      <c r="E2367" s="11" t="s">
        <v>35</v>
      </c>
      <c r="F2367" s="12">
        <v>1956.11</v>
      </c>
      <c r="G2367" s="12">
        <v>7.67</v>
      </c>
      <c r="H2367" s="12">
        <v>9.7799999999999994</v>
      </c>
      <c r="I2367" s="13">
        <f t="shared" si="208"/>
        <v>15003.3637</v>
      </c>
      <c r="J2367" s="13">
        <f t="shared" si="209"/>
        <v>19130.755799999999</v>
      </c>
    </row>
    <row r="2368" spans="1:10" s="1" customFormat="1" ht="25.5" customHeight="1" x14ac:dyDescent="0.2">
      <c r="A2368" s="19">
        <v>94965</v>
      </c>
      <c r="B2368" s="21">
        <v>46392</v>
      </c>
      <c r="C2368" s="806" t="s">
        <v>1244</v>
      </c>
      <c r="D2368" s="807"/>
      <c r="E2368" s="16" t="s">
        <v>171</v>
      </c>
      <c r="F2368" s="12">
        <v>26.73</v>
      </c>
      <c r="G2368" s="12">
        <v>302.64</v>
      </c>
      <c r="H2368" s="12">
        <v>386.14</v>
      </c>
      <c r="I2368" s="13">
        <f t="shared" si="208"/>
        <v>8089.5671999999995</v>
      </c>
      <c r="J2368" s="13">
        <f t="shared" si="209"/>
        <v>10321.522199999999</v>
      </c>
    </row>
    <row r="2369" spans="1:10" s="1" customFormat="1" ht="25.5" customHeight="1" x14ac:dyDescent="0.2">
      <c r="A2369" s="19">
        <v>92873</v>
      </c>
      <c r="B2369" s="21">
        <v>46393</v>
      </c>
      <c r="C2369" s="806" t="s">
        <v>1245</v>
      </c>
      <c r="D2369" s="807"/>
      <c r="E2369" s="16" t="s">
        <v>171</v>
      </c>
      <c r="F2369" s="12">
        <v>26.73</v>
      </c>
      <c r="G2369" s="12">
        <v>135.94</v>
      </c>
      <c r="H2369" s="12">
        <v>173.44</v>
      </c>
      <c r="I2369" s="13">
        <f t="shared" si="208"/>
        <v>3633.6761999999999</v>
      </c>
      <c r="J2369" s="13">
        <f t="shared" si="209"/>
        <v>4636.0511999999999</v>
      </c>
    </row>
    <row r="2370" spans="1:10" s="1" customFormat="1" ht="25.5" customHeight="1" x14ac:dyDescent="0.2">
      <c r="A2370" s="19">
        <v>96995</v>
      </c>
      <c r="B2370" s="21">
        <v>46394</v>
      </c>
      <c r="C2370" s="806" t="s">
        <v>1246</v>
      </c>
      <c r="D2370" s="807"/>
      <c r="E2370" s="16" t="s">
        <v>171</v>
      </c>
      <c r="F2370" s="39">
        <v>41.112499999999997</v>
      </c>
      <c r="G2370" s="12">
        <v>29.88</v>
      </c>
      <c r="H2370" s="12">
        <v>38.119999999999997</v>
      </c>
      <c r="I2370" s="13">
        <f t="shared" si="208"/>
        <v>1228.4414999999999</v>
      </c>
      <c r="J2370" s="13">
        <f t="shared" si="209"/>
        <v>1567.2084999999997</v>
      </c>
    </row>
    <row r="2371" spans="1:10" s="1" customFormat="1" ht="25.5" customHeight="1" x14ac:dyDescent="0.2">
      <c r="A2371" s="19">
        <v>68054</v>
      </c>
      <c r="B2371" s="21">
        <v>46395</v>
      </c>
      <c r="C2371" s="806" t="s">
        <v>1247</v>
      </c>
      <c r="D2371" s="807"/>
      <c r="E2371" s="11" t="s">
        <v>14</v>
      </c>
      <c r="F2371" s="40">
        <v>15.5</v>
      </c>
      <c r="G2371" s="12">
        <v>181.93</v>
      </c>
      <c r="H2371" s="12">
        <v>232.12</v>
      </c>
      <c r="I2371" s="13">
        <f t="shared" si="208"/>
        <v>2819.915</v>
      </c>
      <c r="J2371" s="13">
        <f t="shared" si="209"/>
        <v>3597.86</v>
      </c>
    </row>
    <row r="2372" spans="1:10" s="1" customFormat="1" ht="25.5" customHeight="1" x14ac:dyDescent="0.2">
      <c r="A2372" s="41">
        <v>87478</v>
      </c>
      <c r="B2372" s="30">
        <v>46396</v>
      </c>
      <c r="C2372" s="806" t="s">
        <v>1248</v>
      </c>
      <c r="D2372" s="807"/>
      <c r="E2372" s="31" t="s">
        <v>14</v>
      </c>
      <c r="F2372" s="32">
        <v>569.25</v>
      </c>
      <c r="G2372" s="32">
        <v>30.11</v>
      </c>
      <c r="H2372" s="32">
        <v>38.42</v>
      </c>
      <c r="I2372" s="13">
        <f t="shared" si="208"/>
        <v>17140.1175</v>
      </c>
      <c r="J2372" s="13">
        <f t="shared" si="209"/>
        <v>21870.585000000003</v>
      </c>
    </row>
    <row r="2373" spans="1:10" s="1" customFormat="1" ht="25.5" customHeight="1" x14ac:dyDescent="0.2">
      <c r="A2373" s="27" t="s">
        <v>1249</v>
      </c>
      <c r="B2373" s="34">
        <v>40205</v>
      </c>
      <c r="C2373" s="806" t="s">
        <v>1250</v>
      </c>
      <c r="D2373" s="807"/>
      <c r="E2373" s="11" t="s">
        <v>14</v>
      </c>
      <c r="F2373" s="12">
        <v>65.25</v>
      </c>
      <c r="G2373" s="12">
        <v>76.17</v>
      </c>
      <c r="H2373" s="12">
        <v>97.18</v>
      </c>
      <c r="I2373" s="13">
        <f t="shared" si="208"/>
        <v>4970.0924999999997</v>
      </c>
      <c r="J2373" s="13">
        <f t="shared" si="209"/>
        <v>6340.9950000000008</v>
      </c>
    </row>
    <row r="2374" spans="1:10" s="1" customFormat="1" ht="25.5" customHeight="1" x14ac:dyDescent="0.2">
      <c r="A2374" s="19">
        <v>87878</v>
      </c>
      <c r="B2374" s="34">
        <v>40570</v>
      </c>
      <c r="C2374" s="806" t="s">
        <v>1251</v>
      </c>
      <c r="D2374" s="807"/>
      <c r="E2374" s="11" t="s">
        <v>14</v>
      </c>
      <c r="F2374" s="40">
        <v>1138.5</v>
      </c>
      <c r="G2374" s="12">
        <v>2.97</v>
      </c>
      <c r="H2374" s="12">
        <v>3.79</v>
      </c>
      <c r="I2374" s="13">
        <f t="shared" si="208"/>
        <v>3381.3450000000003</v>
      </c>
      <c r="J2374" s="13">
        <f t="shared" si="209"/>
        <v>4314.915</v>
      </c>
    </row>
    <row r="2375" spans="1:10" s="1" customFormat="1" ht="25.5" customHeight="1" x14ac:dyDescent="0.2">
      <c r="A2375" s="27" t="s">
        <v>229</v>
      </c>
      <c r="B2375" s="34">
        <v>40935</v>
      </c>
      <c r="C2375" s="806" t="s">
        <v>1252</v>
      </c>
      <c r="D2375" s="807"/>
      <c r="E2375" s="11" t="s">
        <v>14</v>
      </c>
      <c r="F2375" s="40">
        <v>1138.5</v>
      </c>
      <c r="G2375" s="12">
        <v>21.63</v>
      </c>
      <c r="H2375" s="12">
        <v>27.59</v>
      </c>
      <c r="I2375" s="13">
        <f t="shared" si="208"/>
        <v>24625.754999999997</v>
      </c>
      <c r="J2375" s="13">
        <f t="shared" si="209"/>
        <v>31411.215</v>
      </c>
    </row>
    <row r="2376" spans="1:10" s="1" customFormat="1" ht="25.5" customHeight="1" x14ac:dyDescent="0.2">
      <c r="A2376" s="19">
        <v>88489</v>
      </c>
      <c r="B2376" s="34">
        <v>41301</v>
      </c>
      <c r="C2376" s="806" t="s">
        <v>1253</v>
      </c>
      <c r="D2376" s="807"/>
      <c r="E2376" s="11" t="s">
        <v>14</v>
      </c>
      <c r="F2376" s="42">
        <v>1269</v>
      </c>
      <c r="G2376" s="12">
        <v>8.41</v>
      </c>
      <c r="H2376" s="12">
        <v>10.73</v>
      </c>
      <c r="I2376" s="13">
        <f t="shared" si="208"/>
        <v>10672.29</v>
      </c>
      <c r="J2376" s="13">
        <f t="shared" si="209"/>
        <v>13616.37</v>
      </c>
    </row>
    <row r="2377" spans="1:10" s="1" customFormat="1" ht="25.5" customHeight="1" x14ac:dyDescent="0.2">
      <c r="A2377" s="8"/>
      <c r="B2377" s="803" t="s">
        <v>1260</v>
      </c>
      <c r="C2377" s="804"/>
      <c r="D2377" s="804"/>
      <c r="E2377" s="804"/>
      <c r="F2377" s="804"/>
      <c r="G2377" s="805"/>
      <c r="H2377" s="8"/>
      <c r="I2377" s="14">
        <f>SUM(I2364:I2376)-1</f>
        <v>107813.7641</v>
      </c>
      <c r="J2377" s="15">
        <f>SUM(J2364:J2376)+10.7</f>
        <v>137550.2291</v>
      </c>
    </row>
    <row r="2378" spans="1:10" s="1" customFormat="1" ht="25.5" customHeight="1" x14ac:dyDescent="0.2">
      <c r="A2378" s="35"/>
      <c r="B2378" s="803" t="s">
        <v>1261</v>
      </c>
      <c r="C2378" s="804"/>
      <c r="D2378" s="804"/>
      <c r="E2378" s="804"/>
      <c r="F2378" s="804"/>
      <c r="G2378" s="805"/>
      <c r="H2378" s="35"/>
      <c r="I2378" s="18">
        <f>SUM(I2360,I2356,I2340,I2302,I2279,I2206,I2045,I1970,I1951,I1924,I1898,I1893,I1837,I1771,I1748,I1733,I1727,I1718,I1701,I1695,I1687,I1683,I1643,I1632,I1610,I1598,I2377)-14.66</f>
        <v>1612522.0780999998</v>
      </c>
      <c r="J2378" s="18">
        <f>SUM(J2360,J2356,J2340,J2302,J2279,J2206,J2045,J1970,J1951,J1924,J1898,J1893,J1837,J1771,J1748,J1733,J1727,J1718,J1701,J1695,J1687,J1683,J1643,J1632,J1610,J1598,J2377)+12.9</f>
        <v>2057416.9126999998</v>
      </c>
    </row>
    <row r="2379" spans="1:10" x14ac:dyDescent="0.2">
      <c r="I2379" s="50"/>
    </row>
  </sheetData>
  <mergeCells count="2387">
    <mergeCell ref="C2367:D2367"/>
    <mergeCell ref="C2368:D2368"/>
    <mergeCell ref="C2369:D2369"/>
    <mergeCell ref="C2370:D2370"/>
    <mergeCell ref="C2371:D2371"/>
    <mergeCell ref="C2362:D2362"/>
    <mergeCell ref="C2363:D2363"/>
    <mergeCell ref="C2364:D2364"/>
    <mergeCell ref="C2365:D2365"/>
    <mergeCell ref="C2366:D2366"/>
    <mergeCell ref="B2377:G2377"/>
    <mergeCell ref="B2378:G2378"/>
    <mergeCell ref="C2372:D2372"/>
    <mergeCell ref="C2373:D2373"/>
    <mergeCell ref="C2374:D2374"/>
    <mergeCell ref="C2375:D2375"/>
    <mergeCell ref="C2376:D2376"/>
    <mergeCell ref="C2347:D2347"/>
    <mergeCell ref="C2348:D2348"/>
    <mergeCell ref="C2349:D2349"/>
    <mergeCell ref="C2350:D2350"/>
    <mergeCell ref="C2351:D2351"/>
    <mergeCell ref="C2342:I2342"/>
    <mergeCell ref="C2343:D2343"/>
    <mergeCell ref="C2344:D2344"/>
    <mergeCell ref="C2345:D2345"/>
    <mergeCell ref="C2346:D2346"/>
    <mergeCell ref="B2357:I2357"/>
    <mergeCell ref="C2358:D2358"/>
    <mergeCell ref="C2359:D2359"/>
    <mergeCell ref="B2360:G2360"/>
    <mergeCell ref="B2361:I2361"/>
    <mergeCell ref="C2352:D2352"/>
    <mergeCell ref="C2353:D2353"/>
    <mergeCell ref="C2354:D2354"/>
    <mergeCell ref="C2355:D2355"/>
    <mergeCell ref="B2356:G2356"/>
    <mergeCell ref="C2327:D2327"/>
    <mergeCell ref="C2328:D2328"/>
    <mergeCell ref="C2329:D2329"/>
    <mergeCell ref="C2330:D2330"/>
    <mergeCell ref="C2331:D2331"/>
    <mergeCell ref="C2322:D2322"/>
    <mergeCell ref="C2323:D2323"/>
    <mergeCell ref="C2324:D2324"/>
    <mergeCell ref="C2325:D2325"/>
    <mergeCell ref="C2326:D2326"/>
    <mergeCell ref="C2337:D2337"/>
    <mergeCell ref="C2338:D2338"/>
    <mergeCell ref="C2339:D2339"/>
    <mergeCell ref="B2340:G2340"/>
    <mergeCell ref="C2341:D2341"/>
    <mergeCell ref="C2332:D2332"/>
    <mergeCell ref="C2333:D2333"/>
    <mergeCell ref="C2334:D2334"/>
    <mergeCell ref="C2335:D2335"/>
    <mergeCell ref="C2336:D2336"/>
    <mergeCell ref="C2307:D2307"/>
    <mergeCell ref="C2308:D2308"/>
    <mergeCell ref="C2309:D2309"/>
    <mergeCell ref="C2310:D2310"/>
    <mergeCell ref="C2311:D2311"/>
    <mergeCell ref="B2302:G2302"/>
    <mergeCell ref="C2303:D2303"/>
    <mergeCell ref="C2304:I2304"/>
    <mergeCell ref="C2305:I2305"/>
    <mergeCell ref="C2306:D2306"/>
    <mergeCell ref="C2317:D2317"/>
    <mergeCell ref="C2318:D2318"/>
    <mergeCell ref="C2319:D2319"/>
    <mergeCell ref="C2320:D2320"/>
    <mergeCell ref="C2321:D2321"/>
    <mergeCell ref="C2312:D2312"/>
    <mergeCell ref="C2313:D2313"/>
    <mergeCell ref="C2314:D2314"/>
    <mergeCell ref="C2315:D2315"/>
    <mergeCell ref="C2316:D2316"/>
    <mergeCell ref="C2287:D2287"/>
    <mergeCell ref="C2288:D2288"/>
    <mergeCell ref="C2289:D2289"/>
    <mergeCell ref="C2290:D2290"/>
    <mergeCell ref="C2291:D2291"/>
    <mergeCell ref="C2282:D2282"/>
    <mergeCell ref="C2283:D2283"/>
    <mergeCell ref="C2284:D2284"/>
    <mergeCell ref="B2285:G2285"/>
    <mergeCell ref="C2286:D2286"/>
    <mergeCell ref="C2297:D2297"/>
    <mergeCell ref="C2298:D2298"/>
    <mergeCell ref="C2299:D2299"/>
    <mergeCell ref="C2300:D2300"/>
    <mergeCell ref="B2301:G2301"/>
    <mergeCell ref="C2292:D2292"/>
    <mergeCell ref="C2293:D2293"/>
    <mergeCell ref="C2294:D2294"/>
    <mergeCell ref="C2295:D2295"/>
    <mergeCell ref="C2296:D2296"/>
    <mergeCell ref="C2267:D2267"/>
    <mergeCell ref="C2268:D2268"/>
    <mergeCell ref="C2269:D2269"/>
    <mergeCell ref="C2270:D2270"/>
    <mergeCell ref="C2271:D2271"/>
    <mergeCell ref="C2262:D2262"/>
    <mergeCell ref="C2263:D2263"/>
    <mergeCell ref="C2264:D2264"/>
    <mergeCell ref="C2265:D2265"/>
    <mergeCell ref="C2266:D2266"/>
    <mergeCell ref="C2277:D2277"/>
    <mergeCell ref="C2278:D2278"/>
    <mergeCell ref="B2279:G2279"/>
    <mergeCell ref="C2280:D2280"/>
    <mergeCell ref="C2281:D2281"/>
    <mergeCell ref="C2272:D2272"/>
    <mergeCell ref="C2273:D2273"/>
    <mergeCell ref="C2274:D2274"/>
    <mergeCell ref="C2275:D2275"/>
    <mergeCell ref="C2276:D2276"/>
    <mergeCell ref="C2247:D2247"/>
    <mergeCell ref="C2248:D2248"/>
    <mergeCell ref="C2249:D2249"/>
    <mergeCell ref="C2250:D2250"/>
    <mergeCell ref="C2251:D2251"/>
    <mergeCell ref="C2242:D2242"/>
    <mergeCell ref="C2243:D2243"/>
    <mergeCell ref="C2244:D2244"/>
    <mergeCell ref="C2245:D2245"/>
    <mergeCell ref="C2246:D2246"/>
    <mergeCell ref="C2257:D2257"/>
    <mergeCell ref="C2258:D2258"/>
    <mergeCell ref="C2259:D2259"/>
    <mergeCell ref="C2260:D2260"/>
    <mergeCell ref="C2261:D2261"/>
    <mergeCell ref="C2252:D2252"/>
    <mergeCell ref="C2253:I2253"/>
    <mergeCell ref="C2254:D2254"/>
    <mergeCell ref="C2255:D2255"/>
    <mergeCell ref="C2256:D2256"/>
    <mergeCell ref="C2227:D2227"/>
    <mergeCell ref="C2228:D2228"/>
    <mergeCell ref="C2229:D2229"/>
    <mergeCell ref="C2230:D2230"/>
    <mergeCell ref="C2231:D2231"/>
    <mergeCell ref="C2222:D2222"/>
    <mergeCell ref="C2223:D2223"/>
    <mergeCell ref="C2224:D2224"/>
    <mergeCell ref="C2225:D2225"/>
    <mergeCell ref="C2226:D2226"/>
    <mergeCell ref="C2237:D2237"/>
    <mergeCell ref="C2238:D2238"/>
    <mergeCell ref="C2239:D2239"/>
    <mergeCell ref="C2240:D2240"/>
    <mergeCell ref="C2241:D2241"/>
    <mergeCell ref="C2232:D2232"/>
    <mergeCell ref="C2233:D2233"/>
    <mergeCell ref="C2234:D2234"/>
    <mergeCell ref="C2235:D2235"/>
    <mergeCell ref="C2236:D2236"/>
    <mergeCell ref="C2207:D2207"/>
    <mergeCell ref="C2208:D2208"/>
    <mergeCell ref="C2209:D2209"/>
    <mergeCell ref="C2210:D2210"/>
    <mergeCell ref="C2211:D2211"/>
    <mergeCell ref="C2202:D2202"/>
    <mergeCell ref="C2203:D2203"/>
    <mergeCell ref="C2204:D2204"/>
    <mergeCell ref="B2205:G2205"/>
    <mergeCell ref="B2206:G2206"/>
    <mergeCell ref="C2217:D2217"/>
    <mergeCell ref="C2218:D2218"/>
    <mergeCell ref="C2219:D2219"/>
    <mergeCell ref="C2220:D2220"/>
    <mergeCell ref="C2221:D2221"/>
    <mergeCell ref="C2212:D2212"/>
    <mergeCell ref="C2213:D2213"/>
    <mergeCell ref="C2214:D2214"/>
    <mergeCell ref="C2215:D2215"/>
    <mergeCell ref="C2216:D2216"/>
    <mergeCell ref="C2187:I2187"/>
    <mergeCell ref="C2188:I2188"/>
    <mergeCell ref="C2189:D2189"/>
    <mergeCell ref="C2190:D2190"/>
    <mergeCell ref="C2191:D2191"/>
    <mergeCell ref="C2182:D2182"/>
    <mergeCell ref="C2183:D2183"/>
    <mergeCell ref="C2184:D2184"/>
    <mergeCell ref="C2185:D2185"/>
    <mergeCell ref="B2186:G2186"/>
    <mergeCell ref="C2197:D2197"/>
    <mergeCell ref="C2198:D2198"/>
    <mergeCell ref="C2199:D2199"/>
    <mergeCell ref="C2200:D2200"/>
    <mergeCell ref="C2201:D2201"/>
    <mergeCell ref="C2192:D2192"/>
    <mergeCell ref="C2193:D2193"/>
    <mergeCell ref="C2194:D2194"/>
    <mergeCell ref="C2195:D2195"/>
    <mergeCell ref="C2196:D2196"/>
    <mergeCell ref="C2167:D2167"/>
    <mergeCell ref="C2168:D2168"/>
    <mergeCell ref="C2169:D2169"/>
    <mergeCell ref="B2170:G2170"/>
    <mergeCell ref="C2171:I2171"/>
    <mergeCell ref="C2162:D2162"/>
    <mergeCell ref="C2163:D2163"/>
    <mergeCell ref="C2164:D2164"/>
    <mergeCell ref="C2165:D2165"/>
    <mergeCell ref="C2166:D2166"/>
    <mergeCell ref="C2177:D2177"/>
    <mergeCell ref="B2178:G2178"/>
    <mergeCell ref="C2179:I2179"/>
    <mergeCell ref="C2180:D2180"/>
    <mergeCell ref="C2181:D2181"/>
    <mergeCell ref="C2172:D2172"/>
    <mergeCell ref="C2173:D2173"/>
    <mergeCell ref="C2174:D2174"/>
    <mergeCell ref="C2175:D2175"/>
    <mergeCell ref="C2176:D2176"/>
    <mergeCell ref="C2147:I2147"/>
    <mergeCell ref="C2148:D2148"/>
    <mergeCell ref="C2149:D2149"/>
    <mergeCell ref="C2150:D2150"/>
    <mergeCell ref="C2151:D2151"/>
    <mergeCell ref="C2142:D2142"/>
    <mergeCell ref="C2143:D2143"/>
    <mergeCell ref="C2144:D2144"/>
    <mergeCell ref="C2145:D2145"/>
    <mergeCell ref="B2146:G2146"/>
    <mergeCell ref="C2157:D2157"/>
    <mergeCell ref="C2158:D2158"/>
    <mergeCell ref="C2159:D2159"/>
    <mergeCell ref="C2160:D2160"/>
    <mergeCell ref="C2161:D2161"/>
    <mergeCell ref="C2152:D2152"/>
    <mergeCell ref="C2153:D2153"/>
    <mergeCell ref="C2154:D2154"/>
    <mergeCell ref="B2155:G2155"/>
    <mergeCell ref="C2156:D2156"/>
    <mergeCell ref="C2127:D2127"/>
    <mergeCell ref="B2128:G2128"/>
    <mergeCell ref="C2129:D2129"/>
    <mergeCell ref="C2130:D2130"/>
    <mergeCell ref="C2131:D2131"/>
    <mergeCell ref="C2122:D2122"/>
    <mergeCell ref="C2123:D2123"/>
    <mergeCell ref="C2124:D2124"/>
    <mergeCell ref="C2125:D2125"/>
    <mergeCell ref="C2126:D2126"/>
    <mergeCell ref="C2137:D2137"/>
    <mergeCell ref="C2138:D2138"/>
    <mergeCell ref="C2139:D2139"/>
    <mergeCell ref="C2140:D2140"/>
    <mergeCell ref="C2141:D2141"/>
    <mergeCell ref="C2132:D2132"/>
    <mergeCell ref="C2133:D2133"/>
    <mergeCell ref="C2134:D2134"/>
    <mergeCell ref="C2135:D2135"/>
    <mergeCell ref="C2136:D2136"/>
    <mergeCell ref="C2107:D2107"/>
    <mergeCell ref="C2108:D2108"/>
    <mergeCell ref="C2109:D2109"/>
    <mergeCell ref="C2110:D2110"/>
    <mergeCell ref="C2111:D2111"/>
    <mergeCell ref="C2102:D2102"/>
    <mergeCell ref="C2103:D2103"/>
    <mergeCell ref="C2104:D2104"/>
    <mergeCell ref="C2105:D2105"/>
    <mergeCell ref="C2106:D2106"/>
    <mergeCell ref="C2117:D2117"/>
    <mergeCell ref="C2118:D2118"/>
    <mergeCell ref="C2119:D2119"/>
    <mergeCell ref="C2120:D2120"/>
    <mergeCell ref="C2121:D2121"/>
    <mergeCell ref="C2112:D2112"/>
    <mergeCell ref="C2113:D2113"/>
    <mergeCell ref="B2114:G2114"/>
    <mergeCell ref="C2115:D2115"/>
    <mergeCell ref="C2116:D2116"/>
    <mergeCell ref="C2087:D2087"/>
    <mergeCell ref="C2088:D2088"/>
    <mergeCell ref="C2089:D2089"/>
    <mergeCell ref="C2090:D2090"/>
    <mergeCell ref="C2091:D2091"/>
    <mergeCell ref="C2082:D2082"/>
    <mergeCell ref="B2083:G2083"/>
    <mergeCell ref="C2084:D2084"/>
    <mergeCell ref="C2085:D2085"/>
    <mergeCell ref="C2086:D2086"/>
    <mergeCell ref="C2097:D2097"/>
    <mergeCell ref="C2098:D2098"/>
    <mergeCell ref="B2099:G2099"/>
    <mergeCell ref="C2100:D2100"/>
    <mergeCell ref="C2101:D2101"/>
    <mergeCell ref="C2092:D2092"/>
    <mergeCell ref="C2093:D2093"/>
    <mergeCell ref="C2094:D2094"/>
    <mergeCell ref="C2095:D2095"/>
    <mergeCell ref="C2096:D2096"/>
    <mergeCell ref="C2079:D2079"/>
    <mergeCell ref="C2080:D2080"/>
    <mergeCell ref="C2081:D2081"/>
    <mergeCell ref="C2062:D2062"/>
    <mergeCell ref="C2063:D2063"/>
    <mergeCell ref="B2064:G2064"/>
    <mergeCell ref="C2065:D2065"/>
    <mergeCell ref="C2066:D2066"/>
    <mergeCell ref="C2073:D2073"/>
    <mergeCell ref="C2074:D2074"/>
    <mergeCell ref="C2075:D2075"/>
    <mergeCell ref="C2076:D2076"/>
    <mergeCell ref="C2077:D2077"/>
    <mergeCell ref="C2078:D2078"/>
    <mergeCell ref="C2067:D2067"/>
    <mergeCell ref="C2068:D2068"/>
    <mergeCell ref="B2069:G2069"/>
    <mergeCell ref="C2070:D2070"/>
    <mergeCell ref="C2071:D2071"/>
    <mergeCell ref="C2072:D2072"/>
    <mergeCell ref="C2047:D2047"/>
    <mergeCell ref="C2048:D2048"/>
    <mergeCell ref="C2049:D2049"/>
    <mergeCell ref="C2050:D2050"/>
    <mergeCell ref="C2051:D2051"/>
    <mergeCell ref="C2042:D2042"/>
    <mergeCell ref="C2043:D2043"/>
    <mergeCell ref="C2044:D2044"/>
    <mergeCell ref="B2045:G2045"/>
    <mergeCell ref="C2046:D2046"/>
    <mergeCell ref="C2057:D2057"/>
    <mergeCell ref="C2058:D2058"/>
    <mergeCell ref="C2059:D2059"/>
    <mergeCell ref="C2060:D2060"/>
    <mergeCell ref="C2061:D2061"/>
    <mergeCell ref="B2052:G2052"/>
    <mergeCell ref="C2053:D2053"/>
    <mergeCell ref="C2054:D2054"/>
    <mergeCell ref="C2055:D2055"/>
    <mergeCell ref="B2056:G2056"/>
    <mergeCell ref="C2027:D2027"/>
    <mergeCell ref="C2028:D2028"/>
    <mergeCell ref="C2029:D2029"/>
    <mergeCell ref="C2030:D2030"/>
    <mergeCell ref="C2031:D2031"/>
    <mergeCell ref="C2022:D2022"/>
    <mergeCell ref="C2023:D2023"/>
    <mergeCell ref="C2024:D2024"/>
    <mergeCell ref="C2025:D2025"/>
    <mergeCell ref="C2026:D2026"/>
    <mergeCell ref="C2037:D2037"/>
    <mergeCell ref="C2038:D2038"/>
    <mergeCell ref="C2039:D2039"/>
    <mergeCell ref="C2040:D2040"/>
    <mergeCell ref="C2041:D2041"/>
    <mergeCell ref="C2032:D2032"/>
    <mergeCell ref="C2033:D2033"/>
    <mergeCell ref="C2034:D2034"/>
    <mergeCell ref="C2035:D2035"/>
    <mergeCell ref="C2036:D2036"/>
    <mergeCell ref="C2007:D2007"/>
    <mergeCell ref="C2008:D2008"/>
    <mergeCell ref="C2009:D2009"/>
    <mergeCell ref="C2010:D2010"/>
    <mergeCell ref="C2011:D2011"/>
    <mergeCell ref="C2002:D2002"/>
    <mergeCell ref="C2003:D2003"/>
    <mergeCell ref="C2004:D2004"/>
    <mergeCell ref="C2005:D2005"/>
    <mergeCell ref="C2006:D2006"/>
    <mergeCell ref="C2017:D2017"/>
    <mergeCell ref="C2018:D2018"/>
    <mergeCell ref="C2019:D2019"/>
    <mergeCell ref="C2020:D2020"/>
    <mergeCell ref="C2021:D2021"/>
    <mergeCell ref="C2012:D2012"/>
    <mergeCell ref="C2013:D2013"/>
    <mergeCell ref="C2014:D2014"/>
    <mergeCell ref="C2015:D2015"/>
    <mergeCell ref="C2016:D2016"/>
    <mergeCell ref="C1987:D1987"/>
    <mergeCell ref="C1988:D1988"/>
    <mergeCell ref="C1989:D1989"/>
    <mergeCell ref="C1990:D1990"/>
    <mergeCell ref="C1991:D1991"/>
    <mergeCell ref="C1982:D1982"/>
    <mergeCell ref="C1983:D1983"/>
    <mergeCell ref="C1984:D1984"/>
    <mergeCell ref="C1985:D1985"/>
    <mergeCell ref="C1986:D1986"/>
    <mergeCell ref="C1997:D1997"/>
    <mergeCell ref="C1998:D1998"/>
    <mergeCell ref="C1999:D1999"/>
    <mergeCell ref="C2000:D2000"/>
    <mergeCell ref="C2001:D2001"/>
    <mergeCell ref="C1992:D1992"/>
    <mergeCell ref="C1993:D1993"/>
    <mergeCell ref="C1994:D1994"/>
    <mergeCell ref="C1995:D1995"/>
    <mergeCell ref="C1996:D1996"/>
    <mergeCell ref="C1967:D1967"/>
    <mergeCell ref="C1968:D1968"/>
    <mergeCell ref="C1969:D1969"/>
    <mergeCell ref="B1970:G1970"/>
    <mergeCell ref="C1971:D1971"/>
    <mergeCell ref="C1962:D1962"/>
    <mergeCell ref="C1963:D1963"/>
    <mergeCell ref="C1964:D1964"/>
    <mergeCell ref="C1965:D1965"/>
    <mergeCell ref="C1966:D1966"/>
    <mergeCell ref="C1977:D1977"/>
    <mergeCell ref="C1978:D1978"/>
    <mergeCell ref="C1979:D1979"/>
    <mergeCell ref="C1980:D1980"/>
    <mergeCell ref="C1981:D1981"/>
    <mergeCell ref="C1972:D1972"/>
    <mergeCell ref="C1973:D1973"/>
    <mergeCell ref="C1974:D1974"/>
    <mergeCell ref="C1975:D1975"/>
    <mergeCell ref="C1976:D1976"/>
    <mergeCell ref="C1947:D1947"/>
    <mergeCell ref="C1948:D1948"/>
    <mergeCell ref="C1949:D1949"/>
    <mergeCell ref="C1950:D1950"/>
    <mergeCell ref="B1951:G1951"/>
    <mergeCell ref="C1942:D1942"/>
    <mergeCell ref="C1943:D1943"/>
    <mergeCell ref="C1944:D1944"/>
    <mergeCell ref="C1945:D1945"/>
    <mergeCell ref="C1946:D1946"/>
    <mergeCell ref="C1957:D1957"/>
    <mergeCell ref="C1958:D1958"/>
    <mergeCell ref="C1959:D1959"/>
    <mergeCell ref="C1960:D1960"/>
    <mergeCell ref="C1961:D1961"/>
    <mergeCell ref="C1952:D1952"/>
    <mergeCell ref="C1953:D1953"/>
    <mergeCell ref="C1954:D1954"/>
    <mergeCell ref="C1955:D1955"/>
    <mergeCell ref="C1956:D1956"/>
    <mergeCell ref="C1927:D1927"/>
    <mergeCell ref="C1928:D1928"/>
    <mergeCell ref="C1929:D1929"/>
    <mergeCell ref="C1930:D1930"/>
    <mergeCell ref="C1931:D1931"/>
    <mergeCell ref="C1922:D1922"/>
    <mergeCell ref="C1923:D1923"/>
    <mergeCell ref="B1924:G1924"/>
    <mergeCell ref="C1925:D1925"/>
    <mergeCell ref="C1926:D1926"/>
    <mergeCell ref="C1937:D1937"/>
    <mergeCell ref="C1938:D1938"/>
    <mergeCell ref="C1939:D1939"/>
    <mergeCell ref="C1940:D1940"/>
    <mergeCell ref="C1941:D1941"/>
    <mergeCell ref="C1932:D1932"/>
    <mergeCell ref="C1933:D1933"/>
    <mergeCell ref="C1934:D1934"/>
    <mergeCell ref="C1935:D1935"/>
    <mergeCell ref="C1936:D1936"/>
    <mergeCell ref="C1907:D1907"/>
    <mergeCell ref="C1908:D1908"/>
    <mergeCell ref="C1909:D1909"/>
    <mergeCell ref="C1910:D1910"/>
    <mergeCell ref="C1911:D1911"/>
    <mergeCell ref="C1902:D1902"/>
    <mergeCell ref="C1903:D1903"/>
    <mergeCell ref="C1904:D1904"/>
    <mergeCell ref="C1905:D1905"/>
    <mergeCell ref="C1906:D1906"/>
    <mergeCell ref="C1917:D1917"/>
    <mergeCell ref="C1918:D1918"/>
    <mergeCell ref="C1919:D1919"/>
    <mergeCell ref="C1920:D1920"/>
    <mergeCell ref="C1921:D1921"/>
    <mergeCell ref="C1912:D1912"/>
    <mergeCell ref="C1913:D1913"/>
    <mergeCell ref="C1914:D1914"/>
    <mergeCell ref="C1915:D1915"/>
    <mergeCell ref="C1916:D1916"/>
    <mergeCell ref="C1887:D1887"/>
    <mergeCell ref="C1888:D1888"/>
    <mergeCell ref="C1889:D1889"/>
    <mergeCell ref="C1890:D1890"/>
    <mergeCell ref="C1891:D1891"/>
    <mergeCell ref="C1882:D1882"/>
    <mergeCell ref="C1883:D1883"/>
    <mergeCell ref="C1884:D1884"/>
    <mergeCell ref="C1885:D1885"/>
    <mergeCell ref="C1886:D1886"/>
    <mergeCell ref="C1897:D1897"/>
    <mergeCell ref="B1898:G1898"/>
    <mergeCell ref="C1899:D1899"/>
    <mergeCell ref="C1900:D1900"/>
    <mergeCell ref="C1901:D1901"/>
    <mergeCell ref="C1892:D1892"/>
    <mergeCell ref="B1893:G1893"/>
    <mergeCell ref="C1894:D1894"/>
    <mergeCell ref="C1895:D1895"/>
    <mergeCell ref="C1896:D1896"/>
    <mergeCell ref="C1867:D1867"/>
    <mergeCell ref="C1868:D1868"/>
    <mergeCell ref="C1869:D1869"/>
    <mergeCell ref="C1870:D1870"/>
    <mergeCell ref="C1871:D1871"/>
    <mergeCell ref="C1862:D1862"/>
    <mergeCell ref="C1863:D1863"/>
    <mergeCell ref="C1864:D1864"/>
    <mergeCell ref="C1865:D1865"/>
    <mergeCell ref="C1866:D1866"/>
    <mergeCell ref="C1877:D1877"/>
    <mergeCell ref="C1878:D1878"/>
    <mergeCell ref="C1879:D1879"/>
    <mergeCell ref="C1880:D1880"/>
    <mergeCell ref="C1881:D1881"/>
    <mergeCell ref="C1872:D1872"/>
    <mergeCell ref="C1873:D1873"/>
    <mergeCell ref="C1874:D1874"/>
    <mergeCell ref="C1875:D1875"/>
    <mergeCell ref="C1876:D1876"/>
    <mergeCell ref="C1847:D1847"/>
    <mergeCell ref="C1848:D1848"/>
    <mergeCell ref="C1849:D1849"/>
    <mergeCell ref="C1850:D1850"/>
    <mergeCell ref="C1851:D1851"/>
    <mergeCell ref="C1842:D1842"/>
    <mergeCell ref="C1843:D1843"/>
    <mergeCell ref="C1844:D1844"/>
    <mergeCell ref="C1845:D1845"/>
    <mergeCell ref="C1846:D1846"/>
    <mergeCell ref="C1857:D1857"/>
    <mergeCell ref="C1858:D1858"/>
    <mergeCell ref="C1859:D1859"/>
    <mergeCell ref="C1860:D1860"/>
    <mergeCell ref="C1861:D1861"/>
    <mergeCell ref="C1852:D1852"/>
    <mergeCell ref="C1853:D1853"/>
    <mergeCell ref="C1854:D1854"/>
    <mergeCell ref="C1855:D1855"/>
    <mergeCell ref="C1856:D1856"/>
    <mergeCell ref="C1827:D1827"/>
    <mergeCell ref="C1828:D1828"/>
    <mergeCell ref="C1829:D1829"/>
    <mergeCell ref="C1830:D1830"/>
    <mergeCell ref="C1831:D1831"/>
    <mergeCell ref="C1822:D1822"/>
    <mergeCell ref="C1823:D1823"/>
    <mergeCell ref="C1824:D1824"/>
    <mergeCell ref="C1825:D1825"/>
    <mergeCell ref="C1826:D1826"/>
    <mergeCell ref="B1837:G1837"/>
    <mergeCell ref="C1838:D1838"/>
    <mergeCell ref="C1839:D1839"/>
    <mergeCell ref="C1840:D1840"/>
    <mergeCell ref="C1841:D1841"/>
    <mergeCell ref="C1832:D1832"/>
    <mergeCell ref="C1833:D1833"/>
    <mergeCell ref="C1834:D1834"/>
    <mergeCell ref="C1835:D1835"/>
    <mergeCell ref="C1836:D1836"/>
    <mergeCell ref="C1807:D1807"/>
    <mergeCell ref="C1808:D1808"/>
    <mergeCell ref="C1809:D1809"/>
    <mergeCell ref="C1810:D1810"/>
    <mergeCell ref="C1811:D1811"/>
    <mergeCell ref="C1802:D1802"/>
    <mergeCell ref="C1803:D1803"/>
    <mergeCell ref="C1804:D1804"/>
    <mergeCell ref="C1805:D1805"/>
    <mergeCell ref="C1806:D1806"/>
    <mergeCell ref="C1817:D1817"/>
    <mergeCell ref="C1818:D1818"/>
    <mergeCell ref="C1819:D1819"/>
    <mergeCell ref="C1820:D1820"/>
    <mergeCell ref="C1821:D1821"/>
    <mergeCell ref="C1812:D1812"/>
    <mergeCell ref="C1813:D1813"/>
    <mergeCell ref="C1814:D1814"/>
    <mergeCell ref="C1815:D1815"/>
    <mergeCell ref="C1816:D1816"/>
    <mergeCell ref="C1787:D1787"/>
    <mergeCell ref="C1788:D1788"/>
    <mergeCell ref="C1789:D1789"/>
    <mergeCell ref="C1790:D1790"/>
    <mergeCell ref="C1791:D1791"/>
    <mergeCell ref="C1782:D1782"/>
    <mergeCell ref="C1783:D1783"/>
    <mergeCell ref="C1784:D1784"/>
    <mergeCell ref="C1785:D1785"/>
    <mergeCell ref="C1786:D1786"/>
    <mergeCell ref="C1797:D1797"/>
    <mergeCell ref="C1798:D1798"/>
    <mergeCell ref="C1799:D1799"/>
    <mergeCell ref="C1800:D1800"/>
    <mergeCell ref="C1801:D1801"/>
    <mergeCell ref="C1792:D1792"/>
    <mergeCell ref="C1793:D1793"/>
    <mergeCell ref="C1794:D1794"/>
    <mergeCell ref="C1795:D1795"/>
    <mergeCell ref="C1796:D1796"/>
    <mergeCell ref="C1767:D1767"/>
    <mergeCell ref="C1768:D1768"/>
    <mergeCell ref="C1769:D1769"/>
    <mergeCell ref="C1770:D1770"/>
    <mergeCell ref="B1771:G1771"/>
    <mergeCell ref="C1762:D1762"/>
    <mergeCell ref="C1763:D1763"/>
    <mergeCell ref="C1764:D1764"/>
    <mergeCell ref="C1765:D1765"/>
    <mergeCell ref="C1766:D1766"/>
    <mergeCell ref="C1777:D1777"/>
    <mergeCell ref="C1778:D1778"/>
    <mergeCell ref="C1779:D1779"/>
    <mergeCell ref="C1780:D1780"/>
    <mergeCell ref="C1781:D1781"/>
    <mergeCell ref="C1772:D1772"/>
    <mergeCell ref="C1773:D1773"/>
    <mergeCell ref="C1774:D1774"/>
    <mergeCell ref="C1775:D1775"/>
    <mergeCell ref="C1776:D1776"/>
    <mergeCell ref="C1747:D1747"/>
    <mergeCell ref="B1748:G1748"/>
    <mergeCell ref="C1749:I1749"/>
    <mergeCell ref="C1750:D1750"/>
    <mergeCell ref="C1751:D1751"/>
    <mergeCell ref="C1742:D1742"/>
    <mergeCell ref="C1743:D1743"/>
    <mergeCell ref="C1744:G1744"/>
    <mergeCell ref="C1745:D1745"/>
    <mergeCell ref="C1746:D1746"/>
    <mergeCell ref="C1757:D1757"/>
    <mergeCell ref="C1758:D1758"/>
    <mergeCell ref="C1759:D1759"/>
    <mergeCell ref="C1760:D1760"/>
    <mergeCell ref="C1761:D1761"/>
    <mergeCell ref="C1752:D1752"/>
    <mergeCell ref="C1753:D1753"/>
    <mergeCell ref="C1754:D1754"/>
    <mergeCell ref="C1755:D1755"/>
    <mergeCell ref="C1756:D1756"/>
    <mergeCell ref="B1727:G1727"/>
    <mergeCell ref="C1728:I1728"/>
    <mergeCell ref="C1729:D1729"/>
    <mergeCell ref="C1730:D1730"/>
    <mergeCell ref="C1731:D1731"/>
    <mergeCell ref="C1722:D1722"/>
    <mergeCell ref="C1723:D1723"/>
    <mergeCell ref="C1724:D1724"/>
    <mergeCell ref="C1725:D1725"/>
    <mergeCell ref="C1726:D1726"/>
    <mergeCell ref="C1737:D1737"/>
    <mergeCell ref="C1738:D1738"/>
    <mergeCell ref="C1739:G1739"/>
    <mergeCell ref="C1740:D1740"/>
    <mergeCell ref="C1741:G1741"/>
    <mergeCell ref="C1732:D1732"/>
    <mergeCell ref="B1733:G1733"/>
    <mergeCell ref="C1734:I1734"/>
    <mergeCell ref="C1735:D1735"/>
    <mergeCell ref="C1736:D1736"/>
    <mergeCell ref="C1707:D1707"/>
    <mergeCell ref="C1708:D1708"/>
    <mergeCell ref="C1709:D1709"/>
    <mergeCell ref="B1710:G1710"/>
    <mergeCell ref="C1711:I1711"/>
    <mergeCell ref="C1702:I1702"/>
    <mergeCell ref="C1703:I1703"/>
    <mergeCell ref="C1704:D1704"/>
    <mergeCell ref="C1705:D1705"/>
    <mergeCell ref="C1706:D1706"/>
    <mergeCell ref="B1717:G1717"/>
    <mergeCell ref="B1718:G1718"/>
    <mergeCell ref="C1719:I1719"/>
    <mergeCell ref="C1720:D1720"/>
    <mergeCell ref="C1721:D1721"/>
    <mergeCell ref="C1712:D1712"/>
    <mergeCell ref="C1713:D1713"/>
    <mergeCell ref="C1714:D1714"/>
    <mergeCell ref="C1715:D1715"/>
    <mergeCell ref="C1716:D1716"/>
    <mergeCell ref="B1687:G1687"/>
    <mergeCell ref="C1688:I1688"/>
    <mergeCell ref="C1689:D1689"/>
    <mergeCell ref="C1690:D1690"/>
    <mergeCell ref="C1691:D1691"/>
    <mergeCell ref="B1682:G1682"/>
    <mergeCell ref="C1683:G1683"/>
    <mergeCell ref="C1684:I1684"/>
    <mergeCell ref="C1685:D1685"/>
    <mergeCell ref="C1686:D1686"/>
    <mergeCell ref="C1697:D1697"/>
    <mergeCell ref="C1698:D1698"/>
    <mergeCell ref="C1699:D1699"/>
    <mergeCell ref="C1700:D1700"/>
    <mergeCell ref="B1701:G1701"/>
    <mergeCell ref="C1692:D1692"/>
    <mergeCell ref="C1693:D1693"/>
    <mergeCell ref="C1694:D1694"/>
    <mergeCell ref="B1695:G1695"/>
    <mergeCell ref="C1696:I1696"/>
    <mergeCell ref="C1671:D1671"/>
    <mergeCell ref="C1662:D1662"/>
    <mergeCell ref="C1663:D1663"/>
    <mergeCell ref="C1664:D1664"/>
    <mergeCell ref="C1665:D1665"/>
    <mergeCell ref="C1666:D1666"/>
    <mergeCell ref="F1590:J1590"/>
    <mergeCell ref="C1591:D1591"/>
    <mergeCell ref="C1667:D1667"/>
    <mergeCell ref="C1668:D1668"/>
    <mergeCell ref="C1669:D1669"/>
    <mergeCell ref="C1670:D1670"/>
    <mergeCell ref="C1647:D1647"/>
    <mergeCell ref="C1648:D1648"/>
    <mergeCell ref="C1649:D1649"/>
    <mergeCell ref="C1650:D1650"/>
    <mergeCell ref="A793:D793"/>
    <mergeCell ref="E793:J793"/>
    <mergeCell ref="A794:B794"/>
    <mergeCell ref="C794:D794"/>
    <mergeCell ref="F794:J794"/>
    <mergeCell ref="C1628:D1628"/>
    <mergeCell ref="C1629:D1629"/>
    <mergeCell ref="C1630:D1630"/>
    <mergeCell ref="C1631:D1631"/>
    <mergeCell ref="C1622:D1622"/>
    <mergeCell ref="C1623:D1623"/>
    <mergeCell ref="C1624:D1624"/>
    <mergeCell ref="C1625:D1625"/>
    <mergeCell ref="C1626:D1626"/>
    <mergeCell ref="C1637:D1637"/>
    <mergeCell ref="C1638:D1638"/>
    <mergeCell ref="C1672:D1672"/>
    <mergeCell ref="A1589:D1589"/>
    <mergeCell ref="E1589:J1589"/>
    <mergeCell ref="A1590:B1590"/>
    <mergeCell ref="C1590:D1590"/>
    <mergeCell ref="C1677:D1677"/>
    <mergeCell ref="C1678:D1678"/>
    <mergeCell ref="C1679:D1679"/>
    <mergeCell ref="C1680:D1680"/>
    <mergeCell ref="C1681:D1681"/>
    <mergeCell ref="C795:D795"/>
    <mergeCell ref="C1673:D1673"/>
    <mergeCell ref="C1674:D1674"/>
    <mergeCell ref="C1675:D1675"/>
    <mergeCell ref="C1676:D1676"/>
    <mergeCell ref="C1651:D1651"/>
    <mergeCell ref="C1642:D1642"/>
    <mergeCell ref="B1643:G1643"/>
    <mergeCell ref="C1644:D1644"/>
    <mergeCell ref="C1645:D1645"/>
    <mergeCell ref="C1646:D1646"/>
    <mergeCell ref="C1657:D1657"/>
    <mergeCell ref="C1658:D1658"/>
    <mergeCell ref="C1659:D1659"/>
    <mergeCell ref="C1660:D1660"/>
    <mergeCell ref="C1661:D1661"/>
    <mergeCell ref="C1652:D1652"/>
    <mergeCell ref="B1653:G1653"/>
    <mergeCell ref="C1654:I1654"/>
    <mergeCell ref="C1655:D1655"/>
    <mergeCell ref="C1656:D1656"/>
    <mergeCell ref="C1627:D1627"/>
    <mergeCell ref="C1639:D1639"/>
    <mergeCell ref="C1640:D1640"/>
    <mergeCell ref="C1641:D1641"/>
    <mergeCell ref="B1632:G1632"/>
    <mergeCell ref="C1633:D1633"/>
    <mergeCell ref="C1634:D1634"/>
    <mergeCell ref="C1635:D1635"/>
    <mergeCell ref="C1636:D1636"/>
    <mergeCell ref="C1607:D1607"/>
    <mergeCell ref="C1608:D1608"/>
    <mergeCell ref="C1609:D1609"/>
    <mergeCell ref="B1610:G1610"/>
    <mergeCell ref="C1611:D1611"/>
    <mergeCell ref="C1602:D1602"/>
    <mergeCell ref="C1603:D1603"/>
    <mergeCell ref="C1604:D1604"/>
    <mergeCell ref="C1605:D1605"/>
    <mergeCell ref="C1606:D1606"/>
    <mergeCell ref="C1617:D1617"/>
    <mergeCell ref="C1618:D1618"/>
    <mergeCell ref="C1619:D1619"/>
    <mergeCell ref="C1620:D1620"/>
    <mergeCell ref="C1621:D1621"/>
    <mergeCell ref="C1612:D1612"/>
    <mergeCell ref="C1613:D1613"/>
    <mergeCell ref="C1614:D1614"/>
    <mergeCell ref="C1615:D1615"/>
    <mergeCell ref="C1616:D1616"/>
    <mergeCell ref="C1584:D1584"/>
    <mergeCell ref="C1585:D1585"/>
    <mergeCell ref="C1586:D1586"/>
    <mergeCell ref="B1587:G1587"/>
    <mergeCell ref="B1588:G1588"/>
    <mergeCell ref="B1579:G1579"/>
    <mergeCell ref="C1580:D1580"/>
    <mergeCell ref="C1581:D1581"/>
    <mergeCell ref="C1582:D1582"/>
    <mergeCell ref="B1583:G1583"/>
    <mergeCell ref="C1597:D1597"/>
    <mergeCell ref="B1598:G1598"/>
    <mergeCell ref="C1599:D1599"/>
    <mergeCell ref="C1600:D1600"/>
    <mergeCell ref="C1601:D1601"/>
    <mergeCell ref="C1592:D1592"/>
    <mergeCell ref="C1593:D1593"/>
    <mergeCell ref="C1594:D1594"/>
    <mergeCell ref="C1595:D1595"/>
    <mergeCell ref="C1596:D1596"/>
    <mergeCell ref="C1564:D1564"/>
    <mergeCell ref="C1565:D1565"/>
    <mergeCell ref="C1566:D1566"/>
    <mergeCell ref="C1567:D1567"/>
    <mergeCell ref="C1568:D1568"/>
    <mergeCell ref="B1559:I1559"/>
    <mergeCell ref="C1560:D1560"/>
    <mergeCell ref="C1561:D1561"/>
    <mergeCell ref="B1562:G1562"/>
    <mergeCell ref="B1563:I1563"/>
    <mergeCell ref="C1574:D1574"/>
    <mergeCell ref="C1575:D1575"/>
    <mergeCell ref="C1576:D1576"/>
    <mergeCell ref="C1577:D1577"/>
    <mergeCell ref="C1578:D1578"/>
    <mergeCell ref="C1569:D1569"/>
    <mergeCell ref="C1570:D1570"/>
    <mergeCell ref="C1571:D1571"/>
    <mergeCell ref="C1572:D1572"/>
    <mergeCell ref="C1573:D1573"/>
    <mergeCell ref="C1544:I1544"/>
    <mergeCell ref="C1545:D1545"/>
    <mergeCell ref="C1546:D1546"/>
    <mergeCell ref="C1547:D1547"/>
    <mergeCell ref="C1548:D1548"/>
    <mergeCell ref="C1539:D1539"/>
    <mergeCell ref="C1540:D1540"/>
    <mergeCell ref="C1541:D1541"/>
    <mergeCell ref="B1542:G1542"/>
    <mergeCell ref="C1543:D1543"/>
    <mergeCell ref="C1554:D1554"/>
    <mergeCell ref="C1555:D1555"/>
    <mergeCell ref="C1556:D1556"/>
    <mergeCell ref="C1557:D1557"/>
    <mergeCell ref="B1558:G1558"/>
    <mergeCell ref="C1549:D1549"/>
    <mergeCell ref="C1550:D1550"/>
    <mergeCell ref="C1551:D1551"/>
    <mergeCell ref="C1552:D1552"/>
    <mergeCell ref="C1553:D1553"/>
    <mergeCell ref="C1524:D1524"/>
    <mergeCell ref="C1525:D1525"/>
    <mergeCell ref="C1526:D1526"/>
    <mergeCell ref="C1527:D1527"/>
    <mergeCell ref="C1528:D1528"/>
    <mergeCell ref="C1519:D1519"/>
    <mergeCell ref="C1520:D1520"/>
    <mergeCell ref="C1521:D1521"/>
    <mergeCell ref="C1522:D1522"/>
    <mergeCell ref="C1523:D1523"/>
    <mergeCell ref="C1534:D1534"/>
    <mergeCell ref="C1535:D1535"/>
    <mergeCell ref="C1536:D1536"/>
    <mergeCell ref="C1537:D1537"/>
    <mergeCell ref="C1538:D1538"/>
    <mergeCell ref="C1529:D1529"/>
    <mergeCell ref="C1530:D1530"/>
    <mergeCell ref="C1531:D1531"/>
    <mergeCell ref="C1532:D1532"/>
    <mergeCell ref="C1533:D1533"/>
    <mergeCell ref="B1504:G1504"/>
    <mergeCell ref="C1505:D1505"/>
    <mergeCell ref="C1506:I1506"/>
    <mergeCell ref="C1507:I1507"/>
    <mergeCell ref="C1508:D1508"/>
    <mergeCell ref="C1499:D1499"/>
    <mergeCell ref="C1500:D1500"/>
    <mergeCell ref="C1501:D1501"/>
    <mergeCell ref="C1502:D1502"/>
    <mergeCell ref="B1503:G1503"/>
    <mergeCell ref="C1514:D1514"/>
    <mergeCell ref="C1515:D1515"/>
    <mergeCell ref="C1516:D1516"/>
    <mergeCell ref="C1517:D1517"/>
    <mergeCell ref="C1518:D1518"/>
    <mergeCell ref="C1509:D1509"/>
    <mergeCell ref="C1510:D1510"/>
    <mergeCell ref="C1511:D1511"/>
    <mergeCell ref="C1512:D1512"/>
    <mergeCell ref="C1513:D1513"/>
    <mergeCell ref="C1484:D1484"/>
    <mergeCell ref="C1485:D1485"/>
    <mergeCell ref="C1486:D1486"/>
    <mergeCell ref="B1487:G1487"/>
    <mergeCell ref="C1488:D1488"/>
    <mergeCell ref="C1479:D1479"/>
    <mergeCell ref="C1480:D1480"/>
    <mergeCell ref="B1481:G1481"/>
    <mergeCell ref="C1482:D1482"/>
    <mergeCell ref="C1483:D1483"/>
    <mergeCell ref="C1494:D1494"/>
    <mergeCell ref="C1495:D1495"/>
    <mergeCell ref="C1496:D1496"/>
    <mergeCell ref="C1497:D1497"/>
    <mergeCell ref="C1498:D1498"/>
    <mergeCell ref="C1489:D1489"/>
    <mergeCell ref="C1490:D1490"/>
    <mergeCell ref="C1491:D1491"/>
    <mergeCell ref="C1492:D1492"/>
    <mergeCell ref="C1493:D1493"/>
    <mergeCell ref="C1464:D1464"/>
    <mergeCell ref="C1465:D1465"/>
    <mergeCell ref="C1466:D1466"/>
    <mergeCell ref="C1467:D1467"/>
    <mergeCell ref="C1468:D1468"/>
    <mergeCell ref="C1459:D1459"/>
    <mergeCell ref="C1460:D1460"/>
    <mergeCell ref="C1461:D1461"/>
    <mergeCell ref="C1462:D1462"/>
    <mergeCell ref="C1463:D1463"/>
    <mergeCell ref="C1474:D1474"/>
    <mergeCell ref="C1475:D1475"/>
    <mergeCell ref="C1476:D1476"/>
    <mergeCell ref="C1477:D1477"/>
    <mergeCell ref="C1478:D1478"/>
    <mergeCell ref="C1469:D1469"/>
    <mergeCell ref="C1470:D1470"/>
    <mergeCell ref="C1471:D1471"/>
    <mergeCell ref="C1472:D1472"/>
    <mergeCell ref="C1473:D1473"/>
    <mergeCell ref="C1444:D1444"/>
    <mergeCell ref="C1445:D1445"/>
    <mergeCell ref="C1446:D1446"/>
    <mergeCell ref="C1447:D1447"/>
    <mergeCell ref="C1448:D1448"/>
    <mergeCell ref="C1439:D1439"/>
    <mergeCell ref="C1440:D1440"/>
    <mergeCell ref="C1441:D1441"/>
    <mergeCell ref="C1442:D1442"/>
    <mergeCell ref="C1443:D1443"/>
    <mergeCell ref="C1454:D1454"/>
    <mergeCell ref="C1455:I1455"/>
    <mergeCell ref="C1456:D1456"/>
    <mergeCell ref="C1457:D1457"/>
    <mergeCell ref="C1458:D1458"/>
    <mergeCell ref="C1449:D1449"/>
    <mergeCell ref="C1450:D1450"/>
    <mergeCell ref="C1451:D1451"/>
    <mergeCell ref="C1452:D1452"/>
    <mergeCell ref="C1453:D1453"/>
    <mergeCell ref="C1424:D1424"/>
    <mergeCell ref="C1425:D1425"/>
    <mergeCell ref="C1426:D1426"/>
    <mergeCell ref="C1427:D1427"/>
    <mergeCell ref="C1428:D1428"/>
    <mergeCell ref="C1419:D1419"/>
    <mergeCell ref="C1420:D1420"/>
    <mergeCell ref="C1421:D1421"/>
    <mergeCell ref="C1422:D1422"/>
    <mergeCell ref="C1423:D1423"/>
    <mergeCell ref="C1434:D1434"/>
    <mergeCell ref="C1435:D1435"/>
    <mergeCell ref="C1436:D1436"/>
    <mergeCell ref="C1437:D1437"/>
    <mergeCell ref="C1438:D1438"/>
    <mergeCell ref="C1429:D1429"/>
    <mergeCell ref="C1430:D1430"/>
    <mergeCell ref="C1431:D1431"/>
    <mergeCell ref="C1432:D1432"/>
    <mergeCell ref="C1433:D1433"/>
    <mergeCell ref="C1404:D1404"/>
    <mergeCell ref="C1405:D1405"/>
    <mergeCell ref="C1406:D1406"/>
    <mergeCell ref="B1407:G1407"/>
    <mergeCell ref="B1408:G1408"/>
    <mergeCell ref="C1399:D1399"/>
    <mergeCell ref="C1400:D1400"/>
    <mergeCell ref="C1401:D1401"/>
    <mergeCell ref="C1402:D1402"/>
    <mergeCell ref="C1403:D1403"/>
    <mergeCell ref="C1414:D1414"/>
    <mergeCell ref="C1415:D1415"/>
    <mergeCell ref="C1416:D1416"/>
    <mergeCell ref="C1417:D1417"/>
    <mergeCell ref="C1418:D1418"/>
    <mergeCell ref="C1409:D1409"/>
    <mergeCell ref="C1410:D1410"/>
    <mergeCell ref="C1411:D1411"/>
    <mergeCell ref="C1412:D1412"/>
    <mergeCell ref="C1413:D1413"/>
    <mergeCell ref="C1384:D1384"/>
    <mergeCell ref="C1385:D1385"/>
    <mergeCell ref="C1386:D1386"/>
    <mergeCell ref="C1387:D1387"/>
    <mergeCell ref="B1388:G1388"/>
    <mergeCell ref="C1379:D1379"/>
    <mergeCell ref="B1380:G1380"/>
    <mergeCell ref="C1381:I1381"/>
    <mergeCell ref="C1382:D1382"/>
    <mergeCell ref="C1383:D1383"/>
    <mergeCell ref="C1394:D1394"/>
    <mergeCell ref="C1395:D1395"/>
    <mergeCell ref="C1396:D1396"/>
    <mergeCell ref="C1397:D1397"/>
    <mergeCell ref="C1398:D1398"/>
    <mergeCell ref="C1389:I1389"/>
    <mergeCell ref="C1390:I1390"/>
    <mergeCell ref="C1391:D1391"/>
    <mergeCell ref="C1392:D1392"/>
    <mergeCell ref="C1393:D1393"/>
    <mergeCell ref="C1368:D1368"/>
    <mergeCell ref="C1359:D1359"/>
    <mergeCell ref="C1360:D1360"/>
    <mergeCell ref="C1361:D1361"/>
    <mergeCell ref="C1362:D1362"/>
    <mergeCell ref="C1363:D1363"/>
    <mergeCell ref="C1375:D1375"/>
    <mergeCell ref="C1376:D1376"/>
    <mergeCell ref="C1377:D1377"/>
    <mergeCell ref="C1378:D1378"/>
    <mergeCell ref="C1369:D1369"/>
    <mergeCell ref="C1370:D1370"/>
    <mergeCell ref="C1371:D1371"/>
    <mergeCell ref="B1372:G1372"/>
    <mergeCell ref="C1373:I1373"/>
    <mergeCell ref="C1336:D1336"/>
    <mergeCell ref="C1337:D1337"/>
    <mergeCell ref="C1338:D1338"/>
    <mergeCell ref="C1339:D1339"/>
    <mergeCell ref="C1340:D1340"/>
    <mergeCell ref="C1374:D1374"/>
    <mergeCell ref="C1364:D1364"/>
    <mergeCell ref="C1365:D1365"/>
    <mergeCell ref="C1366:D1366"/>
    <mergeCell ref="C1367:D1367"/>
    <mergeCell ref="C1347:D1347"/>
    <mergeCell ref="C1341:D1341"/>
    <mergeCell ref="C1342:D1342"/>
    <mergeCell ref="C1343:D1343"/>
    <mergeCell ref="C1344:D1344"/>
    <mergeCell ref="C1345:D1345"/>
    <mergeCell ref="C1356:D1356"/>
    <mergeCell ref="B1357:G1357"/>
    <mergeCell ref="C1358:D1358"/>
    <mergeCell ref="C1351:D1351"/>
    <mergeCell ref="C1352:D1352"/>
    <mergeCell ref="C1353:D1353"/>
    <mergeCell ref="C1315:D1315"/>
    <mergeCell ref="C1354:D1354"/>
    <mergeCell ref="B1348:G1348"/>
    <mergeCell ref="C1349:I1349"/>
    <mergeCell ref="C1350:D1350"/>
    <mergeCell ref="C1346:D1346"/>
    <mergeCell ref="C1321:D1321"/>
    <mergeCell ref="C1322:D1322"/>
    <mergeCell ref="C1323:D1323"/>
    <mergeCell ref="C1324:D1324"/>
    <mergeCell ref="C1325:D1325"/>
    <mergeCell ref="C1318:D1318"/>
    <mergeCell ref="C1319:D1319"/>
    <mergeCell ref="C1320:D1320"/>
    <mergeCell ref="C1332:D1332"/>
    <mergeCell ref="C1333:D1333"/>
    <mergeCell ref="C1334:D1334"/>
    <mergeCell ref="C1335:D1335"/>
    <mergeCell ref="C1326:D1326"/>
    <mergeCell ref="C1327:D1327"/>
    <mergeCell ref="C1328:D1328"/>
    <mergeCell ref="C1329:D1329"/>
    <mergeCell ref="C1310:D1310"/>
    <mergeCell ref="C1303:D1303"/>
    <mergeCell ref="C1304:D1304"/>
    <mergeCell ref="C1305:D1305"/>
    <mergeCell ref="B1301:G1301"/>
    <mergeCell ref="C1302:D1302"/>
    <mergeCell ref="C1312:D1312"/>
    <mergeCell ref="C1313:D1313"/>
    <mergeCell ref="C1314:D1314"/>
    <mergeCell ref="C1355:D1355"/>
    <mergeCell ref="B1316:G1316"/>
    <mergeCell ref="C1317:D1317"/>
    <mergeCell ref="B1330:G1330"/>
    <mergeCell ref="C1331:D1331"/>
    <mergeCell ref="C1311:D1311"/>
    <mergeCell ref="C1296:D1296"/>
    <mergeCell ref="C1297:D1297"/>
    <mergeCell ref="C1298:D1298"/>
    <mergeCell ref="C1299:D1299"/>
    <mergeCell ref="C1300:D1300"/>
    <mergeCell ref="C1287:D1287"/>
    <mergeCell ref="C1288:D1288"/>
    <mergeCell ref="C1289:D1289"/>
    <mergeCell ref="C1290:D1290"/>
    <mergeCell ref="C1281:D1281"/>
    <mergeCell ref="C1282:D1282"/>
    <mergeCell ref="C1283:D1283"/>
    <mergeCell ref="C1284:D1284"/>
    <mergeCell ref="B1285:G1285"/>
    <mergeCell ref="C1286:D1286"/>
    <mergeCell ref="C1293:D1293"/>
    <mergeCell ref="C1294:D1294"/>
    <mergeCell ref="C1295:D1295"/>
    <mergeCell ref="C1306:D1306"/>
    <mergeCell ref="C1307:D1307"/>
    <mergeCell ref="C1308:D1308"/>
    <mergeCell ref="C1309:D1309"/>
    <mergeCell ref="C1291:D1291"/>
    <mergeCell ref="C1292:D1292"/>
    <mergeCell ref="B1258:G1258"/>
    <mergeCell ref="C1259:D1259"/>
    <mergeCell ref="C1260:D1260"/>
    <mergeCell ref="C1251:D1251"/>
    <mergeCell ref="C1252:D1252"/>
    <mergeCell ref="C1253:D1253"/>
    <mergeCell ref="B1254:G1254"/>
    <mergeCell ref="C1255:D1255"/>
    <mergeCell ref="B1266:G1266"/>
    <mergeCell ref="C1267:D1267"/>
    <mergeCell ref="C1268:D1268"/>
    <mergeCell ref="C1269:D1269"/>
    <mergeCell ref="C1270:D1270"/>
    <mergeCell ref="C1261:D1261"/>
    <mergeCell ref="C1262:D1262"/>
    <mergeCell ref="C1263:D1263"/>
    <mergeCell ref="C1264:D1264"/>
    <mergeCell ref="C1265:D1265"/>
    <mergeCell ref="C1276:D1276"/>
    <mergeCell ref="C1277:D1277"/>
    <mergeCell ref="C1278:D1278"/>
    <mergeCell ref="C1279:D1279"/>
    <mergeCell ref="C1280:D1280"/>
    <mergeCell ref="B1271:G1271"/>
    <mergeCell ref="C1273:D1273"/>
    <mergeCell ref="C1274:D1274"/>
    <mergeCell ref="C1275:D1275"/>
    <mergeCell ref="C1272:D1272"/>
    <mergeCell ref="C1236:D1236"/>
    <mergeCell ref="C1237:D1237"/>
    <mergeCell ref="C1238:D1238"/>
    <mergeCell ref="C1239:D1239"/>
    <mergeCell ref="C1240:D1240"/>
    <mergeCell ref="C1231:D1231"/>
    <mergeCell ref="C1232:D1232"/>
    <mergeCell ref="C1233:D1233"/>
    <mergeCell ref="C1234:D1234"/>
    <mergeCell ref="C1235:D1235"/>
    <mergeCell ref="C1246:D1246"/>
    <mergeCell ref="B1247:G1247"/>
    <mergeCell ref="C1248:D1248"/>
    <mergeCell ref="C1249:D1249"/>
    <mergeCell ref="C1250:D1250"/>
    <mergeCell ref="C1241:D1241"/>
    <mergeCell ref="C1242:D1242"/>
    <mergeCell ref="C1243:D1243"/>
    <mergeCell ref="C1244:D1244"/>
    <mergeCell ref="C1245:D1245"/>
    <mergeCell ref="C1256:D1256"/>
    <mergeCell ref="C1257:D1257"/>
    <mergeCell ref="C1216:D1216"/>
    <mergeCell ref="C1217:D1217"/>
    <mergeCell ref="C1218:D1218"/>
    <mergeCell ref="C1219:D1219"/>
    <mergeCell ref="C1220:D1220"/>
    <mergeCell ref="C1211:D1211"/>
    <mergeCell ref="C1212:D1212"/>
    <mergeCell ref="C1213:D1213"/>
    <mergeCell ref="C1214:D1214"/>
    <mergeCell ref="C1215:D1215"/>
    <mergeCell ref="C1226:D1226"/>
    <mergeCell ref="C1227:D1227"/>
    <mergeCell ref="C1228:D1228"/>
    <mergeCell ref="C1229:D1229"/>
    <mergeCell ref="C1230:D1230"/>
    <mergeCell ref="C1221:D1221"/>
    <mergeCell ref="C1222:D1222"/>
    <mergeCell ref="C1223:D1223"/>
    <mergeCell ref="C1224:D1224"/>
    <mergeCell ref="C1225:D1225"/>
    <mergeCell ref="C1196:D1196"/>
    <mergeCell ref="C1197:D1197"/>
    <mergeCell ref="C1198:D1198"/>
    <mergeCell ref="C1199:D1199"/>
    <mergeCell ref="C1200:D1200"/>
    <mergeCell ref="C1191:D1191"/>
    <mergeCell ref="C1192:D1192"/>
    <mergeCell ref="C1193:D1193"/>
    <mergeCell ref="C1194:D1194"/>
    <mergeCell ref="C1195:D1195"/>
    <mergeCell ref="C1206:D1206"/>
    <mergeCell ref="C1207:D1207"/>
    <mergeCell ref="C1208:D1208"/>
    <mergeCell ref="C1209:D1209"/>
    <mergeCell ref="C1210:D1210"/>
    <mergeCell ref="C1201:D1201"/>
    <mergeCell ref="C1202:D1202"/>
    <mergeCell ref="C1203:D1203"/>
    <mergeCell ref="C1204:D1204"/>
    <mergeCell ref="C1205:D1205"/>
    <mergeCell ref="C1176:D1176"/>
    <mergeCell ref="C1177:D1177"/>
    <mergeCell ref="C1178:D1178"/>
    <mergeCell ref="C1179:D1179"/>
    <mergeCell ref="C1180:D1180"/>
    <mergeCell ref="C1171:D1171"/>
    <mergeCell ref="B1172:G1172"/>
    <mergeCell ref="C1173:D1173"/>
    <mergeCell ref="C1174:D1174"/>
    <mergeCell ref="C1175:D1175"/>
    <mergeCell ref="C1186:D1186"/>
    <mergeCell ref="C1187:D1187"/>
    <mergeCell ref="C1188:D1188"/>
    <mergeCell ref="C1189:D1189"/>
    <mergeCell ref="C1190:D1190"/>
    <mergeCell ref="C1181:D1181"/>
    <mergeCell ref="C1182:D1182"/>
    <mergeCell ref="C1183:D1183"/>
    <mergeCell ref="C1184:D1184"/>
    <mergeCell ref="C1185:D1185"/>
    <mergeCell ref="C1156:D1156"/>
    <mergeCell ref="C1157:D1157"/>
    <mergeCell ref="C1158:D1158"/>
    <mergeCell ref="C1159:D1159"/>
    <mergeCell ref="C1160:D1160"/>
    <mergeCell ref="C1151:D1151"/>
    <mergeCell ref="C1152:D1152"/>
    <mergeCell ref="B1153:H1153"/>
    <mergeCell ref="C1154:D1154"/>
    <mergeCell ref="C1155:D1155"/>
    <mergeCell ref="C1166:D1166"/>
    <mergeCell ref="C1167:D1167"/>
    <mergeCell ref="C1168:D1168"/>
    <mergeCell ref="C1169:D1169"/>
    <mergeCell ref="C1170:D1170"/>
    <mergeCell ref="C1161:D1161"/>
    <mergeCell ref="C1162:D1162"/>
    <mergeCell ref="C1163:D1163"/>
    <mergeCell ref="C1164:D1164"/>
    <mergeCell ref="C1165:D1165"/>
    <mergeCell ref="C1136:D1136"/>
    <mergeCell ref="C1137:D1137"/>
    <mergeCell ref="C1138:D1138"/>
    <mergeCell ref="C1139:D1139"/>
    <mergeCell ref="C1140:D1140"/>
    <mergeCell ref="C1131:D1131"/>
    <mergeCell ref="C1132:D1132"/>
    <mergeCell ref="C1133:D1133"/>
    <mergeCell ref="C1134:D1134"/>
    <mergeCell ref="C1135:D1135"/>
    <mergeCell ref="C1146:D1146"/>
    <mergeCell ref="C1147:D1147"/>
    <mergeCell ref="C1148:D1148"/>
    <mergeCell ref="C1149:D1149"/>
    <mergeCell ref="C1150:D1150"/>
    <mergeCell ref="C1141:D1141"/>
    <mergeCell ref="C1142:D1142"/>
    <mergeCell ref="C1143:D1143"/>
    <mergeCell ref="C1144:D1144"/>
    <mergeCell ref="C1145:D1145"/>
    <mergeCell ref="C1116:D1116"/>
    <mergeCell ref="C1117:D1117"/>
    <mergeCell ref="C1118:D1118"/>
    <mergeCell ref="C1119:D1119"/>
    <mergeCell ref="C1120:D1120"/>
    <mergeCell ref="C1111:D1111"/>
    <mergeCell ref="C1112:D1112"/>
    <mergeCell ref="C1113:D1113"/>
    <mergeCell ref="C1114:D1114"/>
    <mergeCell ref="C1115:D1115"/>
    <mergeCell ref="B1126:G1126"/>
    <mergeCell ref="C1127:D1127"/>
    <mergeCell ref="C1128:D1128"/>
    <mergeCell ref="C1129:D1129"/>
    <mergeCell ref="C1130:D1130"/>
    <mergeCell ref="C1121:D1121"/>
    <mergeCell ref="C1122:D1122"/>
    <mergeCell ref="C1123:D1123"/>
    <mergeCell ref="C1124:D1124"/>
    <mergeCell ref="C1125:D1125"/>
    <mergeCell ref="C1096:D1096"/>
    <mergeCell ref="C1097:D1097"/>
    <mergeCell ref="C1098:D1098"/>
    <mergeCell ref="C1099:D1099"/>
    <mergeCell ref="B1100:G1100"/>
    <mergeCell ref="C1091:D1091"/>
    <mergeCell ref="C1092:D1092"/>
    <mergeCell ref="C1093:D1093"/>
    <mergeCell ref="C1094:D1094"/>
    <mergeCell ref="B1095:G1095"/>
    <mergeCell ref="C1106:D1106"/>
    <mergeCell ref="C1107:D1107"/>
    <mergeCell ref="C1108:D1108"/>
    <mergeCell ref="C1109:D1109"/>
    <mergeCell ref="C1110:D1110"/>
    <mergeCell ref="C1101:D1101"/>
    <mergeCell ref="C1102:D1102"/>
    <mergeCell ref="C1103:D1103"/>
    <mergeCell ref="C1104:D1104"/>
    <mergeCell ref="C1105:D1105"/>
    <mergeCell ref="C1076:D1076"/>
    <mergeCell ref="C1077:D1077"/>
    <mergeCell ref="C1078:D1078"/>
    <mergeCell ref="C1079:D1079"/>
    <mergeCell ref="C1080:D1080"/>
    <mergeCell ref="C1071:D1071"/>
    <mergeCell ref="C1072:D1072"/>
    <mergeCell ref="C1073:D1073"/>
    <mergeCell ref="C1074:D1074"/>
    <mergeCell ref="C1075:D1075"/>
    <mergeCell ref="C1086:D1086"/>
    <mergeCell ref="C1087:D1087"/>
    <mergeCell ref="C1088:D1088"/>
    <mergeCell ref="C1089:D1089"/>
    <mergeCell ref="C1090:D1090"/>
    <mergeCell ref="C1081:D1081"/>
    <mergeCell ref="C1082:D1082"/>
    <mergeCell ref="C1083:D1083"/>
    <mergeCell ref="C1084:D1084"/>
    <mergeCell ref="C1085:D1085"/>
    <mergeCell ref="C1056:D1056"/>
    <mergeCell ref="C1057:D1057"/>
    <mergeCell ref="C1058:D1058"/>
    <mergeCell ref="C1059:D1059"/>
    <mergeCell ref="C1060:D1060"/>
    <mergeCell ref="C1051:D1051"/>
    <mergeCell ref="C1052:D1052"/>
    <mergeCell ref="C1053:D1053"/>
    <mergeCell ref="C1054:D1054"/>
    <mergeCell ref="C1055:D1055"/>
    <mergeCell ref="C1066:D1066"/>
    <mergeCell ref="C1067:D1067"/>
    <mergeCell ref="C1068:D1068"/>
    <mergeCell ref="C1069:D1069"/>
    <mergeCell ref="C1070:D1070"/>
    <mergeCell ref="C1061:D1061"/>
    <mergeCell ref="C1062:D1062"/>
    <mergeCell ref="C1063:D1063"/>
    <mergeCell ref="C1064:D1064"/>
    <mergeCell ref="C1065:D1065"/>
    <mergeCell ref="C1036:D1036"/>
    <mergeCell ref="C1037:D1037"/>
    <mergeCell ref="C1038:D1038"/>
    <mergeCell ref="B1039:G1039"/>
    <mergeCell ref="C1040:D1040"/>
    <mergeCell ref="C1031:D1031"/>
    <mergeCell ref="C1032:D1032"/>
    <mergeCell ref="C1033:D1033"/>
    <mergeCell ref="C1034:D1034"/>
    <mergeCell ref="C1035:D1035"/>
    <mergeCell ref="C1046:D1046"/>
    <mergeCell ref="C1047:D1047"/>
    <mergeCell ref="C1048:D1048"/>
    <mergeCell ref="C1049:D1049"/>
    <mergeCell ref="C1050:D1050"/>
    <mergeCell ref="C1041:D1041"/>
    <mergeCell ref="C1042:D1042"/>
    <mergeCell ref="C1043:D1043"/>
    <mergeCell ref="C1044:D1044"/>
    <mergeCell ref="C1045:D1045"/>
    <mergeCell ref="C1016:D1016"/>
    <mergeCell ref="C1017:D1017"/>
    <mergeCell ref="C1018:D1018"/>
    <mergeCell ref="C1019:D1019"/>
    <mergeCell ref="C1020:D1020"/>
    <mergeCell ref="C1011:D1011"/>
    <mergeCell ref="C1012:D1012"/>
    <mergeCell ref="C1013:D1013"/>
    <mergeCell ref="C1014:D1014"/>
    <mergeCell ref="C1015:D1015"/>
    <mergeCell ref="C1026:D1026"/>
    <mergeCell ref="C1027:D1027"/>
    <mergeCell ref="C1028:D1028"/>
    <mergeCell ref="C1029:D1029"/>
    <mergeCell ref="C1030:D1030"/>
    <mergeCell ref="C1021:D1021"/>
    <mergeCell ref="C1022:D1022"/>
    <mergeCell ref="C1023:D1023"/>
    <mergeCell ref="C1024:D1024"/>
    <mergeCell ref="C1025:D1025"/>
    <mergeCell ref="C996:D996"/>
    <mergeCell ref="C997:D997"/>
    <mergeCell ref="C998:D998"/>
    <mergeCell ref="C999:D999"/>
    <mergeCell ref="C1000:D1000"/>
    <mergeCell ref="C991:D991"/>
    <mergeCell ref="C992:D992"/>
    <mergeCell ref="C993:D993"/>
    <mergeCell ref="C994:D994"/>
    <mergeCell ref="C995:D995"/>
    <mergeCell ref="C1006:D1006"/>
    <mergeCell ref="C1007:D1007"/>
    <mergeCell ref="C1008:D1008"/>
    <mergeCell ref="C1009:D1009"/>
    <mergeCell ref="C1010:D1010"/>
    <mergeCell ref="C1001:D1001"/>
    <mergeCell ref="C1002:D1002"/>
    <mergeCell ref="C1003:D1003"/>
    <mergeCell ref="C1004:D1004"/>
    <mergeCell ref="C1005:D1005"/>
    <mergeCell ref="C976:D976"/>
    <mergeCell ref="C977:D977"/>
    <mergeCell ref="C978:D978"/>
    <mergeCell ref="C979:D979"/>
    <mergeCell ref="C980:D980"/>
    <mergeCell ref="C971:D971"/>
    <mergeCell ref="C972:D972"/>
    <mergeCell ref="B973:H973"/>
    <mergeCell ref="C974:D974"/>
    <mergeCell ref="C975:D975"/>
    <mergeCell ref="C986:D986"/>
    <mergeCell ref="C987:D987"/>
    <mergeCell ref="C988:D988"/>
    <mergeCell ref="C989:D989"/>
    <mergeCell ref="C990:D990"/>
    <mergeCell ref="C981:D981"/>
    <mergeCell ref="C982:D982"/>
    <mergeCell ref="C983:D983"/>
    <mergeCell ref="C984:D984"/>
    <mergeCell ref="C985:D985"/>
    <mergeCell ref="C956:D956"/>
    <mergeCell ref="C957:D957"/>
    <mergeCell ref="C958:D958"/>
    <mergeCell ref="C959:D959"/>
    <mergeCell ref="C960:D960"/>
    <mergeCell ref="C951:I951"/>
    <mergeCell ref="C952:D952"/>
    <mergeCell ref="C953:D953"/>
    <mergeCell ref="C954:D954"/>
    <mergeCell ref="C955:D955"/>
    <mergeCell ref="C966:D966"/>
    <mergeCell ref="C967:D967"/>
    <mergeCell ref="C968:D968"/>
    <mergeCell ref="C969:D969"/>
    <mergeCell ref="C970:D970"/>
    <mergeCell ref="C961:D961"/>
    <mergeCell ref="C962:D962"/>
    <mergeCell ref="C963:D963"/>
    <mergeCell ref="C964:D964"/>
    <mergeCell ref="C965:D965"/>
    <mergeCell ref="C936:I936"/>
    <mergeCell ref="C937:D937"/>
    <mergeCell ref="C938:D938"/>
    <mergeCell ref="C939:D939"/>
    <mergeCell ref="C940:D940"/>
    <mergeCell ref="C931:D931"/>
    <mergeCell ref="C932:D932"/>
    <mergeCell ref="C933:D933"/>
    <mergeCell ref="C934:D934"/>
    <mergeCell ref="B935:G935"/>
    <mergeCell ref="C946:G946"/>
    <mergeCell ref="C947:D947"/>
    <mergeCell ref="C948:D948"/>
    <mergeCell ref="C949:D949"/>
    <mergeCell ref="B950:H950"/>
    <mergeCell ref="C941:G941"/>
    <mergeCell ref="C942:D942"/>
    <mergeCell ref="C943:G943"/>
    <mergeCell ref="C944:D944"/>
    <mergeCell ref="C945:D945"/>
    <mergeCell ref="C916:D916"/>
    <mergeCell ref="C917:D917"/>
    <mergeCell ref="C918:D918"/>
    <mergeCell ref="B919:G919"/>
    <mergeCell ref="B920:G920"/>
    <mergeCell ref="C911:D911"/>
    <mergeCell ref="B912:G912"/>
    <mergeCell ref="C913:I913"/>
    <mergeCell ref="C914:D914"/>
    <mergeCell ref="C915:D915"/>
    <mergeCell ref="C926:D926"/>
    <mergeCell ref="C927:D927"/>
    <mergeCell ref="C928:D928"/>
    <mergeCell ref="B929:G929"/>
    <mergeCell ref="C930:I930"/>
    <mergeCell ref="C921:I921"/>
    <mergeCell ref="C922:D922"/>
    <mergeCell ref="C923:D923"/>
    <mergeCell ref="C924:D924"/>
    <mergeCell ref="C925:D925"/>
    <mergeCell ref="C896:D896"/>
    <mergeCell ref="C897:D897"/>
    <mergeCell ref="B898:G898"/>
    <mergeCell ref="C899:I899"/>
    <mergeCell ref="C900:D900"/>
    <mergeCell ref="C891:I891"/>
    <mergeCell ref="C892:D892"/>
    <mergeCell ref="C893:D893"/>
    <mergeCell ref="C894:D894"/>
    <mergeCell ref="C895:D895"/>
    <mergeCell ref="C906:D906"/>
    <mergeCell ref="C907:D907"/>
    <mergeCell ref="C908:D908"/>
    <mergeCell ref="C909:D909"/>
    <mergeCell ref="C910:D910"/>
    <mergeCell ref="C901:D901"/>
    <mergeCell ref="C902:D902"/>
    <mergeCell ref="B903:G903"/>
    <mergeCell ref="C904:I904"/>
    <mergeCell ref="C905:I905"/>
    <mergeCell ref="C876:D876"/>
    <mergeCell ref="C877:D877"/>
    <mergeCell ref="C878:D878"/>
    <mergeCell ref="C879:D879"/>
    <mergeCell ref="C880:D880"/>
    <mergeCell ref="C871:D871"/>
    <mergeCell ref="C872:D872"/>
    <mergeCell ref="C873:D873"/>
    <mergeCell ref="C874:D874"/>
    <mergeCell ref="C875:D875"/>
    <mergeCell ref="C886:G886"/>
    <mergeCell ref="C887:I887"/>
    <mergeCell ref="C888:D888"/>
    <mergeCell ref="C889:D889"/>
    <mergeCell ref="B890:G890"/>
    <mergeCell ref="C881:D881"/>
    <mergeCell ref="C882:D882"/>
    <mergeCell ref="C883:D883"/>
    <mergeCell ref="C884:D884"/>
    <mergeCell ref="B885:G885"/>
    <mergeCell ref="B856:G856"/>
    <mergeCell ref="C857:I857"/>
    <mergeCell ref="C858:D858"/>
    <mergeCell ref="C859:D859"/>
    <mergeCell ref="C860:D860"/>
    <mergeCell ref="C851:D851"/>
    <mergeCell ref="C852:D852"/>
    <mergeCell ref="C853:D853"/>
    <mergeCell ref="C854:D854"/>
    <mergeCell ref="C855:D855"/>
    <mergeCell ref="C866:D866"/>
    <mergeCell ref="C867:D867"/>
    <mergeCell ref="C868:D868"/>
    <mergeCell ref="C869:D869"/>
    <mergeCell ref="C870:D870"/>
    <mergeCell ref="C861:D861"/>
    <mergeCell ref="C862:D862"/>
    <mergeCell ref="C863:D863"/>
    <mergeCell ref="C864:D864"/>
    <mergeCell ref="C865:D865"/>
    <mergeCell ref="B836:G836"/>
    <mergeCell ref="C837:D837"/>
    <mergeCell ref="C838:D838"/>
    <mergeCell ref="C839:D839"/>
    <mergeCell ref="C840:D840"/>
    <mergeCell ref="C831:D831"/>
    <mergeCell ref="C832:D832"/>
    <mergeCell ref="C833:D833"/>
    <mergeCell ref="C834:D834"/>
    <mergeCell ref="C835:D835"/>
    <mergeCell ref="B846:G846"/>
    <mergeCell ref="C847:D847"/>
    <mergeCell ref="C848:D848"/>
    <mergeCell ref="C849:D849"/>
    <mergeCell ref="C850:D850"/>
    <mergeCell ref="C841:D841"/>
    <mergeCell ref="C842:D842"/>
    <mergeCell ref="C843:D843"/>
    <mergeCell ref="C844:D844"/>
    <mergeCell ref="C845:D845"/>
    <mergeCell ref="C816:D816"/>
    <mergeCell ref="C817:D817"/>
    <mergeCell ref="C818:D818"/>
    <mergeCell ref="C819:D819"/>
    <mergeCell ref="C820:D820"/>
    <mergeCell ref="C811:D811"/>
    <mergeCell ref="C812:D812"/>
    <mergeCell ref="C813:D813"/>
    <mergeCell ref="B814:G814"/>
    <mergeCell ref="C815:D815"/>
    <mergeCell ref="C826:D826"/>
    <mergeCell ref="C827:D827"/>
    <mergeCell ref="C828:D828"/>
    <mergeCell ref="C829:D829"/>
    <mergeCell ref="C830:D830"/>
    <mergeCell ref="C821:D821"/>
    <mergeCell ref="C822:D822"/>
    <mergeCell ref="C823:D823"/>
    <mergeCell ref="C824:D824"/>
    <mergeCell ref="C825:D825"/>
    <mergeCell ref="C796:D796"/>
    <mergeCell ref="C797:D797"/>
    <mergeCell ref="C798:D798"/>
    <mergeCell ref="C799:D799"/>
    <mergeCell ref="C800:D800"/>
    <mergeCell ref="B788:G788"/>
    <mergeCell ref="C789:D789"/>
    <mergeCell ref="C790:D790"/>
    <mergeCell ref="B791:G791"/>
    <mergeCell ref="B792:G792"/>
    <mergeCell ref="C806:D806"/>
    <mergeCell ref="C807:D807"/>
    <mergeCell ref="C808:D808"/>
    <mergeCell ref="C809:D809"/>
    <mergeCell ref="C810:D810"/>
    <mergeCell ref="C801:D801"/>
    <mergeCell ref="B802:G802"/>
    <mergeCell ref="C803:D803"/>
    <mergeCell ref="C804:D804"/>
    <mergeCell ref="C805:D805"/>
    <mergeCell ref="C773:D773"/>
    <mergeCell ref="C774:D774"/>
    <mergeCell ref="C775:D775"/>
    <mergeCell ref="C776:D776"/>
    <mergeCell ref="C777:D777"/>
    <mergeCell ref="B768:I768"/>
    <mergeCell ref="C769:D769"/>
    <mergeCell ref="C770:D770"/>
    <mergeCell ref="C771:D771"/>
    <mergeCell ref="C772:D772"/>
    <mergeCell ref="C783:D783"/>
    <mergeCell ref="B784:G784"/>
    <mergeCell ref="C785:D785"/>
    <mergeCell ref="C786:D786"/>
    <mergeCell ref="C787:D787"/>
    <mergeCell ref="C778:D778"/>
    <mergeCell ref="C779:D779"/>
    <mergeCell ref="C780:D780"/>
    <mergeCell ref="C781:D781"/>
    <mergeCell ref="C782:D782"/>
    <mergeCell ref="C753:D753"/>
    <mergeCell ref="C754:D754"/>
    <mergeCell ref="C755:D755"/>
    <mergeCell ref="C756:D756"/>
    <mergeCell ref="C757:D757"/>
    <mergeCell ref="C748:D748"/>
    <mergeCell ref="C749:I749"/>
    <mergeCell ref="C750:D750"/>
    <mergeCell ref="C751:D751"/>
    <mergeCell ref="C752:D752"/>
    <mergeCell ref="B763:G763"/>
    <mergeCell ref="B764:I764"/>
    <mergeCell ref="C765:D765"/>
    <mergeCell ref="C766:D766"/>
    <mergeCell ref="B767:G767"/>
    <mergeCell ref="C758:D758"/>
    <mergeCell ref="C759:D759"/>
    <mergeCell ref="C760:D760"/>
    <mergeCell ref="C761:D761"/>
    <mergeCell ref="C762:D762"/>
    <mergeCell ref="C733:D733"/>
    <mergeCell ref="C734:D734"/>
    <mergeCell ref="C735:D735"/>
    <mergeCell ref="C736:D736"/>
    <mergeCell ref="C737:D737"/>
    <mergeCell ref="C728:D728"/>
    <mergeCell ref="C729:D729"/>
    <mergeCell ref="C730:D730"/>
    <mergeCell ref="C731:D731"/>
    <mergeCell ref="C732:D732"/>
    <mergeCell ref="C743:D743"/>
    <mergeCell ref="C744:D744"/>
    <mergeCell ref="C745:D745"/>
    <mergeCell ref="C746:D746"/>
    <mergeCell ref="B747:G747"/>
    <mergeCell ref="C738:D738"/>
    <mergeCell ref="C739:D739"/>
    <mergeCell ref="C740:D740"/>
    <mergeCell ref="C741:D741"/>
    <mergeCell ref="C742:D742"/>
    <mergeCell ref="C713:D713"/>
    <mergeCell ref="C714:D714"/>
    <mergeCell ref="C715:D715"/>
    <mergeCell ref="C716:D716"/>
    <mergeCell ref="C717:D717"/>
    <mergeCell ref="B708:G708"/>
    <mergeCell ref="B709:G709"/>
    <mergeCell ref="C710:D710"/>
    <mergeCell ref="C711:I711"/>
    <mergeCell ref="C712:I712"/>
    <mergeCell ref="C723:D723"/>
    <mergeCell ref="C724:D724"/>
    <mergeCell ref="C725:D725"/>
    <mergeCell ref="C726:D726"/>
    <mergeCell ref="C727:D727"/>
    <mergeCell ref="C718:D718"/>
    <mergeCell ref="C719:D719"/>
    <mergeCell ref="C720:D720"/>
    <mergeCell ref="C721:D721"/>
    <mergeCell ref="C722:D722"/>
    <mergeCell ref="C693:D693"/>
    <mergeCell ref="C694:D694"/>
    <mergeCell ref="C695:D695"/>
    <mergeCell ref="C696:D696"/>
    <mergeCell ref="C697:D697"/>
    <mergeCell ref="C688:D688"/>
    <mergeCell ref="C689:D689"/>
    <mergeCell ref="C690:D690"/>
    <mergeCell ref="C691:D691"/>
    <mergeCell ref="B692:G692"/>
    <mergeCell ref="C703:D703"/>
    <mergeCell ref="C704:D704"/>
    <mergeCell ref="C705:D705"/>
    <mergeCell ref="C706:D706"/>
    <mergeCell ref="C707:D707"/>
    <mergeCell ref="C698:D698"/>
    <mergeCell ref="C699:D699"/>
    <mergeCell ref="C700:D700"/>
    <mergeCell ref="C701:D701"/>
    <mergeCell ref="C702:D702"/>
    <mergeCell ref="C673:D673"/>
    <mergeCell ref="C674:D674"/>
    <mergeCell ref="C675:D675"/>
    <mergeCell ref="C676:D676"/>
    <mergeCell ref="C677:D677"/>
    <mergeCell ref="C668:D668"/>
    <mergeCell ref="C669:D669"/>
    <mergeCell ref="C670:D670"/>
    <mergeCell ref="C671:D671"/>
    <mergeCell ref="C672:D672"/>
    <mergeCell ref="C683:D683"/>
    <mergeCell ref="C684:D684"/>
    <mergeCell ref="C685:D685"/>
    <mergeCell ref="B686:G686"/>
    <mergeCell ref="C687:D687"/>
    <mergeCell ref="C678:D678"/>
    <mergeCell ref="C679:D679"/>
    <mergeCell ref="C680:D680"/>
    <mergeCell ref="C681:D681"/>
    <mergeCell ref="C682:D682"/>
    <mergeCell ref="C653:D653"/>
    <mergeCell ref="C654:D654"/>
    <mergeCell ref="C655:D655"/>
    <mergeCell ref="C656:D656"/>
    <mergeCell ref="C657:D657"/>
    <mergeCell ref="C648:D648"/>
    <mergeCell ref="C649:D649"/>
    <mergeCell ref="C650:D650"/>
    <mergeCell ref="C651:D651"/>
    <mergeCell ref="C652:D652"/>
    <mergeCell ref="C663:D663"/>
    <mergeCell ref="C664:D664"/>
    <mergeCell ref="C665:D665"/>
    <mergeCell ref="C666:D666"/>
    <mergeCell ref="C667:D667"/>
    <mergeCell ref="C658:D658"/>
    <mergeCell ref="C659:D659"/>
    <mergeCell ref="C660:I660"/>
    <mergeCell ref="C661:D661"/>
    <mergeCell ref="C662:D662"/>
    <mergeCell ref="C633:D633"/>
    <mergeCell ref="C634:D634"/>
    <mergeCell ref="C635:D635"/>
    <mergeCell ref="C636:D636"/>
    <mergeCell ref="C637:D637"/>
    <mergeCell ref="C628:D628"/>
    <mergeCell ref="C629:D629"/>
    <mergeCell ref="C630:D630"/>
    <mergeCell ref="C631:D631"/>
    <mergeCell ref="C632:D632"/>
    <mergeCell ref="C643:D643"/>
    <mergeCell ref="C644:D644"/>
    <mergeCell ref="C645:D645"/>
    <mergeCell ref="C646:D646"/>
    <mergeCell ref="C647:D647"/>
    <mergeCell ref="C638:D638"/>
    <mergeCell ref="C639:D639"/>
    <mergeCell ref="C640:D640"/>
    <mergeCell ref="C641:D641"/>
    <mergeCell ref="C642:D642"/>
    <mergeCell ref="B613:G613"/>
    <mergeCell ref="C614:D614"/>
    <mergeCell ref="C615:D615"/>
    <mergeCell ref="C616:D616"/>
    <mergeCell ref="C617:D617"/>
    <mergeCell ref="C608:D608"/>
    <mergeCell ref="C609:D609"/>
    <mergeCell ref="C610:D610"/>
    <mergeCell ref="C611:D611"/>
    <mergeCell ref="B612:G612"/>
    <mergeCell ref="C623:D623"/>
    <mergeCell ref="C624:D624"/>
    <mergeCell ref="C625:D625"/>
    <mergeCell ref="C626:D626"/>
    <mergeCell ref="C627:D627"/>
    <mergeCell ref="C618:D618"/>
    <mergeCell ref="C619:D619"/>
    <mergeCell ref="C620:D620"/>
    <mergeCell ref="C621:D621"/>
    <mergeCell ref="C622:D622"/>
    <mergeCell ref="B593:G593"/>
    <mergeCell ref="C594:I594"/>
    <mergeCell ref="C595:I595"/>
    <mergeCell ref="C596:D596"/>
    <mergeCell ref="C597:D597"/>
    <mergeCell ref="C588:D588"/>
    <mergeCell ref="C589:D589"/>
    <mergeCell ref="C590:D590"/>
    <mergeCell ref="C591:D591"/>
    <mergeCell ref="C592:D592"/>
    <mergeCell ref="C603:D603"/>
    <mergeCell ref="C604:D604"/>
    <mergeCell ref="C605:D605"/>
    <mergeCell ref="C606:D606"/>
    <mergeCell ref="C607:D607"/>
    <mergeCell ref="C598:D598"/>
    <mergeCell ref="C599:D599"/>
    <mergeCell ref="C600:D600"/>
    <mergeCell ref="C601:D601"/>
    <mergeCell ref="C602:D602"/>
    <mergeCell ref="C573:D573"/>
    <mergeCell ref="C574:D574"/>
    <mergeCell ref="C575:D575"/>
    <mergeCell ref="C576:D576"/>
    <mergeCell ref="B577:G577"/>
    <mergeCell ref="C568:D568"/>
    <mergeCell ref="C569:D569"/>
    <mergeCell ref="C570:D570"/>
    <mergeCell ref="C571:D571"/>
    <mergeCell ref="C572:D572"/>
    <mergeCell ref="C583:D583"/>
    <mergeCell ref="C584:D584"/>
    <mergeCell ref="B585:G585"/>
    <mergeCell ref="C586:I586"/>
    <mergeCell ref="C587:D587"/>
    <mergeCell ref="C578:I578"/>
    <mergeCell ref="C579:D579"/>
    <mergeCell ref="C580:D580"/>
    <mergeCell ref="C581:D581"/>
    <mergeCell ref="C582:D582"/>
    <mergeCell ref="B553:G553"/>
    <mergeCell ref="C554:I554"/>
    <mergeCell ref="C555:D555"/>
    <mergeCell ref="C556:D556"/>
    <mergeCell ref="C557:D557"/>
    <mergeCell ref="C548:D548"/>
    <mergeCell ref="C549:D549"/>
    <mergeCell ref="C550:D550"/>
    <mergeCell ref="C551:D551"/>
    <mergeCell ref="C552:D552"/>
    <mergeCell ref="C563:D563"/>
    <mergeCell ref="C564:D564"/>
    <mergeCell ref="C565:D565"/>
    <mergeCell ref="C566:D566"/>
    <mergeCell ref="C567:D567"/>
    <mergeCell ref="C558:D558"/>
    <mergeCell ref="C559:D559"/>
    <mergeCell ref="C560:D560"/>
    <mergeCell ref="C561:D561"/>
    <mergeCell ref="B562:G562"/>
    <mergeCell ref="C533:D533"/>
    <mergeCell ref="C534:D534"/>
    <mergeCell ref="B535:G535"/>
    <mergeCell ref="C536:D536"/>
    <mergeCell ref="C537:D537"/>
    <mergeCell ref="C528:D528"/>
    <mergeCell ref="C529:D529"/>
    <mergeCell ref="C530:D530"/>
    <mergeCell ref="C531:D531"/>
    <mergeCell ref="C532:D532"/>
    <mergeCell ref="C543:D543"/>
    <mergeCell ref="C544:D544"/>
    <mergeCell ref="C545:D545"/>
    <mergeCell ref="C546:D546"/>
    <mergeCell ref="C547:D547"/>
    <mergeCell ref="C538:D538"/>
    <mergeCell ref="C539:D539"/>
    <mergeCell ref="C540:D540"/>
    <mergeCell ref="C541:D541"/>
    <mergeCell ref="C542:D542"/>
    <mergeCell ref="C513:D513"/>
    <mergeCell ref="C514:D514"/>
    <mergeCell ref="C515:D515"/>
    <mergeCell ref="C516:D516"/>
    <mergeCell ref="C517:D517"/>
    <mergeCell ref="C508:D508"/>
    <mergeCell ref="C509:D509"/>
    <mergeCell ref="C510:D510"/>
    <mergeCell ref="C511:D511"/>
    <mergeCell ref="C512:D512"/>
    <mergeCell ref="C523:D523"/>
    <mergeCell ref="C524:D524"/>
    <mergeCell ref="C525:D525"/>
    <mergeCell ref="C526:D526"/>
    <mergeCell ref="C527:D527"/>
    <mergeCell ref="C518:D518"/>
    <mergeCell ref="C519:D519"/>
    <mergeCell ref="C520:D520"/>
    <mergeCell ref="B521:G521"/>
    <mergeCell ref="C522:D522"/>
    <mergeCell ref="C493:D493"/>
    <mergeCell ref="C494:D494"/>
    <mergeCell ref="C495:D495"/>
    <mergeCell ref="C496:D496"/>
    <mergeCell ref="C497:D497"/>
    <mergeCell ref="C488:D488"/>
    <mergeCell ref="C489:D489"/>
    <mergeCell ref="B490:G490"/>
    <mergeCell ref="C491:D491"/>
    <mergeCell ref="C492:D492"/>
    <mergeCell ref="C503:D503"/>
    <mergeCell ref="C504:D504"/>
    <mergeCell ref="C505:D505"/>
    <mergeCell ref="B506:G506"/>
    <mergeCell ref="C507:D507"/>
    <mergeCell ref="C498:D498"/>
    <mergeCell ref="C499:D499"/>
    <mergeCell ref="C500:D500"/>
    <mergeCell ref="C501:D501"/>
    <mergeCell ref="C502:D502"/>
    <mergeCell ref="C473:D473"/>
    <mergeCell ref="C474:D474"/>
    <mergeCell ref="B475:G475"/>
    <mergeCell ref="B476:I476"/>
    <mergeCell ref="C477:D477"/>
    <mergeCell ref="C468:D468"/>
    <mergeCell ref="C469:D469"/>
    <mergeCell ref="B470:G470"/>
    <mergeCell ref="C471:D471"/>
    <mergeCell ref="C472:D472"/>
    <mergeCell ref="C483:D483"/>
    <mergeCell ref="C484:D484"/>
    <mergeCell ref="C485:D485"/>
    <mergeCell ref="C486:D486"/>
    <mergeCell ref="C487:D487"/>
    <mergeCell ref="C478:D478"/>
    <mergeCell ref="C479:D479"/>
    <mergeCell ref="C480:D480"/>
    <mergeCell ref="C481:D481"/>
    <mergeCell ref="C482:D482"/>
    <mergeCell ref="C453:D453"/>
    <mergeCell ref="C454:D454"/>
    <mergeCell ref="C455:D455"/>
    <mergeCell ref="C456:D456"/>
    <mergeCell ref="C457:D457"/>
    <mergeCell ref="C448:D448"/>
    <mergeCell ref="C449:D449"/>
    <mergeCell ref="C450:D450"/>
    <mergeCell ref="B451:G451"/>
    <mergeCell ref="C452:D452"/>
    <mergeCell ref="C463:D463"/>
    <mergeCell ref="C464:D464"/>
    <mergeCell ref="C465:D465"/>
    <mergeCell ref="C466:D466"/>
    <mergeCell ref="C467:D467"/>
    <mergeCell ref="B458:G458"/>
    <mergeCell ref="C459:D459"/>
    <mergeCell ref="C460:D460"/>
    <mergeCell ref="C461:D461"/>
    <mergeCell ref="B462:G462"/>
    <mergeCell ref="C433:D433"/>
    <mergeCell ref="C434:D434"/>
    <mergeCell ref="C435:D435"/>
    <mergeCell ref="C436:D436"/>
    <mergeCell ref="C437:D437"/>
    <mergeCell ref="C428:D428"/>
    <mergeCell ref="C429:D429"/>
    <mergeCell ref="C430:D430"/>
    <mergeCell ref="C431:D431"/>
    <mergeCell ref="C432:D432"/>
    <mergeCell ref="C443:D443"/>
    <mergeCell ref="C444:D444"/>
    <mergeCell ref="C445:D445"/>
    <mergeCell ref="C446:D446"/>
    <mergeCell ref="C447:D447"/>
    <mergeCell ref="C438:D438"/>
    <mergeCell ref="C439:D439"/>
    <mergeCell ref="C440:D440"/>
    <mergeCell ref="C441:D441"/>
    <mergeCell ref="C442:D442"/>
    <mergeCell ref="C413:D413"/>
    <mergeCell ref="C414:D414"/>
    <mergeCell ref="C415:D415"/>
    <mergeCell ref="C416:D416"/>
    <mergeCell ref="C417:D417"/>
    <mergeCell ref="C408:D408"/>
    <mergeCell ref="C409:D409"/>
    <mergeCell ref="C410:D410"/>
    <mergeCell ref="C411:D411"/>
    <mergeCell ref="C412:D412"/>
    <mergeCell ref="C423:D423"/>
    <mergeCell ref="C424:D424"/>
    <mergeCell ref="C425:D425"/>
    <mergeCell ref="C426:D426"/>
    <mergeCell ref="C427:D427"/>
    <mergeCell ref="C418:D418"/>
    <mergeCell ref="C419:D419"/>
    <mergeCell ref="C420:D420"/>
    <mergeCell ref="C421:D421"/>
    <mergeCell ref="C422:D422"/>
    <mergeCell ref="C393:D393"/>
    <mergeCell ref="C394:D394"/>
    <mergeCell ref="C395:D395"/>
    <mergeCell ref="C396:D396"/>
    <mergeCell ref="C397:D397"/>
    <mergeCell ref="C388:D388"/>
    <mergeCell ref="C389:D389"/>
    <mergeCell ref="C390:D390"/>
    <mergeCell ref="C391:D391"/>
    <mergeCell ref="C392:D392"/>
    <mergeCell ref="C403:D403"/>
    <mergeCell ref="C404:D404"/>
    <mergeCell ref="C405:D405"/>
    <mergeCell ref="C406:D406"/>
    <mergeCell ref="C407:D407"/>
    <mergeCell ref="C398:D398"/>
    <mergeCell ref="C399:D399"/>
    <mergeCell ref="C400:D400"/>
    <mergeCell ref="C401:D401"/>
    <mergeCell ref="C402:D402"/>
    <mergeCell ref="C373:D373"/>
    <mergeCell ref="C374:D374"/>
    <mergeCell ref="C375:D375"/>
    <mergeCell ref="B376:G376"/>
    <mergeCell ref="C377:D377"/>
    <mergeCell ref="C368:D368"/>
    <mergeCell ref="C369:D369"/>
    <mergeCell ref="C370:D370"/>
    <mergeCell ref="C371:D371"/>
    <mergeCell ref="C372:D372"/>
    <mergeCell ref="C383:D383"/>
    <mergeCell ref="C384:D384"/>
    <mergeCell ref="C385:D385"/>
    <mergeCell ref="C386:D386"/>
    <mergeCell ref="C387:D387"/>
    <mergeCell ref="C378:D378"/>
    <mergeCell ref="C379:D379"/>
    <mergeCell ref="C380:D380"/>
    <mergeCell ref="C381:D381"/>
    <mergeCell ref="C382:D382"/>
    <mergeCell ref="C353:D353"/>
    <mergeCell ref="C354:D354"/>
    <mergeCell ref="C355:D355"/>
    <mergeCell ref="C356:D356"/>
    <mergeCell ref="B357:G357"/>
    <mergeCell ref="C348:D348"/>
    <mergeCell ref="C349:D349"/>
    <mergeCell ref="C350:D350"/>
    <mergeCell ref="C351:D351"/>
    <mergeCell ref="C352:D352"/>
    <mergeCell ref="C363:D363"/>
    <mergeCell ref="C364:D364"/>
    <mergeCell ref="C365:D365"/>
    <mergeCell ref="C366:D366"/>
    <mergeCell ref="C367:D367"/>
    <mergeCell ref="C358:D358"/>
    <mergeCell ref="C359:D359"/>
    <mergeCell ref="C360:D360"/>
    <mergeCell ref="C361:D361"/>
    <mergeCell ref="C362:D362"/>
    <mergeCell ref="C333:D333"/>
    <mergeCell ref="C334:D334"/>
    <mergeCell ref="C335:D335"/>
    <mergeCell ref="C336:D336"/>
    <mergeCell ref="C337:D337"/>
    <mergeCell ref="C328:D328"/>
    <mergeCell ref="C329:D329"/>
    <mergeCell ref="B330:G330"/>
    <mergeCell ref="C331:D331"/>
    <mergeCell ref="C332:D332"/>
    <mergeCell ref="C343:D343"/>
    <mergeCell ref="C344:D344"/>
    <mergeCell ref="C345:D345"/>
    <mergeCell ref="C346:D346"/>
    <mergeCell ref="C347:D347"/>
    <mergeCell ref="C338:D338"/>
    <mergeCell ref="C339:D339"/>
    <mergeCell ref="C340:D340"/>
    <mergeCell ref="C341:D341"/>
    <mergeCell ref="C342:D342"/>
    <mergeCell ref="C313:D313"/>
    <mergeCell ref="C314:D314"/>
    <mergeCell ref="C315:D315"/>
    <mergeCell ref="C316:D316"/>
    <mergeCell ref="C317:D317"/>
    <mergeCell ref="C308:D308"/>
    <mergeCell ref="C309:D309"/>
    <mergeCell ref="C310:D310"/>
    <mergeCell ref="C311:D311"/>
    <mergeCell ref="C312:D312"/>
    <mergeCell ref="C323:D323"/>
    <mergeCell ref="C324:D324"/>
    <mergeCell ref="C325:D325"/>
    <mergeCell ref="C326:D326"/>
    <mergeCell ref="C327:D327"/>
    <mergeCell ref="C318:D318"/>
    <mergeCell ref="C319:D319"/>
    <mergeCell ref="C320:D320"/>
    <mergeCell ref="C321:D321"/>
    <mergeCell ref="C322:D322"/>
    <mergeCell ref="C293:D293"/>
    <mergeCell ref="C294:D294"/>
    <mergeCell ref="C295:D295"/>
    <mergeCell ref="C296:D296"/>
    <mergeCell ref="C297:D297"/>
    <mergeCell ref="C288:D288"/>
    <mergeCell ref="C289:D289"/>
    <mergeCell ref="C290:D290"/>
    <mergeCell ref="C291:D291"/>
    <mergeCell ref="C292:D292"/>
    <mergeCell ref="C303:D303"/>
    <mergeCell ref="B304:G304"/>
    <mergeCell ref="C305:D305"/>
    <mergeCell ref="C306:D306"/>
    <mergeCell ref="C307:D307"/>
    <mergeCell ref="C298:D298"/>
    <mergeCell ref="B299:G299"/>
    <mergeCell ref="C300:D300"/>
    <mergeCell ref="C301:D301"/>
    <mergeCell ref="C302:D302"/>
    <mergeCell ref="C273:D273"/>
    <mergeCell ref="C274:D274"/>
    <mergeCell ref="C275:D275"/>
    <mergeCell ref="C276:D276"/>
    <mergeCell ref="C277:D277"/>
    <mergeCell ref="C268:D268"/>
    <mergeCell ref="C269:D269"/>
    <mergeCell ref="C270:D270"/>
    <mergeCell ref="C271:D271"/>
    <mergeCell ref="C272:D272"/>
    <mergeCell ref="C283:D283"/>
    <mergeCell ref="C284:D284"/>
    <mergeCell ref="C285:D285"/>
    <mergeCell ref="C286:D286"/>
    <mergeCell ref="C287:D287"/>
    <mergeCell ref="C278:D278"/>
    <mergeCell ref="C279:D279"/>
    <mergeCell ref="C280:D280"/>
    <mergeCell ref="C281:D281"/>
    <mergeCell ref="C282:D282"/>
    <mergeCell ref="C253:D253"/>
    <mergeCell ref="C254:D254"/>
    <mergeCell ref="C255:D255"/>
    <mergeCell ref="C256:D256"/>
    <mergeCell ref="C257:D257"/>
    <mergeCell ref="C248:D248"/>
    <mergeCell ref="C249:D249"/>
    <mergeCell ref="C250:D250"/>
    <mergeCell ref="C251:D251"/>
    <mergeCell ref="C252:D252"/>
    <mergeCell ref="C263:D263"/>
    <mergeCell ref="C264:D264"/>
    <mergeCell ref="C265:D265"/>
    <mergeCell ref="C266:D266"/>
    <mergeCell ref="C267:D267"/>
    <mergeCell ref="C258:D258"/>
    <mergeCell ref="C259:D259"/>
    <mergeCell ref="C260:D260"/>
    <mergeCell ref="C261:D261"/>
    <mergeCell ref="C262:D262"/>
    <mergeCell ref="C233:D233"/>
    <mergeCell ref="C234:D234"/>
    <mergeCell ref="C235:D235"/>
    <mergeCell ref="C236:D236"/>
    <mergeCell ref="C237:D237"/>
    <mergeCell ref="C228:D228"/>
    <mergeCell ref="C229:D229"/>
    <mergeCell ref="C230:D230"/>
    <mergeCell ref="C231:D231"/>
    <mergeCell ref="C232:D232"/>
    <mergeCell ref="B243:G243"/>
    <mergeCell ref="C244:D244"/>
    <mergeCell ref="C245:D245"/>
    <mergeCell ref="C246:D246"/>
    <mergeCell ref="C247:D247"/>
    <mergeCell ref="C238:D238"/>
    <mergeCell ref="C239:D239"/>
    <mergeCell ref="C240:D240"/>
    <mergeCell ref="C241:D241"/>
    <mergeCell ref="C242:D242"/>
    <mergeCell ref="C213:D213"/>
    <mergeCell ref="C214:D214"/>
    <mergeCell ref="C215:D215"/>
    <mergeCell ref="C216:D216"/>
    <mergeCell ref="C217:D217"/>
    <mergeCell ref="C208:D208"/>
    <mergeCell ref="C209:D209"/>
    <mergeCell ref="C210:D210"/>
    <mergeCell ref="C211:D211"/>
    <mergeCell ref="C212:D212"/>
    <mergeCell ref="C223:D223"/>
    <mergeCell ref="C224:D224"/>
    <mergeCell ref="C225:D225"/>
    <mergeCell ref="C226:D226"/>
    <mergeCell ref="C227:D227"/>
    <mergeCell ref="C218:D218"/>
    <mergeCell ref="C219:D219"/>
    <mergeCell ref="C220:D220"/>
    <mergeCell ref="C221:D221"/>
    <mergeCell ref="C222:D222"/>
    <mergeCell ref="C193:D193"/>
    <mergeCell ref="C194:D194"/>
    <mergeCell ref="C195:D195"/>
    <mergeCell ref="C196:D196"/>
    <mergeCell ref="C197:D197"/>
    <mergeCell ref="C188:D188"/>
    <mergeCell ref="C189:D189"/>
    <mergeCell ref="C190:D190"/>
    <mergeCell ref="C191:D191"/>
    <mergeCell ref="C192:D192"/>
    <mergeCell ref="C203:D203"/>
    <mergeCell ref="C204:D204"/>
    <mergeCell ref="C205:D205"/>
    <mergeCell ref="C206:D206"/>
    <mergeCell ref="C207:D207"/>
    <mergeCell ref="C198:D198"/>
    <mergeCell ref="C199:D199"/>
    <mergeCell ref="C200:D200"/>
    <mergeCell ref="C201:D201"/>
    <mergeCell ref="C202:D202"/>
    <mergeCell ref="C173:D173"/>
    <mergeCell ref="C174:D174"/>
    <mergeCell ref="C175:D175"/>
    <mergeCell ref="C176:D176"/>
    <mergeCell ref="B177:G177"/>
    <mergeCell ref="C168:D168"/>
    <mergeCell ref="C169:D169"/>
    <mergeCell ref="C170:D170"/>
    <mergeCell ref="C171:D171"/>
    <mergeCell ref="C172:D172"/>
    <mergeCell ref="C183:D183"/>
    <mergeCell ref="C184:D184"/>
    <mergeCell ref="C185:D185"/>
    <mergeCell ref="C186:D186"/>
    <mergeCell ref="C187:D187"/>
    <mergeCell ref="C178:D178"/>
    <mergeCell ref="C179:D179"/>
    <mergeCell ref="C180:D180"/>
    <mergeCell ref="C181:D181"/>
    <mergeCell ref="C182:D182"/>
    <mergeCell ref="C153:D153"/>
    <mergeCell ref="B154:G154"/>
    <mergeCell ref="C155:I155"/>
    <mergeCell ref="C156:D156"/>
    <mergeCell ref="C157:D157"/>
    <mergeCell ref="C148:D148"/>
    <mergeCell ref="C149:D149"/>
    <mergeCell ref="C150:G150"/>
    <mergeCell ref="C151:D151"/>
    <mergeCell ref="C152:D152"/>
    <mergeCell ref="C163:D163"/>
    <mergeCell ref="C164:D164"/>
    <mergeCell ref="C165:D165"/>
    <mergeCell ref="C166:D166"/>
    <mergeCell ref="C167:D167"/>
    <mergeCell ref="C158:D158"/>
    <mergeCell ref="C159:D159"/>
    <mergeCell ref="C160:D160"/>
    <mergeCell ref="C161:D161"/>
    <mergeCell ref="C162:D162"/>
    <mergeCell ref="B133:G133"/>
    <mergeCell ref="C134:I134"/>
    <mergeCell ref="C135:D135"/>
    <mergeCell ref="C136:D136"/>
    <mergeCell ref="C137:D137"/>
    <mergeCell ref="C128:D128"/>
    <mergeCell ref="C129:D129"/>
    <mergeCell ref="C130:D130"/>
    <mergeCell ref="C131:D131"/>
    <mergeCell ref="C132:D132"/>
    <mergeCell ref="C143:D143"/>
    <mergeCell ref="C144:D144"/>
    <mergeCell ref="C145:G145"/>
    <mergeCell ref="C146:D146"/>
    <mergeCell ref="C147:G147"/>
    <mergeCell ref="C138:D138"/>
    <mergeCell ref="B139:G139"/>
    <mergeCell ref="C140:I140"/>
    <mergeCell ref="C141:D141"/>
    <mergeCell ref="C142:D142"/>
    <mergeCell ref="C113:D113"/>
    <mergeCell ref="C114:D114"/>
    <mergeCell ref="C115:D115"/>
    <mergeCell ref="B116:G116"/>
    <mergeCell ref="C117:I117"/>
    <mergeCell ref="C108:I108"/>
    <mergeCell ref="C109:I109"/>
    <mergeCell ref="C110:D110"/>
    <mergeCell ref="C111:D111"/>
    <mergeCell ref="C112:D112"/>
    <mergeCell ref="B123:G123"/>
    <mergeCell ref="B124:G124"/>
    <mergeCell ref="C125:I125"/>
    <mergeCell ref="C126:D126"/>
    <mergeCell ref="C127:D127"/>
    <mergeCell ref="C118:D118"/>
    <mergeCell ref="C119:D119"/>
    <mergeCell ref="C120:D120"/>
    <mergeCell ref="C121:D121"/>
    <mergeCell ref="C122:D122"/>
    <mergeCell ref="B93:G93"/>
    <mergeCell ref="C94:I94"/>
    <mergeCell ref="C95:D95"/>
    <mergeCell ref="C96:D96"/>
    <mergeCell ref="C97:D97"/>
    <mergeCell ref="B88:G88"/>
    <mergeCell ref="C89:G89"/>
    <mergeCell ref="C90:I90"/>
    <mergeCell ref="C91:D91"/>
    <mergeCell ref="C92:D92"/>
    <mergeCell ref="C103:D103"/>
    <mergeCell ref="C104:D104"/>
    <mergeCell ref="C105:D105"/>
    <mergeCell ref="C106:D106"/>
    <mergeCell ref="B107:G107"/>
    <mergeCell ref="C98:D98"/>
    <mergeCell ref="C99:D99"/>
    <mergeCell ref="C100:D100"/>
    <mergeCell ref="B101:G101"/>
    <mergeCell ref="C102:I102"/>
    <mergeCell ref="C73:D73"/>
    <mergeCell ref="C74:D74"/>
    <mergeCell ref="C75:D75"/>
    <mergeCell ref="C76:D76"/>
    <mergeCell ref="C77:D77"/>
    <mergeCell ref="C68:D68"/>
    <mergeCell ref="C69:D69"/>
    <mergeCell ref="C70:D70"/>
    <mergeCell ref="C71:D71"/>
    <mergeCell ref="C72:D72"/>
    <mergeCell ref="C84:D84"/>
    <mergeCell ref="C85:D85"/>
    <mergeCell ref="C86:D86"/>
    <mergeCell ref="C87:D87"/>
    <mergeCell ref="C83:D83"/>
    <mergeCell ref="C78:D78"/>
    <mergeCell ref="C79:D79"/>
    <mergeCell ref="C80:D80"/>
    <mergeCell ref="C81:D81"/>
    <mergeCell ref="C82:D82"/>
    <mergeCell ref="C53:D53"/>
    <mergeCell ref="C54:D54"/>
    <mergeCell ref="C55:D55"/>
    <mergeCell ref="C56:D56"/>
    <mergeCell ref="C57:D57"/>
    <mergeCell ref="C48:D48"/>
    <mergeCell ref="B49:G49"/>
    <mergeCell ref="C50:D50"/>
    <mergeCell ref="C51:D51"/>
    <mergeCell ref="C52:D52"/>
    <mergeCell ref="C63:D63"/>
    <mergeCell ref="C64:D64"/>
    <mergeCell ref="C65:D65"/>
    <mergeCell ref="C66:D66"/>
    <mergeCell ref="C67:D67"/>
    <mergeCell ref="C58:D58"/>
    <mergeCell ref="B59:G59"/>
    <mergeCell ref="C60:I60"/>
    <mergeCell ref="C61:D61"/>
    <mergeCell ref="C62:D62"/>
    <mergeCell ref="C33:D33"/>
    <mergeCell ref="C34:D34"/>
    <mergeCell ref="C35:D35"/>
    <mergeCell ref="C36:D36"/>
    <mergeCell ref="C37:D37"/>
    <mergeCell ref="C28:D28"/>
    <mergeCell ref="C29:D29"/>
    <mergeCell ref="C30:D30"/>
    <mergeCell ref="C31:D31"/>
    <mergeCell ref="C32:D32"/>
    <mergeCell ref="C43:D43"/>
    <mergeCell ref="C44:D44"/>
    <mergeCell ref="C45:D45"/>
    <mergeCell ref="C46:D46"/>
    <mergeCell ref="C47:D47"/>
    <mergeCell ref="C38:D38"/>
    <mergeCell ref="B39:G39"/>
    <mergeCell ref="C40:D40"/>
    <mergeCell ref="C41:D41"/>
    <mergeCell ref="C42:D42"/>
    <mergeCell ref="B17:G17"/>
    <mergeCell ref="C8:D8"/>
    <mergeCell ref="C9:D9"/>
    <mergeCell ref="B10:G10"/>
    <mergeCell ref="C11:D11"/>
    <mergeCell ref="C12:D12"/>
    <mergeCell ref="C25:D25"/>
    <mergeCell ref="C26:D26"/>
    <mergeCell ref="C27:D27"/>
    <mergeCell ref="C18:D18"/>
    <mergeCell ref="C19:D19"/>
    <mergeCell ref="C20:D20"/>
    <mergeCell ref="C21:D21"/>
    <mergeCell ref="C22:D22"/>
    <mergeCell ref="E1:J1"/>
    <mergeCell ref="A2:B2"/>
    <mergeCell ref="C2:D2"/>
    <mergeCell ref="F2:J2"/>
    <mergeCell ref="C23:D23"/>
    <mergeCell ref="C24:D24"/>
    <mergeCell ref="C13:D13"/>
    <mergeCell ref="C14:D14"/>
    <mergeCell ref="C15:D15"/>
    <mergeCell ref="C16:D16"/>
    <mergeCell ref="C3:D3"/>
    <mergeCell ref="C4:D4"/>
    <mergeCell ref="C5:D5"/>
    <mergeCell ref="C6:D6"/>
    <mergeCell ref="C7:D7"/>
    <mergeCell ref="A1:D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CI293"/>
  <sheetViews>
    <sheetView showGridLines="0" zoomScale="70" zoomScaleNormal="70" zoomScaleSheetLayoutView="80" workbookViewId="0">
      <pane ySplit="13" topLeftCell="A107" activePane="bottomLeft" state="frozen"/>
      <selection pane="bottomLeft" activeCell="M13" sqref="M13"/>
    </sheetView>
  </sheetViews>
  <sheetFormatPr defaultColWidth="9.33203125" defaultRowHeight="12.75" x14ac:dyDescent="0.2"/>
  <cols>
    <col min="1" max="1" width="12.5" style="66" customWidth="1"/>
    <col min="2" max="2" width="11.33203125" style="66" customWidth="1"/>
    <col min="3" max="3" width="11.5" style="71" customWidth="1"/>
    <col min="4" max="4" width="84.83203125" style="66" customWidth="1"/>
    <col min="5" max="5" width="11.5" style="66" customWidth="1"/>
    <col min="6" max="6" width="14" style="66" hidden="1" customWidth="1"/>
    <col min="7" max="7" width="21.5" style="75" customWidth="1"/>
    <col min="8" max="8" width="19.6640625" style="66" bestFit="1" customWidth="1"/>
    <col min="9" max="9" width="23.5" style="189" customWidth="1"/>
    <col min="10" max="10" width="17.33203125" style="189" customWidth="1"/>
    <col min="11" max="11" width="12.83203125" style="66" customWidth="1"/>
    <col min="12" max="12" width="21.1640625" style="78" customWidth="1"/>
    <col min="13" max="13" width="18.6640625" style="78" customWidth="1"/>
    <col min="14" max="14" width="23.1640625" style="78" bestFit="1" customWidth="1"/>
    <col min="15" max="15" width="20.33203125" style="75" customWidth="1"/>
    <col min="16" max="16" width="12.5" style="66" customWidth="1"/>
    <col min="17" max="17" width="16.6640625" style="66" bestFit="1" customWidth="1"/>
    <col min="18" max="18" width="0" style="66" hidden="1" customWidth="1"/>
    <col min="19" max="19" width="13.83203125" style="189" hidden="1" customWidth="1"/>
    <col min="20" max="20" width="11.1640625" style="189" hidden="1" customWidth="1"/>
    <col min="21" max="25" width="0" style="66" hidden="1" customWidth="1"/>
    <col min="26" max="26" width="12.33203125" style="66" hidden="1" customWidth="1"/>
    <col min="27" max="27" width="0" style="66" hidden="1" customWidth="1"/>
    <col min="28" max="28" width="13.5" style="66" hidden="1" customWidth="1"/>
    <col min="29" max="30" width="0" style="66" hidden="1" customWidth="1"/>
    <col min="31" max="31" width="15.6640625" style="66" hidden="1" customWidth="1"/>
    <col min="32" max="33" width="11.5" style="66" hidden="1" customWidth="1"/>
    <col min="34" max="71" width="0" style="66" hidden="1" customWidth="1"/>
    <col min="72" max="72" width="15" style="66" bestFit="1" customWidth="1"/>
    <col min="73" max="86" width="9.33203125" style="66"/>
    <col min="87" max="87" width="11.1640625" style="66" bestFit="1" customWidth="1"/>
    <col min="88" max="16384" width="9.33203125" style="66"/>
  </cols>
  <sheetData>
    <row r="1" spans="1:87" s="51" customFormat="1" ht="12" customHeight="1" x14ac:dyDescent="0.2">
      <c r="A1" s="876"/>
      <c r="B1" s="877"/>
      <c r="C1" s="877"/>
      <c r="D1" s="877"/>
      <c r="E1" s="886" t="s">
        <v>2026</v>
      </c>
      <c r="F1" s="886"/>
      <c r="G1" s="886"/>
      <c r="H1" s="886"/>
      <c r="I1" s="886"/>
      <c r="J1" s="886"/>
      <c r="K1" s="886"/>
      <c r="L1" s="886"/>
      <c r="M1" s="886"/>
      <c r="N1" s="886"/>
      <c r="O1" s="886"/>
      <c r="P1" s="887"/>
      <c r="S1" s="188"/>
      <c r="T1" s="188"/>
    </row>
    <row r="2" spans="1:87" s="51" customFormat="1" ht="12" customHeight="1" x14ac:dyDescent="0.2">
      <c r="A2" s="878"/>
      <c r="B2" s="879"/>
      <c r="C2" s="879"/>
      <c r="D2" s="879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9"/>
      <c r="S2" s="188"/>
      <c r="T2" s="188"/>
    </row>
    <row r="3" spans="1:87" s="51" customFormat="1" ht="12" customHeight="1" x14ac:dyDescent="0.2">
      <c r="A3" s="878"/>
      <c r="B3" s="879"/>
      <c r="C3" s="879"/>
      <c r="D3" s="879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9"/>
      <c r="S3" s="188"/>
      <c r="T3" s="188"/>
    </row>
    <row r="4" spans="1:87" s="51" customFormat="1" ht="12" customHeight="1" x14ac:dyDescent="0.2">
      <c r="A4" s="878"/>
      <c r="B4" s="879"/>
      <c r="C4" s="879"/>
      <c r="D4" s="879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9"/>
      <c r="S4" s="188"/>
      <c r="T4" s="188"/>
    </row>
    <row r="5" spans="1:87" s="51" customFormat="1" ht="31.5" customHeight="1" thickBot="1" x14ac:dyDescent="0.25">
      <c r="A5" s="880"/>
      <c r="B5" s="881"/>
      <c r="C5" s="881"/>
      <c r="D5" s="881"/>
      <c r="E5" s="890"/>
      <c r="F5" s="890"/>
      <c r="G5" s="890"/>
      <c r="H5" s="890"/>
      <c r="I5" s="890"/>
      <c r="J5" s="890"/>
      <c r="K5" s="890"/>
      <c r="L5" s="890"/>
      <c r="M5" s="890"/>
      <c r="N5" s="890"/>
      <c r="O5" s="890"/>
      <c r="P5" s="891"/>
      <c r="S5" s="188"/>
      <c r="T5" s="188"/>
    </row>
    <row r="6" spans="1:87" s="51" customFormat="1" ht="12.75" customHeight="1" x14ac:dyDescent="0.2">
      <c r="A6" s="518"/>
      <c r="B6" s="518"/>
      <c r="C6" s="518"/>
      <c r="D6" s="518"/>
      <c r="E6" s="519"/>
      <c r="F6" s="519"/>
      <c r="G6" s="519"/>
      <c r="H6" s="519"/>
      <c r="I6" s="519"/>
      <c r="J6" s="519"/>
      <c r="K6" s="519"/>
      <c r="L6" s="519"/>
      <c r="M6" s="519"/>
      <c r="N6" s="519"/>
      <c r="O6" s="519"/>
      <c r="P6" s="519"/>
      <c r="S6" s="188">
        <v>30999.574999999997</v>
      </c>
      <c r="T6" s="188" t="s">
        <v>1288</v>
      </c>
      <c r="Z6" s="64">
        <v>30999.574999999997</v>
      </c>
      <c r="AB6" s="64">
        <v>44898.842499999999</v>
      </c>
      <c r="AE6" s="371">
        <v>38575.583824999994</v>
      </c>
      <c r="AF6" s="372">
        <f>AE6-I7</f>
        <v>38575.583824999994</v>
      </c>
    </row>
    <row r="7" spans="1:87" s="51" customFormat="1" x14ac:dyDescent="0.2">
      <c r="A7" s="874" t="s">
        <v>1320</v>
      </c>
      <c r="B7" s="874"/>
      <c r="C7" s="874"/>
      <c r="D7" s="874"/>
      <c r="E7" s="894" t="s">
        <v>2019</v>
      </c>
      <c r="F7" s="894"/>
      <c r="G7" s="894"/>
      <c r="H7" s="506" t="s">
        <v>1323</v>
      </c>
      <c r="I7" s="485"/>
      <c r="L7" s="484"/>
      <c r="M7" s="483" t="s">
        <v>2021</v>
      </c>
      <c r="N7" s="504">
        <v>43658</v>
      </c>
      <c r="O7" s="491"/>
      <c r="P7" s="491"/>
      <c r="S7" s="188">
        <v>203365.995</v>
      </c>
      <c r="T7" s="188" t="s">
        <v>1309</v>
      </c>
      <c r="AB7" s="64">
        <v>152813.08250000002</v>
      </c>
    </row>
    <row r="8" spans="1:87" s="51" customFormat="1" x14ac:dyDescent="0.2">
      <c r="A8" s="875" t="s">
        <v>2014</v>
      </c>
      <c r="B8" s="875"/>
      <c r="C8" s="875"/>
      <c r="D8" s="875"/>
      <c r="E8" s="893" t="s">
        <v>2020</v>
      </c>
      <c r="F8" s="893"/>
      <c r="G8" s="893"/>
      <c r="H8" s="488">
        <f>664297.16</f>
        <v>664297.16</v>
      </c>
      <c r="I8" s="485"/>
      <c r="J8" s="195"/>
      <c r="K8" s="486"/>
      <c r="L8" s="484"/>
      <c r="M8" s="503" t="s">
        <v>3</v>
      </c>
      <c r="N8" s="505">
        <v>0.27139999999999997</v>
      </c>
      <c r="O8" s="491"/>
      <c r="P8" s="491"/>
      <c r="S8" s="188">
        <v>485968.91500000004</v>
      </c>
      <c r="T8" s="188" t="s">
        <v>1294</v>
      </c>
      <c r="AB8" s="64">
        <v>511484.07750000001</v>
      </c>
      <c r="AE8" s="107" t="e">
        <f>H8/I9</f>
        <v>#DIV/0!</v>
      </c>
    </row>
    <row r="9" spans="1:87" s="51" customFormat="1" ht="27.75" customHeight="1" x14ac:dyDescent="0.2">
      <c r="A9" s="874" t="s">
        <v>2017</v>
      </c>
      <c r="B9" s="874"/>
      <c r="C9" s="874"/>
      <c r="D9" s="874"/>
      <c r="E9" s="194"/>
      <c r="F9" s="482"/>
      <c r="G9" s="489"/>
      <c r="H9" s="484"/>
      <c r="I9" s="485"/>
      <c r="J9" s="195"/>
      <c r="K9" s="516"/>
      <c r="L9" s="490"/>
      <c r="M9" s="516" t="s">
        <v>2016</v>
      </c>
      <c r="N9" s="875"/>
      <c r="O9" s="875"/>
      <c r="P9" s="517"/>
      <c r="S9" s="188"/>
      <c r="T9" s="188"/>
      <c r="AB9" s="485"/>
      <c r="AE9" s="493"/>
    </row>
    <row r="10" spans="1:87" s="51" customFormat="1" ht="24" customHeight="1" thickBot="1" x14ac:dyDescent="0.25">
      <c r="A10" s="514"/>
      <c r="B10" s="514"/>
      <c r="C10" s="514"/>
      <c r="D10" s="514"/>
      <c r="E10" s="517"/>
      <c r="F10" s="482"/>
      <c r="G10" s="483"/>
      <c r="H10" s="511"/>
      <c r="I10" s="485"/>
      <c r="J10" s="195"/>
      <c r="K10" s="492"/>
      <c r="L10" s="490"/>
      <c r="M10" s="492"/>
      <c r="N10" s="492"/>
      <c r="O10" s="492"/>
      <c r="P10" s="492"/>
      <c r="S10" s="188"/>
      <c r="T10" s="188"/>
    </row>
    <row r="11" spans="1:87" ht="23.25" customHeight="1" thickBot="1" x14ac:dyDescent="0.25">
      <c r="A11" s="882" t="s">
        <v>1325</v>
      </c>
      <c r="B11" s="884" t="s">
        <v>1326</v>
      </c>
      <c r="C11" s="882" t="s">
        <v>1327</v>
      </c>
      <c r="D11" s="882" t="s">
        <v>5</v>
      </c>
      <c r="E11" s="882" t="s">
        <v>6</v>
      </c>
      <c r="F11" s="903" t="s">
        <v>1316</v>
      </c>
      <c r="G11" s="895" t="s">
        <v>1317</v>
      </c>
      <c r="H11" s="897" t="s">
        <v>2008</v>
      </c>
      <c r="I11" s="898"/>
      <c r="J11" s="898"/>
      <c r="K11" s="899"/>
      <c r="L11" s="900" t="s">
        <v>2009</v>
      </c>
      <c r="M11" s="901"/>
      <c r="N11" s="901"/>
      <c r="O11" s="902"/>
      <c r="P11" s="515"/>
      <c r="S11" s="189" t="s">
        <v>1282</v>
      </c>
      <c r="T11" s="189" t="s">
        <v>1283</v>
      </c>
    </row>
    <row r="12" spans="1:87" ht="24.75" customHeight="1" thickBot="1" x14ac:dyDescent="0.25">
      <c r="A12" s="883"/>
      <c r="B12" s="885"/>
      <c r="C12" s="883"/>
      <c r="D12" s="883"/>
      <c r="E12" s="883"/>
      <c r="F12" s="904"/>
      <c r="G12" s="896"/>
      <c r="H12" s="499" t="s">
        <v>2018</v>
      </c>
      <c r="I12" s="494" t="s">
        <v>2013</v>
      </c>
      <c r="J12" s="494" t="s">
        <v>1819</v>
      </c>
      <c r="K12" s="495" t="s">
        <v>1295</v>
      </c>
      <c r="L12" s="502" t="s">
        <v>2018</v>
      </c>
      <c r="M12" s="500" t="s">
        <v>2013</v>
      </c>
      <c r="N12" s="500" t="s">
        <v>1819</v>
      </c>
      <c r="O12" s="513" t="s">
        <v>1295</v>
      </c>
      <c r="P12" s="495" t="s">
        <v>1296</v>
      </c>
    </row>
    <row r="13" spans="1:87" s="514" customFormat="1" ht="34.5" customHeight="1" x14ac:dyDescent="0.2">
      <c r="A13" s="475"/>
      <c r="B13" s="476"/>
      <c r="C13" s="477"/>
      <c r="D13" s="478" t="s">
        <v>2010</v>
      </c>
      <c r="E13" s="409"/>
      <c r="F13" s="479"/>
      <c r="G13" s="411"/>
      <c r="H13" s="410"/>
      <c r="I13" s="480"/>
      <c r="J13" s="480"/>
      <c r="K13" s="480"/>
      <c r="L13" s="480">
        <f>L14+L26+L32+L45+L69+L77+L92+L95+L98+L109+L120+L129+L168+L190+L194+L208+L214+L259+L268+L278</f>
        <v>664297.17000000004</v>
      </c>
      <c r="M13" s="480">
        <f>M14+M26+M32+M45+M69+M77+M92+M95+M98+M109+M120+M129+M168+M190+M194+M208+M214+M259+M268+M278</f>
        <v>49742.079999999994</v>
      </c>
      <c r="N13" s="480">
        <f>N14+N26+N32+N45+N69+N77+N92+N95+N98+N109+N120+N129+N168+N190+N194+N208+N214+N259+N268+N278</f>
        <v>107914.23999999999</v>
      </c>
      <c r="O13" s="480">
        <f>O14+O26+O32+O45+O69+O77+O92+O95+O98+O109+O120+O129+O168+O190+O194+O208+O214+O259+O268+O278</f>
        <v>556382.93000000005</v>
      </c>
      <c r="P13" s="510">
        <f>N13/O13</f>
        <v>0.19395677721457052</v>
      </c>
      <c r="Q13" s="525">
        <f>L13-N13</f>
        <v>556382.93000000005</v>
      </c>
      <c r="S13" s="190">
        <v>0</v>
      </c>
      <c r="T13" s="190">
        <v>2411.4</v>
      </c>
      <c r="BT13" s="525"/>
      <c r="BU13" s="514">
        <v>3</v>
      </c>
      <c r="BV13" s="514">
        <v>2</v>
      </c>
      <c r="BW13" s="514">
        <v>1</v>
      </c>
      <c r="BX13"/>
      <c r="CI13" s="514" t="s">
        <v>2023</v>
      </c>
    </row>
    <row r="14" spans="1:87" x14ac:dyDescent="0.2">
      <c r="A14" s="412">
        <v>1</v>
      </c>
      <c r="B14" s="413"/>
      <c r="C14" s="413"/>
      <c r="D14" s="414" t="s">
        <v>9</v>
      </c>
      <c r="E14" s="415"/>
      <c r="F14" s="417"/>
      <c r="G14" s="418"/>
      <c r="H14" s="416"/>
      <c r="I14" s="420">
        <v>0</v>
      </c>
      <c r="J14" s="421"/>
      <c r="K14" s="420"/>
      <c r="L14" s="419">
        <f>SUM(L15:L25)</f>
        <v>32660.889999999992</v>
      </c>
      <c r="M14" s="419">
        <f>SUM(M15:M25)</f>
        <v>0</v>
      </c>
      <c r="N14" s="419">
        <f>SUM(N15:N25)</f>
        <v>32660.889999999992</v>
      </c>
      <c r="O14" s="419">
        <f>SUM(O15:O25)</f>
        <v>0</v>
      </c>
      <c r="P14" s="423">
        <f t="shared" ref="P14:P77" si="0">N14/L14</f>
        <v>1</v>
      </c>
      <c r="Q14" s="525"/>
      <c r="S14" s="189">
        <v>0</v>
      </c>
      <c r="T14" s="189">
        <v>10</v>
      </c>
      <c r="BT14" s="525"/>
      <c r="BU14" s="523">
        <v>0</v>
      </c>
      <c r="BV14" s="523"/>
      <c r="BW14" s="523"/>
      <c r="BX14" s="523"/>
      <c r="BY14" s="523"/>
      <c r="BZ14" s="523"/>
      <c r="CA14" s="523"/>
      <c r="CB14" s="523"/>
      <c r="CC14" s="523"/>
      <c r="CD14" s="523"/>
      <c r="CE14" s="523"/>
      <c r="CF14" s="523"/>
      <c r="CG14" s="523"/>
      <c r="CH14" s="523"/>
      <c r="CI14" s="523">
        <f>SUM(BU14:CH14)</f>
        <v>0</v>
      </c>
    </row>
    <row r="15" spans="1:87" x14ac:dyDescent="0.2">
      <c r="A15" s="125" t="s">
        <v>10</v>
      </c>
      <c r="B15" s="126" t="s">
        <v>1328</v>
      </c>
      <c r="C15" s="126" t="s">
        <v>1324</v>
      </c>
      <c r="D15" s="127" t="s">
        <v>1329</v>
      </c>
      <c r="E15" s="128" t="s">
        <v>14</v>
      </c>
      <c r="F15" s="129"/>
      <c r="G15" s="130">
        <v>232.25</v>
      </c>
      <c r="H15" s="128">
        <v>10</v>
      </c>
      <c r="I15" s="132">
        <f>BU15</f>
        <v>0</v>
      </c>
      <c r="J15" s="374">
        <f>CI15</f>
        <v>10</v>
      </c>
      <c r="K15" s="132">
        <f>H15-J15</f>
        <v>0</v>
      </c>
      <c r="L15" s="131">
        <f>ROUND(H15*$G15,2)</f>
        <v>2322.5</v>
      </c>
      <c r="M15" s="131">
        <f t="shared" ref="M15:O25" si="1">ROUND(I15*$G15,2)</f>
        <v>0</v>
      </c>
      <c r="N15" s="131">
        <f t="shared" si="1"/>
        <v>2322.5</v>
      </c>
      <c r="O15" s="131">
        <f t="shared" si="1"/>
        <v>0</v>
      </c>
      <c r="P15" s="136">
        <f t="shared" si="0"/>
        <v>1</v>
      </c>
      <c r="Q15" s="525"/>
      <c r="S15" s="189">
        <v>0</v>
      </c>
      <c r="T15" s="189">
        <v>312.39999999999998</v>
      </c>
      <c r="BT15" s="525"/>
      <c r="BU15" s="523">
        <v>0</v>
      </c>
      <c r="BV15" s="523">
        <v>0</v>
      </c>
      <c r="BW15" s="523">
        <v>10</v>
      </c>
      <c r="BX15" s="523"/>
      <c r="BY15" s="523"/>
      <c r="BZ15" s="523"/>
      <c r="CA15" s="523"/>
      <c r="CB15" s="523"/>
      <c r="CC15" s="523"/>
      <c r="CD15" s="523"/>
      <c r="CE15" s="523"/>
      <c r="CF15" s="523"/>
      <c r="CG15" s="523"/>
      <c r="CH15" s="523"/>
      <c r="CI15" s="523">
        <f t="shared" ref="CI15:CI78" si="2">SUM(BU15:CH15)</f>
        <v>10</v>
      </c>
    </row>
    <row r="16" spans="1:87" ht="25.5" customHeight="1" x14ac:dyDescent="0.2">
      <c r="A16" s="125" t="s">
        <v>1330</v>
      </c>
      <c r="B16" s="126" t="s">
        <v>1331</v>
      </c>
      <c r="C16" s="126" t="s">
        <v>1324</v>
      </c>
      <c r="D16" s="127" t="s">
        <v>1332</v>
      </c>
      <c r="E16" s="128" t="s">
        <v>14</v>
      </c>
      <c r="F16" s="137">
        <v>595.62</v>
      </c>
      <c r="G16" s="130">
        <v>39.78</v>
      </c>
      <c r="H16" s="128">
        <v>312.39999999999998</v>
      </c>
      <c r="I16" s="132">
        <f t="shared" ref="I16:I79" si="3">BU16</f>
        <v>0</v>
      </c>
      <c r="J16" s="374">
        <f t="shared" ref="J16:J79" si="4">CI16</f>
        <v>312.39999999999998</v>
      </c>
      <c r="K16" s="132">
        <f t="shared" ref="K16:K31" si="5">H16-J16</f>
        <v>0</v>
      </c>
      <c r="L16" s="131">
        <f t="shared" ref="L16:L25" si="6">ROUND(H16*$G16,2)</f>
        <v>12427.27</v>
      </c>
      <c r="M16" s="131">
        <f t="shared" si="1"/>
        <v>0</v>
      </c>
      <c r="N16" s="131">
        <f t="shared" si="1"/>
        <v>12427.27</v>
      </c>
      <c r="O16" s="131">
        <f t="shared" si="1"/>
        <v>0</v>
      </c>
      <c r="P16" s="136">
        <f t="shared" si="0"/>
        <v>1</v>
      </c>
      <c r="Q16" s="525"/>
      <c r="S16" s="189">
        <v>0</v>
      </c>
      <c r="T16" s="189">
        <v>1</v>
      </c>
      <c r="BT16" s="525"/>
      <c r="BU16" s="523">
        <v>0</v>
      </c>
      <c r="BV16" s="523">
        <v>203.49999999999997</v>
      </c>
      <c r="BW16" s="523">
        <v>108.9</v>
      </c>
      <c r="BX16" s="523"/>
      <c r="BY16" s="523"/>
      <c r="BZ16" s="523"/>
      <c r="CA16" s="523"/>
      <c r="CB16" s="523"/>
      <c r="CC16" s="523"/>
      <c r="CD16" s="523"/>
      <c r="CE16" s="523"/>
      <c r="CF16" s="523"/>
      <c r="CG16" s="523"/>
      <c r="CH16" s="523"/>
      <c r="CI16" s="523">
        <f t="shared" si="2"/>
        <v>312.39999999999998</v>
      </c>
    </row>
    <row r="17" spans="1:87" ht="25.5" x14ac:dyDescent="0.2">
      <c r="A17" s="125" t="s">
        <v>1333</v>
      </c>
      <c r="B17" s="126">
        <v>9540</v>
      </c>
      <c r="C17" s="126" t="s">
        <v>1324</v>
      </c>
      <c r="D17" s="127" t="s">
        <v>1334</v>
      </c>
      <c r="E17" s="128" t="s">
        <v>102</v>
      </c>
      <c r="F17" s="137">
        <v>256.73</v>
      </c>
      <c r="G17" s="130">
        <v>783.05</v>
      </c>
      <c r="H17" s="128">
        <v>1</v>
      </c>
      <c r="I17" s="132">
        <f t="shared" si="3"/>
        <v>0</v>
      </c>
      <c r="J17" s="374">
        <f t="shared" si="4"/>
        <v>1</v>
      </c>
      <c r="K17" s="132">
        <f t="shared" si="5"/>
        <v>0</v>
      </c>
      <c r="L17" s="131">
        <f t="shared" si="6"/>
        <v>783.05</v>
      </c>
      <c r="M17" s="131">
        <f t="shared" si="1"/>
        <v>0</v>
      </c>
      <c r="N17" s="131">
        <f t="shared" si="1"/>
        <v>783.05</v>
      </c>
      <c r="O17" s="131">
        <f t="shared" si="1"/>
        <v>0</v>
      </c>
      <c r="P17" s="136">
        <f t="shared" si="0"/>
        <v>1</v>
      </c>
      <c r="Q17" s="525"/>
      <c r="S17" s="189">
        <v>0</v>
      </c>
      <c r="T17" s="189">
        <v>1</v>
      </c>
      <c r="BT17" s="525"/>
      <c r="BU17" s="523">
        <v>0</v>
      </c>
      <c r="BV17" s="523">
        <v>1</v>
      </c>
      <c r="BW17" s="523">
        <v>0</v>
      </c>
      <c r="BX17" s="523"/>
      <c r="BY17" s="523"/>
      <c r="BZ17" s="523"/>
      <c r="CA17" s="523"/>
      <c r="CB17" s="523"/>
      <c r="CC17" s="523"/>
      <c r="CD17" s="523"/>
      <c r="CE17" s="523"/>
      <c r="CF17" s="523"/>
      <c r="CG17" s="523"/>
      <c r="CH17" s="523"/>
      <c r="CI17" s="523">
        <f t="shared" si="2"/>
        <v>1</v>
      </c>
    </row>
    <row r="18" spans="1:87" x14ac:dyDescent="0.2">
      <c r="A18" s="125" t="s">
        <v>1335</v>
      </c>
      <c r="B18" s="126" t="s">
        <v>1336</v>
      </c>
      <c r="C18" s="126" t="s">
        <v>1324</v>
      </c>
      <c r="D18" s="127" t="s">
        <v>1337</v>
      </c>
      <c r="E18" s="128" t="s">
        <v>102</v>
      </c>
      <c r="F18" s="137">
        <v>49.62</v>
      </c>
      <c r="G18" s="130">
        <v>1344.39</v>
      </c>
      <c r="H18" s="128">
        <v>1</v>
      </c>
      <c r="I18" s="132">
        <f t="shared" si="3"/>
        <v>0</v>
      </c>
      <c r="J18" s="374">
        <f t="shared" si="4"/>
        <v>1</v>
      </c>
      <c r="K18" s="132">
        <f t="shared" si="5"/>
        <v>0</v>
      </c>
      <c r="L18" s="131">
        <f t="shared" si="6"/>
        <v>1344.39</v>
      </c>
      <c r="M18" s="131">
        <f t="shared" si="1"/>
        <v>0</v>
      </c>
      <c r="N18" s="131">
        <f t="shared" si="1"/>
        <v>1344.39</v>
      </c>
      <c r="O18" s="131">
        <f t="shared" si="1"/>
        <v>0</v>
      </c>
      <c r="P18" s="136">
        <f t="shared" si="0"/>
        <v>1</v>
      </c>
      <c r="Q18" s="525"/>
      <c r="S18" s="189">
        <v>0</v>
      </c>
      <c r="T18" s="189">
        <v>1</v>
      </c>
      <c r="BT18" s="525"/>
      <c r="BU18" s="523">
        <v>0</v>
      </c>
      <c r="BV18" s="523">
        <v>1</v>
      </c>
      <c r="BW18" s="523">
        <v>0</v>
      </c>
      <c r="BX18" s="523"/>
      <c r="BY18" s="523"/>
      <c r="BZ18" s="523"/>
      <c r="CA18" s="523"/>
      <c r="CB18" s="523"/>
      <c r="CC18" s="523"/>
      <c r="CD18" s="523"/>
      <c r="CE18" s="523"/>
      <c r="CF18" s="523"/>
      <c r="CG18" s="523"/>
      <c r="CH18" s="523"/>
      <c r="CI18" s="523">
        <f t="shared" si="2"/>
        <v>1</v>
      </c>
    </row>
    <row r="19" spans="1:87" x14ac:dyDescent="0.2">
      <c r="A19" s="125" t="s">
        <v>1338</v>
      </c>
      <c r="B19" s="126" t="s">
        <v>2007</v>
      </c>
      <c r="C19" s="126" t="s">
        <v>1339</v>
      </c>
      <c r="D19" s="127" t="s">
        <v>1340</v>
      </c>
      <c r="E19" s="128" t="s">
        <v>102</v>
      </c>
      <c r="F19" s="137">
        <v>5.2</v>
      </c>
      <c r="G19" s="130">
        <v>823.61</v>
      </c>
      <c r="H19" s="128">
        <v>1</v>
      </c>
      <c r="I19" s="132">
        <f t="shared" si="3"/>
        <v>0</v>
      </c>
      <c r="J19" s="374">
        <f t="shared" si="4"/>
        <v>1</v>
      </c>
      <c r="K19" s="132">
        <f t="shared" si="5"/>
        <v>0</v>
      </c>
      <c r="L19" s="131">
        <f t="shared" si="6"/>
        <v>823.61</v>
      </c>
      <c r="M19" s="131">
        <f t="shared" si="1"/>
        <v>0</v>
      </c>
      <c r="N19" s="131">
        <f t="shared" si="1"/>
        <v>823.61</v>
      </c>
      <c r="O19" s="131">
        <f t="shared" si="1"/>
        <v>0</v>
      </c>
      <c r="P19" s="136">
        <f t="shared" si="0"/>
        <v>1</v>
      </c>
      <c r="Q19" s="525"/>
      <c r="S19" s="189">
        <v>0</v>
      </c>
      <c r="T19" s="189">
        <v>1</v>
      </c>
      <c r="BT19" s="525"/>
      <c r="BU19" s="523">
        <v>0</v>
      </c>
      <c r="BV19" s="523">
        <v>1</v>
      </c>
      <c r="BW19" s="523">
        <v>0</v>
      </c>
      <c r="BX19" s="523"/>
      <c r="BY19" s="523"/>
      <c r="BZ19" s="523"/>
      <c r="CA19" s="523"/>
      <c r="CB19" s="523"/>
      <c r="CC19" s="523"/>
      <c r="CD19" s="523"/>
      <c r="CE19" s="523"/>
      <c r="CF19" s="523"/>
      <c r="CG19" s="523"/>
      <c r="CH19" s="523"/>
      <c r="CI19" s="523">
        <f t="shared" si="2"/>
        <v>1</v>
      </c>
    </row>
    <row r="20" spans="1:87" ht="25.5" customHeight="1" x14ac:dyDescent="0.2">
      <c r="A20" s="125" t="s">
        <v>1341</v>
      </c>
      <c r="B20" s="126" t="s">
        <v>1342</v>
      </c>
      <c r="C20" s="126" t="s">
        <v>1343</v>
      </c>
      <c r="D20" s="127" t="s">
        <v>1344</v>
      </c>
      <c r="E20" s="128" t="s">
        <v>102</v>
      </c>
      <c r="F20" s="138"/>
      <c r="G20" s="130">
        <v>174.71</v>
      </c>
      <c r="H20" s="128">
        <v>1</v>
      </c>
      <c r="I20" s="132">
        <f t="shared" si="3"/>
        <v>0</v>
      </c>
      <c r="J20" s="374">
        <f t="shared" si="4"/>
        <v>1</v>
      </c>
      <c r="K20" s="132">
        <f t="shared" si="5"/>
        <v>0</v>
      </c>
      <c r="L20" s="131">
        <f t="shared" si="6"/>
        <v>174.71</v>
      </c>
      <c r="M20" s="131">
        <f t="shared" si="1"/>
        <v>0</v>
      </c>
      <c r="N20" s="131">
        <f t="shared" si="1"/>
        <v>174.71</v>
      </c>
      <c r="O20" s="131">
        <f t="shared" si="1"/>
        <v>0</v>
      </c>
      <c r="P20" s="136">
        <f t="shared" si="0"/>
        <v>1</v>
      </c>
      <c r="Q20" s="525"/>
      <c r="S20" s="189">
        <v>0</v>
      </c>
      <c r="T20" s="189">
        <v>1</v>
      </c>
      <c r="BT20" s="525"/>
      <c r="BU20" s="523">
        <v>0</v>
      </c>
      <c r="BV20" s="523">
        <v>1</v>
      </c>
      <c r="BW20" s="523">
        <v>0</v>
      </c>
      <c r="BX20" s="523"/>
      <c r="BY20" s="523"/>
      <c r="BZ20" s="523"/>
      <c r="CA20" s="523"/>
      <c r="CB20" s="523"/>
      <c r="CC20" s="523"/>
      <c r="CD20" s="523"/>
      <c r="CE20" s="523"/>
      <c r="CF20" s="523"/>
      <c r="CG20" s="523"/>
      <c r="CH20" s="523"/>
      <c r="CI20" s="523">
        <f t="shared" si="2"/>
        <v>1</v>
      </c>
    </row>
    <row r="21" spans="1:87" ht="25.5" x14ac:dyDescent="0.2">
      <c r="A21" s="125" t="s">
        <v>1345</v>
      </c>
      <c r="B21" s="126" t="s">
        <v>1346</v>
      </c>
      <c r="C21" s="126" t="s">
        <v>1324</v>
      </c>
      <c r="D21" s="127" t="s">
        <v>1347</v>
      </c>
      <c r="E21" s="128" t="s">
        <v>102</v>
      </c>
      <c r="F21" s="129"/>
      <c r="G21" s="130">
        <v>1343.12</v>
      </c>
      <c r="H21" s="128">
        <v>1</v>
      </c>
      <c r="I21" s="132">
        <f t="shared" si="3"/>
        <v>0</v>
      </c>
      <c r="J21" s="374">
        <f t="shared" si="4"/>
        <v>1</v>
      </c>
      <c r="K21" s="132">
        <f t="shared" si="5"/>
        <v>0</v>
      </c>
      <c r="L21" s="131">
        <f t="shared" si="6"/>
        <v>1343.12</v>
      </c>
      <c r="M21" s="131">
        <f t="shared" si="1"/>
        <v>0</v>
      </c>
      <c r="N21" s="131">
        <f t="shared" si="1"/>
        <v>1343.12</v>
      </c>
      <c r="O21" s="131">
        <f t="shared" si="1"/>
        <v>0</v>
      </c>
      <c r="P21" s="136">
        <f t="shared" si="0"/>
        <v>1</v>
      </c>
      <c r="Q21" s="525"/>
      <c r="S21" s="189">
        <v>0</v>
      </c>
      <c r="T21" s="189">
        <v>20</v>
      </c>
      <c r="BT21" s="525"/>
      <c r="BU21" s="523">
        <v>0</v>
      </c>
      <c r="BV21" s="523">
        <v>1</v>
      </c>
      <c r="BW21" s="523">
        <v>0</v>
      </c>
      <c r="BX21" s="523"/>
      <c r="BY21" s="523"/>
      <c r="BZ21" s="523"/>
      <c r="CA21" s="523"/>
      <c r="CB21" s="523"/>
      <c r="CC21" s="523"/>
      <c r="CD21" s="523"/>
      <c r="CE21" s="523"/>
      <c r="CF21" s="523"/>
      <c r="CG21" s="523"/>
      <c r="CH21" s="523"/>
      <c r="CI21" s="523">
        <f t="shared" si="2"/>
        <v>1</v>
      </c>
    </row>
    <row r="22" spans="1:87" x14ac:dyDescent="0.2">
      <c r="A22" s="125" t="s">
        <v>1348</v>
      </c>
      <c r="B22" s="126" t="s">
        <v>1349</v>
      </c>
      <c r="C22" s="126" t="s">
        <v>1324</v>
      </c>
      <c r="D22" s="127" t="s">
        <v>1350</v>
      </c>
      <c r="E22" s="128" t="s">
        <v>14</v>
      </c>
      <c r="F22" s="129"/>
      <c r="G22" s="130">
        <v>390.47</v>
      </c>
      <c r="H22" s="128">
        <v>20</v>
      </c>
      <c r="I22" s="132">
        <f t="shared" si="3"/>
        <v>0</v>
      </c>
      <c r="J22" s="374">
        <f t="shared" si="4"/>
        <v>20</v>
      </c>
      <c r="K22" s="132">
        <f t="shared" si="5"/>
        <v>0</v>
      </c>
      <c r="L22" s="131">
        <f t="shared" si="6"/>
        <v>7809.4</v>
      </c>
      <c r="M22" s="131">
        <f t="shared" si="1"/>
        <v>0</v>
      </c>
      <c r="N22" s="131">
        <f>ROUND(J22*$G22,2)</f>
        <v>7809.4</v>
      </c>
      <c r="O22" s="131">
        <f t="shared" si="1"/>
        <v>0</v>
      </c>
      <c r="P22" s="136">
        <f t="shared" si="0"/>
        <v>1</v>
      </c>
      <c r="Q22" s="525"/>
      <c r="S22" s="189">
        <v>0</v>
      </c>
      <c r="T22" s="189">
        <v>785</v>
      </c>
      <c r="BT22" s="525"/>
      <c r="BU22" s="523">
        <v>0</v>
      </c>
      <c r="BV22" s="523">
        <v>10</v>
      </c>
      <c r="BW22" s="523">
        <v>10</v>
      </c>
      <c r="BX22" s="523"/>
      <c r="BY22" s="523"/>
      <c r="BZ22" s="523"/>
      <c r="CA22" s="523"/>
      <c r="CB22" s="523"/>
      <c r="CC22" s="523"/>
      <c r="CD22" s="523"/>
      <c r="CE22" s="523"/>
      <c r="CF22" s="523"/>
      <c r="CG22" s="523"/>
      <c r="CH22" s="523"/>
      <c r="CI22" s="523">
        <f t="shared" si="2"/>
        <v>20</v>
      </c>
    </row>
    <row r="23" spans="1:87" x14ac:dyDescent="0.2">
      <c r="A23" s="125" t="s">
        <v>1351</v>
      </c>
      <c r="B23" s="126" t="s">
        <v>1352</v>
      </c>
      <c r="C23" s="126" t="s">
        <v>1324</v>
      </c>
      <c r="D23" s="127" t="s">
        <v>1353</v>
      </c>
      <c r="E23" s="128" t="s">
        <v>14</v>
      </c>
      <c r="F23" s="137">
        <v>302.64</v>
      </c>
      <c r="G23" s="130">
        <v>4.0999999999999996</v>
      </c>
      <c r="H23" s="128">
        <v>785</v>
      </c>
      <c r="I23" s="132">
        <f t="shared" si="3"/>
        <v>0</v>
      </c>
      <c r="J23" s="374">
        <f t="shared" si="4"/>
        <v>785</v>
      </c>
      <c r="K23" s="132">
        <f t="shared" si="5"/>
        <v>0</v>
      </c>
      <c r="L23" s="131">
        <f t="shared" si="6"/>
        <v>3218.5</v>
      </c>
      <c r="M23" s="131">
        <f t="shared" si="1"/>
        <v>0</v>
      </c>
      <c r="N23" s="131">
        <f t="shared" si="1"/>
        <v>3218.5</v>
      </c>
      <c r="O23" s="131">
        <f t="shared" si="1"/>
        <v>0</v>
      </c>
      <c r="P23" s="136">
        <f t="shared" si="0"/>
        <v>1</v>
      </c>
      <c r="Q23" s="525"/>
      <c r="S23" s="189">
        <v>0</v>
      </c>
      <c r="T23" s="189">
        <v>49</v>
      </c>
      <c r="BT23" s="525"/>
      <c r="BU23" s="523">
        <v>0</v>
      </c>
      <c r="BV23" s="523">
        <v>0</v>
      </c>
      <c r="BW23" s="523">
        <v>785</v>
      </c>
      <c r="BX23" s="523"/>
      <c r="BY23" s="523"/>
      <c r="BZ23" s="523"/>
      <c r="CA23" s="523"/>
      <c r="CB23" s="523"/>
      <c r="CC23" s="523"/>
      <c r="CD23" s="523"/>
      <c r="CE23" s="523"/>
      <c r="CF23" s="523"/>
      <c r="CG23" s="523"/>
      <c r="CH23" s="523"/>
      <c r="CI23" s="523">
        <f t="shared" si="2"/>
        <v>785</v>
      </c>
    </row>
    <row r="24" spans="1:87" x14ac:dyDescent="0.2">
      <c r="A24" s="125" t="s">
        <v>1354</v>
      </c>
      <c r="B24" s="126" t="s">
        <v>1355</v>
      </c>
      <c r="C24" s="126" t="s">
        <v>1343</v>
      </c>
      <c r="D24" s="127" t="s">
        <v>1356</v>
      </c>
      <c r="E24" s="128" t="s">
        <v>81</v>
      </c>
      <c r="F24" s="137">
        <v>135.94</v>
      </c>
      <c r="G24" s="130">
        <v>46.26</v>
      </c>
      <c r="H24" s="128">
        <v>49</v>
      </c>
      <c r="I24" s="132">
        <f t="shared" si="3"/>
        <v>0</v>
      </c>
      <c r="J24" s="374">
        <f t="shared" si="4"/>
        <v>49</v>
      </c>
      <c r="K24" s="132">
        <f t="shared" si="5"/>
        <v>0</v>
      </c>
      <c r="L24" s="131">
        <f t="shared" si="6"/>
        <v>2266.7399999999998</v>
      </c>
      <c r="M24" s="131">
        <f t="shared" si="1"/>
        <v>0</v>
      </c>
      <c r="N24" s="131">
        <f t="shared" si="1"/>
        <v>2266.7399999999998</v>
      </c>
      <c r="O24" s="131">
        <f t="shared" si="1"/>
        <v>0</v>
      </c>
      <c r="P24" s="136">
        <f t="shared" si="0"/>
        <v>1</v>
      </c>
      <c r="Q24" s="525"/>
      <c r="S24" s="189">
        <v>0</v>
      </c>
      <c r="T24" s="189">
        <v>1230</v>
      </c>
      <c r="BT24" s="525"/>
      <c r="BU24" s="523">
        <v>0</v>
      </c>
      <c r="BV24" s="523">
        <v>0</v>
      </c>
      <c r="BW24" s="523">
        <v>49</v>
      </c>
      <c r="BX24" s="523"/>
      <c r="BY24" s="523"/>
      <c r="BZ24" s="523"/>
      <c r="CA24" s="523"/>
      <c r="CB24" s="523"/>
      <c r="CC24" s="523"/>
      <c r="CD24" s="523"/>
      <c r="CE24" s="523"/>
      <c r="CF24" s="523"/>
      <c r="CG24" s="523"/>
      <c r="CH24" s="523"/>
      <c r="CI24" s="523">
        <f t="shared" si="2"/>
        <v>49</v>
      </c>
    </row>
    <row r="25" spans="1:87" s="514" customFormat="1" x14ac:dyDescent="0.2">
      <c r="A25" s="125" t="s">
        <v>1357</v>
      </c>
      <c r="B25" s="126">
        <v>72213</v>
      </c>
      <c r="C25" s="126" t="s">
        <v>1324</v>
      </c>
      <c r="D25" s="127" t="s">
        <v>1358</v>
      </c>
      <c r="E25" s="128" t="s">
        <v>14</v>
      </c>
      <c r="F25" s="137">
        <v>5.86</v>
      </c>
      <c r="G25" s="130">
        <v>0.12</v>
      </c>
      <c r="H25" s="128">
        <v>1230</v>
      </c>
      <c r="I25" s="132">
        <f t="shared" si="3"/>
        <v>0</v>
      </c>
      <c r="J25" s="374">
        <f t="shared" si="4"/>
        <v>1230</v>
      </c>
      <c r="K25" s="132">
        <f t="shared" si="5"/>
        <v>0</v>
      </c>
      <c r="L25" s="131">
        <f t="shared" si="6"/>
        <v>147.6</v>
      </c>
      <c r="M25" s="131">
        <f t="shared" si="1"/>
        <v>0</v>
      </c>
      <c r="N25" s="131">
        <f t="shared" si="1"/>
        <v>147.6</v>
      </c>
      <c r="O25" s="131">
        <f t="shared" si="1"/>
        <v>0</v>
      </c>
      <c r="P25" s="136">
        <f t="shared" si="0"/>
        <v>1</v>
      </c>
      <c r="Q25" s="525"/>
      <c r="S25" s="190">
        <v>0</v>
      </c>
      <c r="T25" s="190">
        <v>415.90999999999997</v>
      </c>
      <c r="BT25" s="525"/>
      <c r="BU25" s="523">
        <v>0</v>
      </c>
      <c r="BV25" s="523">
        <v>0</v>
      </c>
      <c r="BW25" s="523">
        <v>1230</v>
      </c>
      <c r="BX25" s="523"/>
      <c r="BY25" s="523"/>
      <c r="BZ25" s="523"/>
      <c r="CA25" s="523"/>
      <c r="CB25" s="523"/>
      <c r="CC25" s="523"/>
      <c r="CD25" s="523"/>
      <c r="CE25" s="523"/>
      <c r="CF25" s="523"/>
      <c r="CG25" s="523"/>
      <c r="CH25" s="523"/>
      <c r="CI25" s="523">
        <f t="shared" si="2"/>
        <v>1230</v>
      </c>
    </row>
    <row r="26" spans="1:87" ht="25.5" customHeight="1" x14ac:dyDescent="0.2">
      <c r="A26" s="412">
        <v>2</v>
      </c>
      <c r="B26" s="413"/>
      <c r="C26" s="413"/>
      <c r="D26" s="414" t="s">
        <v>1359</v>
      </c>
      <c r="E26" s="415"/>
      <c r="F26" s="417"/>
      <c r="G26" s="418"/>
      <c r="H26" s="418"/>
      <c r="I26" s="418"/>
      <c r="J26" s="418"/>
      <c r="K26" s="420"/>
      <c r="L26" s="424">
        <f>SUM(L27:L31)</f>
        <v>11015.16</v>
      </c>
      <c r="M26" s="424">
        <f>SUM(M27:M31)</f>
        <v>1293.6500000000001</v>
      </c>
      <c r="N26" s="424">
        <f>SUM(N27:N31)</f>
        <v>10356.6</v>
      </c>
      <c r="O26" s="424">
        <f>SUM(O27:O31)</f>
        <v>658.56000000000006</v>
      </c>
      <c r="P26" s="423">
        <f t="shared" si="0"/>
        <v>0.94021330602551401</v>
      </c>
      <c r="Q26" s="525"/>
      <c r="S26" s="189">
        <v>0</v>
      </c>
      <c r="T26" s="189">
        <v>154.94</v>
      </c>
      <c r="BT26" s="525"/>
      <c r="BU26" s="523">
        <v>62.89</v>
      </c>
      <c r="BV26" s="523">
        <v>194.56</v>
      </c>
      <c r="BW26" s="523">
        <v>158.464</v>
      </c>
      <c r="BX26" s="523"/>
      <c r="BY26" s="523"/>
      <c r="BZ26" s="523"/>
      <c r="CA26" s="523"/>
      <c r="CB26" s="523"/>
      <c r="CC26" s="523"/>
      <c r="CD26" s="523"/>
      <c r="CE26" s="523"/>
      <c r="CF26" s="523"/>
      <c r="CG26" s="523"/>
      <c r="CH26" s="523"/>
      <c r="CI26" s="523">
        <f t="shared" si="2"/>
        <v>415.91399999999999</v>
      </c>
    </row>
    <row r="27" spans="1:87" ht="25.5" x14ac:dyDescent="0.2">
      <c r="A27" s="125" t="s">
        <v>27</v>
      </c>
      <c r="B27" s="126">
        <v>55835</v>
      </c>
      <c r="C27" s="126" t="s">
        <v>1324</v>
      </c>
      <c r="D27" s="127" t="s">
        <v>1360</v>
      </c>
      <c r="E27" s="128" t="s">
        <v>48</v>
      </c>
      <c r="F27" s="129"/>
      <c r="G27" s="130">
        <v>29.27</v>
      </c>
      <c r="H27" s="128">
        <v>154.94</v>
      </c>
      <c r="I27" s="132">
        <f t="shared" si="3"/>
        <v>0</v>
      </c>
      <c r="J27" s="374">
        <f t="shared" si="4"/>
        <v>154.94</v>
      </c>
      <c r="K27" s="132">
        <f t="shared" si="5"/>
        <v>0</v>
      </c>
      <c r="L27" s="131">
        <f t="shared" ref="L27:O31" si="7">ROUND(H27*$G27,2)</f>
        <v>4535.09</v>
      </c>
      <c r="M27" s="131">
        <f t="shared" si="7"/>
        <v>0</v>
      </c>
      <c r="N27" s="131">
        <f t="shared" si="7"/>
        <v>4535.09</v>
      </c>
      <c r="O27" s="131">
        <f t="shared" si="7"/>
        <v>0</v>
      </c>
      <c r="P27" s="136">
        <f t="shared" si="0"/>
        <v>1</v>
      </c>
      <c r="Q27" s="525"/>
      <c r="S27" s="189">
        <v>0</v>
      </c>
      <c r="T27" s="189">
        <v>83.25</v>
      </c>
      <c r="BT27" s="525"/>
      <c r="BU27" s="523">
        <v>0</v>
      </c>
      <c r="BV27" s="523">
        <v>154.94</v>
      </c>
      <c r="BW27" s="523">
        <v>0</v>
      </c>
      <c r="BX27" s="523"/>
      <c r="BY27" s="523"/>
      <c r="BZ27" s="523"/>
      <c r="CA27" s="523"/>
      <c r="CB27" s="523"/>
      <c r="CC27" s="523"/>
      <c r="CD27" s="523"/>
      <c r="CE27" s="523"/>
      <c r="CF27" s="523"/>
      <c r="CG27" s="523"/>
      <c r="CH27" s="523"/>
      <c r="CI27" s="523">
        <f t="shared" si="2"/>
        <v>154.94</v>
      </c>
    </row>
    <row r="28" spans="1:87" x14ac:dyDescent="0.2">
      <c r="A28" s="125" t="s">
        <v>1263</v>
      </c>
      <c r="B28" s="126">
        <v>79478</v>
      </c>
      <c r="C28" s="126" t="s">
        <v>1324</v>
      </c>
      <c r="D28" s="127" t="s">
        <v>1361</v>
      </c>
      <c r="E28" s="128" t="s">
        <v>48</v>
      </c>
      <c r="F28" s="137">
        <v>302.64</v>
      </c>
      <c r="G28" s="130">
        <v>46.94</v>
      </c>
      <c r="H28" s="128">
        <v>83.25</v>
      </c>
      <c r="I28" s="132">
        <f t="shared" si="3"/>
        <v>0</v>
      </c>
      <c r="J28" s="374">
        <f t="shared" si="4"/>
        <v>83.250000000000014</v>
      </c>
      <c r="K28" s="132">
        <f t="shared" si="5"/>
        <v>0</v>
      </c>
      <c r="L28" s="131">
        <f t="shared" si="7"/>
        <v>3907.76</v>
      </c>
      <c r="M28" s="131">
        <f t="shared" si="7"/>
        <v>0</v>
      </c>
      <c r="N28" s="131">
        <f t="shared" si="7"/>
        <v>3907.76</v>
      </c>
      <c r="O28" s="131">
        <f t="shared" si="7"/>
        <v>0</v>
      </c>
      <c r="P28" s="136">
        <f t="shared" si="0"/>
        <v>1</v>
      </c>
      <c r="Q28" s="525"/>
      <c r="S28" s="189">
        <v>0</v>
      </c>
      <c r="T28" s="189">
        <v>114.83</v>
      </c>
      <c r="BT28" s="525"/>
      <c r="BU28" s="523">
        <v>0</v>
      </c>
      <c r="BV28" s="523">
        <v>16.650000000000006</v>
      </c>
      <c r="BW28" s="523">
        <v>66.600000000000009</v>
      </c>
      <c r="BX28" s="523"/>
      <c r="BY28" s="523"/>
      <c r="BZ28" s="523"/>
      <c r="CA28" s="523"/>
      <c r="CB28" s="523"/>
      <c r="CC28" s="523"/>
      <c r="CD28" s="523"/>
      <c r="CE28" s="523"/>
      <c r="CF28" s="523"/>
      <c r="CG28" s="523"/>
      <c r="CH28" s="523"/>
      <c r="CI28" s="523">
        <f t="shared" si="2"/>
        <v>83.250000000000014</v>
      </c>
    </row>
    <row r="29" spans="1:87" x14ac:dyDescent="0.2">
      <c r="A29" s="125" t="s">
        <v>1362</v>
      </c>
      <c r="B29" s="126">
        <v>79483</v>
      </c>
      <c r="C29" s="126" t="s">
        <v>1324</v>
      </c>
      <c r="D29" s="127" t="s">
        <v>1363</v>
      </c>
      <c r="E29" s="128" t="s">
        <v>14</v>
      </c>
      <c r="F29" s="137">
        <v>135.94</v>
      </c>
      <c r="G29" s="130">
        <v>5.4</v>
      </c>
      <c r="H29" s="128">
        <v>114.83</v>
      </c>
      <c r="I29" s="132">
        <f t="shared" si="3"/>
        <v>0</v>
      </c>
      <c r="J29" s="374">
        <f t="shared" si="4"/>
        <v>114.834</v>
      </c>
      <c r="K29" s="132">
        <f t="shared" si="5"/>
        <v>-4.0000000000048885E-3</v>
      </c>
      <c r="L29" s="131">
        <f t="shared" si="7"/>
        <v>620.08000000000004</v>
      </c>
      <c r="M29" s="131">
        <f t="shared" si="7"/>
        <v>0</v>
      </c>
      <c r="N29" s="131">
        <f t="shared" si="7"/>
        <v>620.1</v>
      </c>
      <c r="O29" s="131">
        <f t="shared" si="7"/>
        <v>-0.02</v>
      </c>
      <c r="P29" s="136">
        <f t="shared" si="0"/>
        <v>1.0000322539027222</v>
      </c>
      <c r="Q29" s="525"/>
      <c r="S29" s="189">
        <v>0</v>
      </c>
      <c r="T29" s="189">
        <v>62.89</v>
      </c>
      <c r="BT29" s="525"/>
      <c r="BU29" s="523">
        <v>0</v>
      </c>
      <c r="BV29" s="523">
        <v>22.97</v>
      </c>
      <c r="BW29" s="523">
        <v>91.864000000000004</v>
      </c>
      <c r="BX29" s="523"/>
      <c r="BY29" s="523"/>
      <c r="BZ29" s="523"/>
      <c r="CA29" s="523"/>
      <c r="CB29" s="523"/>
      <c r="CC29" s="523"/>
      <c r="CD29" s="523"/>
      <c r="CE29" s="523"/>
      <c r="CF29" s="523"/>
      <c r="CG29" s="523"/>
      <c r="CH29" s="523"/>
      <c r="CI29" s="523">
        <f t="shared" si="2"/>
        <v>114.834</v>
      </c>
    </row>
    <row r="30" spans="1:87" x14ac:dyDescent="0.2">
      <c r="A30" s="125" t="s">
        <v>1364</v>
      </c>
      <c r="B30" s="126">
        <v>53527</v>
      </c>
      <c r="C30" s="126" t="s">
        <v>1324</v>
      </c>
      <c r="D30" s="127" t="s">
        <v>1365</v>
      </c>
      <c r="E30" s="128" t="s">
        <v>48</v>
      </c>
      <c r="F30" s="137">
        <v>5.86</v>
      </c>
      <c r="G30" s="130">
        <v>20.57</v>
      </c>
      <c r="H30" s="128">
        <v>62.89</v>
      </c>
      <c r="I30" s="132">
        <f t="shared" si="3"/>
        <v>62.89</v>
      </c>
      <c r="J30" s="374">
        <f t="shared" si="4"/>
        <v>62.89</v>
      </c>
      <c r="K30" s="132">
        <f t="shared" si="5"/>
        <v>0</v>
      </c>
      <c r="L30" s="131">
        <f t="shared" si="7"/>
        <v>1293.6500000000001</v>
      </c>
      <c r="M30" s="131">
        <f t="shared" si="7"/>
        <v>1293.6500000000001</v>
      </c>
      <c r="N30" s="131">
        <f t="shared" si="7"/>
        <v>1293.6500000000001</v>
      </c>
      <c r="O30" s="131">
        <f t="shared" si="7"/>
        <v>0</v>
      </c>
      <c r="P30" s="136">
        <f t="shared" si="0"/>
        <v>1</v>
      </c>
      <c r="Q30" s="525"/>
      <c r="S30" s="189">
        <v>0</v>
      </c>
      <c r="T30" s="189">
        <v>0</v>
      </c>
      <c r="BT30" s="525"/>
      <c r="BU30" s="523">
        <v>62.89</v>
      </c>
      <c r="BV30" s="523"/>
      <c r="BW30" s="523">
        <v>0</v>
      </c>
      <c r="BX30" s="523"/>
      <c r="BY30" s="523"/>
      <c r="BZ30" s="523"/>
      <c r="CA30" s="523"/>
      <c r="CB30" s="523"/>
      <c r="CC30" s="523"/>
      <c r="CD30" s="523"/>
      <c r="CE30" s="523"/>
      <c r="CF30" s="523"/>
      <c r="CG30" s="523"/>
      <c r="CH30" s="523"/>
      <c r="CI30" s="523">
        <f t="shared" si="2"/>
        <v>62.89</v>
      </c>
    </row>
    <row r="31" spans="1:87" s="514" customFormat="1" x14ac:dyDescent="0.2">
      <c r="A31" s="125" t="s">
        <v>1366</v>
      </c>
      <c r="B31" s="126">
        <v>55835</v>
      </c>
      <c r="C31" s="126" t="s">
        <v>1324</v>
      </c>
      <c r="D31" s="127" t="s">
        <v>1367</v>
      </c>
      <c r="E31" s="128" t="s">
        <v>48</v>
      </c>
      <c r="F31" s="137">
        <v>59.37</v>
      </c>
      <c r="G31" s="130">
        <v>29.27</v>
      </c>
      <c r="H31" s="128">
        <v>22.5</v>
      </c>
      <c r="I31" s="132">
        <f t="shared" si="3"/>
        <v>0</v>
      </c>
      <c r="J31" s="374">
        <f t="shared" si="4"/>
        <v>0</v>
      </c>
      <c r="K31" s="132">
        <f t="shared" si="5"/>
        <v>22.5</v>
      </c>
      <c r="L31" s="131">
        <f t="shared" si="7"/>
        <v>658.58</v>
      </c>
      <c r="M31" s="131">
        <f t="shared" si="7"/>
        <v>0</v>
      </c>
      <c r="N31" s="131">
        <f t="shared" si="7"/>
        <v>0</v>
      </c>
      <c r="O31" s="131">
        <f t="shared" si="7"/>
        <v>658.58</v>
      </c>
      <c r="P31" s="136">
        <f t="shared" si="0"/>
        <v>0</v>
      </c>
      <c r="Q31" s="525"/>
      <c r="S31" s="190">
        <v>0</v>
      </c>
      <c r="T31" s="190">
        <v>1922.15</v>
      </c>
      <c r="BT31" s="525"/>
      <c r="BU31" s="523">
        <v>0</v>
      </c>
      <c r="BV31" s="523">
        <v>0</v>
      </c>
      <c r="BW31" s="523">
        <v>0</v>
      </c>
      <c r="BX31" s="523"/>
      <c r="BY31" s="523"/>
      <c r="BZ31" s="523"/>
      <c r="CA31" s="523"/>
      <c r="CB31" s="523"/>
      <c r="CC31" s="523"/>
      <c r="CD31" s="523"/>
      <c r="CE31" s="523"/>
      <c r="CF31" s="523"/>
      <c r="CG31" s="523"/>
      <c r="CH31" s="523"/>
      <c r="CI31" s="523">
        <f t="shared" si="2"/>
        <v>0</v>
      </c>
    </row>
    <row r="32" spans="1:87" s="514" customFormat="1" x14ac:dyDescent="0.2">
      <c r="A32" s="412">
        <v>3</v>
      </c>
      <c r="B32" s="413"/>
      <c r="C32" s="413"/>
      <c r="D32" s="414" t="s">
        <v>1368</v>
      </c>
      <c r="E32" s="415"/>
      <c r="F32" s="417"/>
      <c r="G32" s="418"/>
      <c r="H32" s="418"/>
      <c r="I32" s="418"/>
      <c r="J32" s="418"/>
      <c r="K32" s="418"/>
      <c r="L32" s="424">
        <f>SUM(L33,L39)</f>
        <v>35418.720000000001</v>
      </c>
      <c r="M32" s="424">
        <f>SUM(M33,M39)</f>
        <v>18970.57</v>
      </c>
      <c r="N32" s="424">
        <f>SUM(N33,N39)</f>
        <v>35418.89</v>
      </c>
      <c r="O32" s="424">
        <f>SUM(O33,O39)</f>
        <v>-0.18000000000000002</v>
      </c>
      <c r="P32" s="423">
        <f t="shared" si="0"/>
        <v>1.000004799721729</v>
      </c>
      <c r="Q32" s="525"/>
      <c r="S32" s="190">
        <v>0</v>
      </c>
      <c r="T32" s="190">
        <v>1242.5800000000002</v>
      </c>
      <c r="BT32" s="525"/>
      <c r="BU32" s="523">
        <v>679.56999999999994</v>
      </c>
      <c r="BV32" s="523">
        <v>504.28000000000003</v>
      </c>
      <c r="BW32" s="523">
        <v>727.32</v>
      </c>
      <c r="BX32" s="523"/>
      <c r="BY32" s="523"/>
      <c r="BZ32" s="523"/>
      <c r="CA32" s="523"/>
      <c r="CB32" s="523"/>
      <c r="CC32" s="523"/>
      <c r="CD32" s="523"/>
      <c r="CE32" s="523"/>
      <c r="CF32" s="523"/>
      <c r="CG32" s="523"/>
      <c r="CH32" s="523"/>
      <c r="CI32" s="523">
        <f t="shared" si="2"/>
        <v>1911.17</v>
      </c>
    </row>
    <row r="33" spans="1:87" x14ac:dyDescent="0.2">
      <c r="A33" s="449" t="s">
        <v>41</v>
      </c>
      <c r="B33" s="450"/>
      <c r="C33" s="450"/>
      <c r="D33" s="451" t="s">
        <v>1369</v>
      </c>
      <c r="E33" s="452"/>
      <c r="F33" s="453"/>
      <c r="G33" s="454"/>
      <c r="H33" s="454"/>
      <c r="I33" s="454"/>
      <c r="J33" s="454"/>
      <c r="K33" s="454"/>
      <c r="L33" s="455">
        <f>SUM(L34:L38)</f>
        <v>16448.150000000001</v>
      </c>
      <c r="M33" s="455">
        <f>SUM(M34:M38)</f>
        <v>0</v>
      </c>
      <c r="N33" s="455">
        <f>SUM(N34:N38)</f>
        <v>16448.32</v>
      </c>
      <c r="O33" s="455">
        <f>SUM(O34:O38)</f>
        <v>-0.18000000000000002</v>
      </c>
      <c r="P33" s="459">
        <f t="shared" si="0"/>
        <v>1.0000103355088565</v>
      </c>
      <c r="Q33" s="525"/>
      <c r="S33" s="189">
        <v>0</v>
      </c>
      <c r="T33" s="189">
        <v>3.7699999999999996</v>
      </c>
      <c r="BT33" s="525"/>
      <c r="BU33" s="523">
        <v>0</v>
      </c>
      <c r="BV33" s="523">
        <v>504.28000000000003</v>
      </c>
      <c r="BW33" s="523">
        <v>727.32</v>
      </c>
      <c r="BX33" s="523"/>
      <c r="BY33" s="523"/>
      <c r="BZ33" s="523"/>
      <c r="CA33" s="523"/>
      <c r="CB33" s="523"/>
      <c r="CC33" s="523"/>
      <c r="CD33" s="523"/>
      <c r="CE33" s="523"/>
      <c r="CF33" s="523"/>
      <c r="CG33" s="523"/>
      <c r="CH33" s="523"/>
      <c r="CI33" s="523">
        <f t="shared" si="2"/>
        <v>1231.6000000000001</v>
      </c>
    </row>
    <row r="34" spans="1:87" x14ac:dyDescent="0.2">
      <c r="A34" s="146" t="s">
        <v>43</v>
      </c>
      <c r="B34" s="126">
        <v>83532</v>
      </c>
      <c r="C34" s="126" t="s">
        <v>1324</v>
      </c>
      <c r="D34" s="127" t="s">
        <v>1370</v>
      </c>
      <c r="E34" s="128" t="s">
        <v>48</v>
      </c>
      <c r="F34" s="129"/>
      <c r="G34" s="130">
        <v>19.86</v>
      </c>
      <c r="H34" s="147">
        <v>3.77</v>
      </c>
      <c r="I34" s="132">
        <f t="shared" si="3"/>
        <v>0</v>
      </c>
      <c r="J34" s="374">
        <f t="shared" si="4"/>
        <v>3.77</v>
      </c>
      <c r="K34" s="132">
        <f t="shared" ref="K34:K44" si="8">H34-J34</f>
        <v>0</v>
      </c>
      <c r="L34" s="131">
        <f t="shared" ref="L34:O38" si="9">ROUND(H34*$G34,2)</f>
        <v>74.87</v>
      </c>
      <c r="M34" s="131">
        <f t="shared" si="9"/>
        <v>0</v>
      </c>
      <c r="N34" s="131">
        <f t="shared" si="9"/>
        <v>74.87</v>
      </c>
      <c r="O34" s="131">
        <f t="shared" si="9"/>
        <v>0</v>
      </c>
      <c r="P34" s="136">
        <f t="shared" si="0"/>
        <v>1</v>
      </c>
      <c r="Q34" s="525"/>
      <c r="S34" s="189">
        <v>0</v>
      </c>
      <c r="T34" s="189">
        <v>63.02</v>
      </c>
      <c r="BT34" s="525"/>
      <c r="BU34" s="523">
        <v>0</v>
      </c>
      <c r="BV34" s="523">
        <v>3.77</v>
      </c>
      <c r="BW34" s="523">
        <v>0</v>
      </c>
      <c r="BX34" s="523"/>
      <c r="BY34" s="523"/>
      <c r="BZ34" s="523"/>
      <c r="CA34" s="523"/>
      <c r="CB34" s="523"/>
      <c r="CC34" s="523"/>
      <c r="CD34" s="523"/>
      <c r="CE34" s="523"/>
      <c r="CF34" s="523"/>
      <c r="CG34" s="523"/>
      <c r="CH34" s="523"/>
      <c r="CI34" s="523">
        <f t="shared" si="2"/>
        <v>3.77</v>
      </c>
    </row>
    <row r="35" spans="1:87" ht="25.5" customHeight="1" x14ac:dyDescent="0.2">
      <c r="A35" s="146" t="s">
        <v>45</v>
      </c>
      <c r="B35" s="126">
        <v>5970</v>
      </c>
      <c r="C35" s="126" t="s">
        <v>1324</v>
      </c>
      <c r="D35" s="127" t="s">
        <v>1371</v>
      </c>
      <c r="E35" s="128" t="s">
        <v>14</v>
      </c>
      <c r="F35" s="137">
        <v>60.66</v>
      </c>
      <c r="G35" s="130">
        <v>93.42</v>
      </c>
      <c r="H35" s="147">
        <v>63.02</v>
      </c>
      <c r="I35" s="132">
        <f t="shared" si="3"/>
        <v>0</v>
      </c>
      <c r="J35" s="374">
        <f t="shared" si="4"/>
        <v>63.021999999999998</v>
      </c>
      <c r="K35" s="132">
        <f t="shared" si="8"/>
        <v>-1.9999999999953388E-3</v>
      </c>
      <c r="L35" s="131">
        <f t="shared" si="9"/>
        <v>5887.33</v>
      </c>
      <c r="M35" s="131">
        <f t="shared" si="9"/>
        <v>0</v>
      </c>
      <c r="N35" s="131">
        <f t="shared" si="9"/>
        <v>5887.52</v>
      </c>
      <c r="O35" s="131">
        <f t="shared" si="9"/>
        <v>-0.19</v>
      </c>
      <c r="P35" s="136">
        <f t="shared" si="0"/>
        <v>1.0000322726940736</v>
      </c>
      <c r="Q35" s="525"/>
      <c r="S35" s="189">
        <v>0</v>
      </c>
      <c r="T35" s="189">
        <v>1094.27</v>
      </c>
      <c r="BT35" s="525"/>
      <c r="BU35" s="523">
        <v>0</v>
      </c>
      <c r="BV35" s="523">
        <v>25.21</v>
      </c>
      <c r="BW35" s="523">
        <v>37.811999999999998</v>
      </c>
      <c r="BX35" s="523"/>
      <c r="BY35" s="523"/>
      <c r="BZ35" s="523"/>
      <c r="CA35" s="523"/>
      <c r="CB35" s="523"/>
      <c r="CC35" s="523"/>
      <c r="CD35" s="523"/>
      <c r="CE35" s="523"/>
      <c r="CF35" s="523"/>
      <c r="CG35" s="523"/>
      <c r="CH35" s="523"/>
      <c r="CI35" s="523">
        <f t="shared" si="2"/>
        <v>63.021999999999998</v>
      </c>
    </row>
    <row r="36" spans="1:87" ht="25.5" customHeight="1" x14ac:dyDescent="0.2">
      <c r="A36" s="146" t="s">
        <v>47</v>
      </c>
      <c r="B36" s="126">
        <v>92793</v>
      </c>
      <c r="C36" s="126" t="s">
        <v>1324</v>
      </c>
      <c r="D36" s="127" t="s">
        <v>1372</v>
      </c>
      <c r="E36" s="128" t="s">
        <v>35</v>
      </c>
      <c r="F36" s="137">
        <v>5.86</v>
      </c>
      <c r="G36" s="130">
        <v>4.6500000000000004</v>
      </c>
      <c r="H36" s="147">
        <v>1094.27</v>
      </c>
      <c r="I36" s="132">
        <f t="shared" si="3"/>
        <v>0</v>
      </c>
      <c r="J36" s="374">
        <f t="shared" si="4"/>
        <v>1094.2719999999999</v>
      </c>
      <c r="K36" s="132">
        <f t="shared" si="8"/>
        <v>-1.9999999999527063E-3</v>
      </c>
      <c r="L36" s="131">
        <f t="shared" si="9"/>
        <v>5088.3599999999997</v>
      </c>
      <c r="M36" s="131">
        <f t="shared" si="9"/>
        <v>0</v>
      </c>
      <c r="N36" s="131">
        <f t="shared" si="9"/>
        <v>5088.3599999999997</v>
      </c>
      <c r="O36" s="131">
        <f t="shared" si="9"/>
        <v>-0.01</v>
      </c>
      <c r="P36" s="136">
        <f t="shared" si="0"/>
        <v>1</v>
      </c>
      <c r="Q36" s="525"/>
      <c r="S36" s="189">
        <v>0</v>
      </c>
      <c r="T36" s="189">
        <v>65.89</v>
      </c>
      <c r="BT36" s="525"/>
      <c r="BU36" s="523">
        <v>0</v>
      </c>
      <c r="BV36" s="523">
        <v>437.71000000000004</v>
      </c>
      <c r="BW36" s="523">
        <v>656.56200000000001</v>
      </c>
      <c r="BX36" s="523"/>
      <c r="BY36" s="523"/>
      <c r="BZ36" s="523"/>
      <c r="CA36" s="523"/>
      <c r="CB36" s="523"/>
      <c r="CC36" s="523"/>
      <c r="CD36" s="523"/>
      <c r="CE36" s="523"/>
      <c r="CF36" s="523"/>
      <c r="CG36" s="523"/>
      <c r="CH36" s="523"/>
      <c r="CI36" s="523">
        <f t="shared" si="2"/>
        <v>1094.2719999999999</v>
      </c>
    </row>
    <row r="37" spans="1:87" ht="25.5" x14ac:dyDescent="0.2">
      <c r="A37" s="146" t="s">
        <v>49</v>
      </c>
      <c r="B37" s="126">
        <v>92791</v>
      </c>
      <c r="C37" s="126" t="s">
        <v>1324</v>
      </c>
      <c r="D37" s="127" t="s">
        <v>1373</v>
      </c>
      <c r="E37" s="128" t="s">
        <v>35</v>
      </c>
      <c r="F37" s="137">
        <v>302.64</v>
      </c>
      <c r="G37" s="130">
        <v>6.11</v>
      </c>
      <c r="H37" s="147">
        <v>54.91</v>
      </c>
      <c r="I37" s="132">
        <f t="shared" si="3"/>
        <v>0</v>
      </c>
      <c r="J37" s="374">
        <f t="shared" si="4"/>
        <v>54.905999999999992</v>
      </c>
      <c r="K37" s="132">
        <f t="shared" si="8"/>
        <v>4.0000000000048885E-3</v>
      </c>
      <c r="L37" s="131">
        <f t="shared" si="9"/>
        <v>335.5</v>
      </c>
      <c r="M37" s="131">
        <f t="shared" si="9"/>
        <v>0</v>
      </c>
      <c r="N37" s="131">
        <f t="shared" si="9"/>
        <v>335.48</v>
      </c>
      <c r="O37" s="131">
        <f t="shared" si="9"/>
        <v>0.02</v>
      </c>
      <c r="P37" s="136">
        <f t="shared" si="0"/>
        <v>0.99994038748137115</v>
      </c>
      <c r="Q37" s="525"/>
      <c r="S37" s="189">
        <v>0</v>
      </c>
      <c r="T37" s="189">
        <v>15.630000000000003</v>
      </c>
      <c r="BT37" s="525"/>
      <c r="BU37" s="523">
        <v>0</v>
      </c>
      <c r="BV37" s="523">
        <v>21.959999999999994</v>
      </c>
      <c r="BW37" s="523">
        <v>32.945999999999998</v>
      </c>
      <c r="BX37" s="523"/>
      <c r="BY37" s="523"/>
      <c r="BZ37" s="523"/>
      <c r="CA37" s="523"/>
      <c r="CB37" s="523"/>
      <c r="CC37" s="523"/>
      <c r="CD37" s="523"/>
      <c r="CE37" s="523"/>
      <c r="CF37" s="523"/>
      <c r="CG37" s="523"/>
      <c r="CH37" s="523"/>
      <c r="CI37" s="523">
        <f t="shared" si="2"/>
        <v>54.905999999999992</v>
      </c>
    </row>
    <row r="38" spans="1:87" s="514" customFormat="1" x14ac:dyDescent="0.2">
      <c r="A38" s="146" t="s">
        <v>1374</v>
      </c>
      <c r="B38" s="126">
        <v>92720</v>
      </c>
      <c r="C38" s="126" t="s">
        <v>1324</v>
      </c>
      <c r="D38" s="127" t="s">
        <v>1375</v>
      </c>
      <c r="E38" s="128" t="s">
        <v>48</v>
      </c>
      <c r="F38" s="137">
        <v>135.94</v>
      </c>
      <c r="G38" s="130">
        <v>323.87</v>
      </c>
      <c r="H38" s="147">
        <v>15.63</v>
      </c>
      <c r="I38" s="132">
        <f t="shared" si="3"/>
        <v>0</v>
      </c>
      <c r="J38" s="374">
        <f t="shared" si="4"/>
        <v>15.63</v>
      </c>
      <c r="K38" s="132">
        <f t="shared" si="8"/>
        <v>0</v>
      </c>
      <c r="L38" s="131">
        <f t="shared" si="9"/>
        <v>5062.09</v>
      </c>
      <c r="M38" s="131">
        <f t="shared" si="9"/>
        <v>0</v>
      </c>
      <c r="N38" s="131">
        <f t="shared" si="9"/>
        <v>5062.09</v>
      </c>
      <c r="O38" s="131">
        <f t="shared" si="9"/>
        <v>0</v>
      </c>
      <c r="P38" s="136">
        <f t="shared" si="0"/>
        <v>1</v>
      </c>
      <c r="Q38" s="525"/>
      <c r="S38" s="190">
        <v>0</v>
      </c>
      <c r="T38" s="190">
        <v>679.56999999999994</v>
      </c>
      <c r="BT38" s="525"/>
      <c r="BU38" s="523">
        <v>0</v>
      </c>
      <c r="BV38" s="523">
        <v>15.63</v>
      </c>
      <c r="BW38" s="523">
        <v>0</v>
      </c>
      <c r="BX38" s="523"/>
      <c r="BY38" s="523"/>
      <c r="BZ38" s="523"/>
      <c r="CA38" s="523"/>
      <c r="CB38" s="523"/>
      <c r="CC38" s="523"/>
      <c r="CD38" s="523"/>
      <c r="CE38" s="523"/>
      <c r="CF38" s="523"/>
      <c r="CG38" s="523"/>
      <c r="CH38" s="523"/>
      <c r="CI38" s="523">
        <f t="shared" si="2"/>
        <v>15.63</v>
      </c>
    </row>
    <row r="39" spans="1:87" x14ac:dyDescent="0.2">
      <c r="A39" s="449" t="s">
        <v>50</v>
      </c>
      <c r="B39" s="450"/>
      <c r="C39" s="450"/>
      <c r="D39" s="451" t="s">
        <v>1376</v>
      </c>
      <c r="E39" s="452"/>
      <c r="F39" s="453"/>
      <c r="G39" s="454"/>
      <c r="H39" s="472"/>
      <c r="I39" s="456">
        <f t="shared" si="3"/>
        <v>679.56999999999994</v>
      </c>
      <c r="J39" s="457"/>
      <c r="K39" s="456">
        <v>0</v>
      </c>
      <c r="L39" s="454">
        <f>SUM(L40:L44)</f>
        <v>18970.57</v>
      </c>
      <c r="M39" s="454">
        <f>SUM(M40:M44)</f>
        <v>18970.57</v>
      </c>
      <c r="N39" s="454">
        <f>SUM(N40:N44)</f>
        <v>18970.57</v>
      </c>
      <c r="O39" s="454">
        <f>SUM(O40:O44)</f>
        <v>0</v>
      </c>
      <c r="P39" s="459">
        <f t="shared" si="0"/>
        <v>1</v>
      </c>
      <c r="Q39" s="525"/>
      <c r="S39" s="189">
        <v>0</v>
      </c>
      <c r="T39" s="189">
        <v>2.58</v>
      </c>
      <c r="BT39" s="525"/>
      <c r="BU39" s="523">
        <v>679.56999999999994</v>
      </c>
      <c r="BV39" s="523">
        <v>0</v>
      </c>
      <c r="BW39" s="523">
        <v>0</v>
      </c>
      <c r="BX39" s="523"/>
      <c r="BY39" s="523"/>
      <c r="BZ39" s="523"/>
      <c r="CA39" s="523"/>
      <c r="CB39" s="523"/>
      <c r="CC39" s="523"/>
      <c r="CD39" s="523"/>
      <c r="CE39" s="523"/>
      <c r="CF39" s="523"/>
      <c r="CG39" s="523"/>
      <c r="CH39" s="523"/>
      <c r="CI39" s="523">
        <f t="shared" si="2"/>
        <v>679.56999999999994</v>
      </c>
    </row>
    <row r="40" spans="1:87" x14ac:dyDescent="0.2">
      <c r="A40" s="125" t="s">
        <v>52</v>
      </c>
      <c r="B40" s="126">
        <v>83532</v>
      </c>
      <c r="C40" s="126" t="s">
        <v>1324</v>
      </c>
      <c r="D40" s="127" t="s">
        <v>1370</v>
      </c>
      <c r="E40" s="128" t="s">
        <v>48</v>
      </c>
      <c r="F40" s="137">
        <v>60.66</v>
      </c>
      <c r="G40" s="130">
        <v>19.86</v>
      </c>
      <c r="H40" s="147">
        <v>2.58</v>
      </c>
      <c r="I40" s="132">
        <f t="shared" si="3"/>
        <v>2.58</v>
      </c>
      <c r="J40" s="374">
        <f t="shared" si="4"/>
        <v>2.58</v>
      </c>
      <c r="K40" s="132">
        <f t="shared" si="8"/>
        <v>0</v>
      </c>
      <c r="L40" s="131">
        <f t="shared" ref="L40:O44" si="10">ROUND(H40*$G40,2)</f>
        <v>51.24</v>
      </c>
      <c r="M40" s="131">
        <f t="shared" si="10"/>
        <v>51.24</v>
      </c>
      <c r="N40" s="131">
        <f t="shared" si="10"/>
        <v>51.24</v>
      </c>
      <c r="O40" s="131">
        <f t="shared" si="10"/>
        <v>0</v>
      </c>
      <c r="P40" s="136">
        <f t="shared" si="0"/>
        <v>1</v>
      </c>
      <c r="Q40" s="525"/>
      <c r="S40" s="189">
        <v>0</v>
      </c>
      <c r="T40" s="189">
        <v>139.57</v>
      </c>
      <c r="BT40" s="525"/>
      <c r="BU40" s="523">
        <v>2.58</v>
      </c>
      <c r="BV40" s="523">
        <v>0</v>
      </c>
      <c r="BW40" s="523">
        <v>0</v>
      </c>
      <c r="BX40" s="523"/>
      <c r="BY40" s="523"/>
      <c r="BZ40" s="523"/>
      <c r="CA40" s="523"/>
      <c r="CB40" s="523"/>
      <c r="CC40" s="523"/>
      <c r="CD40" s="523"/>
      <c r="CE40" s="523"/>
      <c r="CF40" s="523"/>
      <c r="CG40" s="523"/>
      <c r="CH40" s="523"/>
      <c r="CI40" s="523">
        <f t="shared" si="2"/>
        <v>2.58</v>
      </c>
    </row>
    <row r="41" spans="1:87" ht="25.5" customHeight="1" x14ac:dyDescent="0.2">
      <c r="A41" s="125" t="s">
        <v>53</v>
      </c>
      <c r="B41" s="126">
        <v>5970</v>
      </c>
      <c r="C41" s="126" t="s">
        <v>1324</v>
      </c>
      <c r="D41" s="127" t="s">
        <v>1371</v>
      </c>
      <c r="E41" s="128" t="s">
        <v>14</v>
      </c>
      <c r="F41" s="137">
        <v>5.86</v>
      </c>
      <c r="G41" s="130">
        <v>93.42</v>
      </c>
      <c r="H41" s="147">
        <v>139.57</v>
      </c>
      <c r="I41" s="132">
        <f t="shared" si="3"/>
        <v>139.57</v>
      </c>
      <c r="J41" s="374">
        <f t="shared" si="4"/>
        <v>139.57</v>
      </c>
      <c r="K41" s="132">
        <f t="shared" si="8"/>
        <v>0</v>
      </c>
      <c r="L41" s="131">
        <f t="shared" si="10"/>
        <v>13038.63</v>
      </c>
      <c r="M41" s="131">
        <f t="shared" si="10"/>
        <v>13038.63</v>
      </c>
      <c r="N41" s="131">
        <f t="shared" si="10"/>
        <v>13038.63</v>
      </c>
      <c r="O41" s="131">
        <f t="shared" si="10"/>
        <v>0</v>
      </c>
      <c r="P41" s="136">
        <f t="shared" si="0"/>
        <v>1</v>
      </c>
      <c r="Q41" s="525"/>
      <c r="S41" s="189">
        <v>0</v>
      </c>
      <c r="T41" s="189">
        <v>389.64</v>
      </c>
      <c r="BT41" s="525"/>
      <c r="BU41" s="523">
        <v>139.57</v>
      </c>
      <c r="BV41" s="523">
        <v>0</v>
      </c>
      <c r="BW41" s="523">
        <v>0</v>
      </c>
      <c r="BX41" s="523"/>
      <c r="BY41" s="523"/>
      <c r="BZ41" s="523"/>
      <c r="CA41" s="523"/>
      <c r="CB41" s="523"/>
      <c r="CC41" s="523"/>
      <c r="CD41" s="523"/>
      <c r="CE41" s="523"/>
      <c r="CF41" s="523"/>
      <c r="CG41" s="523"/>
      <c r="CH41" s="523"/>
      <c r="CI41" s="523">
        <f t="shared" si="2"/>
        <v>139.57</v>
      </c>
    </row>
    <row r="42" spans="1:87" ht="25.5" customHeight="1" x14ac:dyDescent="0.2">
      <c r="A42" s="125" t="s">
        <v>54</v>
      </c>
      <c r="B42" s="126">
        <v>92793</v>
      </c>
      <c r="C42" s="126" t="s">
        <v>1324</v>
      </c>
      <c r="D42" s="127" t="s">
        <v>1372</v>
      </c>
      <c r="E42" s="128" t="s">
        <v>35</v>
      </c>
      <c r="F42" s="137">
        <v>302.64</v>
      </c>
      <c r="G42" s="130">
        <v>4.6500000000000004</v>
      </c>
      <c r="H42" s="147">
        <v>389.64</v>
      </c>
      <c r="I42" s="132">
        <f t="shared" si="3"/>
        <v>389.64</v>
      </c>
      <c r="J42" s="374">
        <f t="shared" si="4"/>
        <v>389.64</v>
      </c>
      <c r="K42" s="132">
        <f t="shared" si="8"/>
        <v>0</v>
      </c>
      <c r="L42" s="131">
        <f t="shared" si="10"/>
        <v>1811.83</v>
      </c>
      <c r="M42" s="131">
        <f t="shared" si="10"/>
        <v>1811.83</v>
      </c>
      <c r="N42" s="131">
        <f t="shared" si="10"/>
        <v>1811.83</v>
      </c>
      <c r="O42" s="131">
        <f t="shared" si="10"/>
        <v>0</v>
      </c>
      <c r="P42" s="136">
        <f t="shared" si="0"/>
        <v>1</v>
      </c>
      <c r="Q42" s="525"/>
      <c r="S42" s="189">
        <v>0</v>
      </c>
      <c r="T42" s="189">
        <v>137.72999999999999</v>
      </c>
      <c r="BT42" s="525"/>
      <c r="BU42" s="523">
        <v>389.64</v>
      </c>
      <c r="BV42" s="523">
        <v>0</v>
      </c>
      <c r="BW42" s="523">
        <v>0</v>
      </c>
      <c r="BX42" s="523"/>
      <c r="BY42" s="523"/>
      <c r="BZ42" s="523"/>
      <c r="CA42" s="523"/>
      <c r="CB42" s="523"/>
      <c r="CC42" s="523"/>
      <c r="CD42" s="523"/>
      <c r="CE42" s="523"/>
      <c r="CF42" s="523"/>
      <c r="CG42" s="523"/>
      <c r="CH42" s="523"/>
      <c r="CI42" s="523">
        <f t="shared" si="2"/>
        <v>389.64</v>
      </c>
    </row>
    <row r="43" spans="1:87" ht="25.5" x14ac:dyDescent="0.2">
      <c r="A43" s="125" t="s">
        <v>55</v>
      </c>
      <c r="B43" s="126">
        <v>92791</v>
      </c>
      <c r="C43" s="126" t="s">
        <v>1324</v>
      </c>
      <c r="D43" s="127" t="s">
        <v>1373</v>
      </c>
      <c r="E43" s="128" t="s">
        <v>35</v>
      </c>
      <c r="F43" s="137">
        <v>135.94</v>
      </c>
      <c r="G43" s="130">
        <v>5.91</v>
      </c>
      <c r="H43" s="147">
        <v>137.72999999999999</v>
      </c>
      <c r="I43" s="132">
        <f t="shared" si="3"/>
        <v>137.72999999999999</v>
      </c>
      <c r="J43" s="374">
        <f t="shared" si="4"/>
        <v>137.72999999999999</v>
      </c>
      <c r="K43" s="132">
        <f t="shared" si="8"/>
        <v>0</v>
      </c>
      <c r="L43" s="131">
        <f t="shared" si="10"/>
        <v>813.98</v>
      </c>
      <c r="M43" s="131">
        <f t="shared" si="10"/>
        <v>813.98</v>
      </c>
      <c r="N43" s="131">
        <f t="shared" si="10"/>
        <v>813.98</v>
      </c>
      <c r="O43" s="131">
        <f t="shared" si="10"/>
        <v>0</v>
      </c>
      <c r="P43" s="136">
        <f t="shared" si="0"/>
        <v>1</v>
      </c>
      <c r="Q43" s="525"/>
      <c r="S43" s="189">
        <v>0</v>
      </c>
      <c r="T43" s="189">
        <v>10.050000000000001</v>
      </c>
      <c r="BT43" s="525"/>
      <c r="BU43" s="523">
        <v>137.72999999999999</v>
      </c>
      <c r="BV43" s="523">
        <v>0</v>
      </c>
      <c r="BW43" s="523">
        <v>0</v>
      </c>
      <c r="BX43" s="523"/>
      <c r="BY43" s="523"/>
      <c r="BZ43" s="523"/>
      <c r="CA43" s="523"/>
      <c r="CB43" s="523"/>
      <c r="CC43" s="523"/>
      <c r="CD43" s="523"/>
      <c r="CE43" s="523"/>
      <c r="CF43" s="523"/>
      <c r="CG43" s="523"/>
      <c r="CH43" s="523"/>
      <c r="CI43" s="523">
        <f t="shared" si="2"/>
        <v>137.72999999999999</v>
      </c>
    </row>
    <row r="44" spans="1:87" s="517" customFormat="1" x14ac:dyDescent="0.2">
      <c r="A44" s="125" t="s">
        <v>1377</v>
      </c>
      <c r="B44" s="126">
        <v>92720</v>
      </c>
      <c r="C44" s="126" t="s">
        <v>1324</v>
      </c>
      <c r="D44" s="127" t="s">
        <v>1375</v>
      </c>
      <c r="E44" s="128" t="s">
        <v>48</v>
      </c>
      <c r="F44" s="129"/>
      <c r="G44" s="130">
        <v>323.87</v>
      </c>
      <c r="H44" s="147">
        <v>10.050000000000001</v>
      </c>
      <c r="I44" s="132">
        <f t="shared" si="3"/>
        <v>10.050000000000001</v>
      </c>
      <c r="J44" s="374">
        <f t="shared" si="4"/>
        <v>10.050000000000001</v>
      </c>
      <c r="K44" s="132">
        <f t="shared" si="8"/>
        <v>0</v>
      </c>
      <c r="L44" s="131">
        <f t="shared" si="10"/>
        <v>3254.89</v>
      </c>
      <c r="M44" s="131">
        <f t="shared" si="10"/>
        <v>3254.89</v>
      </c>
      <c r="N44" s="131">
        <f t="shared" si="10"/>
        <v>3254.89</v>
      </c>
      <c r="O44" s="131">
        <f t="shared" si="10"/>
        <v>0</v>
      </c>
      <c r="P44" s="136">
        <f t="shared" si="0"/>
        <v>1</v>
      </c>
      <c r="Q44" s="525"/>
      <c r="S44" s="191">
        <v>0</v>
      </c>
      <c r="T44" s="191">
        <v>0</v>
      </c>
      <c r="BT44" s="525"/>
      <c r="BU44" s="523">
        <v>10.050000000000001</v>
      </c>
      <c r="BV44" s="523">
        <v>0</v>
      </c>
      <c r="BW44" s="523">
        <v>0</v>
      </c>
      <c r="BX44" s="523"/>
      <c r="BY44" s="523"/>
      <c r="BZ44" s="523"/>
      <c r="CA44" s="523"/>
      <c r="CB44" s="523"/>
      <c r="CC44" s="523"/>
      <c r="CD44" s="523"/>
      <c r="CE44" s="523"/>
      <c r="CF44" s="523"/>
      <c r="CG44" s="523"/>
      <c r="CH44" s="523"/>
      <c r="CI44" s="523">
        <f t="shared" si="2"/>
        <v>10.050000000000001</v>
      </c>
    </row>
    <row r="45" spans="1:87" s="517" customFormat="1" x14ac:dyDescent="0.2">
      <c r="A45" s="425">
        <v>4</v>
      </c>
      <c r="B45" s="426"/>
      <c r="C45" s="426"/>
      <c r="D45" s="427" t="s">
        <v>1378</v>
      </c>
      <c r="E45" s="415"/>
      <c r="F45" s="417"/>
      <c r="G45" s="418"/>
      <c r="H45" s="416"/>
      <c r="I45" s="420">
        <f t="shared" si="3"/>
        <v>0</v>
      </c>
      <c r="J45" s="421"/>
      <c r="K45" s="420"/>
      <c r="L45" s="429">
        <f>SUM(L46,L51,L57,L62,L67)</f>
        <v>88897.260000000009</v>
      </c>
      <c r="M45" s="429">
        <f>SUM(M46,M51,M57,M62,M67)</f>
        <v>23641.26</v>
      </c>
      <c r="N45" s="429">
        <f>SUM(N46,N51,N57,N62,N67)</f>
        <v>23641.26</v>
      </c>
      <c r="O45" s="429">
        <f>SUM(O46,O51,O57,O62,O67)</f>
        <v>65255.999999999993</v>
      </c>
      <c r="P45" s="431">
        <f t="shared" si="0"/>
        <v>0.26593913018241505</v>
      </c>
      <c r="Q45" s="525"/>
      <c r="S45" s="191">
        <v>0</v>
      </c>
      <c r="T45" s="191">
        <v>0</v>
      </c>
      <c r="BT45" s="525"/>
      <c r="BU45" s="523"/>
      <c r="BV45" s="523"/>
      <c r="BW45" s="523"/>
      <c r="BX45" s="523"/>
      <c r="BY45" s="523"/>
      <c r="BZ45" s="523"/>
      <c r="CA45" s="523"/>
      <c r="CB45" s="523"/>
      <c r="CC45" s="523"/>
      <c r="CD45" s="523"/>
      <c r="CE45" s="523"/>
      <c r="CF45" s="523"/>
      <c r="CG45" s="523"/>
      <c r="CH45" s="523"/>
      <c r="CI45" s="523">
        <f t="shared" si="2"/>
        <v>0</v>
      </c>
    </row>
    <row r="46" spans="1:87" s="110" customFormat="1" x14ac:dyDescent="0.2">
      <c r="A46" s="461" t="s">
        <v>74</v>
      </c>
      <c r="B46" s="462"/>
      <c r="C46" s="462"/>
      <c r="D46" s="463" t="s">
        <v>1379</v>
      </c>
      <c r="E46" s="464"/>
      <c r="F46" s="452">
        <f>SUM(F47:F50)</f>
        <v>499.24</v>
      </c>
      <c r="G46" s="465"/>
      <c r="H46" s="464"/>
      <c r="I46" s="457">
        <f t="shared" si="3"/>
        <v>0</v>
      </c>
      <c r="J46" s="457"/>
      <c r="K46" s="457">
        <v>0</v>
      </c>
      <c r="L46" s="474">
        <f>SUM(L47:L50)</f>
        <v>17368.48</v>
      </c>
      <c r="M46" s="474">
        <f>SUM(M47:M50)</f>
        <v>2116.3000000000002</v>
      </c>
      <c r="N46" s="474">
        <f>SUM(N47:N50)</f>
        <v>2116.3000000000002</v>
      </c>
      <c r="O46" s="474">
        <f>SUM(O47:O50)</f>
        <v>15252.18</v>
      </c>
      <c r="P46" s="466">
        <f t="shared" si="0"/>
        <v>0.12184716221569189</v>
      </c>
      <c r="Q46" s="525"/>
      <c r="S46" s="192">
        <v>22.81</v>
      </c>
      <c r="T46" s="192">
        <v>126.72</v>
      </c>
      <c r="BT46" s="525"/>
      <c r="BU46" s="523"/>
      <c r="BV46" s="523"/>
      <c r="BW46" s="523"/>
      <c r="BX46" s="523"/>
      <c r="BY46" s="523"/>
      <c r="BZ46" s="523"/>
      <c r="CA46" s="523"/>
      <c r="CB46" s="523"/>
      <c r="CC46" s="523"/>
      <c r="CD46" s="523"/>
      <c r="CE46" s="523"/>
      <c r="CF46" s="523"/>
      <c r="CG46" s="523"/>
      <c r="CH46" s="523"/>
      <c r="CI46" s="523">
        <f t="shared" si="2"/>
        <v>0</v>
      </c>
    </row>
    <row r="47" spans="1:87" s="110" customFormat="1" ht="25.5" x14ac:dyDescent="0.2">
      <c r="A47" s="379" t="s">
        <v>76</v>
      </c>
      <c r="B47" s="380">
        <v>92448</v>
      </c>
      <c r="C47" s="380" t="s">
        <v>1324</v>
      </c>
      <c r="D47" s="381" t="s">
        <v>1380</v>
      </c>
      <c r="E47" s="382" t="s">
        <v>14</v>
      </c>
      <c r="F47" s="137">
        <v>302.64</v>
      </c>
      <c r="G47" s="383">
        <v>93.42</v>
      </c>
      <c r="H47" s="382">
        <v>126.72</v>
      </c>
      <c r="I47" s="132">
        <f t="shared" si="3"/>
        <v>0</v>
      </c>
      <c r="J47" s="374">
        <f t="shared" si="4"/>
        <v>0</v>
      </c>
      <c r="K47" s="132">
        <f t="shared" ref="K47:K56" si="11">H47-J47</f>
        <v>126.72</v>
      </c>
      <c r="L47" s="131">
        <f t="shared" ref="L47:O50" si="12">ROUND(H47*$G47,2)</f>
        <v>11838.18</v>
      </c>
      <c r="M47" s="131">
        <f t="shared" si="12"/>
        <v>0</v>
      </c>
      <c r="N47" s="131">
        <f t="shared" si="12"/>
        <v>0</v>
      </c>
      <c r="O47" s="131">
        <f t="shared" si="12"/>
        <v>11838.18</v>
      </c>
      <c r="P47" s="388">
        <f t="shared" si="0"/>
        <v>0</v>
      </c>
      <c r="Q47" s="525"/>
      <c r="S47" s="192">
        <v>78.55</v>
      </c>
      <c r="T47" s="192">
        <v>428.55</v>
      </c>
      <c r="BT47" s="525"/>
      <c r="BU47" s="523">
        <v>0</v>
      </c>
      <c r="BV47" s="523">
        <v>0</v>
      </c>
      <c r="BW47" s="523"/>
      <c r="BX47" s="523"/>
      <c r="BY47" s="523"/>
      <c r="BZ47" s="523"/>
      <c r="CA47" s="523"/>
      <c r="CB47" s="523"/>
      <c r="CC47" s="523"/>
      <c r="CD47" s="523"/>
      <c r="CE47" s="523"/>
      <c r="CF47" s="523"/>
      <c r="CG47" s="523"/>
      <c r="CH47" s="523"/>
      <c r="CI47" s="523">
        <f t="shared" si="2"/>
        <v>0</v>
      </c>
    </row>
    <row r="48" spans="1:87" s="110" customFormat="1" ht="25.5" x14ac:dyDescent="0.2">
      <c r="A48" s="379" t="s">
        <v>79</v>
      </c>
      <c r="B48" s="380">
        <v>92793</v>
      </c>
      <c r="C48" s="380" t="s">
        <v>1324</v>
      </c>
      <c r="D48" s="381" t="s">
        <v>1372</v>
      </c>
      <c r="E48" s="382" t="s">
        <v>35</v>
      </c>
      <c r="F48" s="137">
        <v>135.94</v>
      </c>
      <c r="G48" s="383">
        <v>4.6500000000000004</v>
      </c>
      <c r="H48" s="382">
        <v>428.55</v>
      </c>
      <c r="I48" s="132">
        <f t="shared" si="3"/>
        <v>350</v>
      </c>
      <c r="J48" s="374">
        <f t="shared" si="4"/>
        <v>350</v>
      </c>
      <c r="K48" s="132">
        <f t="shared" si="11"/>
        <v>78.550000000000011</v>
      </c>
      <c r="L48" s="131">
        <f t="shared" si="12"/>
        <v>1992.76</v>
      </c>
      <c r="M48" s="131">
        <f t="shared" si="12"/>
        <v>1627.5</v>
      </c>
      <c r="N48" s="131">
        <f t="shared" si="12"/>
        <v>1627.5</v>
      </c>
      <c r="O48" s="131">
        <f t="shared" si="12"/>
        <v>365.26</v>
      </c>
      <c r="P48" s="388">
        <f t="shared" si="0"/>
        <v>0.81670647744836311</v>
      </c>
      <c r="Q48" s="525"/>
      <c r="S48" s="192">
        <v>23.16</v>
      </c>
      <c r="T48" s="192">
        <v>127.36</v>
      </c>
      <c r="BT48" s="525"/>
      <c r="BU48" s="523">
        <v>350</v>
      </c>
      <c r="BV48" s="523">
        <v>0</v>
      </c>
      <c r="BW48" s="523"/>
      <c r="BX48" s="523"/>
      <c r="BY48" s="523"/>
      <c r="BZ48" s="523"/>
      <c r="CA48" s="523"/>
      <c r="CB48" s="523"/>
      <c r="CC48" s="523"/>
      <c r="CD48" s="523"/>
      <c r="CE48" s="523"/>
      <c r="CF48" s="523"/>
      <c r="CG48" s="523"/>
      <c r="CH48" s="523"/>
      <c r="CI48" s="523">
        <f t="shared" si="2"/>
        <v>350</v>
      </c>
    </row>
    <row r="49" spans="1:87" s="110" customFormat="1" ht="25.5" x14ac:dyDescent="0.2">
      <c r="A49" s="379" t="s">
        <v>83</v>
      </c>
      <c r="B49" s="380">
        <v>92791</v>
      </c>
      <c r="C49" s="380" t="s">
        <v>1324</v>
      </c>
      <c r="D49" s="381" t="s">
        <v>1373</v>
      </c>
      <c r="E49" s="382" t="s">
        <v>35</v>
      </c>
      <c r="F49" s="129"/>
      <c r="G49" s="383">
        <v>6.11</v>
      </c>
      <c r="H49" s="382">
        <v>127.36</v>
      </c>
      <c r="I49" s="132">
        <f t="shared" si="3"/>
        <v>80</v>
      </c>
      <c r="J49" s="374">
        <f t="shared" si="4"/>
        <v>80</v>
      </c>
      <c r="K49" s="132">
        <f t="shared" si="11"/>
        <v>47.36</v>
      </c>
      <c r="L49" s="131">
        <f t="shared" si="12"/>
        <v>778.17</v>
      </c>
      <c r="M49" s="131">
        <f t="shared" si="12"/>
        <v>488.8</v>
      </c>
      <c r="N49" s="131">
        <f t="shared" si="12"/>
        <v>488.8</v>
      </c>
      <c r="O49" s="131">
        <f t="shared" si="12"/>
        <v>289.37</v>
      </c>
      <c r="P49" s="388">
        <f t="shared" si="0"/>
        <v>0.62814038063662192</v>
      </c>
      <c r="Q49" s="525"/>
      <c r="S49" s="192">
        <v>4.5199999999999996</v>
      </c>
      <c r="T49" s="192">
        <v>8.52</v>
      </c>
      <c r="BT49" s="525"/>
      <c r="BU49" s="523">
        <v>80</v>
      </c>
      <c r="BV49" s="523">
        <v>0</v>
      </c>
      <c r="BW49" s="523"/>
      <c r="BX49" s="523"/>
      <c r="BY49" s="523"/>
      <c r="BZ49" s="523"/>
      <c r="CA49" s="523"/>
      <c r="CB49" s="523"/>
      <c r="CC49" s="523"/>
      <c r="CD49" s="523"/>
      <c r="CE49" s="523"/>
      <c r="CF49" s="523"/>
      <c r="CG49" s="523"/>
      <c r="CH49" s="523"/>
      <c r="CI49" s="523">
        <f t="shared" si="2"/>
        <v>80</v>
      </c>
    </row>
    <row r="50" spans="1:87" s="517" customFormat="1" x14ac:dyDescent="0.2">
      <c r="A50" s="379" t="s">
        <v>86</v>
      </c>
      <c r="B50" s="380">
        <v>92720</v>
      </c>
      <c r="C50" s="380" t="s">
        <v>1324</v>
      </c>
      <c r="D50" s="381" t="s">
        <v>1375</v>
      </c>
      <c r="E50" s="382" t="s">
        <v>48</v>
      </c>
      <c r="F50" s="137">
        <v>60.66</v>
      </c>
      <c r="G50" s="383">
        <v>323.87</v>
      </c>
      <c r="H50" s="382">
        <v>8.52</v>
      </c>
      <c r="I50" s="132">
        <f t="shared" si="3"/>
        <v>0</v>
      </c>
      <c r="J50" s="374">
        <f t="shared" si="4"/>
        <v>0</v>
      </c>
      <c r="K50" s="132">
        <f t="shared" si="11"/>
        <v>8.52</v>
      </c>
      <c r="L50" s="131">
        <f t="shared" si="12"/>
        <v>2759.37</v>
      </c>
      <c r="M50" s="131">
        <f t="shared" si="12"/>
        <v>0</v>
      </c>
      <c r="N50" s="131">
        <f t="shared" si="12"/>
        <v>0</v>
      </c>
      <c r="O50" s="131">
        <f t="shared" si="12"/>
        <v>2759.37</v>
      </c>
      <c r="P50" s="388">
        <f t="shared" si="0"/>
        <v>0</v>
      </c>
      <c r="Q50" s="525"/>
      <c r="S50" s="191">
        <v>0</v>
      </c>
      <c r="T50" s="191">
        <v>0</v>
      </c>
      <c r="BT50" s="525"/>
      <c r="BU50" s="523">
        <v>0</v>
      </c>
      <c r="BV50" s="523">
        <v>0</v>
      </c>
      <c r="BW50" s="523"/>
      <c r="BX50" s="523"/>
      <c r="BY50" s="523"/>
      <c r="BZ50" s="523"/>
      <c r="CA50" s="523"/>
      <c r="CB50" s="523"/>
      <c r="CC50" s="523"/>
      <c r="CD50" s="523"/>
      <c r="CE50" s="523"/>
      <c r="CF50" s="523"/>
      <c r="CG50" s="523"/>
      <c r="CH50" s="523"/>
      <c r="CI50" s="523">
        <f t="shared" si="2"/>
        <v>0</v>
      </c>
    </row>
    <row r="51" spans="1:87" s="110" customFormat="1" x14ac:dyDescent="0.2">
      <c r="A51" s="461" t="s">
        <v>1381</v>
      </c>
      <c r="B51" s="462"/>
      <c r="C51" s="462"/>
      <c r="D51" s="463" t="s">
        <v>1382</v>
      </c>
      <c r="E51" s="465"/>
      <c r="F51" s="468"/>
      <c r="G51" s="465"/>
      <c r="H51" s="465"/>
      <c r="I51" s="465"/>
      <c r="J51" s="474"/>
      <c r="K51" s="474"/>
      <c r="L51" s="465">
        <f>SUM(L52:L56)</f>
        <v>33356.590000000004</v>
      </c>
      <c r="M51" s="465">
        <f>SUM(M52:M56)</f>
        <v>21524.959999999999</v>
      </c>
      <c r="N51" s="465">
        <f>SUM(N52:N56)</f>
        <v>21524.959999999999</v>
      </c>
      <c r="O51" s="465">
        <f>SUM(O52:O56)</f>
        <v>11831.63</v>
      </c>
      <c r="P51" s="524">
        <f t="shared" si="0"/>
        <v>0.64529857518409395</v>
      </c>
      <c r="Q51" s="525"/>
      <c r="S51" s="192">
        <v>30.35</v>
      </c>
      <c r="T51" s="192">
        <v>0</v>
      </c>
      <c r="BT51" s="525"/>
      <c r="BU51" s="523"/>
      <c r="BV51" s="523"/>
      <c r="BW51" s="523"/>
      <c r="BX51" s="523"/>
      <c r="BY51" s="523"/>
      <c r="BZ51" s="523"/>
      <c r="CA51" s="523"/>
      <c r="CB51" s="523"/>
      <c r="CC51" s="523"/>
      <c r="CD51" s="523"/>
      <c r="CE51" s="523"/>
      <c r="CF51" s="523"/>
      <c r="CG51" s="523"/>
      <c r="CH51" s="523"/>
      <c r="CI51" s="523">
        <f t="shared" si="2"/>
        <v>0</v>
      </c>
    </row>
    <row r="52" spans="1:87" s="110" customFormat="1" x14ac:dyDescent="0.2">
      <c r="A52" s="379" t="s">
        <v>1383</v>
      </c>
      <c r="B52" s="380">
        <v>92510</v>
      </c>
      <c r="C52" s="380" t="s">
        <v>1324</v>
      </c>
      <c r="D52" s="381" t="s">
        <v>1384</v>
      </c>
      <c r="E52" s="382" t="s">
        <v>14</v>
      </c>
      <c r="F52" s="137">
        <v>302.64</v>
      </c>
      <c r="G52" s="383">
        <v>93.42</v>
      </c>
      <c r="H52" s="382">
        <v>155.72999999999999</v>
      </c>
      <c r="I52" s="132">
        <f t="shared" si="3"/>
        <v>100</v>
      </c>
      <c r="J52" s="374">
        <f t="shared" si="4"/>
        <v>100</v>
      </c>
      <c r="K52" s="132">
        <f t="shared" si="11"/>
        <v>55.72999999999999</v>
      </c>
      <c r="L52" s="131">
        <f t="shared" ref="L52:O56" si="13">ROUND(H52*$G52,2)</f>
        <v>14548.3</v>
      </c>
      <c r="M52" s="131">
        <f t="shared" si="13"/>
        <v>9342</v>
      </c>
      <c r="N52" s="131">
        <f t="shared" si="13"/>
        <v>9342</v>
      </c>
      <c r="O52" s="131">
        <f t="shared" si="13"/>
        <v>5206.3</v>
      </c>
      <c r="P52" s="388">
        <f t="shared" si="0"/>
        <v>0.64213688197246421</v>
      </c>
      <c r="Q52" s="525"/>
      <c r="S52" s="192">
        <v>95.84</v>
      </c>
      <c r="T52" s="192">
        <v>0</v>
      </c>
      <c r="BT52" s="525"/>
      <c r="BU52" s="523">
        <v>100</v>
      </c>
      <c r="BV52" s="523">
        <v>0</v>
      </c>
      <c r="BW52" s="523"/>
      <c r="BX52" s="523"/>
      <c r="BY52" s="523"/>
      <c r="BZ52" s="523"/>
      <c r="CA52" s="523"/>
      <c r="CB52" s="523"/>
      <c r="CC52" s="523"/>
      <c r="CD52" s="523"/>
      <c r="CE52" s="523"/>
      <c r="CF52" s="523"/>
      <c r="CG52" s="523"/>
      <c r="CH52" s="523"/>
      <c r="CI52" s="523">
        <f t="shared" si="2"/>
        <v>100</v>
      </c>
    </row>
    <row r="53" spans="1:87" s="110" customFormat="1" ht="25.5" x14ac:dyDescent="0.2">
      <c r="A53" s="379" t="s">
        <v>1385</v>
      </c>
      <c r="B53" s="380">
        <v>92793</v>
      </c>
      <c r="C53" s="380" t="s">
        <v>1324</v>
      </c>
      <c r="D53" s="381" t="s">
        <v>1372</v>
      </c>
      <c r="E53" s="382" t="s">
        <v>35</v>
      </c>
      <c r="F53" s="137">
        <v>135.94</v>
      </c>
      <c r="G53" s="383">
        <v>4.6500000000000004</v>
      </c>
      <c r="H53" s="382">
        <v>1946.45</v>
      </c>
      <c r="I53" s="132">
        <f t="shared" si="3"/>
        <v>1800</v>
      </c>
      <c r="J53" s="374">
        <f t="shared" si="4"/>
        <v>1800</v>
      </c>
      <c r="K53" s="132">
        <f t="shared" si="11"/>
        <v>146.45000000000005</v>
      </c>
      <c r="L53" s="131">
        <f t="shared" si="13"/>
        <v>9050.99</v>
      </c>
      <c r="M53" s="131">
        <f t="shared" si="13"/>
        <v>8370</v>
      </c>
      <c r="N53" s="131">
        <f t="shared" si="13"/>
        <v>8370</v>
      </c>
      <c r="O53" s="131">
        <f t="shared" si="13"/>
        <v>680.99</v>
      </c>
      <c r="P53" s="388">
        <f t="shared" si="0"/>
        <v>0.92476071678346794</v>
      </c>
      <c r="Q53" s="525"/>
      <c r="S53" s="192">
        <v>11.599999999999994</v>
      </c>
      <c r="T53" s="192">
        <v>0</v>
      </c>
      <c r="BT53" s="525"/>
      <c r="BU53" s="523">
        <v>1800</v>
      </c>
      <c r="BV53" s="523">
        <v>0</v>
      </c>
      <c r="BW53" s="523"/>
      <c r="BX53" s="523"/>
      <c r="BY53" s="523"/>
      <c r="BZ53" s="523"/>
      <c r="CA53" s="523"/>
      <c r="CB53" s="523"/>
      <c r="CC53" s="523"/>
      <c r="CD53" s="523"/>
      <c r="CE53" s="523"/>
      <c r="CF53" s="523"/>
      <c r="CG53" s="523"/>
      <c r="CH53" s="523"/>
      <c r="CI53" s="523">
        <f t="shared" si="2"/>
        <v>1800</v>
      </c>
    </row>
    <row r="54" spans="1:87" s="110" customFormat="1" ht="25.5" x14ac:dyDescent="0.2">
      <c r="A54" s="379" t="s">
        <v>1386</v>
      </c>
      <c r="B54" s="380">
        <v>92791</v>
      </c>
      <c r="C54" s="380" t="s">
        <v>1324</v>
      </c>
      <c r="D54" s="381" t="s">
        <v>1373</v>
      </c>
      <c r="E54" s="382" t="s">
        <v>35</v>
      </c>
      <c r="F54" s="138"/>
      <c r="G54" s="383">
        <v>6.11</v>
      </c>
      <c r="H54" s="382">
        <v>240.18</v>
      </c>
      <c r="I54" s="132">
        <f t="shared" si="3"/>
        <v>200</v>
      </c>
      <c r="J54" s="374">
        <f t="shared" si="4"/>
        <v>200</v>
      </c>
      <c r="K54" s="132">
        <f t="shared" si="11"/>
        <v>40.180000000000007</v>
      </c>
      <c r="L54" s="131">
        <f t="shared" si="13"/>
        <v>1467.5</v>
      </c>
      <c r="M54" s="131">
        <f t="shared" si="13"/>
        <v>1222</v>
      </c>
      <c r="N54" s="131">
        <f t="shared" si="13"/>
        <v>1222</v>
      </c>
      <c r="O54" s="131">
        <f t="shared" si="13"/>
        <v>245.5</v>
      </c>
      <c r="P54" s="388">
        <f t="shared" si="0"/>
        <v>0.83270868824531519</v>
      </c>
      <c r="Q54" s="525"/>
      <c r="S54" s="192">
        <v>2.6700000000000017</v>
      </c>
      <c r="T54" s="192">
        <v>10.71</v>
      </c>
      <c r="BT54" s="525"/>
      <c r="BU54" s="523">
        <v>200</v>
      </c>
      <c r="BV54" s="523">
        <v>0</v>
      </c>
      <c r="BW54" s="523"/>
      <c r="BX54" s="523"/>
      <c r="BY54" s="523"/>
      <c r="BZ54" s="523"/>
      <c r="CA54" s="523"/>
      <c r="CB54" s="523"/>
      <c r="CC54" s="523"/>
      <c r="CD54" s="523"/>
      <c r="CE54" s="523"/>
      <c r="CF54" s="523"/>
      <c r="CG54" s="523"/>
      <c r="CH54" s="523"/>
      <c r="CI54" s="523">
        <f t="shared" si="2"/>
        <v>200</v>
      </c>
    </row>
    <row r="55" spans="1:87" x14ac:dyDescent="0.2">
      <c r="A55" s="379" t="s">
        <v>1387</v>
      </c>
      <c r="B55" s="380">
        <v>92720</v>
      </c>
      <c r="C55" s="380" t="s">
        <v>1324</v>
      </c>
      <c r="D55" s="381" t="s">
        <v>1375</v>
      </c>
      <c r="E55" s="382" t="s">
        <v>48</v>
      </c>
      <c r="F55" s="129"/>
      <c r="G55" s="383">
        <v>323.87</v>
      </c>
      <c r="H55" s="382">
        <v>10.71</v>
      </c>
      <c r="I55" s="132">
        <f t="shared" si="3"/>
        <v>8</v>
      </c>
      <c r="J55" s="374">
        <f t="shared" si="4"/>
        <v>8</v>
      </c>
      <c r="K55" s="132">
        <f t="shared" si="11"/>
        <v>2.7100000000000009</v>
      </c>
      <c r="L55" s="131">
        <f t="shared" si="13"/>
        <v>3468.65</v>
      </c>
      <c r="M55" s="131">
        <f t="shared" si="13"/>
        <v>2590.96</v>
      </c>
      <c r="N55" s="131">
        <f t="shared" si="13"/>
        <v>2590.96</v>
      </c>
      <c r="O55" s="131">
        <f t="shared" si="13"/>
        <v>877.69</v>
      </c>
      <c r="P55" s="388">
        <f t="shared" si="0"/>
        <v>0.7469649575483257</v>
      </c>
      <c r="Q55" s="525"/>
      <c r="S55" s="189">
        <v>0</v>
      </c>
      <c r="T55" s="189">
        <v>84.33</v>
      </c>
      <c r="BT55" s="525"/>
      <c r="BU55" s="523">
        <v>8</v>
      </c>
      <c r="BV55" s="523">
        <v>0</v>
      </c>
      <c r="BW55" s="523"/>
      <c r="BX55" s="523"/>
      <c r="BY55" s="523"/>
      <c r="BZ55" s="523"/>
      <c r="CA55" s="523"/>
      <c r="CB55" s="523"/>
      <c r="CC55" s="523"/>
      <c r="CD55" s="523"/>
      <c r="CE55" s="523"/>
      <c r="CF55" s="523"/>
      <c r="CG55" s="523"/>
      <c r="CH55" s="523"/>
      <c r="CI55" s="523">
        <f t="shared" si="2"/>
        <v>8</v>
      </c>
    </row>
    <row r="56" spans="1:87" s="514" customFormat="1" x14ac:dyDescent="0.2">
      <c r="A56" s="125" t="s">
        <v>1388</v>
      </c>
      <c r="B56" s="126" t="s">
        <v>1389</v>
      </c>
      <c r="C56" s="126" t="s">
        <v>1324</v>
      </c>
      <c r="D56" s="127" t="s">
        <v>1390</v>
      </c>
      <c r="E56" s="128" t="s">
        <v>14</v>
      </c>
      <c r="F56" s="129"/>
      <c r="G56" s="130">
        <v>57.17</v>
      </c>
      <c r="H56" s="128">
        <v>84.33</v>
      </c>
      <c r="I56" s="132">
        <f t="shared" si="3"/>
        <v>0</v>
      </c>
      <c r="J56" s="374">
        <f t="shared" si="4"/>
        <v>0</v>
      </c>
      <c r="K56" s="132">
        <f t="shared" si="11"/>
        <v>84.33</v>
      </c>
      <c r="L56" s="131">
        <f t="shared" si="13"/>
        <v>4821.1499999999996</v>
      </c>
      <c r="M56" s="131">
        <f t="shared" si="13"/>
        <v>0</v>
      </c>
      <c r="N56" s="131">
        <f t="shared" si="13"/>
        <v>0</v>
      </c>
      <c r="O56" s="131">
        <f t="shared" si="13"/>
        <v>4821.1499999999996</v>
      </c>
      <c r="P56" s="136">
        <f t="shared" si="0"/>
        <v>0</v>
      </c>
      <c r="Q56" s="525"/>
      <c r="S56" s="190">
        <v>0</v>
      </c>
      <c r="T56" s="190">
        <v>0</v>
      </c>
      <c r="BT56" s="525"/>
      <c r="BU56" s="523">
        <v>0</v>
      </c>
      <c r="BV56" s="523">
        <v>0</v>
      </c>
      <c r="BW56" s="523"/>
      <c r="BX56" s="523"/>
      <c r="BY56" s="523"/>
      <c r="BZ56" s="523"/>
      <c r="CA56" s="523"/>
      <c r="CB56" s="523"/>
      <c r="CC56" s="523"/>
      <c r="CD56" s="523"/>
      <c r="CE56" s="523"/>
      <c r="CF56" s="523"/>
      <c r="CG56" s="523"/>
      <c r="CH56" s="523"/>
      <c r="CI56" s="523">
        <f t="shared" si="2"/>
        <v>0</v>
      </c>
    </row>
    <row r="57" spans="1:87" x14ac:dyDescent="0.2">
      <c r="A57" s="449" t="s">
        <v>1391</v>
      </c>
      <c r="B57" s="450"/>
      <c r="C57" s="450"/>
      <c r="D57" s="451" t="s">
        <v>1392</v>
      </c>
      <c r="E57" s="465"/>
      <c r="F57" s="468"/>
      <c r="G57" s="465"/>
      <c r="H57" s="465"/>
      <c r="I57" s="465"/>
      <c r="J57" s="474"/>
      <c r="K57" s="526"/>
      <c r="L57" s="468">
        <f>SUM(L58:L61)</f>
        <v>13794.349999999999</v>
      </c>
      <c r="M57" s="468">
        <f>SUM(M58:M61)</f>
        <v>0</v>
      </c>
      <c r="N57" s="468">
        <f>SUM(N58:N61)</f>
        <v>0</v>
      </c>
      <c r="O57" s="468">
        <f>SUM(O58:O61)</f>
        <v>13794.349999999999</v>
      </c>
      <c r="P57" s="459">
        <f t="shared" si="0"/>
        <v>0</v>
      </c>
      <c r="Q57" s="525"/>
      <c r="S57" s="189">
        <v>0</v>
      </c>
      <c r="T57" s="189">
        <v>0</v>
      </c>
      <c r="BT57" s="525"/>
      <c r="BU57" s="523"/>
      <c r="BV57" s="523"/>
      <c r="BW57" s="523"/>
      <c r="BX57" s="523"/>
      <c r="BY57" s="523"/>
      <c r="BZ57" s="523"/>
      <c r="CA57" s="523"/>
      <c r="CB57" s="523"/>
      <c r="CC57" s="523"/>
      <c r="CD57" s="523"/>
      <c r="CE57" s="523"/>
      <c r="CF57" s="523"/>
      <c r="CG57" s="523"/>
      <c r="CH57" s="523"/>
      <c r="CI57" s="523">
        <f t="shared" si="2"/>
        <v>0</v>
      </c>
    </row>
    <row r="58" spans="1:87" x14ac:dyDescent="0.2">
      <c r="A58" s="125" t="s">
        <v>1393</v>
      </c>
      <c r="B58" s="126">
        <v>92510</v>
      </c>
      <c r="C58" s="126" t="s">
        <v>1324</v>
      </c>
      <c r="D58" s="127" t="s">
        <v>1384</v>
      </c>
      <c r="E58" s="128" t="s">
        <v>14</v>
      </c>
      <c r="F58" s="137">
        <v>41.64</v>
      </c>
      <c r="G58" s="130">
        <v>93.42</v>
      </c>
      <c r="H58" s="128">
        <v>111.8</v>
      </c>
      <c r="I58" s="132">
        <f t="shared" si="3"/>
        <v>0</v>
      </c>
      <c r="J58" s="374">
        <f t="shared" si="4"/>
        <v>0</v>
      </c>
      <c r="K58" s="137">
        <f t="shared" ref="K58:K68" si="14">H58-J58</f>
        <v>111.8</v>
      </c>
      <c r="L58" s="131">
        <f t="shared" ref="L58:O61" si="15">ROUND(H58*$G58,2)</f>
        <v>10444.36</v>
      </c>
      <c r="M58" s="131">
        <f t="shared" si="15"/>
        <v>0</v>
      </c>
      <c r="N58" s="131">
        <f t="shared" si="15"/>
        <v>0</v>
      </c>
      <c r="O58" s="131">
        <f t="shared" si="15"/>
        <v>10444.36</v>
      </c>
      <c r="P58" s="136">
        <f t="shared" si="0"/>
        <v>0</v>
      </c>
      <c r="Q58" s="525"/>
      <c r="S58" s="189">
        <v>0</v>
      </c>
      <c r="T58" s="189">
        <v>0</v>
      </c>
      <c r="BT58" s="525"/>
      <c r="BU58" s="523">
        <v>0</v>
      </c>
      <c r="BV58" s="523">
        <v>0</v>
      </c>
      <c r="BW58" s="523"/>
      <c r="BX58" s="523"/>
      <c r="BY58" s="523"/>
      <c r="BZ58" s="523"/>
      <c r="CA58" s="523"/>
      <c r="CB58" s="523"/>
      <c r="CC58" s="523"/>
      <c r="CD58" s="523"/>
      <c r="CE58" s="523"/>
      <c r="CF58" s="523"/>
      <c r="CG58" s="523"/>
      <c r="CH58" s="523"/>
      <c r="CI58" s="523">
        <f t="shared" si="2"/>
        <v>0</v>
      </c>
    </row>
    <row r="59" spans="1:87" ht="25.5" x14ac:dyDescent="0.2">
      <c r="A59" s="125" t="s">
        <v>1394</v>
      </c>
      <c r="B59" s="126">
        <v>92793</v>
      </c>
      <c r="C59" s="126" t="s">
        <v>1324</v>
      </c>
      <c r="D59" s="127" t="s">
        <v>1372</v>
      </c>
      <c r="E59" s="128" t="s">
        <v>35</v>
      </c>
      <c r="F59" s="137">
        <v>7.91</v>
      </c>
      <c r="G59" s="130">
        <v>4.6500000000000004</v>
      </c>
      <c r="H59" s="128">
        <v>135.38999999999999</v>
      </c>
      <c r="I59" s="132">
        <f t="shared" si="3"/>
        <v>0</v>
      </c>
      <c r="J59" s="374">
        <f t="shared" si="4"/>
        <v>0</v>
      </c>
      <c r="K59" s="137">
        <f t="shared" si="14"/>
        <v>135.38999999999999</v>
      </c>
      <c r="L59" s="131">
        <f t="shared" si="15"/>
        <v>629.55999999999995</v>
      </c>
      <c r="M59" s="131">
        <f t="shared" si="15"/>
        <v>0</v>
      </c>
      <c r="N59" s="131">
        <f t="shared" si="15"/>
        <v>0</v>
      </c>
      <c r="O59" s="131">
        <f t="shared" si="15"/>
        <v>629.55999999999995</v>
      </c>
      <c r="P59" s="136">
        <f t="shared" si="0"/>
        <v>0</v>
      </c>
      <c r="Q59" s="525"/>
      <c r="S59" s="189">
        <v>0</v>
      </c>
      <c r="T59" s="189">
        <v>0</v>
      </c>
      <c r="BT59" s="525"/>
      <c r="BU59" s="523">
        <v>0</v>
      </c>
      <c r="BV59" s="523">
        <v>0</v>
      </c>
      <c r="BW59" s="523"/>
      <c r="BX59" s="523"/>
      <c r="BY59" s="523"/>
      <c r="BZ59" s="523"/>
      <c r="CA59" s="523"/>
      <c r="CB59" s="523"/>
      <c r="CC59" s="523"/>
      <c r="CD59" s="523"/>
      <c r="CE59" s="523"/>
      <c r="CF59" s="523"/>
      <c r="CG59" s="523"/>
      <c r="CH59" s="523"/>
      <c r="CI59" s="523">
        <f t="shared" si="2"/>
        <v>0</v>
      </c>
    </row>
    <row r="60" spans="1:87" ht="25.5" x14ac:dyDescent="0.2">
      <c r="A60" s="125" t="s">
        <v>1395</v>
      </c>
      <c r="B60" s="126">
        <v>92791</v>
      </c>
      <c r="C60" s="126" t="s">
        <v>1324</v>
      </c>
      <c r="D60" s="127" t="s">
        <v>1373</v>
      </c>
      <c r="E60" s="128" t="s">
        <v>35</v>
      </c>
      <c r="F60" s="137">
        <v>53.52</v>
      </c>
      <c r="G60" s="130">
        <v>6.11</v>
      </c>
      <c r="H60" s="128">
        <v>95.93</v>
      </c>
      <c r="I60" s="132">
        <f t="shared" si="3"/>
        <v>0</v>
      </c>
      <c r="J60" s="374">
        <f t="shared" si="4"/>
        <v>0</v>
      </c>
      <c r="K60" s="137">
        <f t="shared" si="14"/>
        <v>95.93</v>
      </c>
      <c r="L60" s="131">
        <f t="shared" si="15"/>
        <v>586.13</v>
      </c>
      <c r="M60" s="131">
        <f t="shared" si="15"/>
        <v>0</v>
      </c>
      <c r="N60" s="131">
        <f t="shared" si="15"/>
        <v>0</v>
      </c>
      <c r="O60" s="131">
        <f t="shared" si="15"/>
        <v>586.13</v>
      </c>
      <c r="P60" s="136">
        <f t="shared" si="0"/>
        <v>0</v>
      </c>
      <c r="Q60" s="525"/>
      <c r="S60" s="189">
        <v>0</v>
      </c>
      <c r="T60" s="189">
        <v>0</v>
      </c>
      <c r="BT60" s="525"/>
      <c r="BU60" s="523">
        <v>0</v>
      </c>
      <c r="BV60" s="523">
        <v>0</v>
      </c>
      <c r="BW60" s="523"/>
      <c r="BX60" s="523"/>
      <c r="BY60" s="523"/>
      <c r="BZ60" s="523"/>
      <c r="CA60" s="523"/>
      <c r="CB60" s="523"/>
      <c r="CC60" s="523"/>
      <c r="CD60" s="523"/>
      <c r="CE60" s="523"/>
      <c r="CF60" s="523"/>
      <c r="CG60" s="523"/>
      <c r="CH60" s="523"/>
      <c r="CI60" s="523">
        <f t="shared" si="2"/>
        <v>0</v>
      </c>
    </row>
    <row r="61" spans="1:87" s="514" customFormat="1" x14ac:dyDescent="0.2">
      <c r="A61" s="125" t="s">
        <v>1396</v>
      </c>
      <c r="B61" s="126">
        <v>92720</v>
      </c>
      <c r="C61" s="126" t="s">
        <v>1324</v>
      </c>
      <c r="D61" s="127" t="s">
        <v>1375</v>
      </c>
      <c r="E61" s="128" t="s">
        <v>48</v>
      </c>
      <c r="F61" s="137">
        <v>203.72</v>
      </c>
      <c r="G61" s="130">
        <v>323.87</v>
      </c>
      <c r="H61" s="128">
        <v>6.59</v>
      </c>
      <c r="I61" s="132">
        <f t="shared" si="3"/>
        <v>0</v>
      </c>
      <c r="J61" s="374">
        <f t="shared" si="4"/>
        <v>0</v>
      </c>
      <c r="K61" s="137">
        <f t="shared" si="14"/>
        <v>6.59</v>
      </c>
      <c r="L61" s="131">
        <f t="shared" si="15"/>
        <v>2134.3000000000002</v>
      </c>
      <c r="M61" s="131">
        <f t="shared" si="15"/>
        <v>0</v>
      </c>
      <c r="N61" s="131">
        <f t="shared" si="15"/>
        <v>0</v>
      </c>
      <c r="O61" s="131">
        <f t="shared" si="15"/>
        <v>2134.3000000000002</v>
      </c>
      <c r="P61" s="136">
        <f t="shared" si="0"/>
        <v>0</v>
      </c>
      <c r="Q61" s="525"/>
      <c r="S61" s="190">
        <v>0</v>
      </c>
      <c r="T61" s="190">
        <v>0</v>
      </c>
      <c r="BT61" s="525"/>
      <c r="BU61" s="523">
        <v>0</v>
      </c>
      <c r="BV61" s="523">
        <v>0</v>
      </c>
      <c r="BW61" s="523"/>
      <c r="BX61" s="523"/>
      <c r="BY61" s="523"/>
      <c r="BZ61" s="523"/>
      <c r="CA61" s="523"/>
      <c r="CB61" s="523"/>
      <c r="CC61" s="523"/>
      <c r="CD61" s="523"/>
      <c r="CE61" s="523"/>
      <c r="CF61" s="523"/>
      <c r="CG61" s="523"/>
      <c r="CH61" s="523"/>
      <c r="CI61" s="523">
        <f t="shared" si="2"/>
        <v>0</v>
      </c>
    </row>
    <row r="62" spans="1:87" x14ac:dyDescent="0.2">
      <c r="A62" s="449" t="s">
        <v>1397</v>
      </c>
      <c r="B62" s="450"/>
      <c r="C62" s="450"/>
      <c r="D62" s="451" t="s">
        <v>1398</v>
      </c>
      <c r="E62" s="465"/>
      <c r="F62" s="465"/>
      <c r="G62" s="465"/>
      <c r="H62" s="465"/>
      <c r="I62" s="465"/>
      <c r="J62" s="465"/>
      <c r="K62" s="465"/>
      <c r="L62" s="452">
        <f>SUM(L63:L66)</f>
        <v>23465.25</v>
      </c>
      <c r="M62" s="452">
        <f>SUM(M63:M66)</f>
        <v>0</v>
      </c>
      <c r="N62" s="452">
        <f>SUM(N63:N66)</f>
        <v>0</v>
      </c>
      <c r="O62" s="452">
        <f>SUM(O63:O66)</f>
        <v>23465.25</v>
      </c>
      <c r="P62" s="459">
        <f t="shared" si="0"/>
        <v>0</v>
      </c>
      <c r="Q62" s="525"/>
      <c r="S62" s="189">
        <v>0</v>
      </c>
      <c r="T62" s="189">
        <v>0</v>
      </c>
      <c r="BT62" s="525"/>
      <c r="BU62" s="523"/>
      <c r="BV62" s="523"/>
      <c r="BW62" s="523"/>
      <c r="BX62" s="523"/>
      <c r="BY62" s="523"/>
      <c r="BZ62" s="523"/>
      <c r="CA62" s="523"/>
      <c r="CB62" s="523"/>
      <c r="CC62" s="523"/>
      <c r="CD62" s="523"/>
      <c r="CE62" s="523"/>
      <c r="CF62" s="523"/>
      <c r="CG62" s="523"/>
      <c r="CH62" s="523"/>
      <c r="CI62" s="523">
        <f t="shared" si="2"/>
        <v>0</v>
      </c>
    </row>
    <row r="63" spans="1:87" x14ac:dyDescent="0.2">
      <c r="A63" s="125" t="s">
        <v>1399</v>
      </c>
      <c r="B63" s="126">
        <v>92422</v>
      </c>
      <c r="C63" s="126" t="s">
        <v>1324</v>
      </c>
      <c r="D63" s="127" t="s">
        <v>1384</v>
      </c>
      <c r="E63" s="128" t="s">
        <v>14</v>
      </c>
      <c r="F63" s="137">
        <v>52.6</v>
      </c>
      <c r="G63" s="130">
        <v>93.42</v>
      </c>
      <c r="H63" s="128">
        <v>10.8</v>
      </c>
      <c r="I63" s="132">
        <f t="shared" si="3"/>
        <v>0</v>
      </c>
      <c r="J63" s="374">
        <f t="shared" si="4"/>
        <v>0</v>
      </c>
      <c r="K63" s="137">
        <f t="shared" si="14"/>
        <v>10.8</v>
      </c>
      <c r="L63" s="131">
        <f t="shared" ref="L63:O66" si="16">ROUND(H63*$G63,2)</f>
        <v>1008.94</v>
      </c>
      <c r="M63" s="131">
        <f t="shared" si="16"/>
        <v>0</v>
      </c>
      <c r="N63" s="131">
        <f t="shared" si="16"/>
        <v>0</v>
      </c>
      <c r="O63" s="131">
        <f t="shared" si="16"/>
        <v>1008.94</v>
      </c>
      <c r="P63" s="136">
        <f t="shared" si="0"/>
        <v>0</v>
      </c>
      <c r="Q63" s="525"/>
      <c r="S63" s="189">
        <v>0</v>
      </c>
      <c r="T63" s="189">
        <v>0</v>
      </c>
      <c r="BT63" s="525"/>
      <c r="BU63" s="523">
        <v>0</v>
      </c>
      <c r="BV63" s="523">
        <v>0</v>
      </c>
      <c r="BW63" s="523"/>
      <c r="BX63" s="523"/>
      <c r="BY63" s="523"/>
      <c r="BZ63" s="523"/>
      <c r="CA63" s="523"/>
      <c r="CB63" s="523"/>
      <c r="CC63" s="523"/>
      <c r="CD63" s="523"/>
      <c r="CE63" s="523"/>
      <c r="CF63" s="523"/>
      <c r="CG63" s="523"/>
      <c r="CH63" s="523"/>
      <c r="CI63" s="523">
        <f t="shared" si="2"/>
        <v>0</v>
      </c>
    </row>
    <row r="64" spans="1:87" x14ac:dyDescent="0.2">
      <c r="A64" s="125" t="s">
        <v>1400</v>
      </c>
      <c r="B64" s="126" t="s">
        <v>1401</v>
      </c>
      <c r="C64" s="126" t="s">
        <v>1324</v>
      </c>
      <c r="D64" s="127" t="s">
        <v>1402</v>
      </c>
      <c r="E64" s="128" t="s">
        <v>48</v>
      </c>
      <c r="F64" s="137">
        <v>49.48</v>
      </c>
      <c r="G64" s="130">
        <v>98.55</v>
      </c>
      <c r="H64" s="128">
        <v>33.83</v>
      </c>
      <c r="I64" s="132">
        <f t="shared" si="3"/>
        <v>0</v>
      </c>
      <c r="J64" s="374">
        <f t="shared" si="4"/>
        <v>0</v>
      </c>
      <c r="K64" s="137">
        <f t="shared" si="14"/>
        <v>33.83</v>
      </c>
      <c r="L64" s="131">
        <f t="shared" si="16"/>
        <v>3333.95</v>
      </c>
      <c r="M64" s="131">
        <f t="shared" si="16"/>
        <v>0</v>
      </c>
      <c r="N64" s="131">
        <f t="shared" si="16"/>
        <v>0</v>
      </c>
      <c r="O64" s="131">
        <f t="shared" si="16"/>
        <v>3333.95</v>
      </c>
      <c r="P64" s="136">
        <f t="shared" si="0"/>
        <v>0</v>
      </c>
      <c r="Q64" s="525"/>
      <c r="S64" s="189">
        <v>0</v>
      </c>
      <c r="T64" s="189">
        <v>0</v>
      </c>
      <c r="BT64" s="525"/>
      <c r="BU64" s="523">
        <v>0</v>
      </c>
      <c r="BV64" s="523">
        <v>0</v>
      </c>
      <c r="BW64" s="523"/>
      <c r="BX64" s="523"/>
      <c r="BY64" s="523"/>
      <c r="BZ64" s="523"/>
      <c r="CA64" s="523"/>
      <c r="CB64" s="523"/>
      <c r="CC64" s="523"/>
      <c r="CD64" s="523"/>
      <c r="CE64" s="523"/>
      <c r="CF64" s="523"/>
      <c r="CG64" s="523"/>
      <c r="CH64" s="523"/>
      <c r="CI64" s="523">
        <f t="shared" si="2"/>
        <v>0</v>
      </c>
    </row>
    <row r="65" spans="1:87" x14ac:dyDescent="0.2">
      <c r="A65" s="125" t="s">
        <v>1403</v>
      </c>
      <c r="B65" s="126">
        <v>85662</v>
      </c>
      <c r="C65" s="126" t="s">
        <v>1324</v>
      </c>
      <c r="D65" s="127" t="s">
        <v>1404</v>
      </c>
      <c r="E65" s="128" t="s">
        <v>14</v>
      </c>
      <c r="F65" s="138"/>
      <c r="G65" s="130">
        <v>10.34</v>
      </c>
      <c r="H65" s="128">
        <v>1001.47</v>
      </c>
      <c r="I65" s="132">
        <f t="shared" si="3"/>
        <v>0</v>
      </c>
      <c r="J65" s="374">
        <f t="shared" si="4"/>
        <v>0</v>
      </c>
      <c r="K65" s="137">
        <f t="shared" si="14"/>
        <v>1001.47</v>
      </c>
      <c r="L65" s="131">
        <f t="shared" si="16"/>
        <v>10355.200000000001</v>
      </c>
      <c r="M65" s="131">
        <f t="shared" si="16"/>
        <v>0</v>
      </c>
      <c r="N65" s="131">
        <f t="shared" si="16"/>
        <v>0</v>
      </c>
      <c r="O65" s="131">
        <f t="shared" si="16"/>
        <v>10355.200000000001</v>
      </c>
      <c r="P65" s="136">
        <f t="shared" si="0"/>
        <v>0</v>
      </c>
      <c r="Q65" s="525"/>
      <c r="S65" s="189">
        <v>0</v>
      </c>
      <c r="T65" s="189">
        <v>0</v>
      </c>
      <c r="BT65" s="525"/>
      <c r="BU65" s="523">
        <v>0</v>
      </c>
      <c r="BV65" s="523">
        <v>0</v>
      </c>
      <c r="BW65" s="523"/>
      <c r="BX65" s="523"/>
      <c r="BY65" s="523"/>
      <c r="BZ65" s="523"/>
      <c r="CA65" s="523"/>
      <c r="CB65" s="523"/>
      <c r="CC65" s="523"/>
      <c r="CD65" s="523"/>
      <c r="CE65" s="523"/>
      <c r="CF65" s="523"/>
      <c r="CG65" s="523"/>
      <c r="CH65" s="523"/>
      <c r="CI65" s="523">
        <f t="shared" si="2"/>
        <v>0</v>
      </c>
    </row>
    <row r="66" spans="1:87" s="514" customFormat="1" x14ac:dyDescent="0.2">
      <c r="A66" s="125" t="s">
        <v>1405</v>
      </c>
      <c r="B66" s="126">
        <v>92720</v>
      </c>
      <c r="C66" s="126" t="s">
        <v>1324</v>
      </c>
      <c r="D66" s="127" t="s">
        <v>1375</v>
      </c>
      <c r="E66" s="128" t="s">
        <v>48</v>
      </c>
      <c r="F66" s="129"/>
      <c r="G66" s="130">
        <v>323.87</v>
      </c>
      <c r="H66" s="128">
        <v>27.07</v>
      </c>
      <c r="I66" s="132">
        <f t="shared" si="3"/>
        <v>0</v>
      </c>
      <c r="J66" s="374">
        <f t="shared" si="4"/>
        <v>0</v>
      </c>
      <c r="K66" s="137">
        <f t="shared" si="14"/>
        <v>27.07</v>
      </c>
      <c r="L66" s="131">
        <f t="shared" si="16"/>
        <v>8767.16</v>
      </c>
      <c r="M66" s="131">
        <f t="shared" si="16"/>
        <v>0</v>
      </c>
      <c r="N66" s="131">
        <f t="shared" si="16"/>
        <v>0</v>
      </c>
      <c r="O66" s="131">
        <f t="shared" si="16"/>
        <v>8767.16</v>
      </c>
      <c r="P66" s="136">
        <f t="shared" si="0"/>
        <v>0</v>
      </c>
      <c r="Q66" s="525"/>
      <c r="S66" s="190">
        <v>0</v>
      </c>
      <c r="T66" s="190">
        <v>33.9</v>
      </c>
      <c r="BT66" s="525"/>
      <c r="BU66" s="523">
        <v>0</v>
      </c>
      <c r="BV66" s="523">
        <v>0</v>
      </c>
      <c r="BW66" s="523"/>
      <c r="BX66" s="523"/>
      <c r="BY66" s="523"/>
      <c r="BZ66" s="523"/>
      <c r="CA66" s="523"/>
      <c r="CB66" s="523"/>
      <c r="CC66" s="523"/>
      <c r="CD66" s="523"/>
      <c r="CE66" s="523"/>
      <c r="CF66" s="523"/>
      <c r="CG66" s="523"/>
      <c r="CH66" s="523"/>
      <c r="CI66" s="523">
        <f t="shared" si="2"/>
        <v>0</v>
      </c>
    </row>
    <row r="67" spans="1:87" x14ac:dyDescent="0.2">
      <c r="A67" s="449" t="s">
        <v>1406</v>
      </c>
      <c r="B67" s="450"/>
      <c r="C67" s="450"/>
      <c r="D67" s="451" t="s">
        <v>1407</v>
      </c>
      <c r="E67" s="465"/>
      <c r="F67" s="465"/>
      <c r="G67" s="465"/>
      <c r="H67" s="465"/>
      <c r="I67" s="465"/>
      <c r="J67" s="465"/>
      <c r="K67" s="465"/>
      <c r="L67" s="452">
        <f>L68</f>
        <v>912.59</v>
      </c>
      <c r="M67" s="452">
        <f>M68</f>
        <v>0</v>
      </c>
      <c r="N67" s="452">
        <f>N68</f>
        <v>0</v>
      </c>
      <c r="O67" s="452">
        <f>O68</f>
        <v>912.59</v>
      </c>
      <c r="P67" s="459">
        <f t="shared" si="0"/>
        <v>0</v>
      </c>
      <c r="Q67" s="525"/>
      <c r="S67" s="189">
        <v>0</v>
      </c>
      <c r="T67" s="189">
        <v>33.9</v>
      </c>
      <c r="BT67" s="525"/>
      <c r="BU67" s="523"/>
      <c r="BV67" s="523"/>
      <c r="BW67" s="523"/>
      <c r="BX67" s="523"/>
      <c r="BY67" s="523"/>
      <c r="BZ67" s="523"/>
      <c r="CA67" s="523"/>
      <c r="CB67" s="523"/>
      <c r="CC67" s="523"/>
      <c r="CD67" s="523"/>
      <c r="CE67" s="523"/>
      <c r="CF67" s="523"/>
      <c r="CG67" s="523"/>
      <c r="CH67" s="523"/>
      <c r="CI67" s="523">
        <f t="shared" si="2"/>
        <v>0</v>
      </c>
    </row>
    <row r="68" spans="1:87" s="514" customFormat="1" x14ac:dyDescent="0.2">
      <c r="A68" s="125" t="s">
        <v>1408</v>
      </c>
      <c r="B68" s="126" t="s">
        <v>1409</v>
      </c>
      <c r="C68" s="126" t="s">
        <v>1324</v>
      </c>
      <c r="D68" s="127" t="s">
        <v>1410</v>
      </c>
      <c r="E68" s="128" t="s">
        <v>81</v>
      </c>
      <c r="F68" s="137">
        <v>329.55</v>
      </c>
      <c r="G68" s="130">
        <v>26.92</v>
      </c>
      <c r="H68" s="128">
        <v>33.9</v>
      </c>
      <c r="I68" s="132">
        <f t="shared" si="3"/>
        <v>0</v>
      </c>
      <c r="J68" s="374">
        <f t="shared" si="4"/>
        <v>0</v>
      </c>
      <c r="K68" s="137">
        <f t="shared" si="14"/>
        <v>33.9</v>
      </c>
      <c r="L68" s="131">
        <f>ROUND(H68*$G68,2)</f>
        <v>912.59</v>
      </c>
      <c r="M68" s="131">
        <f>ROUND(I68*$G68,2)</f>
        <v>0</v>
      </c>
      <c r="N68" s="131">
        <f>ROUND(J68*$G68,2)</f>
        <v>0</v>
      </c>
      <c r="O68" s="131">
        <f>ROUND(K68*$G68,2)</f>
        <v>912.59</v>
      </c>
      <c r="P68" s="136">
        <f t="shared" si="0"/>
        <v>0</v>
      </c>
      <c r="Q68" s="525"/>
      <c r="S68" s="190">
        <v>0</v>
      </c>
      <c r="T68" s="190">
        <v>0</v>
      </c>
      <c r="BT68" s="525"/>
      <c r="BU68" s="523">
        <v>0</v>
      </c>
      <c r="BV68" s="523">
        <v>0</v>
      </c>
      <c r="BW68" s="523"/>
      <c r="BX68" s="523"/>
      <c r="BY68" s="523"/>
      <c r="BZ68" s="523"/>
      <c r="CA68" s="523"/>
      <c r="CB68" s="523"/>
      <c r="CC68" s="523"/>
      <c r="CD68" s="523"/>
      <c r="CE68" s="523"/>
      <c r="CF68" s="523"/>
      <c r="CG68" s="523"/>
      <c r="CH68" s="523"/>
      <c r="CI68" s="523">
        <f t="shared" si="2"/>
        <v>0</v>
      </c>
    </row>
    <row r="69" spans="1:87" s="514" customFormat="1" x14ac:dyDescent="0.2">
      <c r="A69" s="412">
        <v>5</v>
      </c>
      <c r="B69" s="413"/>
      <c r="C69" s="413"/>
      <c r="D69" s="414" t="s">
        <v>1411</v>
      </c>
      <c r="E69" s="415"/>
      <c r="F69" s="415"/>
      <c r="G69" s="415"/>
      <c r="H69" s="415"/>
      <c r="I69" s="415"/>
      <c r="J69" s="415"/>
      <c r="K69" s="415"/>
      <c r="L69" s="424">
        <f>SUM(L70,L72,L75)</f>
        <v>31428.92</v>
      </c>
      <c r="M69" s="424">
        <f>SUM(M70,M72,M75)</f>
        <v>5836.6</v>
      </c>
      <c r="N69" s="424">
        <f>SUM(N70,N72,N75)</f>
        <v>5836.6</v>
      </c>
      <c r="O69" s="424">
        <f>SUM(O70,O72,O75)</f>
        <v>25592.329999999998</v>
      </c>
      <c r="P69" s="423">
        <f t="shared" si="0"/>
        <v>0.18570794033011637</v>
      </c>
      <c r="Q69" s="525"/>
      <c r="S69" s="190">
        <v>0</v>
      </c>
      <c r="T69" s="190">
        <v>0</v>
      </c>
      <c r="BT69" s="525"/>
      <c r="BU69" s="523"/>
      <c r="BV69" s="523"/>
      <c r="BW69" s="523"/>
      <c r="BX69" s="523"/>
      <c r="BY69" s="523"/>
      <c r="BZ69" s="523"/>
      <c r="CA69" s="523"/>
      <c r="CB69" s="523"/>
      <c r="CC69" s="523"/>
      <c r="CD69" s="523"/>
      <c r="CE69" s="523"/>
      <c r="CF69" s="523"/>
      <c r="CG69" s="523"/>
      <c r="CH69" s="523"/>
      <c r="CI69" s="523">
        <f t="shared" si="2"/>
        <v>0</v>
      </c>
    </row>
    <row r="70" spans="1:87" x14ac:dyDescent="0.2">
      <c r="A70" s="449" t="s">
        <v>98</v>
      </c>
      <c r="B70" s="450"/>
      <c r="C70" s="450"/>
      <c r="D70" s="451" t="s">
        <v>1412</v>
      </c>
      <c r="E70" s="465"/>
      <c r="F70" s="465"/>
      <c r="G70" s="465"/>
      <c r="H70" s="465"/>
      <c r="I70" s="465"/>
      <c r="J70" s="465"/>
      <c r="K70" s="465"/>
      <c r="L70" s="452">
        <f>L71</f>
        <v>7200.78</v>
      </c>
      <c r="M70" s="452">
        <f>M71</f>
        <v>0</v>
      </c>
      <c r="N70" s="452">
        <f>N71</f>
        <v>0</v>
      </c>
      <c r="O70" s="452">
        <f>O71</f>
        <v>7200.78</v>
      </c>
      <c r="P70" s="459">
        <f t="shared" si="0"/>
        <v>0</v>
      </c>
      <c r="Q70" s="525"/>
      <c r="S70" s="189">
        <v>0</v>
      </c>
      <c r="T70" s="189">
        <v>0</v>
      </c>
      <c r="BT70" s="525"/>
      <c r="BU70" s="523"/>
      <c r="BV70" s="523"/>
      <c r="BW70" s="523"/>
      <c r="BX70" s="523"/>
      <c r="BY70" s="523"/>
      <c r="BZ70" s="523"/>
      <c r="CA70" s="523"/>
      <c r="CB70" s="523"/>
      <c r="CC70" s="523"/>
      <c r="CD70" s="523"/>
      <c r="CE70" s="523"/>
      <c r="CF70" s="523"/>
      <c r="CG70" s="523"/>
      <c r="CH70" s="523"/>
      <c r="CI70" s="523">
        <f t="shared" si="2"/>
        <v>0</v>
      </c>
    </row>
    <row r="71" spans="1:87" s="514" customFormat="1" ht="25.5" x14ac:dyDescent="0.2">
      <c r="A71" s="125" t="s">
        <v>100</v>
      </c>
      <c r="B71" s="126" t="s">
        <v>1413</v>
      </c>
      <c r="C71" s="126" t="s">
        <v>1324</v>
      </c>
      <c r="D71" s="127" t="s">
        <v>1414</v>
      </c>
      <c r="E71" s="128" t="s">
        <v>14</v>
      </c>
      <c r="F71" s="137">
        <v>222.6</v>
      </c>
      <c r="G71" s="130">
        <v>53.45</v>
      </c>
      <c r="H71" s="128">
        <v>134.72</v>
      </c>
      <c r="I71" s="132">
        <f t="shared" si="3"/>
        <v>0</v>
      </c>
      <c r="J71" s="374">
        <f t="shared" si="4"/>
        <v>0</v>
      </c>
      <c r="K71" s="137">
        <f>H71-J71</f>
        <v>134.72</v>
      </c>
      <c r="L71" s="131">
        <f>ROUND(H71*$G71,2)</f>
        <v>7200.78</v>
      </c>
      <c r="M71" s="131">
        <f>ROUND(I71*$G71,2)</f>
        <v>0</v>
      </c>
      <c r="N71" s="131">
        <f>ROUND(J71*$G71,2)</f>
        <v>0</v>
      </c>
      <c r="O71" s="131">
        <f>ROUND(K71*$G71,2)</f>
        <v>7200.78</v>
      </c>
      <c r="P71" s="136">
        <f t="shared" si="0"/>
        <v>0</v>
      </c>
      <c r="Q71" s="525"/>
      <c r="S71" s="190">
        <v>0</v>
      </c>
      <c r="T71" s="190">
        <v>328.62</v>
      </c>
      <c r="BT71" s="525"/>
      <c r="BU71" s="523">
        <v>0</v>
      </c>
      <c r="BV71" s="523">
        <v>0</v>
      </c>
      <c r="BW71" s="523"/>
      <c r="BX71" s="523"/>
      <c r="BY71" s="523"/>
      <c r="BZ71" s="523"/>
      <c r="CA71" s="523"/>
      <c r="CB71" s="523"/>
      <c r="CC71" s="523"/>
      <c r="CD71" s="523"/>
      <c r="CE71" s="523"/>
      <c r="CF71" s="523"/>
      <c r="CG71" s="523"/>
      <c r="CH71" s="523"/>
      <c r="CI71" s="523">
        <f t="shared" si="2"/>
        <v>0</v>
      </c>
    </row>
    <row r="72" spans="1:87" x14ac:dyDescent="0.2">
      <c r="A72" s="449" t="s">
        <v>116</v>
      </c>
      <c r="B72" s="450"/>
      <c r="C72" s="450"/>
      <c r="D72" s="451" t="s">
        <v>1415</v>
      </c>
      <c r="E72" s="465"/>
      <c r="F72" s="465"/>
      <c r="G72" s="465"/>
      <c r="H72" s="465"/>
      <c r="I72" s="465"/>
      <c r="J72" s="465"/>
      <c r="K72" s="465"/>
      <c r="L72" s="468">
        <f>SUM(L73:L74)</f>
        <v>15726.869999999999</v>
      </c>
      <c r="M72" s="468">
        <f>SUM(M73:M74)</f>
        <v>5836.6</v>
      </c>
      <c r="N72" s="468">
        <f>SUM(N73:N74)</f>
        <v>5836.6</v>
      </c>
      <c r="O72" s="468">
        <f>SUM(O73:O74)</f>
        <v>9890.2799999999988</v>
      </c>
      <c r="P72" s="459">
        <f t="shared" si="0"/>
        <v>0.37112279811558185</v>
      </c>
      <c r="Q72" s="525"/>
      <c r="S72" s="189">
        <v>0</v>
      </c>
      <c r="T72" s="189">
        <v>259.22000000000003</v>
      </c>
      <c r="BT72" s="525"/>
      <c r="BU72" s="523"/>
      <c r="BV72" s="523"/>
      <c r="BW72" s="523"/>
      <c r="BX72" s="523"/>
      <c r="BY72" s="523"/>
      <c r="BZ72" s="523"/>
      <c r="CA72" s="523"/>
      <c r="CB72" s="523"/>
      <c r="CC72" s="523"/>
      <c r="CD72" s="523"/>
      <c r="CE72" s="523"/>
      <c r="CF72" s="523"/>
      <c r="CG72" s="523"/>
      <c r="CH72" s="523"/>
      <c r="CI72" s="523">
        <f t="shared" si="2"/>
        <v>0</v>
      </c>
    </row>
    <row r="73" spans="1:87" ht="25.5" x14ac:dyDescent="0.2">
      <c r="A73" s="125" t="s">
        <v>118</v>
      </c>
      <c r="B73" s="126">
        <v>87519</v>
      </c>
      <c r="C73" s="126" t="s">
        <v>1324</v>
      </c>
      <c r="D73" s="127" t="s">
        <v>1416</v>
      </c>
      <c r="E73" s="128" t="s">
        <v>14</v>
      </c>
      <c r="F73" s="137">
        <v>378.98</v>
      </c>
      <c r="G73" s="130">
        <v>56.29</v>
      </c>
      <c r="H73" s="128">
        <v>259.22000000000003</v>
      </c>
      <c r="I73" s="132">
        <f t="shared" si="3"/>
        <v>103.68800000000002</v>
      </c>
      <c r="J73" s="374">
        <f t="shared" si="4"/>
        <v>103.68800000000002</v>
      </c>
      <c r="K73" s="137">
        <f>H73-J73</f>
        <v>155.53200000000001</v>
      </c>
      <c r="L73" s="131">
        <f t="shared" ref="L73:O74" si="17">ROUND(H73*$G73,2)</f>
        <v>14591.49</v>
      </c>
      <c r="M73" s="131">
        <f t="shared" si="17"/>
        <v>5836.6</v>
      </c>
      <c r="N73" s="131">
        <f t="shared" si="17"/>
        <v>5836.6</v>
      </c>
      <c r="O73" s="131">
        <f t="shared" si="17"/>
        <v>8754.9</v>
      </c>
      <c r="P73" s="136">
        <f t="shared" si="0"/>
        <v>0.40000027413238814</v>
      </c>
      <c r="Q73" s="525"/>
      <c r="S73" s="189">
        <v>0</v>
      </c>
      <c r="T73" s="189">
        <v>69.400000000000006</v>
      </c>
      <c r="BT73" s="525"/>
      <c r="BU73" s="523">
        <v>103.68800000000002</v>
      </c>
      <c r="BV73" s="523">
        <v>0</v>
      </c>
      <c r="BW73" s="523"/>
      <c r="BX73" s="523"/>
      <c r="BY73" s="523"/>
      <c r="BZ73" s="523"/>
      <c r="CA73" s="523"/>
      <c r="CB73" s="523"/>
      <c r="CC73" s="523"/>
      <c r="CD73" s="523"/>
      <c r="CE73" s="523"/>
      <c r="CF73" s="523"/>
      <c r="CG73" s="523"/>
      <c r="CH73" s="523"/>
      <c r="CI73" s="523">
        <f t="shared" si="2"/>
        <v>103.68800000000002</v>
      </c>
    </row>
    <row r="74" spans="1:87" s="514" customFormat="1" ht="38.25" x14ac:dyDescent="0.2">
      <c r="A74" s="125" t="s">
        <v>123</v>
      </c>
      <c r="B74" s="126" t="s">
        <v>1417</v>
      </c>
      <c r="C74" s="126" t="s">
        <v>1324</v>
      </c>
      <c r="D74" s="127" t="s">
        <v>1418</v>
      </c>
      <c r="E74" s="128" t="s">
        <v>81</v>
      </c>
      <c r="F74" s="137">
        <v>421.82</v>
      </c>
      <c r="G74" s="130">
        <v>16.36</v>
      </c>
      <c r="H74" s="128">
        <v>69.400000000000006</v>
      </c>
      <c r="I74" s="132">
        <f t="shared" si="3"/>
        <v>0</v>
      </c>
      <c r="J74" s="374">
        <f t="shared" si="4"/>
        <v>0</v>
      </c>
      <c r="K74" s="137">
        <f>H74-J74</f>
        <v>69.400000000000006</v>
      </c>
      <c r="L74" s="131">
        <f t="shared" si="17"/>
        <v>1135.3800000000001</v>
      </c>
      <c r="M74" s="131">
        <f t="shared" si="17"/>
        <v>0</v>
      </c>
      <c r="N74" s="131">
        <f t="shared" si="17"/>
        <v>0</v>
      </c>
      <c r="O74" s="131">
        <f t="shared" si="17"/>
        <v>1135.3800000000001</v>
      </c>
      <c r="P74" s="136">
        <f t="shared" si="0"/>
        <v>0</v>
      </c>
      <c r="Q74" s="525"/>
      <c r="S74" s="190">
        <v>0</v>
      </c>
      <c r="T74" s="190">
        <v>0</v>
      </c>
      <c r="BT74" s="525"/>
      <c r="BU74" s="523">
        <v>0</v>
      </c>
      <c r="BV74" s="523">
        <v>0</v>
      </c>
      <c r="BW74" s="523"/>
      <c r="BX74" s="523"/>
      <c r="BY74" s="523"/>
      <c r="BZ74" s="523"/>
      <c r="CA74" s="523"/>
      <c r="CB74" s="523"/>
      <c r="CC74" s="523"/>
      <c r="CD74" s="523"/>
      <c r="CE74" s="523"/>
      <c r="CF74" s="523"/>
      <c r="CG74" s="523"/>
      <c r="CH74" s="523"/>
      <c r="CI74" s="523">
        <f t="shared" si="2"/>
        <v>0</v>
      </c>
    </row>
    <row r="75" spans="1:87" x14ac:dyDescent="0.2">
      <c r="A75" s="449" t="s">
        <v>1419</v>
      </c>
      <c r="B75" s="450"/>
      <c r="C75" s="450"/>
      <c r="D75" s="451" t="s">
        <v>1420</v>
      </c>
      <c r="E75" s="465"/>
      <c r="F75" s="465"/>
      <c r="G75" s="465"/>
      <c r="H75" s="465"/>
      <c r="I75" s="465"/>
      <c r="J75" s="465"/>
      <c r="K75" s="465"/>
      <c r="L75" s="468">
        <f>L76</f>
        <v>8501.27</v>
      </c>
      <c r="M75" s="468">
        <f>M76</f>
        <v>0</v>
      </c>
      <c r="N75" s="468">
        <f>N76</f>
        <v>0</v>
      </c>
      <c r="O75" s="468">
        <f>O76</f>
        <v>8501.27</v>
      </c>
      <c r="P75" s="459">
        <f t="shared" si="0"/>
        <v>0</v>
      </c>
      <c r="Q75" s="525"/>
      <c r="S75" s="189">
        <v>0</v>
      </c>
      <c r="T75" s="189">
        <v>0</v>
      </c>
      <c r="BT75" s="525"/>
      <c r="BU75" s="523"/>
      <c r="BV75" s="523"/>
      <c r="BW75" s="523"/>
      <c r="BX75" s="523"/>
      <c r="BY75" s="523"/>
      <c r="BZ75" s="523"/>
      <c r="CA75" s="523"/>
      <c r="CB75" s="523"/>
      <c r="CC75" s="523"/>
      <c r="CD75" s="523"/>
      <c r="CE75" s="523"/>
      <c r="CF75" s="523"/>
      <c r="CG75" s="523"/>
      <c r="CH75" s="523"/>
      <c r="CI75" s="523">
        <f t="shared" si="2"/>
        <v>0</v>
      </c>
    </row>
    <row r="76" spans="1:87" ht="25.5" x14ac:dyDescent="0.2">
      <c r="A76" s="125" t="s">
        <v>1421</v>
      </c>
      <c r="B76" s="126" t="s">
        <v>1422</v>
      </c>
      <c r="C76" s="126" t="s">
        <v>1324</v>
      </c>
      <c r="D76" s="127" t="s">
        <v>1423</v>
      </c>
      <c r="E76" s="128" t="s">
        <v>14</v>
      </c>
      <c r="F76" s="138"/>
      <c r="G76" s="130">
        <v>57.41</v>
      </c>
      <c r="H76" s="128">
        <v>148.08000000000001</v>
      </c>
      <c r="I76" s="132">
        <f t="shared" si="3"/>
        <v>0</v>
      </c>
      <c r="J76" s="374">
        <f t="shared" si="4"/>
        <v>0</v>
      </c>
      <c r="K76" s="137">
        <f>H76-J76</f>
        <v>148.08000000000001</v>
      </c>
      <c r="L76" s="131">
        <f>ROUND(H76*$G76,2)</f>
        <v>8501.27</v>
      </c>
      <c r="M76" s="131">
        <f>ROUND(I76*$G76,2)</f>
        <v>0</v>
      </c>
      <c r="N76" s="131">
        <f>ROUND(J76*$G76,2)</f>
        <v>0</v>
      </c>
      <c r="O76" s="131">
        <f>ROUND(K76*$G76,2)</f>
        <v>8501.27</v>
      </c>
      <c r="P76" s="136">
        <f t="shared" si="0"/>
        <v>0</v>
      </c>
      <c r="Q76" s="525"/>
      <c r="S76" s="189">
        <v>0</v>
      </c>
      <c r="T76" s="189">
        <v>0</v>
      </c>
      <c r="BT76" s="525"/>
      <c r="BU76" s="523">
        <v>0</v>
      </c>
      <c r="BV76" s="523">
        <v>0</v>
      </c>
      <c r="BW76" s="523"/>
      <c r="BX76" s="523"/>
      <c r="BY76" s="523"/>
      <c r="BZ76" s="523"/>
      <c r="CA76" s="523"/>
      <c r="CB76" s="523"/>
      <c r="CC76" s="523"/>
      <c r="CD76" s="523"/>
      <c r="CE76" s="523"/>
      <c r="CF76" s="523"/>
      <c r="CG76" s="523"/>
      <c r="CH76" s="523"/>
      <c r="CI76" s="523">
        <f t="shared" si="2"/>
        <v>0</v>
      </c>
    </row>
    <row r="77" spans="1:87" s="514" customFormat="1" x14ac:dyDescent="0.2">
      <c r="A77" s="412">
        <v>6</v>
      </c>
      <c r="B77" s="413"/>
      <c r="C77" s="413"/>
      <c r="D77" s="414" t="s">
        <v>97</v>
      </c>
      <c r="E77" s="415"/>
      <c r="F77" s="415"/>
      <c r="G77" s="415"/>
      <c r="H77" s="415"/>
      <c r="I77" s="415"/>
      <c r="J77" s="415"/>
      <c r="K77" s="415"/>
      <c r="L77" s="433">
        <f>SUM(L78,L83,L87,L90)</f>
        <v>10373.979999999998</v>
      </c>
      <c r="M77" s="433">
        <f>SUM(M78,M83,M87,M90)</f>
        <v>0</v>
      </c>
      <c r="N77" s="433">
        <f>SUM(N78,N83,N87,N90)</f>
        <v>0</v>
      </c>
      <c r="O77" s="433">
        <f>SUM(O78,O83,O87,O90)</f>
        <v>10373.979999999998</v>
      </c>
      <c r="P77" s="423">
        <f t="shared" si="0"/>
        <v>0</v>
      </c>
      <c r="Q77" s="525"/>
      <c r="S77" s="190">
        <v>0</v>
      </c>
      <c r="T77" s="190">
        <v>0</v>
      </c>
      <c r="BT77" s="525"/>
      <c r="BU77" s="523"/>
      <c r="BV77" s="523"/>
      <c r="BW77" s="523"/>
      <c r="BX77" s="523"/>
      <c r="BY77" s="523"/>
      <c r="BZ77" s="523"/>
      <c r="CA77" s="523"/>
      <c r="CB77" s="523"/>
      <c r="CC77" s="523"/>
      <c r="CD77" s="523"/>
      <c r="CE77" s="523"/>
      <c r="CF77" s="523"/>
      <c r="CG77" s="523"/>
      <c r="CH77" s="523"/>
      <c r="CI77" s="523">
        <f t="shared" si="2"/>
        <v>0</v>
      </c>
    </row>
    <row r="78" spans="1:87" x14ac:dyDescent="0.2">
      <c r="A78" s="449" t="s">
        <v>186</v>
      </c>
      <c r="B78" s="450"/>
      <c r="C78" s="450"/>
      <c r="D78" s="451" t="s">
        <v>1424</v>
      </c>
      <c r="E78" s="465"/>
      <c r="F78" s="465"/>
      <c r="G78" s="465"/>
      <c r="H78" s="465"/>
      <c r="I78" s="465"/>
      <c r="J78" s="465"/>
      <c r="K78" s="465"/>
      <c r="L78" s="468">
        <f>SUM(L79:L82)</f>
        <v>7440.7899999999991</v>
      </c>
      <c r="M78" s="468">
        <f>SUM(M79:M82)</f>
        <v>0</v>
      </c>
      <c r="N78" s="468">
        <f>SUM(N79:N82)</f>
        <v>0</v>
      </c>
      <c r="O78" s="468">
        <f>SUM(O79:O82)</f>
        <v>7440.7899999999991</v>
      </c>
      <c r="P78" s="459">
        <f t="shared" ref="P78:P87" si="18">N78/L78</f>
        <v>0</v>
      </c>
      <c r="Q78" s="525"/>
      <c r="S78" s="189">
        <v>0</v>
      </c>
      <c r="T78" s="189">
        <v>0</v>
      </c>
      <c r="BT78" s="525"/>
      <c r="BU78" s="523"/>
      <c r="BV78" s="523"/>
      <c r="BW78" s="523"/>
      <c r="BX78" s="523"/>
      <c r="BY78" s="523"/>
      <c r="BZ78" s="523"/>
      <c r="CA78" s="523"/>
      <c r="CB78" s="523"/>
      <c r="CC78" s="523"/>
      <c r="CD78" s="523"/>
      <c r="CE78" s="523"/>
      <c r="CF78" s="523"/>
      <c r="CG78" s="523"/>
      <c r="CH78" s="523"/>
      <c r="CI78" s="523">
        <f t="shared" si="2"/>
        <v>0</v>
      </c>
    </row>
    <row r="79" spans="1:87" ht="25.5" x14ac:dyDescent="0.2">
      <c r="A79" s="125" t="s">
        <v>1425</v>
      </c>
      <c r="B79" s="126">
        <v>90843</v>
      </c>
      <c r="C79" s="126" t="s">
        <v>1324</v>
      </c>
      <c r="D79" s="127" t="s">
        <v>1426</v>
      </c>
      <c r="E79" s="128" t="s">
        <v>102</v>
      </c>
      <c r="F79" s="129"/>
      <c r="G79" s="130">
        <v>688.65</v>
      </c>
      <c r="H79" s="128">
        <v>2</v>
      </c>
      <c r="I79" s="132">
        <f t="shared" si="3"/>
        <v>0</v>
      </c>
      <c r="J79" s="374">
        <f t="shared" si="4"/>
        <v>0</v>
      </c>
      <c r="K79" s="137">
        <f>H79-J79</f>
        <v>2</v>
      </c>
      <c r="L79" s="131">
        <f t="shared" ref="L79:O82" si="19">ROUND(H79*$G79,2)</f>
        <v>1377.3</v>
      </c>
      <c r="M79" s="131">
        <f t="shared" si="19"/>
        <v>0</v>
      </c>
      <c r="N79" s="131">
        <f t="shared" si="19"/>
        <v>0</v>
      </c>
      <c r="O79" s="131">
        <f t="shared" si="19"/>
        <v>1377.3</v>
      </c>
      <c r="P79" s="136">
        <f t="shared" si="18"/>
        <v>0</v>
      </c>
      <c r="Q79" s="525"/>
      <c r="S79" s="189">
        <v>0</v>
      </c>
      <c r="T79" s="189">
        <v>0</v>
      </c>
      <c r="BT79" s="525"/>
      <c r="BU79" s="523">
        <v>0</v>
      </c>
      <c r="BV79" s="523">
        <v>0</v>
      </c>
      <c r="BW79" s="523"/>
      <c r="BX79" s="523"/>
      <c r="BY79" s="523"/>
      <c r="BZ79" s="523"/>
      <c r="CA79" s="523"/>
      <c r="CB79" s="523"/>
      <c r="CC79" s="523"/>
      <c r="CD79" s="523"/>
      <c r="CE79" s="523"/>
      <c r="CF79" s="523"/>
      <c r="CG79" s="523"/>
      <c r="CH79" s="523"/>
      <c r="CI79" s="523">
        <f t="shared" ref="CI79:CI142" si="20">SUM(BU79:CH79)</f>
        <v>0</v>
      </c>
    </row>
    <row r="80" spans="1:87" ht="25.5" x14ac:dyDescent="0.2">
      <c r="A80" s="125" t="s">
        <v>1427</v>
      </c>
      <c r="B80" s="126">
        <v>90844</v>
      </c>
      <c r="C80" s="126" t="s">
        <v>1324</v>
      </c>
      <c r="D80" s="127" t="s">
        <v>1428</v>
      </c>
      <c r="E80" s="128" t="s">
        <v>102</v>
      </c>
      <c r="F80" s="137">
        <v>179.33</v>
      </c>
      <c r="G80" s="130">
        <v>926.13</v>
      </c>
      <c r="H80" s="128">
        <v>1</v>
      </c>
      <c r="I80" s="133">
        <f t="shared" ref="I80:I143" si="21">BU80</f>
        <v>0</v>
      </c>
      <c r="J80" s="374">
        <f t="shared" ref="J80:J143" si="22">CI80</f>
        <v>0</v>
      </c>
      <c r="K80" s="137">
        <f>H80-J80</f>
        <v>1</v>
      </c>
      <c r="L80" s="131">
        <f t="shared" si="19"/>
        <v>926.13</v>
      </c>
      <c r="M80" s="131">
        <f t="shared" si="19"/>
        <v>0</v>
      </c>
      <c r="N80" s="131">
        <f t="shared" si="19"/>
        <v>0</v>
      </c>
      <c r="O80" s="131">
        <f t="shared" si="19"/>
        <v>926.13</v>
      </c>
      <c r="P80" s="136">
        <f t="shared" si="18"/>
        <v>0</v>
      </c>
      <c r="Q80" s="525"/>
      <c r="S80" s="189">
        <v>0</v>
      </c>
      <c r="T80" s="189">
        <v>0</v>
      </c>
      <c r="BT80" s="525"/>
      <c r="BU80" s="523">
        <v>0</v>
      </c>
      <c r="BV80" s="523">
        <v>0</v>
      </c>
      <c r="BW80" s="523"/>
      <c r="BX80" s="523"/>
      <c r="BY80" s="523"/>
      <c r="BZ80" s="523"/>
      <c r="CA80" s="523"/>
      <c r="CB80" s="523"/>
      <c r="CC80" s="523"/>
      <c r="CD80" s="523"/>
      <c r="CE80" s="523"/>
      <c r="CF80" s="523"/>
      <c r="CG80" s="523"/>
      <c r="CH80" s="523"/>
      <c r="CI80" s="523">
        <f t="shared" si="20"/>
        <v>0</v>
      </c>
    </row>
    <row r="81" spans="1:87" ht="25.5" x14ac:dyDescent="0.2">
      <c r="A81" s="125" t="s">
        <v>1429</v>
      </c>
      <c r="B81" s="126" t="s">
        <v>1430</v>
      </c>
      <c r="C81" s="126" t="s">
        <v>1324</v>
      </c>
      <c r="D81" s="127" t="s">
        <v>1431</v>
      </c>
      <c r="E81" s="128" t="s">
        <v>102</v>
      </c>
      <c r="F81" s="137">
        <v>268.98</v>
      </c>
      <c r="G81" s="130">
        <v>825.22</v>
      </c>
      <c r="H81" s="128">
        <v>4</v>
      </c>
      <c r="I81" s="133">
        <f t="shared" si="21"/>
        <v>0</v>
      </c>
      <c r="J81" s="374">
        <f t="shared" si="22"/>
        <v>0</v>
      </c>
      <c r="K81" s="137">
        <f>H81-J81</f>
        <v>4</v>
      </c>
      <c r="L81" s="131">
        <f t="shared" si="19"/>
        <v>3300.88</v>
      </c>
      <c r="M81" s="131">
        <f t="shared" si="19"/>
        <v>0</v>
      </c>
      <c r="N81" s="131">
        <f t="shared" si="19"/>
        <v>0</v>
      </c>
      <c r="O81" s="131">
        <f t="shared" si="19"/>
        <v>3300.88</v>
      </c>
      <c r="P81" s="136">
        <f t="shared" si="18"/>
        <v>0</v>
      </c>
      <c r="Q81" s="525"/>
      <c r="S81" s="189">
        <v>0</v>
      </c>
      <c r="T81" s="189">
        <v>0</v>
      </c>
      <c r="BT81" s="525"/>
      <c r="BU81" s="523">
        <v>0</v>
      </c>
      <c r="BV81" s="523">
        <v>0</v>
      </c>
      <c r="BW81" s="523"/>
      <c r="BX81" s="523"/>
      <c r="BY81" s="523"/>
      <c r="BZ81" s="523"/>
      <c r="CA81" s="523"/>
      <c r="CB81" s="523"/>
      <c r="CC81" s="523"/>
      <c r="CD81" s="523"/>
      <c r="CE81" s="523"/>
      <c r="CF81" s="523"/>
      <c r="CG81" s="523"/>
      <c r="CH81" s="523"/>
      <c r="CI81" s="523">
        <f t="shared" si="20"/>
        <v>0</v>
      </c>
    </row>
    <row r="82" spans="1:87" s="514" customFormat="1" ht="25.5" x14ac:dyDescent="0.2">
      <c r="A82" s="125" t="s">
        <v>1432</v>
      </c>
      <c r="B82" s="126" t="s">
        <v>1433</v>
      </c>
      <c r="C82" s="126" t="s">
        <v>1324</v>
      </c>
      <c r="D82" s="127" t="s">
        <v>1434</v>
      </c>
      <c r="E82" s="128" t="s">
        <v>102</v>
      </c>
      <c r="F82" s="137">
        <v>134.49</v>
      </c>
      <c r="G82" s="130">
        <v>918.24</v>
      </c>
      <c r="H82" s="128">
        <v>2</v>
      </c>
      <c r="I82" s="133">
        <f t="shared" si="21"/>
        <v>0</v>
      </c>
      <c r="J82" s="374">
        <f t="shared" si="22"/>
        <v>0</v>
      </c>
      <c r="K82" s="137">
        <f>H82-J82</f>
        <v>2</v>
      </c>
      <c r="L82" s="131">
        <f t="shared" si="19"/>
        <v>1836.48</v>
      </c>
      <c r="M82" s="131">
        <f t="shared" si="19"/>
        <v>0</v>
      </c>
      <c r="N82" s="131">
        <f t="shared" si="19"/>
        <v>0</v>
      </c>
      <c r="O82" s="131">
        <f t="shared" si="19"/>
        <v>1836.48</v>
      </c>
      <c r="P82" s="136">
        <f t="shared" si="18"/>
        <v>0</v>
      </c>
      <c r="Q82" s="525"/>
      <c r="S82" s="190">
        <v>0</v>
      </c>
      <c r="T82" s="190">
        <v>0</v>
      </c>
      <c r="BT82" s="525"/>
      <c r="BU82" s="523">
        <v>0</v>
      </c>
      <c r="BV82" s="523">
        <v>0</v>
      </c>
      <c r="BW82" s="523"/>
      <c r="BX82" s="523"/>
      <c r="BY82" s="523"/>
      <c r="BZ82" s="523"/>
      <c r="CA82" s="523"/>
      <c r="CB82" s="523"/>
      <c r="CC82" s="523"/>
      <c r="CD82" s="523"/>
      <c r="CE82" s="523"/>
      <c r="CF82" s="523"/>
      <c r="CG82" s="523"/>
      <c r="CH82" s="523"/>
      <c r="CI82" s="523">
        <f t="shared" si="20"/>
        <v>0</v>
      </c>
    </row>
    <row r="83" spans="1:87" x14ac:dyDescent="0.2">
      <c r="A83" s="449" t="s">
        <v>188</v>
      </c>
      <c r="B83" s="450"/>
      <c r="C83" s="450"/>
      <c r="D83" s="451" t="s">
        <v>1435</v>
      </c>
      <c r="E83" s="465"/>
      <c r="F83" s="465"/>
      <c r="G83" s="465"/>
      <c r="H83" s="465"/>
      <c r="I83" s="465"/>
      <c r="J83" s="465"/>
      <c r="K83" s="465"/>
      <c r="L83" s="452">
        <f>SUM(L84:L86)</f>
        <v>773.29</v>
      </c>
      <c r="M83" s="452">
        <f>SUM(M84:M86)</f>
        <v>0</v>
      </c>
      <c r="N83" s="452">
        <f>SUM(N84:N86)</f>
        <v>0</v>
      </c>
      <c r="O83" s="452">
        <f>SUM(O84:O86)</f>
        <v>773.29</v>
      </c>
      <c r="P83" s="459">
        <f t="shared" si="18"/>
        <v>0</v>
      </c>
      <c r="Q83" s="525"/>
      <c r="S83" s="189">
        <v>0</v>
      </c>
      <c r="T83" s="189">
        <v>0</v>
      </c>
      <c r="BT83" s="525"/>
      <c r="BU83" s="523"/>
      <c r="BV83" s="523"/>
      <c r="BW83" s="523"/>
      <c r="BX83" s="523"/>
      <c r="BY83" s="523"/>
      <c r="BZ83" s="523"/>
      <c r="CA83" s="523"/>
      <c r="CB83" s="523"/>
      <c r="CC83" s="523"/>
      <c r="CD83" s="523"/>
      <c r="CE83" s="523"/>
      <c r="CF83" s="523"/>
      <c r="CG83" s="523"/>
      <c r="CH83" s="523"/>
      <c r="CI83" s="523">
        <f t="shared" si="20"/>
        <v>0</v>
      </c>
    </row>
    <row r="84" spans="1:87" ht="25.5" x14ac:dyDescent="0.2">
      <c r="A84" s="125" t="s">
        <v>1436</v>
      </c>
      <c r="B84" s="126" t="s">
        <v>2007</v>
      </c>
      <c r="C84" s="126" t="s">
        <v>1339</v>
      </c>
      <c r="D84" s="127" t="s">
        <v>1437</v>
      </c>
      <c r="E84" s="128" t="s">
        <v>81</v>
      </c>
      <c r="F84" s="137">
        <v>627.62</v>
      </c>
      <c r="G84" s="130">
        <v>48.24</v>
      </c>
      <c r="H84" s="128">
        <v>11.6</v>
      </c>
      <c r="I84" s="133">
        <f t="shared" si="21"/>
        <v>0</v>
      </c>
      <c r="J84" s="374">
        <f t="shared" si="22"/>
        <v>0</v>
      </c>
      <c r="K84" s="137">
        <f t="shared" ref="K84:K91" si="23">H84-J84</f>
        <v>11.6</v>
      </c>
      <c r="L84" s="131">
        <f t="shared" ref="L84:O86" si="24">ROUND(H84*$G84,2)</f>
        <v>559.58000000000004</v>
      </c>
      <c r="M84" s="131">
        <f t="shared" si="24"/>
        <v>0</v>
      </c>
      <c r="N84" s="131">
        <f t="shared" si="24"/>
        <v>0</v>
      </c>
      <c r="O84" s="131">
        <f t="shared" si="24"/>
        <v>559.58000000000004</v>
      </c>
      <c r="P84" s="136">
        <f t="shared" si="18"/>
        <v>0</v>
      </c>
      <c r="Q84" s="525"/>
      <c r="S84" s="189">
        <v>0</v>
      </c>
      <c r="T84" s="189">
        <v>0</v>
      </c>
      <c r="BT84" s="525"/>
      <c r="BU84" s="523">
        <v>0</v>
      </c>
      <c r="BV84" s="523">
        <v>0</v>
      </c>
      <c r="BW84" s="523"/>
      <c r="BX84" s="523"/>
      <c r="BY84" s="523"/>
      <c r="BZ84" s="523"/>
      <c r="CA84" s="523"/>
      <c r="CB84" s="523"/>
      <c r="CC84" s="523"/>
      <c r="CD84" s="523"/>
      <c r="CE84" s="523"/>
      <c r="CF84" s="523"/>
      <c r="CG84" s="523"/>
      <c r="CH84" s="523"/>
      <c r="CI84" s="523">
        <f t="shared" si="20"/>
        <v>0</v>
      </c>
    </row>
    <row r="85" spans="1:87" ht="25.5" x14ac:dyDescent="0.2">
      <c r="A85" s="125" t="s">
        <v>1438</v>
      </c>
      <c r="B85" s="126" t="s">
        <v>2007</v>
      </c>
      <c r="C85" s="126" t="s">
        <v>1339</v>
      </c>
      <c r="D85" s="127" t="s">
        <v>1439</v>
      </c>
      <c r="E85" s="128" t="s">
        <v>14</v>
      </c>
      <c r="F85" s="137">
        <v>358.64</v>
      </c>
      <c r="G85" s="130">
        <v>5.44</v>
      </c>
      <c r="H85" s="128">
        <v>4.3</v>
      </c>
      <c r="I85" s="133">
        <f t="shared" si="21"/>
        <v>0</v>
      </c>
      <c r="J85" s="374">
        <f t="shared" si="22"/>
        <v>0</v>
      </c>
      <c r="K85" s="137">
        <f t="shared" si="23"/>
        <v>4.3</v>
      </c>
      <c r="L85" s="131">
        <f t="shared" si="24"/>
        <v>23.39</v>
      </c>
      <c r="M85" s="131">
        <f t="shared" si="24"/>
        <v>0</v>
      </c>
      <c r="N85" s="131">
        <f t="shared" si="24"/>
        <v>0</v>
      </c>
      <c r="O85" s="131">
        <f t="shared" si="24"/>
        <v>23.39</v>
      </c>
      <c r="P85" s="136">
        <f t="shared" si="18"/>
        <v>0</v>
      </c>
      <c r="Q85" s="525"/>
      <c r="S85" s="189">
        <v>0</v>
      </c>
      <c r="T85" s="189">
        <v>0</v>
      </c>
      <c r="BT85" s="525"/>
      <c r="BU85" s="523">
        <v>0</v>
      </c>
      <c r="BV85" s="523">
        <v>0</v>
      </c>
      <c r="BW85" s="523"/>
      <c r="BX85" s="523"/>
      <c r="BY85" s="523"/>
      <c r="BZ85" s="523"/>
      <c r="CA85" s="523"/>
      <c r="CB85" s="523"/>
      <c r="CC85" s="523"/>
      <c r="CD85" s="523"/>
      <c r="CE85" s="523"/>
      <c r="CF85" s="523"/>
      <c r="CG85" s="523"/>
      <c r="CH85" s="523"/>
      <c r="CI85" s="523">
        <f t="shared" si="20"/>
        <v>0</v>
      </c>
    </row>
    <row r="86" spans="1:87" s="514" customFormat="1" x14ac:dyDescent="0.2">
      <c r="A86" s="125" t="s">
        <v>1440</v>
      </c>
      <c r="B86" s="126" t="s">
        <v>1441</v>
      </c>
      <c r="C86" s="126" t="s">
        <v>1324</v>
      </c>
      <c r="D86" s="127" t="s">
        <v>1442</v>
      </c>
      <c r="E86" s="128" t="s">
        <v>102</v>
      </c>
      <c r="F86" s="137">
        <v>448.3</v>
      </c>
      <c r="G86" s="130">
        <v>31.72</v>
      </c>
      <c r="H86" s="128">
        <v>6</v>
      </c>
      <c r="I86" s="133">
        <f t="shared" si="21"/>
        <v>0</v>
      </c>
      <c r="J86" s="374">
        <f t="shared" si="22"/>
        <v>0</v>
      </c>
      <c r="K86" s="137">
        <f t="shared" si="23"/>
        <v>6</v>
      </c>
      <c r="L86" s="131">
        <f t="shared" si="24"/>
        <v>190.32</v>
      </c>
      <c r="M86" s="131">
        <f t="shared" si="24"/>
        <v>0</v>
      </c>
      <c r="N86" s="131">
        <f t="shared" si="24"/>
        <v>0</v>
      </c>
      <c r="O86" s="131">
        <f t="shared" si="24"/>
        <v>190.32</v>
      </c>
      <c r="P86" s="136">
        <f t="shared" si="18"/>
        <v>0</v>
      </c>
      <c r="Q86" s="525"/>
      <c r="S86" s="190">
        <v>0</v>
      </c>
      <c r="T86" s="190">
        <v>0</v>
      </c>
      <c r="BT86" s="525"/>
      <c r="BU86" s="523">
        <v>0</v>
      </c>
      <c r="BV86" s="523">
        <v>0</v>
      </c>
      <c r="BW86" s="523"/>
      <c r="BX86" s="523"/>
      <c r="BY86" s="523"/>
      <c r="BZ86" s="523"/>
      <c r="CA86" s="523"/>
      <c r="CB86" s="523"/>
      <c r="CC86" s="523"/>
      <c r="CD86" s="523"/>
      <c r="CE86" s="523"/>
      <c r="CF86" s="523"/>
      <c r="CG86" s="523"/>
      <c r="CH86" s="523"/>
      <c r="CI86" s="523">
        <f t="shared" si="20"/>
        <v>0</v>
      </c>
    </row>
    <row r="87" spans="1:87" x14ac:dyDescent="0.2">
      <c r="A87" s="449" t="s">
        <v>1443</v>
      </c>
      <c r="B87" s="450"/>
      <c r="C87" s="450"/>
      <c r="D87" s="451" t="s">
        <v>1444</v>
      </c>
      <c r="E87" s="465"/>
      <c r="F87" s="465"/>
      <c r="G87" s="465"/>
      <c r="H87" s="465"/>
      <c r="I87" s="465"/>
      <c r="J87" s="465"/>
      <c r="K87" s="465"/>
      <c r="L87" s="460">
        <f>L89</f>
        <v>331.68</v>
      </c>
      <c r="M87" s="460">
        <f>M89</f>
        <v>0</v>
      </c>
      <c r="N87" s="460">
        <f>N89</f>
        <v>0</v>
      </c>
      <c r="O87" s="460">
        <f>O89</f>
        <v>331.68</v>
      </c>
      <c r="P87" s="459">
        <f t="shared" si="18"/>
        <v>0</v>
      </c>
      <c r="Q87" s="525"/>
      <c r="S87" s="189">
        <v>0</v>
      </c>
      <c r="T87" s="189">
        <v>0</v>
      </c>
      <c r="BT87" s="525"/>
      <c r="BU87" s="523"/>
      <c r="BV87" s="523"/>
      <c r="BW87" s="523"/>
      <c r="BX87" s="523"/>
      <c r="BY87" s="523"/>
      <c r="BZ87" s="523"/>
      <c r="CA87" s="523"/>
      <c r="CB87" s="523"/>
      <c r="CC87" s="523"/>
      <c r="CD87" s="523"/>
      <c r="CE87" s="523"/>
      <c r="CF87" s="523"/>
      <c r="CG87" s="523"/>
      <c r="CH87" s="523"/>
      <c r="CI87" s="523">
        <f t="shared" si="20"/>
        <v>0</v>
      </c>
    </row>
    <row r="88" spans="1:87" x14ac:dyDescent="0.2">
      <c r="A88" s="125" t="s">
        <v>1445</v>
      </c>
      <c r="B88" s="126">
        <v>68052</v>
      </c>
      <c r="C88" s="126" t="s">
        <v>1324</v>
      </c>
      <c r="D88" s="397" t="s">
        <v>1446</v>
      </c>
      <c r="E88" s="128" t="s">
        <v>14</v>
      </c>
      <c r="F88" s="137">
        <v>390.13</v>
      </c>
      <c r="G88" s="130">
        <v>0</v>
      </c>
      <c r="H88" s="128">
        <v>10.8</v>
      </c>
      <c r="I88" s="133">
        <f t="shared" si="21"/>
        <v>0</v>
      </c>
      <c r="J88" s="374">
        <f t="shared" si="22"/>
        <v>0</v>
      </c>
      <c r="K88" s="137">
        <f t="shared" si="23"/>
        <v>10.8</v>
      </c>
      <c r="L88" s="131">
        <f t="shared" ref="L88:O89" si="25">ROUND(H88*$G88,2)</f>
        <v>0</v>
      </c>
      <c r="M88" s="131">
        <f t="shared" si="25"/>
        <v>0</v>
      </c>
      <c r="N88" s="131">
        <f t="shared" si="25"/>
        <v>0</v>
      </c>
      <c r="O88" s="131">
        <f t="shared" si="25"/>
        <v>0</v>
      </c>
      <c r="P88" s="136">
        <v>1</v>
      </c>
      <c r="Q88" s="525"/>
      <c r="S88" s="189">
        <v>0</v>
      </c>
      <c r="T88" s="189">
        <v>0</v>
      </c>
      <c r="BT88" s="525"/>
      <c r="BU88" s="523">
        <v>0</v>
      </c>
      <c r="BV88" s="523">
        <v>0</v>
      </c>
      <c r="BW88" s="523"/>
      <c r="BX88" s="523"/>
      <c r="BY88" s="523"/>
      <c r="BZ88" s="523"/>
      <c r="CA88" s="523"/>
      <c r="CB88" s="523"/>
      <c r="CC88" s="523"/>
      <c r="CD88" s="523"/>
      <c r="CE88" s="523"/>
      <c r="CF88" s="523"/>
      <c r="CG88" s="523"/>
      <c r="CH88" s="523"/>
      <c r="CI88" s="523">
        <f t="shared" si="20"/>
        <v>0</v>
      </c>
    </row>
    <row r="89" spans="1:87" s="514" customFormat="1" ht="25.5" x14ac:dyDescent="0.2">
      <c r="A89" s="125" t="s">
        <v>1447</v>
      </c>
      <c r="B89" s="126">
        <v>85010</v>
      </c>
      <c r="C89" s="126" t="s">
        <v>1324</v>
      </c>
      <c r="D89" s="127" t="s">
        <v>1448</v>
      </c>
      <c r="E89" s="128" t="s">
        <v>14</v>
      </c>
      <c r="F89" s="137">
        <v>975.33</v>
      </c>
      <c r="G89" s="130">
        <v>159.46</v>
      </c>
      <c r="H89" s="128">
        <v>2.08</v>
      </c>
      <c r="I89" s="133">
        <f t="shared" si="21"/>
        <v>0</v>
      </c>
      <c r="J89" s="374">
        <f t="shared" si="22"/>
        <v>0</v>
      </c>
      <c r="K89" s="137">
        <f t="shared" si="23"/>
        <v>2.08</v>
      </c>
      <c r="L89" s="131">
        <f t="shared" si="25"/>
        <v>331.68</v>
      </c>
      <c r="M89" s="131">
        <f t="shared" si="25"/>
        <v>0</v>
      </c>
      <c r="N89" s="131">
        <f t="shared" si="25"/>
        <v>0</v>
      </c>
      <c r="O89" s="131">
        <f t="shared" si="25"/>
        <v>331.68</v>
      </c>
      <c r="P89" s="136">
        <f t="shared" ref="P89:P139" si="26">N89/L89</f>
        <v>0</v>
      </c>
      <c r="Q89" s="525"/>
      <c r="S89" s="190">
        <v>0</v>
      </c>
      <c r="T89" s="190">
        <v>0</v>
      </c>
      <c r="BT89" s="525"/>
      <c r="BU89" s="523">
        <v>0</v>
      </c>
      <c r="BV89" s="523">
        <v>0</v>
      </c>
      <c r="BW89" s="523"/>
      <c r="BX89" s="523"/>
      <c r="BY89" s="523"/>
      <c r="BZ89" s="523"/>
      <c r="CA89" s="523"/>
      <c r="CB89" s="523"/>
      <c r="CC89" s="523"/>
      <c r="CD89" s="523"/>
      <c r="CE89" s="523"/>
      <c r="CF89" s="523"/>
      <c r="CG89" s="523"/>
      <c r="CH89" s="523"/>
      <c r="CI89" s="523">
        <f t="shared" si="20"/>
        <v>0</v>
      </c>
    </row>
    <row r="90" spans="1:87" x14ac:dyDescent="0.2">
      <c r="A90" s="449" t="s">
        <v>1449</v>
      </c>
      <c r="B90" s="450"/>
      <c r="C90" s="450"/>
      <c r="D90" s="451" t="s">
        <v>184</v>
      </c>
      <c r="E90" s="465"/>
      <c r="F90" s="465"/>
      <c r="G90" s="465"/>
      <c r="H90" s="465"/>
      <c r="I90" s="465"/>
      <c r="J90" s="465"/>
      <c r="K90" s="465"/>
      <c r="L90" s="460">
        <f>L91</f>
        <v>1828.22</v>
      </c>
      <c r="M90" s="460">
        <f>M91</f>
        <v>0</v>
      </c>
      <c r="N90" s="460">
        <f>N91</f>
        <v>0</v>
      </c>
      <c r="O90" s="460">
        <f>O91</f>
        <v>1828.22</v>
      </c>
      <c r="P90" s="459">
        <f t="shared" si="26"/>
        <v>0</v>
      </c>
      <c r="Q90" s="525"/>
      <c r="S90" s="189">
        <v>0</v>
      </c>
      <c r="T90" s="189">
        <v>0</v>
      </c>
      <c r="BT90" s="525"/>
      <c r="BU90" s="523"/>
      <c r="BV90" s="523"/>
      <c r="BW90" s="523"/>
      <c r="BX90" s="523"/>
      <c r="BY90" s="523"/>
      <c r="BZ90" s="523"/>
      <c r="CA90" s="523"/>
      <c r="CB90" s="523"/>
      <c r="CC90" s="523"/>
      <c r="CD90" s="523"/>
      <c r="CE90" s="523"/>
      <c r="CF90" s="523"/>
      <c r="CG90" s="523"/>
      <c r="CH90" s="523"/>
      <c r="CI90" s="523">
        <f t="shared" si="20"/>
        <v>0</v>
      </c>
    </row>
    <row r="91" spans="1:87" ht="25.5" x14ac:dyDescent="0.2">
      <c r="A91" s="125" t="s">
        <v>1450</v>
      </c>
      <c r="B91" s="126" t="s">
        <v>1451</v>
      </c>
      <c r="C91" s="126" t="s">
        <v>1324</v>
      </c>
      <c r="D91" s="127" t="s">
        <v>1452</v>
      </c>
      <c r="E91" s="128" t="s">
        <v>14</v>
      </c>
      <c r="F91" s="137">
        <v>877.8</v>
      </c>
      <c r="G91" s="130">
        <v>423.2</v>
      </c>
      <c r="H91" s="128">
        <v>4.32</v>
      </c>
      <c r="I91" s="133">
        <f t="shared" si="21"/>
        <v>0</v>
      </c>
      <c r="J91" s="374">
        <f t="shared" si="22"/>
        <v>0</v>
      </c>
      <c r="K91" s="137">
        <f t="shared" si="23"/>
        <v>4.32</v>
      </c>
      <c r="L91" s="131">
        <f>ROUND(H91*$G91,2)</f>
        <v>1828.22</v>
      </c>
      <c r="M91" s="131">
        <f>ROUND(I91*$G91,2)</f>
        <v>0</v>
      </c>
      <c r="N91" s="131">
        <f>ROUND(J91*$G91,2)</f>
        <v>0</v>
      </c>
      <c r="O91" s="131">
        <f>ROUND(K91*$G91,2)</f>
        <v>1828.22</v>
      </c>
      <c r="P91" s="136">
        <f t="shared" si="26"/>
        <v>0</v>
      </c>
      <c r="Q91" s="525"/>
      <c r="S91" s="189">
        <v>0</v>
      </c>
      <c r="T91" s="189">
        <v>0</v>
      </c>
      <c r="BT91" s="525"/>
      <c r="BU91" s="523">
        <v>0</v>
      </c>
      <c r="BV91" s="523">
        <v>0</v>
      </c>
      <c r="BW91" s="523"/>
      <c r="BX91" s="523"/>
      <c r="BY91" s="523"/>
      <c r="BZ91" s="523"/>
      <c r="CA91" s="523"/>
      <c r="CB91" s="523"/>
      <c r="CC91" s="523"/>
      <c r="CD91" s="523"/>
      <c r="CE91" s="523"/>
      <c r="CF91" s="523"/>
      <c r="CG91" s="523"/>
      <c r="CH91" s="523"/>
      <c r="CI91" s="523">
        <f t="shared" si="20"/>
        <v>0</v>
      </c>
    </row>
    <row r="92" spans="1:87" x14ac:dyDescent="0.2">
      <c r="A92" s="412">
        <v>7</v>
      </c>
      <c r="B92" s="413"/>
      <c r="C92" s="413"/>
      <c r="D92" s="414" t="s">
        <v>1453</v>
      </c>
      <c r="E92" s="415"/>
      <c r="F92" s="415"/>
      <c r="G92" s="415"/>
      <c r="H92" s="415"/>
      <c r="I92" s="415"/>
      <c r="J92" s="415"/>
      <c r="K92" s="415"/>
      <c r="L92" s="433">
        <f>SUM(L93:L94)</f>
        <v>173274.06</v>
      </c>
      <c r="M92" s="433">
        <f>SUM(M93:M94)</f>
        <v>0</v>
      </c>
      <c r="N92" s="433">
        <f>SUM(N93:N94)</f>
        <v>0</v>
      </c>
      <c r="O92" s="433">
        <f>SUM(O93:O94)</f>
        <v>173274.06</v>
      </c>
      <c r="P92" s="423">
        <f t="shared" si="26"/>
        <v>0</v>
      </c>
      <c r="Q92" s="525"/>
      <c r="S92" s="189">
        <v>0</v>
      </c>
      <c r="T92" s="189">
        <v>0</v>
      </c>
      <c r="BT92" s="525"/>
      <c r="BU92" s="523"/>
      <c r="BV92" s="523"/>
      <c r="BW92" s="523"/>
      <c r="BX92" s="523"/>
      <c r="BY92" s="523"/>
      <c r="BZ92" s="523"/>
      <c r="CA92" s="523"/>
      <c r="CB92" s="523"/>
      <c r="CC92" s="523"/>
      <c r="CD92" s="523"/>
      <c r="CE92" s="523"/>
      <c r="CF92" s="523"/>
      <c r="CG92" s="523"/>
      <c r="CH92" s="523"/>
      <c r="CI92" s="523">
        <f t="shared" si="20"/>
        <v>0</v>
      </c>
    </row>
    <row r="93" spans="1:87" ht="25.5" x14ac:dyDescent="0.2">
      <c r="A93" s="125" t="s">
        <v>193</v>
      </c>
      <c r="B93" s="126" t="s">
        <v>1454</v>
      </c>
      <c r="C93" s="126" t="s">
        <v>1324</v>
      </c>
      <c r="D93" s="127" t="s">
        <v>1455</v>
      </c>
      <c r="E93" s="128" t="s">
        <v>14</v>
      </c>
      <c r="F93" s="144">
        <v>1560.54</v>
      </c>
      <c r="G93" s="130">
        <v>51.14</v>
      </c>
      <c r="H93" s="128">
        <v>1030.4000000000001</v>
      </c>
      <c r="I93" s="133">
        <f t="shared" si="21"/>
        <v>0</v>
      </c>
      <c r="J93" s="374">
        <f t="shared" si="22"/>
        <v>0</v>
      </c>
      <c r="K93" s="137">
        <f>H93-J93</f>
        <v>1030.4000000000001</v>
      </c>
      <c r="L93" s="131">
        <f t="shared" ref="L93:O94" si="27">ROUND(H93*$G93,2)</f>
        <v>52694.66</v>
      </c>
      <c r="M93" s="131">
        <f t="shared" si="27"/>
        <v>0</v>
      </c>
      <c r="N93" s="131">
        <f t="shared" si="27"/>
        <v>0</v>
      </c>
      <c r="O93" s="131">
        <f t="shared" si="27"/>
        <v>52694.66</v>
      </c>
      <c r="P93" s="136">
        <f t="shared" si="26"/>
        <v>0</v>
      </c>
      <c r="Q93" s="525"/>
      <c r="S93" s="189">
        <v>0</v>
      </c>
      <c r="T93" s="189">
        <v>0</v>
      </c>
      <c r="BT93" s="525"/>
      <c r="BU93" s="523">
        <v>0</v>
      </c>
      <c r="BV93" s="523">
        <v>0</v>
      </c>
      <c r="BW93" s="523"/>
      <c r="BX93" s="523"/>
      <c r="BY93" s="523"/>
      <c r="BZ93" s="523"/>
      <c r="CA93" s="523"/>
      <c r="CB93" s="523"/>
      <c r="CC93" s="523"/>
      <c r="CD93" s="523"/>
      <c r="CE93" s="523"/>
      <c r="CF93" s="523"/>
      <c r="CG93" s="523"/>
      <c r="CH93" s="523"/>
      <c r="CI93" s="523">
        <f t="shared" si="20"/>
        <v>0</v>
      </c>
    </row>
    <row r="94" spans="1:87" s="110" customFormat="1" x14ac:dyDescent="0.2">
      <c r="A94" s="125" t="s">
        <v>195</v>
      </c>
      <c r="B94" s="126">
        <v>72112</v>
      </c>
      <c r="C94" s="126" t="s">
        <v>1324</v>
      </c>
      <c r="D94" s="127" t="s">
        <v>1456</v>
      </c>
      <c r="E94" s="128" t="s">
        <v>14</v>
      </c>
      <c r="F94" s="144">
        <v>1950.67</v>
      </c>
      <c r="G94" s="130">
        <v>122.99</v>
      </c>
      <c r="H94" s="128">
        <v>980.4</v>
      </c>
      <c r="I94" s="133">
        <f t="shared" si="21"/>
        <v>0</v>
      </c>
      <c r="J94" s="374">
        <f t="shared" si="22"/>
        <v>0</v>
      </c>
      <c r="K94" s="137">
        <f>H94-J94</f>
        <v>980.4</v>
      </c>
      <c r="L94" s="131">
        <f t="shared" si="27"/>
        <v>120579.4</v>
      </c>
      <c r="M94" s="131">
        <f t="shared" si="27"/>
        <v>0</v>
      </c>
      <c r="N94" s="131">
        <f t="shared" si="27"/>
        <v>0</v>
      </c>
      <c r="O94" s="131">
        <f t="shared" si="27"/>
        <v>120579.4</v>
      </c>
      <c r="P94" s="136">
        <f t="shared" si="26"/>
        <v>0</v>
      </c>
      <c r="Q94" s="525"/>
      <c r="S94" s="192">
        <v>0</v>
      </c>
      <c r="T94" s="192">
        <v>0</v>
      </c>
      <c r="BT94" s="525"/>
      <c r="BU94" s="523">
        <v>0</v>
      </c>
      <c r="BV94" s="523">
        <v>0</v>
      </c>
      <c r="BW94" s="523"/>
      <c r="BX94" s="523"/>
      <c r="BY94" s="523"/>
      <c r="BZ94" s="523"/>
      <c r="CA94" s="523"/>
      <c r="CB94" s="523"/>
      <c r="CC94" s="523"/>
      <c r="CD94" s="523"/>
      <c r="CE94" s="523"/>
      <c r="CF94" s="523"/>
      <c r="CG94" s="523"/>
      <c r="CH94" s="523"/>
      <c r="CI94" s="523">
        <f t="shared" si="20"/>
        <v>0</v>
      </c>
    </row>
    <row r="95" spans="1:87" s="110" customFormat="1" x14ac:dyDescent="0.2">
      <c r="A95" s="425">
        <v>8</v>
      </c>
      <c r="B95" s="426"/>
      <c r="C95" s="426"/>
      <c r="D95" s="427" t="s">
        <v>208</v>
      </c>
      <c r="E95" s="415"/>
      <c r="F95" s="415"/>
      <c r="G95" s="415"/>
      <c r="H95" s="415"/>
      <c r="I95" s="415"/>
      <c r="J95" s="415"/>
      <c r="K95" s="415"/>
      <c r="L95" s="428">
        <f>SUM(L96:L97)</f>
        <v>5634.27</v>
      </c>
      <c r="M95" s="429">
        <f>SUM(M96:M97)</f>
        <v>0</v>
      </c>
      <c r="N95" s="432">
        <f>SUM(N96:N97)</f>
        <v>0</v>
      </c>
      <c r="O95" s="430">
        <f>SUM(O96:O97)</f>
        <v>5634.27</v>
      </c>
      <c r="P95" s="431">
        <f t="shared" si="26"/>
        <v>0</v>
      </c>
      <c r="Q95" s="525"/>
      <c r="S95" s="192">
        <v>265.61</v>
      </c>
      <c r="T95" s="192">
        <v>265.61</v>
      </c>
      <c r="BT95" s="525"/>
      <c r="BU95" s="523"/>
      <c r="BV95" s="523"/>
      <c r="BW95" s="523"/>
      <c r="BX95" s="523"/>
      <c r="BY95" s="523"/>
      <c r="BZ95" s="523"/>
      <c r="CA95" s="523"/>
      <c r="CB95" s="523"/>
      <c r="CC95" s="523"/>
      <c r="CD95" s="523"/>
      <c r="CE95" s="523"/>
      <c r="CF95" s="523"/>
      <c r="CG95" s="523"/>
      <c r="CH95" s="523"/>
      <c r="CI95" s="523">
        <f t="shared" si="20"/>
        <v>0</v>
      </c>
    </row>
    <row r="96" spans="1:87" x14ac:dyDescent="0.2">
      <c r="A96" s="379" t="s">
        <v>210</v>
      </c>
      <c r="B96" s="380" t="s">
        <v>1457</v>
      </c>
      <c r="C96" s="380" t="s">
        <v>1324</v>
      </c>
      <c r="D96" s="381" t="s">
        <v>1458</v>
      </c>
      <c r="E96" s="382" t="s">
        <v>14</v>
      </c>
      <c r="F96" s="144">
        <v>3121.08</v>
      </c>
      <c r="G96" s="383">
        <v>8.5</v>
      </c>
      <c r="H96" s="382">
        <v>265.61</v>
      </c>
      <c r="I96" s="385">
        <f t="shared" si="21"/>
        <v>0</v>
      </c>
      <c r="J96" s="374">
        <f t="shared" si="22"/>
        <v>0</v>
      </c>
      <c r="K96" s="137">
        <f>H96-J96</f>
        <v>265.61</v>
      </c>
      <c r="L96" s="131">
        <f t="shared" ref="L96:O97" si="28">ROUND(H96*$G96,2)</f>
        <v>2257.69</v>
      </c>
      <c r="M96" s="131">
        <f t="shared" si="28"/>
        <v>0</v>
      </c>
      <c r="N96" s="131">
        <f t="shared" si="28"/>
        <v>0</v>
      </c>
      <c r="O96" s="131">
        <f t="shared" si="28"/>
        <v>2257.69</v>
      </c>
      <c r="P96" s="388">
        <f t="shared" si="26"/>
        <v>0</v>
      </c>
      <c r="Q96" s="525"/>
      <c r="S96" s="189">
        <v>0</v>
      </c>
      <c r="T96" s="189">
        <v>0</v>
      </c>
      <c r="BT96" s="525"/>
      <c r="BU96" s="523">
        <v>0</v>
      </c>
      <c r="BV96" s="523">
        <v>0</v>
      </c>
      <c r="BW96" s="523"/>
      <c r="BX96" s="523"/>
      <c r="BY96" s="523"/>
      <c r="BZ96" s="523"/>
      <c r="CA96" s="523"/>
      <c r="CB96" s="523"/>
      <c r="CC96" s="523"/>
      <c r="CD96" s="523"/>
      <c r="CE96" s="523"/>
      <c r="CF96" s="523"/>
      <c r="CG96" s="523"/>
      <c r="CH96" s="523"/>
      <c r="CI96" s="523">
        <f t="shared" si="20"/>
        <v>0</v>
      </c>
    </row>
    <row r="97" spans="1:87" s="517" customFormat="1" ht="25.5" x14ac:dyDescent="0.2">
      <c r="A97" s="125" t="s">
        <v>213</v>
      </c>
      <c r="B97" s="126">
        <v>68053</v>
      </c>
      <c r="C97" s="126" t="s">
        <v>1324</v>
      </c>
      <c r="D97" s="127" t="s">
        <v>1459</v>
      </c>
      <c r="E97" s="128" t="s">
        <v>14</v>
      </c>
      <c r="F97" s="144">
        <v>1137.9000000000001</v>
      </c>
      <c r="G97" s="130">
        <v>4.99</v>
      </c>
      <c r="H97" s="128">
        <v>676.67</v>
      </c>
      <c r="I97" s="133">
        <f t="shared" si="21"/>
        <v>0</v>
      </c>
      <c r="J97" s="374">
        <f t="shared" si="22"/>
        <v>0</v>
      </c>
      <c r="K97" s="137">
        <f>H97-J97</f>
        <v>676.67</v>
      </c>
      <c r="L97" s="131">
        <f t="shared" si="28"/>
        <v>3376.58</v>
      </c>
      <c r="M97" s="131">
        <f t="shared" si="28"/>
        <v>0</v>
      </c>
      <c r="N97" s="131">
        <f t="shared" si="28"/>
        <v>0</v>
      </c>
      <c r="O97" s="131">
        <f t="shared" si="28"/>
        <v>3376.58</v>
      </c>
      <c r="P97" s="136">
        <f t="shared" si="26"/>
        <v>0</v>
      </c>
      <c r="Q97" s="525"/>
      <c r="S97" s="191">
        <v>0</v>
      </c>
      <c r="T97" s="191">
        <v>0</v>
      </c>
      <c r="BT97" s="525"/>
      <c r="BU97" s="523">
        <v>0</v>
      </c>
      <c r="BV97" s="523">
        <v>0</v>
      </c>
      <c r="BW97" s="523"/>
      <c r="BX97" s="523"/>
      <c r="BY97" s="523"/>
      <c r="BZ97" s="523"/>
      <c r="CA97" s="523"/>
      <c r="CB97" s="523"/>
      <c r="CC97" s="523"/>
      <c r="CD97" s="523"/>
      <c r="CE97" s="523"/>
      <c r="CF97" s="523"/>
      <c r="CG97" s="523"/>
      <c r="CH97" s="523"/>
      <c r="CI97" s="523">
        <f t="shared" si="20"/>
        <v>0</v>
      </c>
    </row>
    <row r="98" spans="1:87" x14ac:dyDescent="0.2">
      <c r="A98" s="425">
        <v>9</v>
      </c>
      <c r="B98" s="426"/>
      <c r="C98" s="426"/>
      <c r="D98" s="427" t="s">
        <v>1460</v>
      </c>
      <c r="E98" s="415"/>
      <c r="F98" s="415"/>
      <c r="G98" s="415"/>
      <c r="H98" s="415"/>
      <c r="I98" s="415"/>
      <c r="J98" s="415"/>
      <c r="K98" s="415"/>
      <c r="L98" s="428">
        <f>SUM(L99:L108)</f>
        <v>51794.2</v>
      </c>
      <c r="M98" s="428">
        <f>SUM(M99:M108)</f>
        <v>0</v>
      </c>
      <c r="N98" s="428">
        <f>SUM(N99:N108)</f>
        <v>0</v>
      </c>
      <c r="O98" s="428">
        <f>SUM(O99:O108)</f>
        <v>51794.2</v>
      </c>
      <c r="P98" s="431">
        <f t="shared" si="26"/>
        <v>0</v>
      </c>
      <c r="Q98" s="525"/>
      <c r="S98" s="189">
        <v>0</v>
      </c>
      <c r="T98" s="189">
        <v>803.09</v>
      </c>
      <c r="BT98" s="525"/>
      <c r="BU98" s="523"/>
      <c r="BV98" s="523"/>
      <c r="BW98" s="523"/>
      <c r="BX98" s="523"/>
      <c r="BY98" s="523"/>
      <c r="BZ98" s="523"/>
      <c r="CA98" s="523"/>
      <c r="CB98" s="523"/>
      <c r="CC98" s="523"/>
      <c r="CD98" s="523"/>
      <c r="CE98" s="523"/>
      <c r="CF98" s="523"/>
      <c r="CG98" s="523"/>
      <c r="CH98" s="523"/>
      <c r="CI98" s="523">
        <f t="shared" si="20"/>
        <v>0</v>
      </c>
    </row>
    <row r="99" spans="1:87" x14ac:dyDescent="0.2">
      <c r="A99" s="125" t="s">
        <v>223</v>
      </c>
      <c r="B99" s="126">
        <v>87905</v>
      </c>
      <c r="C99" s="126" t="s">
        <v>1324</v>
      </c>
      <c r="D99" s="127" t="s">
        <v>1461</v>
      </c>
      <c r="E99" s="128" t="s">
        <v>14</v>
      </c>
      <c r="F99" s="137">
        <v>582.46</v>
      </c>
      <c r="G99" s="130">
        <v>6.11</v>
      </c>
      <c r="H99" s="128">
        <v>803.09</v>
      </c>
      <c r="I99" s="133">
        <f t="shared" si="21"/>
        <v>0</v>
      </c>
      <c r="J99" s="374">
        <f t="shared" si="22"/>
        <v>0</v>
      </c>
      <c r="K99" s="137">
        <f>H99-J99</f>
        <v>803.09</v>
      </c>
      <c r="L99" s="131">
        <f t="shared" ref="L99:O108" si="29">ROUND(H99*$G99,2)</f>
        <v>4906.88</v>
      </c>
      <c r="M99" s="131">
        <f t="shared" si="29"/>
        <v>0</v>
      </c>
      <c r="N99" s="131">
        <f t="shared" si="29"/>
        <v>0</v>
      </c>
      <c r="O99" s="131">
        <f t="shared" si="29"/>
        <v>4906.88</v>
      </c>
      <c r="P99" s="136">
        <f t="shared" si="26"/>
        <v>0</v>
      </c>
      <c r="Q99" s="525"/>
      <c r="S99" s="189">
        <v>0</v>
      </c>
      <c r="T99" s="189">
        <v>0</v>
      </c>
      <c r="BT99" s="525"/>
      <c r="BU99" s="523">
        <v>0</v>
      </c>
      <c r="BV99" s="523">
        <v>0</v>
      </c>
      <c r="BW99" s="523"/>
      <c r="BX99" s="523"/>
      <c r="BY99" s="523"/>
      <c r="BZ99" s="523"/>
      <c r="CA99" s="523"/>
      <c r="CB99" s="523"/>
      <c r="CC99" s="523"/>
      <c r="CD99" s="523"/>
      <c r="CE99" s="523"/>
      <c r="CF99" s="523"/>
      <c r="CG99" s="523"/>
      <c r="CH99" s="523"/>
      <c r="CI99" s="523">
        <f t="shared" si="20"/>
        <v>0</v>
      </c>
    </row>
    <row r="100" spans="1:87" s="110" customFormat="1" x14ac:dyDescent="0.2">
      <c r="A100" s="125" t="s">
        <v>239</v>
      </c>
      <c r="B100" s="126">
        <v>87882</v>
      </c>
      <c r="C100" s="126" t="s">
        <v>1324</v>
      </c>
      <c r="D100" s="127" t="s">
        <v>1462</v>
      </c>
      <c r="E100" s="128" t="s">
        <v>14</v>
      </c>
      <c r="F100" s="129"/>
      <c r="G100" s="130">
        <v>4.03</v>
      </c>
      <c r="H100" s="128">
        <v>84.33</v>
      </c>
      <c r="I100" s="133">
        <f t="shared" si="21"/>
        <v>0</v>
      </c>
      <c r="J100" s="374">
        <f t="shared" si="22"/>
        <v>0</v>
      </c>
      <c r="K100" s="137">
        <f t="shared" ref="K100:K108" si="30">H100-J100</f>
        <v>84.33</v>
      </c>
      <c r="L100" s="131">
        <f t="shared" si="29"/>
        <v>339.85</v>
      </c>
      <c r="M100" s="131">
        <f t="shared" si="29"/>
        <v>0</v>
      </c>
      <c r="N100" s="131">
        <f t="shared" si="29"/>
        <v>0</v>
      </c>
      <c r="O100" s="131">
        <f t="shared" si="29"/>
        <v>339.85</v>
      </c>
      <c r="P100" s="136">
        <f t="shared" si="26"/>
        <v>0</v>
      </c>
      <c r="Q100" s="525"/>
      <c r="S100" s="192">
        <v>600</v>
      </c>
      <c r="T100" s="192">
        <v>600</v>
      </c>
      <c r="BT100" s="525"/>
      <c r="BU100" s="523">
        <v>0</v>
      </c>
      <c r="BV100" s="523">
        <v>0</v>
      </c>
      <c r="BW100" s="523"/>
      <c r="BX100" s="523"/>
      <c r="BY100" s="523"/>
      <c r="BZ100" s="523"/>
      <c r="CA100" s="523"/>
      <c r="CB100" s="523"/>
      <c r="CC100" s="523"/>
      <c r="CD100" s="523"/>
      <c r="CE100" s="523"/>
      <c r="CF100" s="523"/>
      <c r="CG100" s="523"/>
      <c r="CH100" s="523"/>
      <c r="CI100" s="523">
        <f t="shared" si="20"/>
        <v>0</v>
      </c>
    </row>
    <row r="101" spans="1:87" s="110" customFormat="1" ht="25.5" x14ac:dyDescent="0.2">
      <c r="A101" s="379" t="s">
        <v>1463</v>
      </c>
      <c r="B101" s="380">
        <v>87531</v>
      </c>
      <c r="C101" s="380" t="s">
        <v>1324</v>
      </c>
      <c r="D101" s="381" t="s">
        <v>1464</v>
      </c>
      <c r="E101" s="382" t="s">
        <v>14</v>
      </c>
      <c r="F101" s="137">
        <v>180.11</v>
      </c>
      <c r="G101" s="383">
        <v>26.27</v>
      </c>
      <c r="H101" s="382">
        <v>743.93</v>
      </c>
      <c r="I101" s="385">
        <f t="shared" si="21"/>
        <v>0</v>
      </c>
      <c r="J101" s="374">
        <f t="shared" si="22"/>
        <v>0</v>
      </c>
      <c r="K101" s="137">
        <f t="shared" si="30"/>
        <v>743.93</v>
      </c>
      <c r="L101" s="131">
        <f t="shared" si="29"/>
        <v>19543.04</v>
      </c>
      <c r="M101" s="131">
        <f t="shared" si="29"/>
        <v>0</v>
      </c>
      <c r="N101" s="131">
        <f t="shared" si="29"/>
        <v>0</v>
      </c>
      <c r="O101" s="131">
        <f t="shared" si="29"/>
        <v>19543.04</v>
      </c>
      <c r="P101" s="388">
        <f t="shared" si="26"/>
        <v>0</v>
      </c>
      <c r="Q101" s="525"/>
      <c r="S101" s="192">
        <v>358.92</v>
      </c>
      <c r="T101" s="192">
        <v>358.92</v>
      </c>
      <c r="BT101" s="525"/>
      <c r="BU101" s="523">
        <v>0</v>
      </c>
      <c r="BV101" s="523">
        <v>0</v>
      </c>
      <c r="BW101" s="523"/>
      <c r="BX101" s="523"/>
      <c r="BY101" s="523"/>
      <c r="BZ101" s="523"/>
      <c r="CA101" s="523"/>
      <c r="CB101" s="523"/>
      <c r="CC101" s="523"/>
      <c r="CD101" s="523"/>
      <c r="CE101" s="523"/>
      <c r="CF101" s="523"/>
      <c r="CG101" s="523"/>
      <c r="CH101" s="523"/>
      <c r="CI101" s="523">
        <f t="shared" si="20"/>
        <v>0</v>
      </c>
    </row>
    <row r="102" spans="1:87" x14ac:dyDescent="0.2">
      <c r="A102" s="379" t="s">
        <v>1465</v>
      </c>
      <c r="B102" s="380" t="s">
        <v>1466</v>
      </c>
      <c r="C102" s="380" t="s">
        <v>1324</v>
      </c>
      <c r="D102" s="381" t="s">
        <v>1467</v>
      </c>
      <c r="E102" s="382" t="s">
        <v>14</v>
      </c>
      <c r="F102" s="137">
        <v>327.47000000000003</v>
      </c>
      <c r="G102" s="383">
        <v>12.12</v>
      </c>
      <c r="H102" s="382">
        <v>445.04</v>
      </c>
      <c r="I102" s="385">
        <f t="shared" si="21"/>
        <v>0</v>
      </c>
      <c r="J102" s="374">
        <f t="shared" si="22"/>
        <v>0</v>
      </c>
      <c r="K102" s="137">
        <f t="shared" si="30"/>
        <v>445.04</v>
      </c>
      <c r="L102" s="131">
        <f t="shared" si="29"/>
        <v>5393.88</v>
      </c>
      <c r="M102" s="131">
        <f t="shared" si="29"/>
        <v>0</v>
      </c>
      <c r="N102" s="131">
        <f t="shared" si="29"/>
        <v>0</v>
      </c>
      <c r="O102" s="131">
        <f t="shared" si="29"/>
        <v>5393.88</v>
      </c>
      <c r="P102" s="388">
        <f t="shared" si="26"/>
        <v>0</v>
      </c>
      <c r="Q102" s="525"/>
      <c r="S102" s="189">
        <v>0</v>
      </c>
      <c r="T102" s="189">
        <v>0</v>
      </c>
      <c r="BT102" s="525"/>
      <c r="BU102" s="523">
        <v>0</v>
      </c>
      <c r="BV102" s="523">
        <v>0</v>
      </c>
      <c r="BW102" s="523"/>
      <c r="BX102" s="523"/>
      <c r="BY102" s="523"/>
      <c r="BZ102" s="523"/>
      <c r="CA102" s="523"/>
      <c r="CB102" s="523"/>
      <c r="CC102" s="523"/>
      <c r="CD102" s="523"/>
      <c r="CE102" s="523"/>
      <c r="CF102" s="523"/>
      <c r="CG102" s="523"/>
      <c r="CH102" s="523"/>
      <c r="CI102" s="523">
        <f t="shared" si="20"/>
        <v>0</v>
      </c>
    </row>
    <row r="103" spans="1:87" x14ac:dyDescent="0.2">
      <c r="A103" s="125" t="s">
        <v>1468</v>
      </c>
      <c r="B103" s="126" t="s">
        <v>1466</v>
      </c>
      <c r="C103" s="126" t="s">
        <v>1324</v>
      </c>
      <c r="D103" s="127" t="s">
        <v>1469</v>
      </c>
      <c r="E103" s="128" t="s">
        <v>14</v>
      </c>
      <c r="F103" s="137">
        <v>381.87</v>
      </c>
      <c r="G103" s="130">
        <v>14.08</v>
      </c>
      <c r="H103" s="128">
        <v>84.33</v>
      </c>
      <c r="I103" s="133">
        <f t="shared" si="21"/>
        <v>0</v>
      </c>
      <c r="J103" s="374">
        <f t="shared" si="22"/>
        <v>0</v>
      </c>
      <c r="K103" s="137">
        <f t="shared" si="30"/>
        <v>84.33</v>
      </c>
      <c r="L103" s="131">
        <f t="shared" si="29"/>
        <v>1187.3699999999999</v>
      </c>
      <c r="M103" s="131">
        <f t="shared" si="29"/>
        <v>0</v>
      </c>
      <c r="N103" s="131">
        <f t="shared" si="29"/>
        <v>0</v>
      </c>
      <c r="O103" s="131">
        <f t="shared" si="29"/>
        <v>1187.3699999999999</v>
      </c>
      <c r="P103" s="136">
        <f t="shared" si="26"/>
        <v>0</v>
      </c>
      <c r="Q103" s="525"/>
      <c r="S103" s="189">
        <v>0</v>
      </c>
      <c r="T103" s="189">
        <v>0</v>
      </c>
      <c r="BT103" s="525"/>
      <c r="BU103" s="523">
        <v>0</v>
      </c>
      <c r="BV103" s="523">
        <v>0</v>
      </c>
      <c r="BW103" s="523"/>
      <c r="BX103" s="523"/>
      <c r="BY103" s="523"/>
      <c r="BZ103" s="523"/>
      <c r="CA103" s="523"/>
      <c r="CB103" s="523"/>
      <c r="CC103" s="523"/>
      <c r="CD103" s="523"/>
      <c r="CE103" s="523"/>
      <c r="CF103" s="523"/>
      <c r="CG103" s="523"/>
      <c r="CH103" s="523"/>
      <c r="CI103" s="523">
        <f t="shared" si="20"/>
        <v>0</v>
      </c>
    </row>
    <row r="104" spans="1:87" x14ac:dyDescent="0.2">
      <c r="A104" s="125" t="s">
        <v>1470</v>
      </c>
      <c r="B104" s="126">
        <v>87905</v>
      </c>
      <c r="C104" s="126" t="s">
        <v>1324</v>
      </c>
      <c r="D104" s="127" t="s">
        <v>1471</v>
      </c>
      <c r="E104" s="128" t="s">
        <v>14</v>
      </c>
      <c r="F104" s="138"/>
      <c r="G104" s="130">
        <v>6.11</v>
      </c>
      <c r="H104" s="128">
        <v>140.33000000000001</v>
      </c>
      <c r="I104" s="133">
        <f t="shared" si="21"/>
        <v>0</v>
      </c>
      <c r="J104" s="374">
        <f t="shared" si="22"/>
        <v>0</v>
      </c>
      <c r="K104" s="137">
        <f t="shared" si="30"/>
        <v>140.33000000000001</v>
      </c>
      <c r="L104" s="131">
        <f t="shared" si="29"/>
        <v>857.42</v>
      </c>
      <c r="M104" s="131">
        <f t="shared" si="29"/>
        <v>0</v>
      </c>
      <c r="N104" s="131">
        <f t="shared" si="29"/>
        <v>0</v>
      </c>
      <c r="O104" s="131">
        <f t="shared" si="29"/>
        <v>857.42</v>
      </c>
      <c r="P104" s="136">
        <f t="shared" si="26"/>
        <v>0</v>
      </c>
      <c r="Q104" s="525"/>
      <c r="S104" s="189">
        <v>0</v>
      </c>
      <c r="T104" s="189">
        <v>0</v>
      </c>
      <c r="BT104" s="525"/>
      <c r="BU104" s="523">
        <v>0</v>
      </c>
      <c r="BV104" s="523">
        <v>0</v>
      </c>
      <c r="BW104" s="523"/>
      <c r="BX104" s="523"/>
      <c r="BY104" s="523"/>
      <c r="BZ104" s="523"/>
      <c r="CA104" s="523"/>
      <c r="CB104" s="523"/>
      <c r="CC104" s="523"/>
      <c r="CD104" s="523"/>
      <c r="CE104" s="523"/>
      <c r="CF104" s="523"/>
      <c r="CG104" s="523"/>
      <c r="CH104" s="523"/>
      <c r="CI104" s="523">
        <f t="shared" si="20"/>
        <v>0</v>
      </c>
    </row>
    <row r="105" spans="1:87" x14ac:dyDescent="0.2">
      <c r="A105" s="125" t="s">
        <v>1472</v>
      </c>
      <c r="B105" s="126">
        <v>87531</v>
      </c>
      <c r="C105" s="126" t="s">
        <v>1324</v>
      </c>
      <c r="D105" s="127" t="s">
        <v>1473</v>
      </c>
      <c r="E105" s="128" t="s">
        <v>14</v>
      </c>
      <c r="F105" s="138"/>
      <c r="G105" s="130">
        <v>26.27</v>
      </c>
      <c r="H105" s="128">
        <v>140.33000000000001</v>
      </c>
      <c r="I105" s="133">
        <f t="shared" si="21"/>
        <v>0</v>
      </c>
      <c r="J105" s="374">
        <f t="shared" si="22"/>
        <v>0</v>
      </c>
      <c r="K105" s="137">
        <f t="shared" si="30"/>
        <v>140.33000000000001</v>
      </c>
      <c r="L105" s="131">
        <f t="shared" si="29"/>
        <v>3686.47</v>
      </c>
      <c r="M105" s="131">
        <f t="shared" si="29"/>
        <v>0</v>
      </c>
      <c r="N105" s="131">
        <f t="shared" si="29"/>
        <v>0</v>
      </c>
      <c r="O105" s="131">
        <f t="shared" si="29"/>
        <v>3686.47</v>
      </c>
      <c r="P105" s="136">
        <f t="shared" si="26"/>
        <v>0</v>
      </c>
      <c r="Q105" s="525"/>
      <c r="S105" s="189">
        <v>0</v>
      </c>
      <c r="T105" s="189">
        <v>0</v>
      </c>
      <c r="BT105" s="525"/>
      <c r="BU105" s="523">
        <v>0</v>
      </c>
      <c r="BV105" s="523">
        <v>0</v>
      </c>
      <c r="BW105" s="523"/>
      <c r="BX105" s="523"/>
      <c r="BY105" s="523"/>
      <c r="BZ105" s="523"/>
      <c r="CA105" s="523"/>
      <c r="CB105" s="523"/>
      <c r="CC105" s="523"/>
      <c r="CD105" s="523"/>
      <c r="CE105" s="523"/>
      <c r="CF105" s="523"/>
      <c r="CG105" s="523"/>
      <c r="CH105" s="523"/>
      <c r="CI105" s="523">
        <f t="shared" si="20"/>
        <v>0</v>
      </c>
    </row>
    <row r="106" spans="1:87" ht="25.5" x14ac:dyDescent="0.2">
      <c r="A106" s="125" t="s">
        <v>1474</v>
      </c>
      <c r="B106" s="126" t="s">
        <v>1466</v>
      </c>
      <c r="C106" s="126" t="s">
        <v>1324</v>
      </c>
      <c r="D106" s="127" t="s">
        <v>1475</v>
      </c>
      <c r="E106" s="128" t="s">
        <v>14</v>
      </c>
      <c r="F106" s="138"/>
      <c r="G106" s="130">
        <v>16.23</v>
      </c>
      <c r="H106" s="128">
        <v>140.33000000000001</v>
      </c>
      <c r="I106" s="133">
        <f t="shared" si="21"/>
        <v>0</v>
      </c>
      <c r="J106" s="374">
        <f t="shared" si="22"/>
        <v>0</v>
      </c>
      <c r="K106" s="137">
        <f t="shared" si="30"/>
        <v>140.33000000000001</v>
      </c>
      <c r="L106" s="131">
        <f t="shared" si="29"/>
        <v>2277.56</v>
      </c>
      <c r="M106" s="131">
        <f t="shared" si="29"/>
        <v>0</v>
      </c>
      <c r="N106" s="131">
        <f t="shared" si="29"/>
        <v>0</v>
      </c>
      <c r="O106" s="131">
        <f t="shared" si="29"/>
        <v>2277.56</v>
      </c>
      <c r="P106" s="136">
        <f t="shared" si="26"/>
        <v>0</v>
      </c>
      <c r="Q106" s="525"/>
      <c r="S106" s="189">
        <v>0</v>
      </c>
      <c r="T106" s="189">
        <v>0</v>
      </c>
      <c r="BT106" s="525"/>
      <c r="BU106" s="523">
        <v>0</v>
      </c>
      <c r="BV106" s="523">
        <v>0</v>
      </c>
      <c r="BW106" s="523"/>
      <c r="BX106" s="523"/>
      <c r="BY106" s="523"/>
      <c r="BZ106" s="523"/>
      <c r="CA106" s="523"/>
      <c r="CB106" s="523"/>
      <c r="CC106" s="523"/>
      <c r="CD106" s="523"/>
      <c r="CE106" s="523"/>
      <c r="CF106" s="523"/>
      <c r="CG106" s="523"/>
      <c r="CH106" s="523"/>
      <c r="CI106" s="523">
        <f t="shared" si="20"/>
        <v>0</v>
      </c>
    </row>
    <row r="107" spans="1:87" ht="25.5" x14ac:dyDescent="0.2">
      <c r="A107" s="125" t="s">
        <v>1476</v>
      </c>
      <c r="B107" s="126">
        <v>87272</v>
      </c>
      <c r="C107" s="126" t="s">
        <v>1324</v>
      </c>
      <c r="D107" s="127" t="s">
        <v>1477</v>
      </c>
      <c r="E107" s="128" t="s">
        <v>14</v>
      </c>
      <c r="F107" s="137">
        <v>319.5</v>
      </c>
      <c r="G107" s="130">
        <v>45.67</v>
      </c>
      <c r="H107" s="128">
        <v>210.5</v>
      </c>
      <c r="I107" s="133">
        <f t="shared" si="21"/>
        <v>0</v>
      </c>
      <c r="J107" s="374">
        <f t="shared" si="22"/>
        <v>0</v>
      </c>
      <c r="K107" s="137">
        <f t="shared" si="30"/>
        <v>210.5</v>
      </c>
      <c r="L107" s="131">
        <f t="shared" si="29"/>
        <v>9613.5400000000009</v>
      </c>
      <c r="M107" s="131">
        <f t="shared" si="29"/>
        <v>0</v>
      </c>
      <c r="N107" s="131">
        <f t="shared" si="29"/>
        <v>0</v>
      </c>
      <c r="O107" s="131">
        <f t="shared" si="29"/>
        <v>9613.5400000000009</v>
      </c>
      <c r="P107" s="136">
        <f t="shared" si="26"/>
        <v>0</v>
      </c>
      <c r="Q107" s="525"/>
      <c r="S107" s="189">
        <v>0</v>
      </c>
      <c r="T107" s="189">
        <v>0</v>
      </c>
      <c r="BT107" s="525"/>
      <c r="BU107" s="523">
        <v>0</v>
      </c>
      <c r="BV107" s="523">
        <v>0</v>
      </c>
      <c r="BW107" s="523"/>
      <c r="BX107" s="523"/>
      <c r="BY107" s="523"/>
      <c r="BZ107" s="523"/>
      <c r="CA107" s="523"/>
      <c r="CB107" s="523"/>
      <c r="CC107" s="523"/>
      <c r="CD107" s="523"/>
      <c r="CE107" s="523"/>
      <c r="CF107" s="523"/>
      <c r="CG107" s="523"/>
      <c r="CH107" s="523"/>
      <c r="CI107" s="523">
        <f t="shared" si="20"/>
        <v>0</v>
      </c>
    </row>
    <row r="108" spans="1:87" ht="25.5" x14ac:dyDescent="0.2">
      <c r="A108" s="125" t="s">
        <v>1478</v>
      </c>
      <c r="B108" s="126">
        <v>87267</v>
      </c>
      <c r="C108" s="126" t="s">
        <v>1324</v>
      </c>
      <c r="D108" s="127" t="s">
        <v>1479</v>
      </c>
      <c r="E108" s="128" t="s">
        <v>14</v>
      </c>
      <c r="F108" s="137">
        <v>347.14</v>
      </c>
      <c r="G108" s="130">
        <v>46.64</v>
      </c>
      <c r="H108" s="128">
        <v>85.51</v>
      </c>
      <c r="I108" s="133">
        <f t="shared" si="21"/>
        <v>0</v>
      </c>
      <c r="J108" s="374">
        <f t="shared" si="22"/>
        <v>0</v>
      </c>
      <c r="K108" s="137">
        <f t="shared" si="30"/>
        <v>85.51</v>
      </c>
      <c r="L108" s="131">
        <f t="shared" si="29"/>
        <v>3988.19</v>
      </c>
      <c r="M108" s="131">
        <f t="shared" si="29"/>
        <v>0</v>
      </c>
      <c r="N108" s="131">
        <f t="shared" si="29"/>
        <v>0</v>
      </c>
      <c r="O108" s="131">
        <f t="shared" si="29"/>
        <v>3988.19</v>
      </c>
      <c r="P108" s="136">
        <f t="shared" si="26"/>
        <v>0</v>
      </c>
      <c r="Q108" s="525"/>
      <c r="S108" s="189">
        <v>0</v>
      </c>
      <c r="T108" s="189">
        <v>0</v>
      </c>
      <c r="BT108" s="525"/>
      <c r="BU108" s="523">
        <v>0</v>
      </c>
      <c r="BV108" s="523">
        <v>0</v>
      </c>
      <c r="BW108" s="523"/>
      <c r="BX108" s="523"/>
      <c r="BY108" s="523"/>
      <c r="BZ108" s="523"/>
      <c r="CA108" s="523"/>
      <c r="CB108" s="523"/>
      <c r="CC108" s="523"/>
      <c r="CD108" s="523"/>
      <c r="CE108" s="523"/>
      <c r="CF108" s="523"/>
      <c r="CG108" s="523"/>
      <c r="CH108" s="523"/>
      <c r="CI108" s="523">
        <f t="shared" si="20"/>
        <v>0</v>
      </c>
    </row>
    <row r="109" spans="1:87" s="514" customFormat="1" x14ac:dyDescent="0.2">
      <c r="A109" s="412">
        <v>10</v>
      </c>
      <c r="B109" s="413"/>
      <c r="C109" s="413"/>
      <c r="D109" s="414" t="s">
        <v>1480</v>
      </c>
      <c r="E109" s="415"/>
      <c r="F109" s="415"/>
      <c r="G109" s="415"/>
      <c r="H109" s="415"/>
      <c r="I109" s="415"/>
      <c r="J109" s="415"/>
      <c r="K109" s="415"/>
      <c r="L109" s="416">
        <f>SUM(L110,L116)</f>
        <v>60566.100000000006</v>
      </c>
      <c r="M109" s="416">
        <f>SUM(M110,M116)</f>
        <v>0</v>
      </c>
      <c r="N109" s="416">
        <f>SUM(N110,N116)</f>
        <v>0</v>
      </c>
      <c r="O109" s="416">
        <f>SUM(O110,O116)</f>
        <v>60566.100000000006</v>
      </c>
      <c r="P109" s="423">
        <f t="shared" si="26"/>
        <v>0</v>
      </c>
      <c r="Q109" s="525"/>
      <c r="S109" s="190">
        <v>0</v>
      </c>
      <c r="T109" s="190">
        <v>0</v>
      </c>
      <c r="BT109" s="525"/>
      <c r="BU109" s="523"/>
      <c r="BV109" s="523"/>
      <c r="BW109" s="523"/>
      <c r="BX109" s="523"/>
      <c r="BY109" s="523"/>
      <c r="BZ109" s="523"/>
      <c r="CA109" s="523"/>
      <c r="CB109" s="523"/>
      <c r="CC109" s="523"/>
      <c r="CD109" s="523"/>
      <c r="CE109" s="523"/>
      <c r="CF109" s="523"/>
      <c r="CG109" s="523"/>
      <c r="CH109" s="523"/>
      <c r="CI109" s="523">
        <f t="shared" si="20"/>
        <v>0</v>
      </c>
    </row>
    <row r="110" spans="1:87" x14ac:dyDescent="0.2">
      <c r="A110" s="449" t="s">
        <v>254</v>
      </c>
      <c r="B110" s="450"/>
      <c r="C110" s="450"/>
      <c r="D110" s="451" t="s">
        <v>1481</v>
      </c>
      <c r="E110" s="465"/>
      <c r="F110" s="465"/>
      <c r="G110" s="465"/>
      <c r="H110" s="465"/>
      <c r="I110" s="465"/>
      <c r="J110" s="465"/>
      <c r="K110" s="465"/>
      <c r="L110" s="452">
        <f>SUM(L111:L115)+0.01</f>
        <v>54520.33</v>
      </c>
      <c r="M110" s="452">
        <f>SUM(M111:M115)</f>
        <v>0</v>
      </c>
      <c r="N110" s="452">
        <f>SUM(N111:N115)</f>
        <v>0</v>
      </c>
      <c r="O110" s="452">
        <f>SUM(O111:O115)+0.01</f>
        <v>54520.33</v>
      </c>
      <c r="P110" s="459">
        <f t="shared" si="26"/>
        <v>0</v>
      </c>
      <c r="Q110" s="525"/>
      <c r="S110" s="189">
        <v>0</v>
      </c>
      <c r="T110" s="189">
        <v>0</v>
      </c>
      <c r="BT110" s="525"/>
      <c r="BU110" s="523"/>
      <c r="BV110" s="523"/>
      <c r="BW110" s="523"/>
      <c r="BX110" s="523"/>
      <c r="BY110" s="523"/>
      <c r="BZ110" s="523"/>
      <c r="CA110" s="523"/>
      <c r="CB110" s="523"/>
      <c r="CC110" s="523"/>
      <c r="CD110" s="523"/>
      <c r="CE110" s="523"/>
      <c r="CF110" s="523"/>
      <c r="CG110" s="523"/>
      <c r="CH110" s="523"/>
      <c r="CI110" s="523">
        <f t="shared" si="20"/>
        <v>0</v>
      </c>
    </row>
    <row r="111" spans="1:87" x14ac:dyDescent="0.2">
      <c r="A111" s="125" t="s">
        <v>1482</v>
      </c>
      <c r="B111" s="126" t="s">
        <v>2007</v>
      </c>
      <c r="C111" s="126" t="s">
        <v>1339</v>
      </c>
      <c r="D111" s="127" t="s">
        <v>1483</v>
      </c>
      <c r="E111" s="128" t="s">
        <v>14</v>
      </c>
      <c r="F111" s="137">
        <v>52.1</v>
      </c>
      <c r="G111" s="130">
        <v>30.94</v>
      </c>
      <c r="H111" s="128">
        <v>64.91</v>
      </c>
      <c r="I111" s="133">
        <f t="shared" si="21"/>
        <v>0</v>
      </c>
      <c r="J111" s="374">
        <f t="shared" si="22"/>
        <v>0</v>
      </c>
      <c r="K111" s="137">
        <f>H111-J111</f>
        <v>64.91</v>
      </c>
      <c r="L111" s="131">
        <f t="shared" ref="L111:O115" si="31">ROUND(H111*$G111,2)</f>
        <v>2008.32</v>
      </c>
      <c r="M111" s="131">
        <f t="shared" si="31"/>
        <v>0</v>
      </c>
      <c r="N111" s="131">
        <f t="shared" si="31"/>
        <v>0</v>
      </c>
      <c r="O111" s="131">
        <f t="shared" si="31"/>
        <v>2008.32</v>
      </c>
      <c r="P111" s="136">
        <f t="shared" si="26"/>
        <v>0</v>
      </c>
      <c r="Q111" s="525"/>
      <c r="S111" s="189">
        <v>0</v>
      </c>
      <c r="T111" s="189">
        <v>0</v>
      </c>
      <c r="BT111" s="525"/>
      <c r="BU111" s="523">
        <v>0</v>
      </c>
      <c r="BV111" s="523">
        <v>0</v>
      </c>
      <c r="BW111" s="523"/>
      <c r="BX111" s="523"/>
      <c r="BY111" s="523"/>
      <c r="BZ111" s="523"/>
      <c r="CA111" s="523"/>
      <c r="CB111" s="523"/>
      <c r="CC111" s="523"/>
      <c r="CD111" s="523"/>
      <c r="CE111" s="523"/>
      <c r="CF111" s="523"/>
      <c r="CG111" s="523"/>
      <c r="CH111" s="523"/>
      <c r="CI111" s="523">
        <f t="shared" si="20"/>
        <v>0</v>
      </c>
    </row>
    <row r="112" spans="1:87" x14ac:dyDescent="0.2">
      <c r="A112" s="125" t="s">
        <v>1484</v>
      </c>
      <c r="B112" s="126">
        <v>87630</v>
      </c>
      <c r="C112" s="126" t="s">
        <v>1324</v>
      </c>
      <c r="D112" s="127" t="s">
        <v>1485</v>
      </c>
      <c r="E112" s="128" t="s">
        <v>14</v>
      </c>
      <c r="F112" s="137">
        <v>15.24</v>
      </c>
      <c r="G112" s="130">
        <v>30.71</v>
      </c>
      <c r="H112" s="128">
        <v>64.91</v>
      </c>
      <c r="I112" s="133">
        <f t="shared" si="21"/>
        <v>0</v>
      </c>
      <c r="J112" s="374">
        <f t="shared" si="22"/>
        <v>0</v>
      </c>
      <c r="K112" s="137">
        <f>H112-J112</f>
        <v>64.91</v>
      </c>
      <c r="L112" s="131">
        <f t="shared" si="31"/>
        <v>1993.39</v>
      </c>
      <c r="M112" s="131">
        <f t="shared" si="31"/>
        <v>0</v>
      </c>
      <c r="N112" s="131">
        <f t="shared" si="31"/>
        <v>0</v>
      </c>
      <c r="O112" s="131">
        <f t="shared" si="31"/>
        <v>1993.39</v>
      </c>
      <c r="P112" s="136">
        <f t="shared" si="26"/>
        <v>0</v>
      </c>
      <c r="Q112" s="525"/>
      <c r="S112" s="189">
        <v>0</v>
      </c>
      <c r="T112" s="189">
        <v>0</v>
      </c>
      <c r="BT112" s="525"/>
      <c r="BU112" s="523">
        <v>0</v>
      </c>
      <c r="BV112" s="523">
        <v>0</v>
      </c>
      <c r="BW112" s="523"/>
      <c r="BX112" s="523"/>
      <c r="BY112" s="523"/>
      <c r="BZ112" s="523"/>
      <c r="CA112" s="523"/>
      <c r="CB112" s="523"/>
      <c r="CC112" s="523"/>
      <c r="CD112" s="523"/>
      <c r="CE112" s="523"/>
      <c r="CF112" s="523"/>
      <c r="CG112" s="523"/>
      <c r="CH112" s="523"/>
      <c r="CI112" s="523">
        <f t="shared" si="20"/>
        <v>0</v>
      </c>
    </row>
    <row r="113" spans="1:87" ht="25.5" x14ac:dyDescent="0.2">
      <c r="A113" s="125" t="s">
        <v>1486</v>
      </c>
      <c r="B113" s="126">
        <v>72136</v>
      </c>
      <c r="C113" s="126" t="s">
        <v>1324</v>
      </c>
      <c r="D113" s="127" t="s">
        <v>1487</v>
      </c>
      <c r="E113" s="128" t="s">
        <v>14</v>
      </c>
      <c r="F113" s="137">
        <v>584.54999999999995</v>
      </c>
      <c r="G113" s="130">
        <v>71.489999999999995</v>
      </c>
      <c r="H113" s="128">
        <v>676.67</v>
      </c>
      <c r="I113" s="133">
        <f t="shared" si="21"/>
        <v>0</v>
      </c>
      <c r="J113" s="374">
        <f t="shared" si="22"/>
        <v>0</v>
      </c>
      <c r="K113" s="137">
        <f>H113-J113</f>
        <v>676.67</v>
      </c>
      <c r="L113" s="131">
        <f t="shared" si="31"/>
        <v>48375.14</v>
      </c>
      <c r="M113" s="131">
        <f t="shared" si="31"/>
        <v>0</v>
      </c>
      <c r="N113" s="131">
        <f t="shared" si="31"/>
        <v>0</v>
      </c>
      <c r="O113" s="131">
        <f t="shared" si="31"/>
        <v>48375.14</v>
      </c>
      <c r="P113" s="136">
        <f t="shared" si="26"/>
        <v>0</v>
      </c>
      <c r="Q113" s="525"/>
      <c r="S113" s="189">
        <v>0</v>
      </c>
      <c r="T113" s="189">
        <v>0</v>
      </c>
      <c r="BT113" s="525"/>
      <c r="BU113" s="523">
        <v>0</v>
      </c>
      <c r="BV113" s="523">
        <v>0</v>
      </c>
      <c r="BW113" s="523"/>
      <c r="BX113" s="523"/>
      <c r="BY113" s="523"/>
      <c r="BZ113" s="523"/>
      <c r="CA113" s="523"/>
      <c r="CB113" s="523"/>
      <c r="CC113" s="523"/>
      <c r="CD113" s="523"/>
      <c r="CE113" s="523"/>
      <c r="CF113" s="523"/>
      <c r="CG113" s="523"/>
      <c r="CH113" s="523"/>
      <c r="CI113" s="523">
        <f t="shared" si="20"/>
        <v>0</v>
      </c>
    </row>
    <row r="114" spans="1:87" ht="25.5" x14ac:dyDescent="0.2">
      <c r="A114" s="125" t="s">
        <v>1488</v>
      </c>
      <c r="B114" s="126">
        <v>87251</v>
      </c>
      <c r="C114" s="126" t="s">
        <v>1324</v>
      </c>
      <c r="D114" s="127" t="s">
        <v>1489</v>
      </c>
      <c r="E114" s="128" t="s">
        <v>14</v>
      </c>
      <c r="F114" s="137">
        <v>18.86</v>
      </c>
      <c r="G114" s="130">
        <v>31.13</v>
      </c>
      <c r="H114" s="128">
        <v>64.91</v>
      </c>
      <c r="I114" s="133">
        <f t="shared" si="21"/>
        <v>0</v>
      </c>
      <c r="J114" s="374">
        <f t="shared" si="22"/>
        <v>0</v>
      </c>
      <c r="K114" s="137">
        <f>H114-J114</f>
        <v>64.91</v>
      </c>
      <c r="L114" s="131">
        <f t="shared" si="31"/>
        <v>2020.65</v>
      </c>
      <c r="M114" s="131">
        <f t="shared" si="31"/>
        <v>0</v>
      </c>
      <c r="N114" s="131">
        <f t="shared" si="31"/>
        <v>0</v>
      </c>
      <c r="O114" s="131">
        <f t="shared" si="31"/>
        <v>2020.65</v>
      </c>
      <c r="P114" s="136">
        <f t="shared" si="26"/>
        <v>0</v>
      </c>
      <c r="Q114" s="525"/>
      <c r="S114" s="189">
        <v>0</v>
      </c>
      <c r="T114" s="189">
        <v>0</v>
      </c>
      <c r="BT114" s="525"/>
      <c r="BU114" s="523">
        <v>0</v>
      </c>
      <c r="BV114" s="523">
        <v>0</v>
      </c>
      <c r="BW114" s="523"/>
      <c r="BX114" s="523"/>
      <c r="BY114" s="523"/>
      <c r="BZ114" s="523"/>
      <c r="CA114" s="523"/>
      <c r="CB114" s="523"/>
      <c r="CC114" s="523"/>
      <c r="CD114" s="523"/>
      <c r="CE114" s="523"/>
      <c r="CF114" s="523"/>
      <c r="CG114" s="523"/>
      <c r="CH114" s="523"/>
      <c r="CI114" s="523">
        <f t="shared" si="20"/>
        <v>0</v>
      </c>
    </row>
    <row r="115" spans="1:87" s="514" customFormat="1" x14ac:dyDescent="0.2">
      <c r="A115" s="125" t="s">
        <v>1490</v>
      </c>
      <c r="B115" s="126" t="s">
        <v>2007</v>
      </c>
      <c r="C115" s="126" t="s">
        <v>1339</v>
      </c>
      <c r="D115" s="127" t="s">
        <v>1491</v>
      </c>
      <c r="E115" s="128" t="s">
        <v>81</v>
      </c>
      <c r="F115" s="137">
        <v>42.78</v>
      </c>
      <c r="G115" s="130">
        <v>45.49</v>
      </c>
      <c r="H115" s="128">
        <v>2.7</v>
      </c>
      <c r="I115" s="133">
        <f t="shared" si="21"/>
        <v>0</v>
      </c>
      <c r="J115" s="374">
        <f t="shared" si="22"/>
        <v>0</v>
      </c>
      <c r="K115" s="137">
        <f>H115-J115</f>
        <v>2.7</v>
      </c>
      <c r="L115" s="131">
        <f t="shared" si="31"/>
        <v>122.82</v>
      </c>
      <c r="M115" s="131">
        <f t="shared" si="31"/>
        <v>0</v>
      </c>
      <c r="N115" s="131">
        <f t="shared" si="31"/>
        <v>0</v>
      </c>
      <c r="O115" s="131">
        <f t="shared" si="31"/>
        <v>122.82</v>
      </c>
      <c r="P115" s="136">
        <f t="shared" si="26"/>
        <v>0</v>
      </c>
      <c r="Q115" s="525"/>
      <c r="S115" s="190">
        <v>0</v>
      </c>
      <c r="T115" s="190">
        <v>0</v>
      </c>
      <c r="BT115" s="525"/>
      <c r="BU115" s="523">
        <v>0</v>
      </c>
      <c r="BV115" s="523">
        <v>0</v>
      </c>
      <c r="BW115" s="523"/>
      <c r="BX115" s="523"/>
      <c r="BY115" s="523"/>
      <c r="BZ115" s="523"/>
      <c r="CA115" s="523"/>
      <c r="CB115" s="523"/>
      <c r="CC115" s="523"/>
      <c r="CD115" s="523"/>
      <c r="CE115" s="523"/>
      <c r="CF115" s="523"/>
      <c r="CG115" s="523"/>
      <c r="CH115" s="523"/>
      <c r="CI115" s="523">
        <f t="shared" si="20"/>
        <v>0</v>
      </c>
    </row>
    <row r="116" spans="1:87" x14ac:dyDescent="0.2">
      <c r="A116" s="449" t="s">
        <v>256</v>
      </c>
      <c r="B116" s="450"/>
      <c r="C116" s="450"/>
      <c r="D116" s="451" t="s">
        <v>1256</v>
      </c>
      <c r="E116" s="465"/>
      <c r="F116" s="465"/>
      <c r="G116" s="465"/>
      <c r="H116" s="465"/>
      <c r="I116" s="465"/>
      <c r="J116" s="465"/>
      <c r="K116" s="465"/>
      <c r="L116" s="452">
        <f>SUM(L117:L119)</f>
        <v>6045.77</v>
      </c>
      <c r="M116" s="452">
        <f>SUM(M117:M119)</f>
        <v>0</v>
      </c>
      <c r="N116" s="452">
        <f>SUM(N117:N119)</f>
        <v>0</v>
      </c>
      <c r="O116" s="452">
        <f>SUM(O117:O119)</f>
        <v>6045.77</v>
      </c>
      <c r="P116" s="459">
        <f t="shared" si="26"/>
        <v>0</v>
      </c>
      <c r="Q116" s="525"/>
      <c r="S116" s="189">
        <v>0</v>
      </c>
      <c r="T116" s="189">
        <v>0</v>
      </c>
      <c r="BT116" s="525"/>
      <c r="BU116" s="523"/>
      <c r="BV116" s="523"/>
      <c r="BW116" s="523"/>
      <c r="BX116" s="523"/>
      <c r="BY116" s="523"/>
      <c r="BZ116" s="523"/>
      <c r="CA116" s="523"/>
      <c r="CB116" s="523"/>
      <c r="CC116" s="523"/>
      <c r="CD116" s="523"/>
      <c r="CE116" s="523"/>
      <c r="CF116" s="523"/>
      <c r="CG116" s="523"/>
      <c r="CH116" s="523"/>
      <c r="CI116" s="523">
        <f t="shared" si="20"/>
        <v>0</v>
      </c>
    </row>
    <row r="117" spans="1:87" x14ac:dyDescent="0.2">
      <c r="A117" s="125" t="s">
        <v>1492</v>
      </c>
      <c r="B117" s="126">
        <v>85181</v>
      </c>
      <c r="C117" s="126" t="s">
        <v>1324</v>
      </c>
      <c r="D117" s="127" t="s">
        <v>1493</v>
      </c>
      <c r="E117" s="128" t="s">
        <v>14</v>
      </c>
      <c r="F117" s="172"/>
      <c r="G117" s="130">
        <v>523.70000000000005</v>
      </c>
      <c r="H117" s="128">
        <v>9.7899999999999991</v>
      </c>
      <c r="I117" s="133">
        <f t="shared" si="21"/>
        <v>0</v>
      </c>
      <c r="J117" s="374">
        <f t="shared" si="22"/>
        <v>0</v>
      </c>
      <c r="K117" s="137">
        <f>H117-J117</f>
        <v>9.7899999999999991</v>
      </c>
      <c r="L117" s="131">
        <f t="shared" ref="L117:O119" si="32">ROUND(H117*$G117,2)</f>
        <v>5127.0200000000004</v>
      </c>
      <c r="M117" s="131">
        <f t="shared" si="32"/>
        <v>0</v>
      </c>
      <c r="N117" s="131">
        <f t="shared" si="32"/>
        <v>0</v>
      </c>
      <c r="O117" s="131">
        <f t="shared" si="32"/>
        <v>5127.0200000000004</v>
      </c>
      <c r="P117" s="136">
        <f t="shared" si="26"/>
        <v>0</v>
      </c>
      <c r="Q117" s="525"/>
      <c r="S117" s="189">
        <v>0</v>
      </c>
      <c r="T117" s="189">
        <v>0</v>
      </c>
      <c r="BT117" s="525"/>
      <c r="BU117" s="523">
        <v>0</v>
      </c>
      <c r="BV117" s="523">
        <v>0</v>
      </c>
      <c r="BW117" s="523"/>
      <c r="BX117" s="523"/>
      <c r="BY117" s="523"/>
      <c r="BZ117" s="523"/>
      <c r="CA117" s="523"/>
      <c r="CB117" s="523"/>
      <c r="CC117" s="523"/>
      <c r="CD117" s="523"/>
      <c r="CE117" s="523"/>
      <c r="CF117" s="523"/>
      <c r="CG117" s="523"/>
      <c r="CH117" s="523"/>
      <c r="CI117" s="523">
        <f t="shared" si="20"/>
        <v>0</v>
      </c>
    </row>
    <row r="118" spans="1:87" x14ac:dyDescent="0.2">
      <c r="A118" s="125" t="s">
        <v>1494</v>
      </c>
      <c r="B118" s="126">
        <v>5652</v>
      </c>
      <c r="C118" s="126" t="s">
        <v>1324</v>
      </c>
      <c r="D118" s="127" t="s">
        <v>1495</v>
      </c>
      <c r="E118" s="128" t="s">
        <v>48</v>
      </c>
      <c r="F118" s="172"/>
      <c r="G118" s="130">
        <v>276.27</v>
      </c>
      <c r="H118" s="128">
        <v>1.82</v>
      </c>
      <c r="I118" s="133">
        <f t="shared" si="21"/>
        <v>0</v>
      </c>
      <c r="J118" s="374">
        <f t="shared" si="22"/>
        <v>0</v>
      </c>
      <c r="K118" s="137">
        <f>H118-J118</f>
        <v>1.82</v>
      </c>
      <c r="L118" s="131">
        <f t="shared" si="32"/>
        <v>502.81</v>
      </c>
      <c r="M118" s="131">
        <f t="shared" si="32"/>
        <v>0</v>
      </c>
      <c r="N118" s="131">
        <f t="shared" si="32"/>
        <v>0</v>
      </c>
      <c r="O118" s="131">
        <f t="shared" si="32"/>
        <v>502.81</v>
      </c>
      <c r="P118" s="136">
        <f t="shared" si="26"/>
        <v>0</v>
      </c>
      <c r="Q118" s="525"/>
      <c r="S118" s="189">
        <v>0</v>
      </c>
      <c r="T118" s="189">
        <v>0</v>
      </c>
      <c r="BT118" s="525"/>
      <c r="BU118" s="523">
        <v>0</v>
      </c>
      <c r="BV118" s="523">
        <v>0</v>
      </c>
      <c r="BW118" s="523"/>
      <c r="BX118" s="523"/>
      <c r="BY118" s="523"/>
      <c r="BZ118" s="523"/>
      <c r="CA118" s="523"/>
      <c r="CB118" s="523"/>
      <c r="CC118" s="523"/>
      <c r="CD118" s="523"/>
      <c r="CE118" s="523"/>
      <c r="CF118" s="523"/>
      <c r="CG118" s="523"/>
      <c r="CH118" s="523"/>
      <c r="CI118" s="523">
        <f t="shared" si="20"/>
        <v>0</v>
      </c>
    </row>
    <row r="119" spans="1:87" s="514" customFormat="1" ht="25.5" x14ac:dyDescent="0.2">
      <c r="A119" s="125" t="s">
        <v>1496</v>
      </c>
      <c r="B119" s="126" t="s">
        <v>2007</v>
      </c>
      <c r="C119" s="126" t="s">
        <v>1339</v>
      </c>
      <c r="D119" s="127" t="s">
        <v>1497</v>
      </c>
      <c r="E119" s="128" t="s">
        <v>14</v>
      </c>
      <c r="F119" s="137">
        <v>7.73</v>
      </c>
      <c r="G119" s="130">
        <v>71.099999999999994</v>
      </c>
      <c r="H119" s="128">
        <v>5.85</v>
      </c>
      <c r="I119" s="133">
        <f t="shared" si="21"/>
        <v>0</v>
      </c>
      <c r="J119" s="374">
        <f t="shared" si="22"/>
        <v>0</v>
      </c>
      <c r="K119" s="137">
        <f>H119-J119</f>
        <v>5.85</v>
      </c>
      <c r="L119" s="131">
        <f t="shared" si="32"/>
        <v>415.94</v>
      </c>
      <c r="M119" s="131">
        <f t="shared" si="32"/>
        <v>0</v>
      </c>
      <c r="N119" s="131">
        <f t="shared" si="32"/>
        <v>0</v>
      </c>
      <c r="O119" s="131">
        <f t="shared" si="32"/>
        <v>415.94</v>
      </c>
      <c r="P119" s="136">
        <f t="shared" si="26"/>
        <v>0</v>
      </c>
      <c r="Q119" s="525"/>
      <c r="S119" s="190">
        <v>0</v>
      </c>
      <c r="T119" s="190">
        <v>0</v>
      </c>
      <c r="BT119" s="525"/>
      <c r="BU119" s="523">
        <v>0</v>
      </c>
      <c r="BV119" s="523">
        <v>0</v>
      </c>
      <c r="BW119" s="523"/>
      <c r="BX119" s="523"/>
      <c r="BY119" s="523"/>
      <c r="BZ119" s="523"/>
      <c r="CA119" s="523"/>
      <c r="CB119" s="523"/>
      <c r="CC119" s="523"/>
      <c r="CD119" s="523"/>
      <c r="CE119" s="523"/>
      <c r="CF119" s="523"/>
      <c r="CG119" s="523"/>
      <c r="CH119" s="523"/>
      <c r="CI119" s="523">
        <f t="shared" si="20"/>
        <v>0</v>
      </c>
    </row>
    <row r="120" spans="1:87" x14ac:dyDescent="0.2">
      <c r="A120" s="412">
        <v>11</v>
      </c>
      <c r="B120" s="413"/>
      <c r="C120" s="413"/>
      <c r="D120" s="414" t="s">
        <v>1498</v>
      </c>
      <c r="E120" s="415"/>
      <c r="F120" s="415"/>
      <c r="G120" s="415"/>
      <c r="H120" s="415"/>
      <c r="I120" s="415"/>
      <c r="J120" s="415"/>
      <c r="K120" s="415"/>
      <c r="L120" s="433">
        <f>SUM(L121:L128)</f>
        <v>62088.5</v>
      </c>
      <c r="M120" s="433">
        <f>SUM(M121:M128)</f>
        <v>0</v>
      </c>
      <c r="N120" s="433">
        <f>SUM(N121:N128)</f>
        <v>0</v>
      </c>
      <c r="O120" s="433">
        <f>SUM(O121:O128)</f>
        <v>62088.5</v>
      </c>
      <c r="P120" s="423">
        <f t="shared" si="26"/>
        <v>0</v>
      </c>
      <c r="Q120" s="525"/>
      <c r="S120" s="189">
        <v>0</v>
      </c>
      <c r="T120" s="189">
        <v>0</v>
      </c>
      <c r="BT120" s="525"/>
      <c r="BU120" s="523"/>
      <c r="BV120" s="523"/>
      <c r="BW120" s="523"/>
      <c r="BX120" s="523"/>
      <c r="BY120" s="523"/>
      <c r="BZ120" s="523"/>
      <c r="CA120" s="523"/>
      <c r="CB120" s="523"/>
      <c r="CC120" s="523"/>
      <c r="CD120" s="523"/>
      <c r="CE120" s="523"/>
      <c r="CF120" s="523"/>
      <c r="CG120" s="523"/>
      <c r="CH120" s="523"/>
      <c r="CI120" s="523">
        <f t="shared" si="20"/>
        <v>0</v>
      </c>
    </row>
    <row r="121" spans="1:87" x14ac:dyDescent="0.2">
      <c r="A121" s="125" t="s">
        <v>274</v>
      </c>
      <c r="B121" s="126" t="s">
        <v>2007</v>
      </c>
      <c r="C121" s="126" t="s">
        <v>1339</v>
      </c>
      <c r="D121" s="127" t="s">
        <v>1499</v>
      </c>
      <c r="E121" s="128" t="s">
        <v>14</v>
      </c>
      <c r="F121" s="137">
        <v>14.07</v>
      </c>
      <c r="G121" s="130">
        <v>7.03</v>
      </c>
      <c r="H121" s="128">
        <v>529.37</v>
      </c>
      <c r="I121" s="133">
        <f t="shared" si="21"/>
        <v>0</v>
      </c>
      <c r="J121" s="374">
        <f t="shared" si="22"/>
        <v>0</v>
      </c>
      <c r="K121" s="137">
        <f t="shared" ref="K121:K128" si="33">H121-J121</f>
        <v>529.37</v>
      </c>
      <c r="L121" s="131">
        <f t="shared" ref="L121:O128" si="34">ROUND(H121*$G121,2)</f>
        <v>3721.47</v>
      </c>
      <c r="M121" s="131">
        <f t="shared" si="34"/>
        <v>0</v>
      </c>
      <c r="N121" s="131">
        <f t="shared" si="34"/>
        <v>0</v>
      </c>
      <c r="O121" s="131">
        <f t="shared" si="34"/>
        <v>3721.47</v>
      </c>
      <c r="P121" s="136">
        <f t="shared" si="26"/>
        <v>0</v>
      </c>
      <c r="Q121" s="525"/>
      <c r="S121" s="189">
        <v>0</v>
      </c>
      <c r="T121" s="189">
        <v>0</v>
      </c>
      <c r="BT121" s="525"/>
      <c r="BU121" s="523">
        <v>0</v>
      </c>
      <c r="BV121" s="523">
        <v>0</v>
      </c>
      <c r="BW121" s="523"/>
      <c r="BX121" s="523"/>
      <c r="BY121" s="523"/>
      <c r="BZ121" s="523"/>
      <c r="CA121" s="523"/>
      <c r="CB121" s="523"/>
      <c r="CC121" s="523"/>
      <c r="CD121" s="523"/>
      <c r="CE121" s="523"/>
      <c r="CF121" s="523"/>
      <c r="CG121" s="523"/>
      <c r="CH121" s="523"/>
      <c r="CI121" s="523">
        <f t="shared" si="20"/>
        <v>0</v>
      </c>
    </row>
    <row r="122" spans="1:87" x14ac:dyDescent="0.2">
      <c r="A122" s="125" t="s">
        <v>276</v>
      </c>
      <c r="B122" s="126">
        <v>88489</v>
      </c>
      <c r="C122" s="126" t="s">
        <v>1324</v>
      </c>
      <c r="D122" s="127" t="s">
        <v>1500</v>
      </c>
      <c r="E122" s="128" t="s">
        <v>14</v>
      </c>
      <c r="F122" s="137">
        <v>14.07</v>
      </c>
      <c r="G122" s="130">
        <v>9.48</v>
      </c>
      <c r="H122" s="128">
        <v>445.04</v>
      </c>
      <c r="I122" s="133">
        <f t="shared" si="21"/>
        <v>0</v>
      </c>
      <c r="J122" s="374">
        <f t="shared" si="22"/>
        <v>0</v>
      </c>
      <c r="K122" s="137">
        <f t="shared" si="33"/>
        <v>445.04</v>
      </c>
      <c r="L122" s="131">
        <f t="shared" si="34"/>
        <v>4218.9799999999996</v>
      </c>
      <c r="M122" s="131">
        <f t="shared" si="34"/>
        <v>0</v>
      </c>
      <c r="N122" s="131">
        <f t="shared" si="34"/>
        <v>0</v>
      </c>
      <c r="O122" s="131">
        <f t="shared" si="34"/>
        <v>4218.9799999999996</v>
      </c>
      <c r="P122" s="136">
        <f t="shared" si="26"/>
        <v>0</v>
      </c>
      <c r="Q122" s="525"/>
      <c r="S122" s="189">
        <v>0</v>
      </c>
      <c r="T122" s="189">
        <v>0</v>
      </c>
      <c r="BT122" s="525"/>
      <c r="BU122" s="523">
        <v>0</v>
      </c>
      <c r="BV122" s="523">
        <v>0</v>
      </c>
      <c r="BW122" s="523"/>
      <c r="BX122" s="523"/>
      <c r="BY122" s="523"/>
      <c r="BZ122" s="523"/>
      <c r="CA122" s="523"/>
      <c r="CB122" s="523"/>
      <c r="CC122" s="523"/>
      <c r="CD122" s="523"/>
      <c r="CE122" s="523"/>
      <c r="CF122" s="523"/>
      <c r="CG122" s="523"/>
      <c r="CH122" s="523"/>
      <c r="CI122" s="523">
        <f t="shared" si="20"/>
        <v>0</v>
      </c>
    </row>
    <row r="123" spans="1:87" x14ac:dyDescent="0.2">
      <c r="A123" s="125" t="s">
        <v>278</v>
      </c>
      <c r="B123" s="126">
        <v>88486</v>
      </c>
      <c r="C123" s="126" t="s">
        <v>1324</v>
      </c>
      <c r="D123" s="127" t="s">
        <v>1501</v>
      </c>
      <c r="E123" s="128" t="s">
        <v>14</v>
      </c>
      <c r="F123" s="138"/>
      <c r="G123" s="130">
        <v>8.2899999999999991</v>
      </c>
      <c r="H123" s="128">
        <v>84.33</v>
      </c>
      <c r="I123" s="133">
        <f t="shared" si="21"/>
        <v>0</v>
      </c>
      <c r="J123" s="374">
        <f t="shared" si="22"/>
        <v>0</v>
      </c>
      <c r="K123" s="137">
        <f t="shared" si="33"/>
        <v>84.33</v>
      </c>
      <c r="L123" s="131">
        <f t="shared" si="34"/>
        <v>699.1</v>
      </c>
      <c r="M123" s="131">
        <f t="shared" si="34"/>
        <v>0</v>
      </c>
      <c r="N123" s="131">
        <f t="shared" si="34"/>
        <v>0</v>
      </c>
      <c r="O123" s="131">
        <f t="shared" si="34"/>
        <v>699.1</v>
      </c>
      <c r="P123" s="136">
        <f t="shared" si="26"/>
        <v>0</v>
      </c>
      <c r="Q123" s="525"/>
      <c r="S123" s="189">
        <v>0</v>
      </c>
      <c r="T123" s="189">
        <v>0</v>
      </c>
      <c r="BT123" s="525"/>
      <c r="BU123" s="523">
        <v>0</v>
      </c>
      <c r="BV123" s="523">
        <v>0</v>
      </c>
      <c r="BW123" s="523"/>
      <c r="BX123" s="523"/>
      <c r="BY123" s="523"/>
      <c r="BZ123" s="523"/>
      <c r="CA123" s="523"/>
      <c r="CB123" s="523"/>
      <c r="CC123" s="523"/>
      <c r="CD123" s="523"/>
      <c r="CE123" s="523"/>
      <c r="CF123" s="523"/>
      <c r="CG123" s="523"/>
      <c r="CH123" s="523"/>
      <c r="CI123" s="523">
        <f t="shared" si="20"/>
        <v>0</v>
      </c>
    </row>
    <row r="124" spans="1:87" x14ac:dyDescent="0.2">
      <c r="A124" s="125" t="s">
        <v>281</v>
      </c>
      <c r="B124" s="126">
        <v>72815</v>
      </c>
      <c r="C124" s="126" t="s">
        <v>1324</v>
      </c>
      <c r="D124" s="127" t="s">
        <v>1502</v>
      </c>
      <c r="E124" s="128" t="s">
        <v>14</v>
      </c>
      <c r="F124" s="138"/>
      <c r="G124" s="130">
        <v>43.08</v>
      </c>
      <c r="H124" s="128">
        <v>483.8</v>
      </c>
      <c r="I124" s="133">
        <f t="shared" si="21"/>
        <v>0</v>
      </c>
      <c r="J124" s="374">
        <f t="shared" si="22"/>
        <v>0</v>
      </c>
      <c r="K124" s="137">
        <f t="shared" si="33"/>
        <v>483.8</v>
      </c>
      <c r="L124" s="131">
        <f t="shared" si="34"/>
        <v>20842.099999999999</v>
      </c>
      <c r="M124" s="131">
        <f t="shared" si="34"/>
        <v>0</v>
      </c>
      <c r="N124" s="131">
        <f t="shared" si="34"/>
        <v>0</v>
      </c>
      <c r="O124" s="131">
        <f t="shared" si="34"/>
        <v>20842.099999999999</v>
      </c>
      <c r="P124" s="136">
        <f t="shared" si="26"/>
        <v>0</v>
      </c>
      <c r="Q124" s="525"/>
      <c r="S124" s="189">
        <v>0</v>
      </c>
      <c r="T124" s="189">
        <v>0</v>
      </c>
      <c r="BT124" s="525"/>
      <c r="BU124" s="523">
        <v>0</v>
      </c>
      <c r="BV124" s="523">
        <v>0</v>
      </c>
      <c r="BW124" s="523"/>
      <c r="BX124" s="523"/>
      <c r="BY124" s="523"/>
      <c r="BZ124" s="523"/>
      <c r="CA124" s="523"/>
      <c r="CB124" s="523"/>
      <c r="CC124" s="523"/>
      <c r="CD124" s="523"/>
      <c r="CE124" s="523"/>
      <c r="CF124" s="523"/>
      <c r="CG124" s="523"/>
      <c r="CH124" s="523"/>
      <c r="CI124" s="523">
        <f t="shared" si="20"/>
        <v>0</v>
      </c>
    </row>
    <row r="125" spans="1:87" x14ac:dyDescent="0.2">
      <c r="A125" s="125" t="s">
        <v>1503</v>
      </c>
      <c r="B125" s="126">
        <v>41595</v>
      </c>
      <c r="C125" s="126" t="s">
        <v>1324</v>
      </c>
      <c r="D125" s="127" t="s">
        <v>1504</v>
      </c>
      <c r="E125" s="128" t="s">
        <v>81</v>
      </c>
      <c r="F125" s="138"/>
      <c r="G125" s="130">
        <v>8.86</v>
      </c>
      <c r="H125" s="128">
        <v>275.60000000000002</v>
      </c>
      <c r="I125" s="133">
        <f t="shared" si="21"/>
        <v>0</v>
      </c>
      <c r="J125" s="374">
        <f t="shared" si="22"/>
        <v>0</v>
      </c>
      <c r="K125" s="137">
        <f t="shared" si="33"/>
        <v>275.60000000000002</v>
      </c>
      <c r="L125" s="131">
        <f t="shared" si="34"/>
        <v>2441.8200000000002</v>
      </c>
      <c r="M125" s="131">
        <f t="shared" si="34"/>
        <v>0</v>
      </c>
      <c r="N125" s="131">
        <f t="shared" si="34"/>
        <v>0</v>
      </c>
      <c r="O125" s="131">
        <f t="shared" si="34"/>
        <v>2441.8200000000002</v>
      </c>
      <c r="P125" s="136">
        <f t="shared" si="26"/>
        <v>0</v>
      </c>
      <c r="Q125" s="525"/>
      <c r="S125" s="189">
        <v>0</v>
      </c>
      <c r="T125" s="189">
        <v>0</v>
      </c>
      <c r="BT125" s="525"/>
      <c r="BU125" s="523">
        <v>0</v>
      </c>
      <c r="BV125" s="523">
        <v>0</v>
      </c>
      <c r="BW125" s="523"/>
      <c r="BX125" s="523"/>
      <c r="BY125" s="523"/>
      <c r="BZ125" s="523"/>
      <c r="CA125" s="523"/>
      <c r="CB125" s="523"/>
      <c r="CC125" s="523"/>
      <c r="CD125" s="523"/>
      <c r="CE125" s="523"/>
      <c r="CF125" s="523"/>
      <c r="CG125" s="523"/>
      <c r="CH125" s="523"/>
      <c r="CI125" s="523">
        <f t="shared" si="20"/>
        <v>0</v>
      </c>
    </row>
    <row r="126" spans="1:87" x14ac:dyDescent="0.2">
      <c r="A126" s="125" t="s">
        <v>1505</v>
      </c>
      <c r="B126" s="126" t="s">
        <v>1506</v>
      </c>
      <c r="C126" s="126" t="s">
        <v>1324</v>
      </c>
      <c r="D126" s="127" t="s">
        <v>1507</v>
      </c>
      <c r="E126" s="128" t="s">
        <v>14</v>
      </c>
      <c r="F126" s="129"/>
      <c r="G126" s="130">
        <v>7.25</v>
      </c>
      <c r="H126" s="128">
        <v>366.82</v>
      </c>
      <c r="I126" s="133">
        <f t="shared" si="21"/>
        <v>0</v>
      </c>
      <c r="J126" s="374">
        <f t="shared" si="22"/>
        <v>0</v>
      </c>
      <c r="K126" s="137">
        <f t="shared" si="33"/>
        <v>366.82</v>
      </c>
      <c r="L126" s="131">
        <f t="shared" si="34"/>
        <v>2659.45</v>
      </c>
      <c r="M126" s="131">
        <f t="shared" si="34"/>
        <v>0</v>
      </c>
      <c r="N126" s="131">
        <f t="shared" si="34"/>
        <v>0</v>
      </c>
      <c r="O126" s="131">
        <f t="shared" si="34"/>
        <v>2659.45</v>
      </c>
      <c r="P126" s="136">
        <f t="shared" si="26"/>
        <v>0</v>
      </c>
      <c r="Q126" s="525"/>
      <c r="S126" s="189">
        <v>0</v>
      </c>
      <c r="T126" s="189">
        <v>0</v>
      </c>
      <c r="BT126" s="525"/>
      <c r="BU126" s="523">
        <v>0</v>
      </c>
      <c r="BV126" s="523">
        <v>0</v>
      </c>
      <c r="BW126" s="523"/>
      <c r="BX126" s="523"/>
      <c r="BY126" s="523"/>
      <c r="BZ126" s="523"/>
      <c r="CA126" s="523"/>
      <c r="CB126" s="523"/>
      <c r="CC126" s="523"/>
      <c r="CD126" s="523"/>
      <c r="CE126" s="523"/>
      <c r="CF126" s="523"/>
      <c r="CG126" s="523"/>
      <c r="CH126" s="523"/>
      <c r="CI126" s="523">
        <f t="shared" si="20"/>
        <v>0</v>
      </c>
    </row>
    <row r="127" spans="1:87" x14ac:dyDescent="0.2">
      <c r="A127" s="125" t="s">
        <v>1508</v>
      </c>
      <c r="B127" s="126" t="s">
        <v>1509</v>
      </c>
      <c r="C127" s="126" t="s">
        <v>1324</v>
      </c>
      <c r="D127" s="127" t="s">
        <v>1510</v>
      </c>
      <c r="E127" s="128" t="s">
        <v>14</v>
      </c>
      <c r="F127" s="137">
        <v>37.78</v>
      </c>
      <c r="G127" s="130">
        <v>21.62</v>
      </c>
      <c r="H127" s="128">
        <v>567.82000000000005</v>
      </c>
      <c r="I127" s="133">
        <f t="shared" si="21"/>
        <v>0</v>
      </c>
      <c r="J127" s="374">
        <f t="shared" si="22"/>
        <v>0</v>
      </c>
      <c r="K127" s="137">
        <f t="shared" si="33"/>
        <v>567.82000000000005</v>
      </c>
      <c r="L127" s="131">
        <f t="shared" si="34"/>
        <v>12276.27</v>
      </c>
      <c r="M127" s="131">
        <f t="shared" si="34"/>
        <v>0</v>
      </c>
      <c r="N127" s="131">
        <f t="shared" si="34"/>
        <v>0</v>
      </c>
      <c r="O127" s="131">
        <f t="shared" si="34"/>
        <v>12276.27</v>
      </c>
      <c r="P127" s="136">
        <f t="shared" si="26"/>
        <v>0</v>
      </c>
      <c r="Q127" s="525"/>
      <c r="S127" s="189">
        <v>0</v>
      </c>
      <c r="T127" s="189">
        <v>0</v>
      </c>
      <c r="BT127" s="525"/>
      <c r="BU127" s="523">
        <v>0</v>
      </c>
      <c r="BV127" s="523">
        <v>0</v>
      </c>
      <c r="BW127" s="523"/>
      <c r="BX127" s="523"/>
      <c r="BY127" s="523"/>
      <c r="BZ127" s="523"/>
      <c r="CA127" s="523"/>
      <c r="CB127" s="523"/>
      <c r="CC127" s="523"/>
      <c r="CD127" s="523"/>
      <c r="CE127" s="523"/>
      <c r="CF127" s="523"/>
      <c r="CG127" s="523"/>
      <c r="CH127" s="523"/>
      <c r="CI127" s="523">
        <f t="shared" si="20"/>
        <v>0</v>
      </c>
    </row>
    <row r="128" spans="1:87" x14ac:dyDescent="0.2">
      <c r="A128" s="125" t="s">
        <v>1511</v>
      </c>
      <c r="B128" s="126" t="s">
        <v>1512</v>
      </c>
      <c r="C128" s="126" t="s">
        <v>1324</v>
      </c>
      <c r="D128" s="127" t="s">
        <v>1513</v>
      </c>
      <c r="E128" s="128" t="s">
        <v>14</v>
      </c>
      <c r="F128" s="137">
        <v>21.63</v>
      </c>
      <c r="G128" s="130">
        <v>14.78</v>
      </c>
      <c r="H128" s="128">
        <v>1030.4000000000001</v>
      </c>
      <c r="I128" s="133">
        <f t="shared" si="21"/>
        <v>0</v>
      </c>
      <c r="J128" s="374">
        <f t="shared" si="22"/>
        <v>0</v>
      </c>
      <c r="K128" s="137">
        <f t="shared" si="33"/>
        <v>1030.4000000000001</v>
      </c>
      <c r="L128" s="131">
        <f t="shared" si="34"/>
        <v>15229.31</v>
      </c>
      <c r="M128" s="131">
        <f t="shared" si="34"/>
        <v>0</v>
      </c>
      <c r="N128" s="131">
        <f t="shared" si="34"/>
        <v>0</v>
      </c>
      <c r="O128" s="131">
        <f t="shared" si="34"/>
        <v>15229.31</v>
      </c>
      <c r="P128" s="136">
        <f t="shared" si="26"/>
        <v>0</v>
      </c>
      <c r="Q128" s="525"/>
      <c r="S128" s="189">
        <v>0</v>
      </c>
      <c r="T128" s="189">
        <v>271</v>
      </c>
      <c r="BT128" s="525"/>
      <c r="BU128" s="523">
        <v>0</v>
      </c>
      <c r="BV128" s="523">
        <v>0</v>
      </c>
      <c r="BW128" s="523"/>
      <c r="BX128" s="523"/>
      <c r="BY128" s="523"/>
      <c r="BZ128" s="523"/>
      <c r="CA128" s="523"/>
      <c r="CB128" s="523"/>
      <c r="CC128" s="523"/>
      <c r="CD128" s="523"/>
      <c r="CE128" s="523"/>
      <c r="CF128" s="523"/>
      <c r="CG128" s="523"/>
      <c r="CH128" s="523"/>
      <c r="CI128" s="523">
        <f t="shared" si="20"/>
        <v>0</v>
      </c>
    </row>
    <row r="129" spans="1:87" s="514" customFormat="1" x14ac:dyDescent="0.2">
      <c r="A129" s="412">
        <v>12</v>
      </c>
      <c r="B129" s="413"/>
      <c r="C129" s="413"/>
      <c r="D129" s="414" t="s">
        <v>1514</v>
      </c>
      <c r="E129" s="415"/>
      <c r="F129" s="415"/>
      <c r="G129" s="415"/>
      <c r="H129" s="415"/>
      <c r="I129" s="415"/>
      <c r="J129" s="415"/>
      <c r="K129" s="415"/>
      <c r="L129" s="416">
        <f>SUM(L130,L152)</f>
        <v>4556.04</v>
      </c>
      <c r="M129" s="416">
        <f>SUM(M130,M152)</f>
        <v>0</v>
      </c>
      <c r="N129" s="416">
        <f>SUM(N130,N152)</f>
        <v>0</v>
      </c>
      <c r="O129" s="416">
        <f>SUM(O130,O152)</f>
        <v>4556.04</v>
      </c>
      <c r="P129" s="423">
        <f t="shared" si="26"/>
        <v>0</v>
      </c>
      <c r="Q129" s="525"/>
      <c r="S129" s="190">
        <v>0</v>
      </c>
      <c r="T129" s="190">
        <v>237</v>
      </c>
      <c r="BT129" s="525"/>
      <c r="BU129" s="523"/>
      <c r="BV129" s="523"/>
      <c r="BW129" s="523"/>
      <c r="BX129" s="523"/>
      <c r="BY129" s="523"/>
      <c r="BZ129" s="523"/>
      <c r="CA129" s="523"/>
      <c r="CB129" s="523"/>
      <c r="CC129" s="523"/>
      <c r="CD129" s="523"/>
      <c r="CE129" s="523"/>
      <c r="CF129" s="523"/>
      <c r="CG129" s="523"/>
      <c r="CH129" s="523"/>
      <c r="CI129" s="523">
        <f t="shared" si="20"/>
        <v>0</v>
      </c>
    </row>
    <row r="130" spans="1:87" x14ac:dyDescent="0.2">
      <c r="A130" s="449" t="s">
        <v>1515</v>
      </c>
      <c r="B130" s="450"/>
      <c r="C130" s="450"/>
      <c r="D130" s="451" t="s">
        <v>1516</v>
      </c>
      <c r="E130" s="465"/>
      <c r="F130" s="465"/>
      <c r="G130" s="465"/>
      <c r="H130" s="465"/>
      <c r="I130" s="465"/>
      <c r="J130" s="465"/>
      <c r="K130" s="465"/>
      <c r="L130" s="452">
        <f>SUM(L131:L151)</f>
        <v>1719.64</v>
      </c>
      <c r="M130" s="452">
        <f>SUM(M131:M151)</f>
        <v>0</v>
      </c>
      <c r="N130" s="452">
        <f>SUM(N131:N151)</f>
        <v>0</v>
      </c>
      <c r="O130" s="452">
        <f>SUM(O131:O151)</f>
        <v>1719.64</v>
      </c>
      <c r="P130" s="459">
        <f t="shared" si="26"/>
        <v>0</v>
      </c>
      <c r="Q130" s="525"/>
      <c r="S130" s="189">
        <v>0</v>
      </c>
      <c r="T130" s="189">
        <v>12</v>
      </c>
      <c r="BT130" s="525"/>
      <c r="BU130" s="523"/>
      <c r="BV130" s="523"/>
      <c r="BW130" s="523"/>
      <c r="BX130" s="523"/>
      <c r="BY130" s="523"/>
      <c r="BZ130" s="523"/>
      <c r="CA130" s="523"/>
      <c r="CB130" s="523"/>
      <c r="CC130" s="523"/>
      <c r="CD130" s="523"/>
      <c r="CE130" s="523"/>
      <c r="CF130" s="523"/>
      <c r="CG130" s="523"/>
      <c r="CH130" s="523"/>
      <c r="CI130" s="523">
        <f t="shared" si="20"/>
        <v>0</v>
      </c>
    </row>
    <row r="131" spans="1:87" x14ac:dyDescent="0.2">
      <c r="A131" s="125" t="s">
        <v>1517</v>
      </c>
      <c r="B131" s="126">
        <v>89401</v>
      </c>
      <c r="C131" s="126" t="s">
        <v>1324</v>
      </c>
      <c r="D131" s="127" t="s">
        <v>1518</v>
      </c>
      <c r="E131" s="128" t="s">
        <v>81</v>
      </c>
      <c r="F131" s="137">
        <v>22.03</v>
      </c>
      <c r="G131" s="130">
        <v>5.29</v>
      </c>
      <c r="H131" s="128">
        <v>12</v>
      </c>
      <c r="I131" s="133">
        <f t="shared" si="21"/>
        <v>0</v>
      </c>
      <c r="J131" s="374">
        <f t="shared" si="22"/>
        <v>0</v>
      </c>
      <c r="K131" s="137">
        <f t="shared" ref="K131:K193" si="35">H131-J131</f>
        <v>12</v>
      </c>
      <c r="L131" s="131">
        <f t="shared" ref="L131:O151" si="36">ROUND(H131*$G131,2)</f>
        <v>63.48</v>
      </c>
      <c r="M131" s="131">
        <f t="shared" si="36"/>
        <v>0</v>
      </c>
      <c r="N131" s="131">
        <f t="shared" si="36"/>
        <v>0</v>
      </c>
      <c r="O131" s="131">
        <f t="shared" si="36"/>
        <v>63.48</v>
      </c>
      <c r="P131" s="136">
        <f t="shared" si="26"/>
        <v>0</v>
      </c>
      <c r="Q131" s="525"/>
      <c r="S131" s="189">
        <v>0</v>
      </c>
      <c r="T131" s="189">
        <v>42</v>
      </c>
      <c r="BT131" s="525"/>
      <c r="BU131" s="523">
        <v>0</v>
      </c>
      <c r="BV131" s="523">
        <v>0</v>
      </c>
      <c r="BW131" s="523"/>
      <c r="BX131" s="523"/>
      <c r="BY131" s="523"/>
      <c r="BZ131" s="523"/>
      <c r="CA131" s="523"/>
      <c r="CB131" s="523"/>
      <c r="CC131" s="523"/>
      <c r="CD131" s="523"/>
      <c r="CE131" s="523"/>
      <c r="CF131" s="523"/>
      <c r="CG131" s="523"/>
      <c r="CH131" s="523"/>
      <c r="CI131" s="523">
        <f t="shared" si="20"/>
        <v>0</v>
      </c>
    </row>
    <row r="132" spans="1:87" x14ac:dyDescent="0.2">
      <c r="A132" s="125" t="s">
        <v>1519</v>
      </c>
      <c r="B132" s="126">
        <v>89446</v>
      </c>
      <c r="C132" s="126" t="s">
        <v>1324</v>
      </c>
      <c r="D132" s="127" t="s">
        <v>1520</v>
      </c>
      <c r="E132" s="128" t="s">
        <v>81</v>
      </c>
      <c r="F132" s="138"/>
      <c r="G132" s="130">
        <v>3.19</v>
      </c>
      <c r="H132" s="128">
        <v>42</v>
      </c>
      <c r="I132" s="133">
        <f t="shared" si="21"/>
        <v>0</v>
      </c>
      <c r="J132" s="374">
        <f t="shared" si="22"/>
        <v>0</v>
      </c>
      <c r="K132" s="128">
        <f t="shared" si="35"/>
        <v>42</v>
      </c>
      <c r="L132" s="131">
        <f t="shared" si="36"/>
        <v>133.97999999999999</v>
      </c>
      <c r="M132" s="131">
        <f t="shared" si="36"/>
        <v>0</v>
      </c>
      <c r="N132" s="131">
        <f t="shared" si="36"/>
        <v>0</v>
      </c>
      <c r="O132" s="131">
        <f t="shared" si="36"/>
        <v>133.97999999999999</v>
      </c>
      <c r="P132" s="136">
        <f t="shared" si="26"/>
        <v>0</v>
      </c>
      <c r="Q132" s="525"/>
      <c r="S132" s="189">
        <v>0</v>
      </c>
      <c r="T132" s="189">
        <v>28</v>
      </c>
      <c r="BT132" s="525"/>
      <c r="BU132" s="523">
        <v>0</v>
      </c>
      <c r="BV132" s="523">
        <v>0</v>
      </c>
      <c r="BW132" s="523"/>
      <c r="BX132" s="523"/>
      <c r="BY132" s="523"/>
      <c r="BZ132" s="523"/>
      <c r="CA132" s="523"/>
      <c r="CB132" s="523"/>
      <c r="CC132" s="523"/>
      <c r="CD132" s="523"/>
      <c r="CE132" s="523"/>
      <c r="CF132" s="523"/>
      <c r="CG132" s="523"/>
      <c r="CH132" s="523"/>
      <c r="CI132" s="523">
        <f t="shared" si="20"/>
        <v>0</v>
      </c>
    </row>
    <row r="133" spans="1:87" x14ac:dyDescent="0.2">
      <c r="A133" s="125" t="s">
        <v>1521</v>
      </c>
      <c r="B133" s="126">
        <v>89447</v>
      </c>
      <c r="C133" s="126" t="s">
        <v>1324</v>
      </c>
      <c r="D133" s="127" t="s">
        <v>1522</v>
      </c>
      <c r="E133" s="128" t="s">
        <v>81</v>
      </c>
      <c r="F133" s="138"/>
      <c r="G133" s="130">
        <v>6.33</v>
      </c>
      <c r="H133" s="128">
        <v>28</v>
      </c>
      <c r="I133" s="133">
        <f t="shared" si="21"/>
        <v>0</v>
      </c>
      <c r="J133" s="374">
        <f t="shared" si="22"/>
        <v>0</v>
      </c>
      <c r="K133" s="128">
        <f t="shared" si="35"/>
        <v>28</v>
      </c>
      <c r="L133" s="131">
        <f t="shared" si="36"/>
        <v>177.24</v>
      </c>
      <c r="M133" s="131">
        <f t="shared" si="36"/>
        <v>0</v>
      </c>
      <c r="N133" s="131">
        <f t="shared" si="36"/>
        <v>0</v>
      </c>
      <c r="O133" s="131">
        <f t="shared" si="36"/>
        <v>177.24</v>
      </c>
      <c r="P133" s="136">
        <f t="shared" si="26"/>
        <v>0</v>
      </c>
      <c r="Q133" s="525"/>
      <c r="S133" s="189">
        <v>0</v>
      </c>
      <c r="T133" s="189">
        <v>30</v>
      </c>
      <c r="BT133" s="525"/>
      <c r="BU133" s="523">
        <v>0</v>
      </c>
      <c r="BV133" s="523">
        <v>0</v>
      </c>
      <c r="BW133" s="523"/>
      <c r="BX133" s="523"/>
      <c r="BY133" s="523"/>
      <c r="BZ133" s="523"/>
      <c r="CA133" s="523"/>
      <c r="CB133" s="523"/>
      <c r="CC133" s="523"/>
      <c r="CD133" s="523"/>
      <c r="CE133" s="523"/>
      <c r="CF133" s="523"/>
      <c r="CG133" s="523"/>
      <c r="CH133" s="523"/>
      <c r="CI133" s="523">
        <f t="shared" si="20"/>
        <v>0</v>
      </c>
    </row>
    <row r="134" spans="1:87" x14ac:dyDescent="0.2">
      <c r="A134" s="125" t="s">
        <v>1523</v>
      </c>
      <c r="B134" s="126">
        <v>89448</v>
      </c>
      <c r="C134" s="126" t="s">
        <v>1324</v>
      </c>
      <c r="D134" s="127" t="s">
        <v>1524</v>
      </c>
      <c r="E134" s="128" t="s">
        <v>81</v>
      </c>
      <c r="F134" s="129"/>
      <c r="G134" s="130">
        <v>10.15</v>
      </c>
      <c r="H134" s="128">
        <v>30</v>
      </c>
      <c r="I134" s="133">
        <f t="shared" si="21"/>
        <v>0</v>
      </c>
      <c r="J134" s="374">
        <f t="shared" si="22"/>
        <v>0</v>
      </c>
      <c r="K134" s="128">
        <f t="shared" si="35"/>
        <v>30</v>
      </c>
      <c r="L134" s="131">
        <f t="shared" si="36"/>
        <v>304.5</v>
      </c>
      <c r="M134" s="131">
        <f t="shared" si="36"/>
        <v>0</v>
      </c>
      <c r="N134" s="131">
        <f t="shared" si="36"/>
        <v>0</v>
      </c>
      <c r="O134" s="131">
        <f t="shared" si="36"/>
        <v>304.5</v>
      </c>
      <c r="P134" s="136">
        <f t="shared" si="26"/>
        <v>0</v>
      </c>
      <c r="Q134" s="525"/>
      <c r="S134" s="189">
        <v>0</v>
      </c>
      <c r="T134" s="189">
        <v>36</v>
      </c>
      <c r="BT134" s="525"/>
      <c r="BU134" s="523">
        <v>0</v>
      </c>
      <c r="BV134" s="523">
        <v>0</v>
      </c>
      <c r="BW134" s="523"/>
      <c r="BX134" s="523"/>
      <c r="BY134" s="523"/>
      <c r="BZ134" s="523"/>
      <c r="CA134" s="523"/>
      <c r="CB134" s="523"/>
      <c r="CC134" s="523"/>
      <c r="CD134" s="523"/>
      <c r="CE134" s="523"/>
      <c r="CF134" s="523"/>
      <c r="CG134" s="523"/>
      <c r="CH134" s="523"/>
      <c r="CI134" s="523">
        <f t="shared" si="20"/>
        <v>0</v>
      </c>
    </row>
    <row r="135" spans="1:87" x14ac:dyDescent="0.2">
      <c r="A135" s="125" t="s">
        <v>1525</v>
      </c>
      <c r="B135" s="126">
        <v>89449</v>
      </c>
      <c r="C135" s="126" t="s">
        <v>1324</v>
      </c>
      <c r="D135" s="127" t="s">
        <v>1526</v>
      </c>
      <c r="E135" s="128" t="s">
        <v>81</v>
      </c>
      <c r="F135" s="137">
        <v>5.81</v>
      </c>
      <c r="G135" s="130">
        <v>11.27</v>
      </c>
      <c r="H135" s="128">
        <v>36</v>
      </c>
      <c r="I135" s="133">
        <f t="shared" si="21"/>
        <v>0</v>
      </c>
      <c r="J135" s="374">
        <f t="shared" si="22"/>
        <v>0</v>
      </c>
      <c r="K135" s="128">
        <f t="shared" si="35"/>
        <v>36</v>
      </c>
      <c r="L135" s="131">
        <f t="shared" si="36"/>
        <v>405.72</v>
      </c>
      <c r="M135" s="131">
        <f t="shared" si="36"/>
        <v>0</v>
      </c>
      <c r="N135" s="131">
        <f t="shared" si="36"/>
        <v>0</v>
      </c>
      <c r="O135" s="131">
        <f t="shared" si="36"/>
        <v>405.72</v>
      </c>
      <c r="P135" s="136">
        <f t="shared" si="26"/>
        <v>0</v>
      </c>
      <c r="Q135" s="525"/>
      <c r="S135" s="189">
        <v>0</v>
      </c>
      <c r="T135" s="189">
        <v>15</v>
      </c>
      <c r="BT135" s="525"/>
      <c r="BU135" s="523">
        <v>0</v>
      </c>
      <c r="BV135" s="523">
        <v>0</v>
      </c>
      <c r="BW135" s="523"/>
      <c r="BX135" s="523"/>
      <c r="BY135" s="523"/>
      <c r="BZ135" s="523"/>
      <c r="CA135" s="523"/>
      <c r="CB135" s="523"/>
      <c r="CC135" s="523"/>
      <c r="CD135" s="523"/>
      <c r="CE135" s="523"/>
      <c r="CF135" s="523"/>
      <c r="CG135" s="523"/>
      <c r="CH135" s="523"/>
      <c r="CI135" s="523">
        <f t="shared" si="20"/>
        <v>0</v>
      </c>
    </row>
    <row r="136" spans="1:87" x14ac:dyDescent="0.2">
      <c r="A136" s="125" t="s">
        <v>1527</v>
      </c>
      <c r="B136" s="126">
        <v>89408</v>
      </c>
      <c r="C136" s="126" t="s">
        <v>1324</v>
      </c>
      <c r="D136" s="127" t="s">
        <v>1528</v>
      </c>
      <c r="E136" s="128" t="s">
        <v>102</v>
      </c>
      <c r="F136" s="137">
        <v>37.78</v>
      </c>
      <c r="G136" s="130">
        <v>4.28</v>
      </c>
      <c r="H136" s="128">
        <v>15</v>
      </c>
      <c r="I136" s="133">
        <f t="shared" si="21"/>
        <v>0</v>
      </c>
      <c r="J136" s="374">
        <f t="shared" si="22"/>
        <v>0</v>
      </c>
      <c r="K136" s="128">
        <f t="shared" si="35"/>
        <v>15</v>
      </c>
      <c r="L136" s="131">
        <f t="shared" si="36"/>
        <v>64.2</v>
      </c>
      <c r="M136" s="131">
        <f t="shared" si="36"/>
        <v>0</v>
      </c>
      <c r="N136" s="131">
        <f t="shared" si="36"/>
        <v>0</v>
      </c>
      <c r="O136" s="131">
        <f t="shared" si="36"/>
        <v>64.2</v>
      </c>
      <c r="P136" s="136">
        <f t="shared" si="26"/>
        <v>0</v>
      </c>
      <c r="Q136" s="525"/>
      <c r="S136" s="189">
        <v>0</v>
      </c>
      <c r="T136" s="189">
        <v>8</v>
      </c>
      <c r="BT136" s="525"/>
      <c r="BU136" s="523">
        <v>0</v>
      </c>
      <c r="BV136" s="523">
        <v>0</v>
      </c>
      <c r="BW136" s="523"/>
      <c r="BX136" s="523"/>
      <c r="BY136" s="523"/>
      <c r="BZ136" s="523"/>
      <c r="CA136" s="523"/>
      <c r="CB136" s="523"/>
      <c r="CC136" s="523"/>
      <c r="CD136" s="523"/>
      <c r="CE136" s="523"/>
      <c r="CF136" s="523"/>
      <c r="CG136" s="523"/>
      <c r="CH136" s="523"/>
      <c r="CI136" s="523">
        <f t="shared" si="20"/>
        <v>0</v>
      </c>
    </row>
    <row r="137" spans="1:87" x14ac:dyDescent="0.2">
      <c r="A137" s="395" t="s">
        <v>1529</v>
      </c>
      <c r="B137" s="396">
        <v>89492</v>
      </c>
      <c r="C137" s="396" t="s">
        <v>1324</v>
      </c>
      <c r="D137" s="397" t="s">
        <v>1530</v>
      </c>
      <c r="E137" s="398" t="s">
        <v>102</v>
      </c>
      <c r="F137" s="399">
        <v>21.63</v>
      </c>
      <c r="G137" s="400">
        <v>4.79</v>
      </c>
      <c r="H137" s="398">
        <v>8</v>
      </c>
      <c r="I137" s="402">
        <f t="shared" si="21"/>
        <v>0</v>
      </c>
      <c r="J137" s="403">
        <f t="shared" si="22"/>
        <v>0</v>
      </c>
      <c r="K137" s="398">
        <f t="shared" si="35"/>
        <v>8</v>
      </c>
      <c r="L137" s="131">
        <f t="shared" si="36"/>
        <v>38.32</v>
      </c>
      <c r="M137" s="131">
        <f t="shared" si="36"/>
        <v>0</v>
      </c>
      <c r="N137" s="131">
        <f t="shared" si="36"/>
        <v>0</v>
      </c>
      <c r="O137" s="131">
        <f t="shared" si="36"/>
        <v>38.32</v>
      </c>
      <c r="P137" s="407">
        <f t="shared" si="26"/>
        <v>0</v>
      </c>
      <c r="Q137" s="525"/>
      <c r="S137" s="189">
        <v>0</v>
      </c>
      <c r="T137" s="189">
        <v>6</v>
      </c>
      <c r="BT137" s="525"/>
      <c r="BU137" s="523">
        <v>0</v>
      </c>
      <c r="BV137" s="523">
        <v>0</v>
      </c>
      <c r="BW137" s="523"/>
      <c r="BX137" s="523"/>
      <c r="BY137" s="523"/>
      <c r="BZ137" s="523"/>
      <c r="CA137" s="523"/>
      <c r="CB137" s="523"/>
      <c r="CC137" s="523"/>
      <c r="CD137" s="523"/>
      <c r="CE137" s="523"/>
      <c r="CF137" s="523"/>
      <c r="CG137" s="523"/>
      <c r="CH137" s="523"/>
      <c r="CI137" s="523">
        <f t="shared" si="20"/>
        <v>0</v>
      </c>
    </row>
    <row r="138" spans="1:87" x14ac:dyDescent="0.2">
      <c r="A138" s="395" t="s">
        <v>1531</v>
      </c>
      <c r="B138" s="396">
        <v>89501</v>
      </c>
      <c r="C138" s="396" t="s">
        <v>1324</v>
      </c>
      <c r="D138" s="397" t="s">
        <v>1532</v>
      </c>
      <c r="E138" s="398" t="s">
        <v>102</v>
      </c>
      <c r="F138" s="399">
        <v>38.770000000000003</v>
      </c>
      <c r="G138" s="400">
        <v>9.3800000000000008</v>
      </c>
      <c r="H138" s="398">
        <v>6</v>
      </c>
      <c r="I138" s="402">
        <f t="shared" si="21"/>
        <v>0</v>
      </c>
      <c r="J138" s="403">
        <f t="shared" si="22"/>
        <v>0</v>
      </c>
      <c r="K138" s="398">
        <f t="shared" si="35"/>
        <v>6</v>
      </c>
      <c r="L138" s="131">
        <f t="shared" si="36"/>
        <v>56.28</v>
      </c>
      <c r="M138" s="131">
        <f t="shared" si="36"/>
        <v>0</v>
      </c>
      <c r="N138" s="131">
        <f t="shared" si="36"/>
        <v>0</v>
      </c>
      <c r="O138" s="131">
        <f t="shared" si="36"/>
        <v>56.28</v>
      </c>
      <c r="P138" s="407">
        <f t="shared" si="26"/>
        <v>0</v>
      </c>
      <c r="Q138" s="525"/>
      <c r="S138" s="189">
        <v>0</v>
      </c>
      <c r="T138" s="189">
        <v>2</v>
      </c>
      <c r="BT138" s="525"/>
      <c r="BU138" s="523">
        <v>0</v>
      </c>
      <c r="BV138" s="523">
        <v>0</v>
      </c>
      <c r="BW138" s="523"/>
      <c r="BX138" s="523"/>
      <c r="BY138" s="523"/>
      <c r="BZ138" s="523"/>
      <c r="CA138" s="523"/>
      <c r="CB138" s="523"/>
      <c r="CC138" s="523"/>
      <c r="CD138" s="523"/>
      <c r="CE138" s="523"/>
      <c r="CF138" s="523"/>
      <c r="CG138" s="523"/>
      <c r="CH138" s="523"/>
      <c r="CI138" s="523">
        <f t="shared" si="20"/>
        <v>0</v>
      </c>
    </row>
    <row r="139" spans="1:87" ht="25.5" x14ac:dyDescent="0.2">
      <c r="A139" s="395" t="s">
        <v>1533</v>
      </c>
      <c r="B139" s="396">
        <v>90373</v>
      </c>
      <c r="C139" s="396" t="s">
        <v>1324</v>
      </c>
      <c r="D139" s="397" t="s">
        <v>1534</v>
      </c>
      <c r="E139" s="398" t="s">
        <v>102</v>
      </c>
      <c r="F139" s="138"/>
      <c r="G139" s="400">
        <v>10.06</v>
      </c>
      <c r="H139" s="398">
        <v>2</v>
      </c>
      <c r="I139" s="402">
        <f t="shared" si="21"/>
        <v>0</v>
      </c>
      <c r="J139" s="403">
        <f t="shared" si="22"/>
        <v>0</v>
      </c>
      <c r="K139" s="398">
        <f t="shared" si="35"/>
        <v>2</v>
      </c>
      <c r="L139" s="131">
        <f t="shared" si="36"/>
        <v>20.12</v>
      </c>
      <c r="M139" s="131">
        <f t="shared" si="36"/>
        <v>0</v>
      </c>
      <c r="N139" s="131">
        <f t="shared" si="36"/>
        <v>0</v>
      </c>
      <c r="O139" s="131">
        <f t="shared" si="36"/>
        <v>20.12</v>
      </c>
      <c r="P139" s="407">
        <f t="shared" si="26"/>
        <v>0</v>
      </c>
      <c r="Q139" s="525"/>
      <c r="S139" s="189">
        <v>0</v>
      </c>
      <c r="T139" s="189">
        <v>4</v>
      </c>
      <c r="BT139" s="525"/>
      <c r="BU139" s="523">
        <v>0</v>
      </c>
      <c r="BV139" s="523">
        <v>0</v>
      </c>
      <c r="BW139" s="523"/>
      <c r="BX139" s="523"/>
      <c r="BY139" s="523"/>
      <c r="BZ139" s="523"/>
      <c r="CA139" s="523"/>
      <c r="CB139" s="523"/>
      <c r="CC139" s="523"/>
      <c r="CD139" s="523"/>
      <c r="CE139" s="523"/>
      <c r="CF139" s="523"/>
      <c r="CG139" s="523"/>
      <c r="CH139" s="523"/>
      <c r="CI139" s="523">
        <f t="shared" si="20"/>
        <v>0</v>
      </c>
    </row>
    <row r="140" spans="1:87" x14ac:dyDescent="0.2">
      <c r="A140" s="395" t="s">
        <v>1535</v>
      </c>
      <c r="B140" s="396" t="s">
        <v>2007</v>
      </c>
      <c r="C140" s="396" t="s">
        <v>1339</v>
      </c>
      <c r="D140" s="397" t="s">
        <v>1536</v>
      </c>
      <c r="E140" s="398" t="s">
        <v>102</v>
      </c>
      <c r="F140" s="138"/>
      <c r="G140" s="400">
        <v>0</v>
      </c>
      <c r="H140" s="398">
        <v>4</v>
      </c>
      <c r="I140" s="402">
        <f t="shared" si="21"/>
        <v>0</v>
      </c>
      <c r="J140" s="403">
        <f t="shared" si="22"/>
        <v>0</v>
      </c>
      <c r="K140" s="398">
        <f t="shared" si="35"/>
        <v>4</v>
      </c>
      <c r="L140" s="131">
        <f t="shared" si="36"/>
        <v>0</v>
      </c>
      <c r="M140" s="131">
        <f t="shared" si="36"/>
        <v>0</v>
      </c>
      <c r="N140" s="131">
        <f t="shared" si="36"/>
        <v>0</v>
      </c>
      <c r="O140" s="131">
        <f t="shared" si="36"/>
        <v>0</v>
      </c>
      <c r="P140" s="407">
        <v>0</v>
      </c>
      <c r="Q140" s="525"/>
      <c r="S140" s="189">
        <v>0</v>
      </c>
      <c r="T140" s="189">
        <v>16</v>
      </c>
      <c r="BT140" s="525"/>
      <c r="BU140" s="523">
        <v>0</v>
      </c>
      <c r="BV140" s="523">
        <v>0</v>
      </c>
      <c r="BW140" s="523"/>
      <c r="BX140" s="523"/>
      <c r="BY140" s="523"/>
      <c r="BZ140" s="523"/>
      <c r="CA140" s="523"/>
      <c r="CB140" s="523"/>
      <c r="CC140" s="523"/>
      <c r="CD140" s="523"/>
      <c r="CE140" s="523"/>
      <c r="CF140" s="523"/>
      <c r="CG140" s="523"/>
      <c r="CH140" s="523"/>
      <c r="CI140" s="523">
        <f t="shared" si="20"/>
        <v>0</v>
      </c>
    </row>
    <row r="141" spans="1:87" ht="25.5" x14ac:dyDescent="0.2">
      <c r="A141" s="395" t="s">
        <v>1537</v>
      </c>
      <c r="B141" s="396">
        <v>90373</v>
      </c>
      <c r="C141" s="396" t="s">
        <v>1324</v>
      </c>
      <c r="D141" s="397" t="s">
        <v>1538</v>
      </c>
      <c r="E141" s="398" t="s">
        <v>102</v>
      </c>
      <c r="F141" s="138"/>
      <c r="G141" s="400">
        <v>10.06</v>
      </c>
      <c r="H141" s="398">
        <v>16</v>
      </c>
      <c r="I141" s="402">
        <f t="shared" si="21"/>
        <v>0</v>
      </c>
      <c r="J141" s="403">
        <f t="shared" si="22"/>
        <v>0</v>
      </c>
      <c r="K141" s="398">
        <f t="shared" si="35"/>
        <v>16</v>
      </c>
      <c r="L141" s="131">
        <f t="shared" si="36"/>
        <v>160.96</v>
      </c>
      <c r="M141" s="131">
        <f t="shared" si="36"/>
        <v>0</v>
      </c>
      <c r="N141" s="131">
        <f t="shared" si="36"/>
        <v>0</v>
      </c>
      <c r="O141" s="131">
        <f t="shared" si="36"/>
        <v>160.96</v>
      </c>
      <c r="P141" s="407">
        <f t="shared" ref="P141:P204" si="37">N141/L141</f>
        <v>0</v>
      </c>
      <c r="Q141" s="525"/>
      <c r="S141" s="189">
        <v>0</v>
      </c>
      <c r="T141" s="189">
        <v>4</v>
      </c>
      <c r="BT141" s="525"/>
      <c r="BU141" s="523">
        <v>0</v>
      </c>
      <c r="BV141" s="523">
        <v>0</v>
      </c>
      <c r="BW141" s="523"/>
      <c r="BX141" s="523"/>
      <c r="BY141" s="523"/>
      <c r="BZ141" s="523"/>
      <c r="CA141" s="523"/>
      <c r="CB141" s="523"/>
      <c r="CC141" s="523"/>
      <c r="CD141" s="523"/>
      <c r="CE141" s="523"/>
      <c r="CF141" s="523"/>
      <c r="CG141" s="523"/>
      <c r="CH141" s="523"/>
      <c r="CI141" s="523">
        <f t="shared" si="20"/>
        <v>0</v>
      </c>
    </row>
    <row r="142" spans="1:87" x14ac:dyDescent="0.2">
      <c r="A142" s="395" t="s">
        <v>1539</v>
      </c>
      <c r="B142" s="396">
        <v>89622</v>
      </c>
      <c r="C142" s="396" t="s">
        <v>1324</v>
      </c>
      <c r="D142" s="397" t="s">
        <v>1540</v>
      </c>
      <c r="E142" s="398" t="s">
        <v>102</v>
      </c>
      <c r="F142" s="399">
        <v>29.86</v>
      </c>
      <c r="G142" s="400">
        <v>9.23</v>
      </c>
      <c r="H142" s="398">
        <v>4</v>
      </c>
      <c r="I142" s="402">
        <f t="shared" si="21"/>
        <v>0</v>
      </c>
      <c r="J142" s="403">
        <f t="shared" si="22"/>
        <v>0</v>
      </c>
      <c r="K142" s="398">
        <f t="shared" si="35"/>
        <v>4</v>
      </c>
      <c r="L142" s="131">
        <f t="shared" si="36"/>
        <v>36.92</v>
      </c>
      <c r="M142" s="131">
        <f t="shared" si="36"/>
        <v>0</v>
      </c>
      <c r="N142" s="131">
        <f t="shared" si="36"/>
        <v>0</v>
      </c>
      <c r="O142" s="131">
        <f t="shared" si="36"/>
        <v>36.92</v>
      </c>
      <c r="P142" s="407">
        <f t="shared" si="37"/>
        <v>0</v>
      </c>
      <c r="Q142" s="525"/>
      <c r="S142" s="189">
        <v>0</v>
      </c>
      <c r="T142" s="189">
        <v>2</v>
      </c>
      <c r="BT142" s="525"/>
      <c r="BU142" s="523">
        <v>0</v>
      </c>
      <c r="BV142" s="523">
        <v>0</v>
      </c>
      <c r="BW142" s="523"/>
      <c r="BX142" s="523"/>
      <c r="BY142" s="523"/>
      <c r="BZ142" s="523"/>
      <c r="CA142" s="523"/>
      <c r="CB142" s="523"/>
      <c r="CC142" s="523"/>
      <c r="CD142" s="523"/>
      <c r="CE142" s="523"/>
      <c r="CF142" s="523"/>
      <c r="CG142" s="523"/>
      <c r="CH142" s="523"/>
      <c r="CI142" s="523">
        <f t="shared" si="20"/>
        <v>0</v>
      </c>
    </row>
    <row r="143" spans="1:87" x14ac:dyDescent="0.2">
      <c r="A143" s="395" t="s">
        <v>1541</v>
      </c>
      <c r="B143" s="396">
        <v>89626</v>
      </c>
      <c r="C143" s="396" t="s">
        <v>1324</v>
      </c>
      <c r="D143" s="397" t="s">
        <v>1542</v>
      </c>
      <c r="E143" s="398" t="s">
        <v>102</v>
      </c>
      <c r="F143" s="399">
        <v>32.090000000000003</v>
      </c>
      <c r="G143" s="400">
        <v>17.79</v>
      </c>
      <c r="H143" s="398">
        <v>2</v>
      </c>
      <c r="I143" s="402">
        <f t="shared" si="21"/>
        <v>0</v>
      </c>
      <c r="J143" s="403">
        <f t="shared" si="22"/>
        <v>0</v>
      </c>
      <c r="K143" s="398">
        <f t="shared" si="35"/>
        <v>2</v>
      </c>
      <c r="L143" s="131">
        <f t="shared" si="36"/>
        <v>35.58</v>
      </c>
      <c r="M143" s="131">
        <f t="shared" si="36"/>
        <v>0</v>
      </c>
      <c r="N143" s="131">
        <f t="shared" si="36"/>
        <v>0</v>
      </c>
      <c r="O143" s="131">
        <f t="shared" si="36"/>
        <v>35.58</v>
      </c>
      <c r="P143" s="407">
        <f t="shared" si="37"/>
        <v>0</v>
      </c>
      <c r="Q143" s="525"/>
      <c r="S143" s="189">
        <v>0</v>
      </c>
      <c r="T143" s="189">
        <v>8</v>
      </c>
      <c r="BT143" s="525"/>
      <c r="BU143" s="523">
        <v>0</v>
      </c>
      <c r="BV143" s="523">
        <v>0</v>
      </c>
      <c r="BW143" s="523"/>
      <c r="BX143" s="523"/>
      <c r="BY143" s="523"/>
      <c r="BZ143" s="523"/>
      <c r="CA143" s="523"/>
      <c r="CB143" s="523"/>
      <c r="CC143" s="523"/>
      <c r="CD143" s="523"/>
      <c r="CE143" s="523"/>
      <c r="CF143" s="523"/>
      <c r="CG143" s="523"/>
      <c r="CH143" s="523"/>
      <c r="CI143" s="523">
        <f t="shared" ref="CI143:CI206" si="38">SUM(BU143:CH143)</f>
        <v>0</v>
      </c>
    </row>
    <row r="144" spans="1:87" x14ac:dyDescent="0.2">
      <c r="A144" s="395" t="s">
        <v>1543</v>
      </c>
      <c r="B144" s="396">
        <v>89534</v>
      </c>
      <c r="C144" s="396" t="s">
        <v>1324</v>
      </c>
      <c r="D144" s="397" t="s">
        <v>1544</v>
      </c>
      <c r="E144" s="398" t="s">
        <v>102</v>
      </c>
      <c r="F144" s="399">
        <v>46.88</v>
      </c>
      <c r="G144" s="400">
        <v>2.9</v>
      </c>
      <c r="H144" s="398">
        <v>8</v>
      </c>
      <c r="I144" s="402">
        <f t="shared" ref="I144:I207" si="39">BU144</f>
        <v>0</v>
      </c>
      <c r="J144" s="403">
        <f t="shared" ref="J144:J207" si="40">CI144</f>
        <v>0</v>
      </c>
      <c r="K144" s="398">
        <f t="shared" si="35"/>
        <v>8</v>
      </c>
      <c r="L144" s="131">
        <f t="shared" si="36"/>
        <v>23.2</v>
      </c>
      <c r="M144" s="131">
        <f t="shared" si="36"/>
        <v>0</v>
      </c>
      <c r="N144" s="131">
        <f t="shared" si="36"/>
        <v>0</v>
      </c>
      <c r="O144" s="131">
        <f t="shared" si="36"/>
        <v>23.2</v>
      </c>
      <c r="P144" s="407">
        <f t="shared" si="37"/>
        <v>0</v>
      </c>
      <c r="Q144" s="525"/>
      <c r="S144" s="189">
        <v>0</v>
      </c>
      <c r="T144" s="189">
        <v>4</v>
      </c>
      <c r="BT144" s="525"/>
      <c r="BU144" s="523">
        <v>0</v>
      </c>
      <c r="BV144" s="523">
        <v>0</v>
      </c>
      <c r="BW144" s="523"/>
      <c r="BX144" s="523"/>
      <c r="BY144" s="523"/>
      <c r="BZ144" s="523"/>
      <c r="CA144" s="523"/>
      <c r="CB144" s="523"/>
      <c r="CC144" s="523"/>
      <c r="CD144" s="523"/>
      <c r="CE144" s="523"/>
      <c r="CF144" s="523"/>
      <c r="CG144" s="523"/>
      <c r="CH144" s="523"/>
      <c r="CI144" s="523">
        <f t="shared" si="38"/>
        <v>0</v>
      </c>
    </row>
    <row r="145" spans="1:87" x14ac:dyDescent="0.2">
      <c r="A145" s="395" t="s">
        <v>1545</v>
      </c>
      <c r="B145" s="396">
        <v>89386</v>
      </c>
      <c r="C145" s="396" t="s">
        <v>1324</v>
      </c>
      <c r="D145" s="397" t="s">
        <v>1546</v>
      </c>
      <c r="E145" s="398" t="s">
        <v>102</v>
      </c>
      <c r="F145" s="399">
        <v>31.2</v>
      </c>
      <c r="G145" s="400">
        <v>6</v>
      </c>
      <c r="H145" s="398">
        <v>4</v>
      </c>
      <c r="I145" s="402">
        <f t="shared" si="39"/>
        <v>0</v>
      </c>
      <c r="J145" s="403">
        <f t="shared" si="40"/>
        <v>0</v>
      </c>
      <c r="K145" s="398">
        <f t="shared" si="35"/>
        <v>4</v>
      </c>
      <c r="L145" s="131">
        <f t="shared" si="36"/>
        <v>24</v>
      </c>
      <c r="M145" s="131">
        <f t="shared" si="36"/>
        <v>0</v>
      </c>
      <c r="N145" s="131">
        <f t="shared" si="36"/>
        <v>0</v>
      </c>
      <c r="O145" s="131">
        <f t="shared" si="36"/>
        <v>24</v>
      </c>
      <c r="P145" s="407">
        <f t="shared" si="37"/>
        <v>0</v>
      </c>
      <c r="Q145" s="525"/>
      <c r="S145" s="189">
        <v>0</v>
      </c>
      <c r="T145" s="189">
        <v>4</v>
      </c>
      <c r="BT145" s="525"/>
      <c r="BU145" s="523">
        <v>0</v>
      </c>
      <c r="BV145" s="523">
        <v>0</v>
      </c>
      <c r="BW145" s="523"/>
      <c r="BX145" s="523"/>
      <c r="BY145" s="523"/>
      <c r="BZ145" s="523"/>
      <c r="CA145" s="523"/>
      <c r="CB145" s="523"/>
      <c r="CC145" s="523"/>
      <c r="CD145" s="523"/>
      <c r="CE145" s="523"/>
      <c r="CF145" s="523"/>
      <c r="CG145" s="523"/>
      <c r="CH145" s="523"/>
      <c r="CI145" s="523">
        <f t="shared" si="38"/>
        <v>0</v>
      </c>
    </row>
    <row r="146" spans="1:87" x14ac:dyDescent="0.2">
      <c r="A146" s="395" t="s">
        <v>1547</v>
      </c>
      <c r="B146" s="396">
        <v>89433</v>
      </c>
      <c r="C146" s="396" t="s">
        <v>1324</v>
      </c>
      <c r="D146" s="397" t="s">
        <v>1548</v>
      </c>
      <c r="E146" s="398" t="s">
        <v>102</v>
      </c>
      <c r="F146" s="399">
        <v>19.170000000000002</v>
      </c>
      <c r="G146" s="400">
        <v>5.63</v>
      </c>
      <c r="H146" s="398">
        <v>4</v>
      </c>
      <c r="I146" s="402">
        <f t="shared" si="39"/>
        <v>0</v>
      </c>
      <c r="J146" s="403">
        <f t="shared" si="40"/>
        <v>0</v>
      </c>
      <c r="K146" s="398">
        <f t="shared" si="35"/>
        <v>4</v>
      </c>
      <c r="L146" s="131">
        <f t="shared" si="36"/>
        <v>22.52</v>
      </c>
      <c r="M146" s="131">
        <f t="shared" si="36"/>
        <v>0</v>
      </c>
      <c r="N146" s="131">
        <f t="shared" si="36"/>
        <v>0</v>
      </c>
      <c r="O146" s="131">
        <f t="shared" si="36"/>
        <v>22.52</v>
      </c>
      <c r="P146" s="407">
        <f t="shared" si="37"/>
        <v>0</v>
      </c>
      <c r="Q146" s="525"/>
      <c r="S146" s="189">
        <v>0</v>
      </c>
      <c r="T146" s="189">
        <v>2</v>
      </c>
      <c r="BT146" s="525"/>
      <c r="BU146" s="523">
        <v>0</v>
      </c>
      <c r="BV146" s="523">
        <v>0</v>
      </c>
      <c r="BW146" s="523"/>
      <c r="BX146" s="523"/>
      <c r="BY146" s="523"/>
      <c r="BZ146" s="523"/>
      <c r="CA146" s="523"/>
      <c r="CB146" s="523"/>
      <c r="CC146" s="523"/>
      <c r="CD146" s="523"/>
      <c r="CE146" s="523"/>
      <c r="CF146" s="523"/>
      <c r="CG146" s="523"/>
      <c r="CH146" s="523"/>
      <c r="CI146" s="523">
        <f t="shared" si="38"/>
        <v>0</v>
      </c>
    </row>
    <row r="147" spans="1:87" x14ac:dyDescent="0.2">
      <c r="A147" s="125" t="s">
        <v>1549</v>
      </c>
      <c r="B147" s="126">
        <v>89605</v>
      </c>
      <c r="C147" s="126" t="s">
        <v>1324</v>
      </c>
      <c r="D147" s="127" t="s">
        <v>1550</v>
      </c>
      <c r="E147" s="128" t="s">
        <v>102</v>
      </c>
      <c r="F147" s="137">
        <v>98.11</v>
      </c>
      <c r="G147" s="130">
        <v>11.65</v>
      </c>
      <c r="H147" s="128">
        <v>2</v>
      </c>
      <c r="I147" s="133">
        <f t="shared" si="39"/>
        <v>0</v>
      </c>
      <c r="J147" s="374">
        <f t="shared" si="40"/>
        <v>0</v>
      </c>
      <c r="K147" s="128">
        <f t="shared" si="35"/>
        <v>2</v>
      </c>
      <c r="L147" s="131">
        <f t="shared" si="36"/>
        <v>23.3</v>
      </c>
      <c r="M147" s="131">
        <f t="shared" si="36"/>
        <v>0</v>
      </c>
      <c r="N147" s="131">
        <f t="shared" si="36"/>
        <v>0</v>
      </c>
      <c r="O147" s="131">
        <f t="shared" si="36"/>
        <v>23.3</v>
      </c>
      <c r="P147" s="136">
        <f t="shared" si="37"/>
        <v>0</v>
      </c>
      <c r="Q147" s="525"/>
      <c r="S147" s="189">
        <v>0</v>
      </c>
      <c r="T147" s="189">
        <v>2</v>
      </c>
      <c r="BT147" s="525"/>
      <c r="BU147" s="523">
        <v>0</v>
      </c>
      <c r="BV147" s="523">
        <v>0</v>
      </c>
      <c r="BW147" s="523"/>
      <c r="BX147" s="523"/>
      <c r="BY147" s="523"/>
      <c r="BZ147" s="523"/>
      <c r="CA147" s="523"/>
      <c r="CB147" s="523"/>
      <c r="CC147" s="523"/>
      <c r="CD147" s="523"/>
      <c r="CE147" s="523"/>
      <c r="CF147" s="523"/>
      <c r="CG147" s="523"/>
      <c r="CH147" s="523"/>
      <c r="CI147" s="523">
        <f t="shared" si="38"/>
        <v>0</v>
      </c>
    </row>
    <row r="148" spans="1:87" x14ac:dyDescent="0.2">
      <c r="A148" s="125" t="s">
        <v>1551</v>
      </c>
      <c r="B148" s="126">
        <v>90375</v>
      </c>
      <c r="C148" s="126" t="s">
        <v>1324</v>
      </c>
      <c r="D148" s="127" t="s">
        <v>1552</v>
      </c>
      <c r="E148" s="128" t="s">
        <v>102</v>
      </c>
      <c r="F148" s="137">
        <v>174.65</v>
      </c>
      <c r="G148" s="130">
        <v>6.61</v>
      </c>
      <c r="H148" s="128">
        <v>2</v>
      </c>
      <c r="I148" s="133">
        <f t="shared" si="39"/>
        <v>0</v>
      </c>
      <c r="J148" s="374">
        <f t="shared" si="40"/>
        <v>0</v>
      </c>
      <c r="K148" s="128">
        <f t="shared" si="35"/>
        <v>2</v>
      </c>
      <c r="L148" s="131">
        <f t="shared" si="36"/>
        <v>13.22</v>
      </c>
      <c r="M148" s="131">
        <f t="shared" si="36"/>
        <v>0</v>
      </c>
      <c r="N148" s="131">
        <f t="shared" si="36"/>
        <v>0</v>
      </c>
      <c r="O148" s="131">
        <f t="shared" si="36"/>
        <v>13.22</v>
      </c>
      <c r="P148" s="136">
        <f t="shared" si="37"/>
        <v>0</v>
      </c>
      <c r="Q148" s="525"/>
      <c r="S148" s="189">
        <v>0</v>
      </c>
      <c r="T148" s="189">
        <v>4</v>
      </c>
      <c r="BT148" s="525"/>
      <c r="BU148" s="523">
        <v>0</v>
      </c>
      <c r="BV148" s="523">
        <v>0</v>
      </c>
      <c r="BW148" s="523"/>
      <c r="BX148" s="523"/>
      <c r="BY148" s="523"/>
      <c r="BZ148" s="523"/>
      <c r="CA148" s="523"/>
      <c r="CB148" s="523"/>
      <c r="CC148" s="523"/>
      <c r="CD148" s="523"/>
      <c r="CE148" s="523"/>
      <c r="CF148" s="523"/>
      <c r="CG148" s="523"/>
      <c r="CH148" s="523"/>
      <c r="CI148" s="523">
        <f t="shared" si="38"/>
        <v>0</v>
      </c>
    </row>
    <row r="149" spans="1:87" x14ac:dyDescent="0.2">
      <c r="A149" s="125" t="s">
        <v>1553</v>
      </c>
      <c r="B149" s="126">
        <v>90375</v>
      </c>
      <c r="C149" s="126" t="s">
        <v>1324</v>
      </c>
      <c r="D149" s="127" t="s">
        <v>1554</v>
      </c>
      <c r="E149" s="128" t="s">
        <v>102</v>
      </c>
      <c r="F149" s="138"/>
      <c r="G149" s="130">
        <v>6.61</v>
      </c>
      <c r="H149" s="128">
        <v>4</v>
      </c>
      <c r="I149" s="133">
        <f t="shared" si="39"/>
        <v>0</v>
      </c>
      <c r="J149" s="374">
        <f t="shared" si="40"/>
        <v>0</v>
      </c>
      <c r="K149" s="128">
        <f t="shared" si="35"/>
        <v>4</v>
      </c>
      <c r="L149" s="131">
        <f t="shared" si="36"/>
        <v>26.44</v>
      </c>
      <c r="M149" s="131">
        <f t="shared" si="36"/>
        <v>0</v>
      </c>
      <c r="N149" s="131">
        <f t="shared" si="36"/>
        <v>0</v>
      </c>
      <c r="O149" s="131">
        <f t="shared" si="36"/>
        <v>26.44</v>
      </c>
      <c r="P149" s="136">
        <f t="shared" si="37"/>
        <v>0</v>
      </c>
      <c r="Q149" s="525"/>
      <c r="S149" s="189">
        <v>0</v>
      </c>
      <c r="T149" s="189">
        <v>6</v>
      </c>
      <c r="BT149" s="525"/>
      <c r="BU149" s="523">
        <v>0</v>
      </c>
      <c r="BV149" s="523">
        <v>0</v>
      </c>
      <c r="BW149" s="523"/>
      <c r="BX149" s="523"/>
      <c r="BY149" s="523"/>
      <c r="BZ149" s="523"/>
      <c r="CA149" s="523"/>
      <c r="CB149" s="523"/>
      <c r="CC149" s="523"/>
      <c r="CD149" s="523"/>
      <c r="CE149" s="523"/>
      <c r="CF149" s="523"/>
      <c r="CG149" s="523"/>
      <c r="CH149" s="523"/>
      <c r="CI149" s="523">
        <f t="shared" si="38"/>
        <v>0</v>
      </c>
    </row>
    <row r="150" spans="1:87" x14ac:dyDescent="0.2">
      <c r="A150" s="125" t="s">
        <v>1555</v>
      </c>
      <c r="B150" s="126">
        <v>89375</v>
      </c>
      <c r="C150" s="126" t="s">
        <v>1324</v>
      </c>
      <c r="D150" s="127" t="s">
        <v>1556</v>
      </c>
      <c r="E150" s="128" t="s">
        <v>102</v>
      </c>
      <c r="F150" s="138"/>
      <c r="G150" s="130">
        <v>7.45</v>
      </c>
      <c r="H150" s="128">
        <v>6</v>
      </c>
      <c r="I150" s="133">
        <f t="shared" si="39"/>
        <v>0</v>
      </c>
      <c r="J150" s="374">
        <f t="shared" si="40"/>
        <v>0</v>
      </c>
      <c r="K150" s="128">
        <f t="shared" si="35"/>
        <v>6</v>
      </c>
      <c r="L150" s="131">
        <f t="shared" si="36"/>
        <v>44.7</v>
      </c>
      <c r="M150" s="131">
        <f t="shared" si="36"/>
        <v>0</v>
      </c>
      <c r="N150" s="131">
        <f t="shared" si="36"/>
        <v>0</v>
      </c>
      <c r="O150" s="131">
        <f t="shared" si="36"/>
        <v>44.7</v>
      </c>
      <c r="P150" s="136">
        <f t="shared" si="37"/>
        <v>0</v>
      </c>
      <c r="Q150" s="525"/>
      <c r="S150" s="189">
        <v>0</v>
      </c>
      <c r="T150" s="189">
        <v>2</v>
      </c>
      <c r="BT150" s="525"/>
      <c r="BU150" s="523">
        <v>0</v>
      </c>
      <c r="BV150" s="523">
        <v>0</v>
      </c>
      <c r="BW150" s="523"/>
      <c r="BX150" s="523"/>
      <c r="BY150" s="523"/>
      <c r="BZ150" s="523"/>
      <c r="CA150" s="523"/>
      <c r="CB150" s="523"/>
      <c r="CC150" s="523"/>
      <c r="CD150" s="523"/>
      <c r="CE150" s="523"/>
      <c r="CF150" s="523"/>
      <c r="CG150" s="523"/>
      <c r="CH150" s="523"/>
      <c r="CI150" s="523">
        <f t="shared" si="38"/>
        <v>0</v>
      </c>
    </row>
    <row r="151" spans="1:87" s="514" customFormat="1" x14ac:dyDescent="0.2">
      <c r="A151" s="125" t="s">
        <v>1557</v>
      </c>
      <c r="B151" s="126">
        <v>89594</v>
      </c>
      <c r="C151" s="126" t="s">
        <v>1324</v>
      </c>
      <c r="D151" s="127" t="s">
        <v>1558</v>
      </c>
      <c r="E151" s="128" t="s">
        <v>102</v>
      </c>
      <c r="F151" s="137">
        <v>33.909999999999997</v>
      </c>
      <c r="G151" s="130">
        <v>22.48</v>
      </c>
      <c r="H151" s="128">
        <v>2</v>
      </c>
      <c r="I151" s="133">
        <f t="shared" si="39"/>
        <v>0</v>
      </c>
      <c r="J151" s="374">
        <f t="shared" si="40"/>
        <v>0</v>
      </c>
      <c r="K151" s="128">
        <f t="shared" si="35"/>
        <v>2</v>
      </c>
      <c r="L151" s="131">
        <f t="shared" si="36"/>
        <v>44.96</v>
      </c>
      <c r="M151" s="131">
        <f t="shared" si="36"/>
        <v>0</v>
      </c>
      <c r="N151" s="131">
        <f t="shared" si="36"/>
        <v>0</v>
      </c>
      <c r="O151" s="131">
        <f t="shared" si="36"/>
        <v>44.96</v>
      </c>
      <c r="P151" s="136">
        <f t="shared" si="37"/>
        <v>0</v>
      </c>
      <c r="Q151" s="525"/>
      <c r="S151" s="190">
        <v>0</v>
      </c>
      <c r="T151" s="190">
        <v>34</v>
      </c>
      <c r="BT151" s="525"/>
      <c r="BU151" s="523">
        <v>0</v>
      </c>
      <c r="BV151" s="523">
        <v>0</v>
      </c>
      <c r="BW151" s="523"/>
      <c r="BX151" s="523"/>
      <c r="BY151" s="523"/>
      <c r="BZ151" s="523"/>
      <c r="CA151" s="523"/>
      <c r="CB151" s="523"/>
      <c r="CC151" s="523"/>
      <c r="CD151" s="523"/>
      <c r="CE151" s="523"/>
      <c r="CF151" s="523"/>
      <c r="CG151" s="523"/>
      <c r="CH151" s="523"/>
      <c r="CI151" s="523">
        <f t="shared" si="38"/>
        <v>0</v>
      </c>
    </row>
    <row r="152" spans="1:87" x14ac:dyDescent="0.2">
      <c r="A152" s="449" t="s">
        <v>290</v>
      </c>
      <c r="B152" s="450"/>
      <c r="C152" s="450"/>
      <c r="D152" s="451" t="s">
        <v>1559</v>
      </c>
      <c r="E152" s="465"/>
      <c r="F152" s="468"/>
      <c r="G152" s="465"/>
      <c r="H152" s="465"/>
      <c r="I152" s="465"/>
      <c r="J152" s="465"/>
      <c r="K152" s="465"/>
      <c r="L152" s="452">
        <f>SUM(L153:L167)</f>
        <v>2836.4</v>
      </c>
      <c r="M152" s="452">
        <f>SUM(M153:M167)</f>
        <v>0</v>
      </c>
      <c r="N152" s="452">
        <f>SUM(N153:N167)</f>
        <v>0</v>
      </c>
      <c r="O152" s="452">
        <f>SUM(O153:O167)</f>
        <v>2836.4</v>
      </c>
      <c r="P152" s="459">
        <f t="shared" si="37"/>
        <v>0</v>
      </c>
      <c r="Q152" s="525"/>
      <c r="S152" s="189">
        <v>0</v>
      </c>
      <c r="T152" s="189">
        <v>0</v>
      </c>
      <c r="BT152" s="525"/>
      <c r="BU152" s="523"/>
      <c r="BV152" s="523"/>
      <c r="BW152" s="523"/>
      <c r="BX152" s="523"/>
      <c r="BY152" s="523"/>
      <c r="BZ152" s="523"/>
      <c r="CA152" s="523"/>
      <c r="CB152" s="523"/>
      <c r="CC152" s="523"/>
      <c r="CD152" s="523"/>
      <c r="CE152" s="523"/>
      <c r="CF152" s="523"/>
      <c r="CG152" s="523"/>
      <c r="CH152" s="523"/>
      <c r="CI152" s="523">
        <f t="shared" si="38"/>
        <v>0</v>
      </c>
    </row>
    <row r="153" spans="1:87" x14ac:dyDescent="0.2">
      <c r="A153" s="125" t="s">
        <v>1560</v>
      </c>
      <c r="B153" s="126">
        <v>89353</v>
      </c>
      <c r="C153" s="126" t="s">
        <v>1324</v>
      </c>
      <c r="D153" s="127" t="s">
        <v>1561</v>
      </c>
      <c r="E153" s="128" t="s">
        <v>102</v>
      </c>
      <c r="F153" s="137">
        <v>9.81</v>
      </c>
      <c r="G153" s="130">
        <v>30.67</v>
      </c>
      <c r="H153" s="128">
        <v>1</v>
      </c>
      <c r="I153" s="133">
        <f t="shared" si="39"/>
        <v>0</v>
      </c>
      <c r="J153" s="374">
        <f t="shared" si="40"/>
        <v>0</v>
      </c>
      <c r="K153" s="128">
        <f t="shared" si="35"/>
        <v>1</v>
      </c>
      <c r="L153" s="131">
        <f t="shared" ref="L153:O167" si="41">ROUND(H153*$G153,2)</f>
        <v>30.67</v>
      </c>
      <c r="M153" s="131">
        <f t="shared" si="41"/>
        <v>0</v>
      </c>
      <c r="N153" s="131">
        <f t="shared" si="41"/>
        <v>0</v>
      </c>
      <c r="O153" s="131">
        <f t="shared" si="41"/>
        <v>30.67</v>
      </c>
      <c r="P153" s="136">
        <f t="shared" si="37"/>
        <v>0</v>
      </c>
      <c r="Q153" s="525"/>
      <c r="S153" s="189">
        <v>0</v>
      </c>
      <c r="T153" s="189">
        <v>0</v>
      </c>
      <c r="BT153" s="525"/>
      <c r="BU153" s="523">
        <v>0</v>
      </c>
      <c r="BV153" s="523">
        <v>0</v>
      </c>
      <c r="BW153" s="523"/>
      <c r="BX153" s="523"/>
      <c r="BY153" s="523"/>
      <c r="BZ153" s="523"/>
      <c r="CA153" s="523"/>
      <c r="CB153" s="523"/>
      <c r="CC153" s="523"/>
      <c r="CD153" s="523"/>
      <c r="CE153" s="523"/>
      <c r="CF153" s="523"/>
      <c r="CG153" s="523"/>
      <c r="CH153" s="523"/>
      <c r="CI153" s="523">
        <f t="shared" si="38"/>
        <v>0</v>
      </c>
    </row>
    <row r="154" spans="1:87" x14ac:dyDescent="0.2">
      <c r="A154" s="125" t="s">
        <v>1562</v>
      </c>
      <c r="B154" s="126" t="s">
        <v>1563</v>
      </c>
      <c r="C154" s="126" t="s">
        <v>1324</v>
      </c>
      <c r="D154" s="127" t="s">
        <v>1564</v>
      </c>
      <c r="E154" s="128" t="s">
        <v>102</v>
      </c>
      <c r="F154" s="137">
        <v>12.72</v>
      </c>
      <c r="G154" s="130">
        <v>86.64</v>
      </c>
      <c r="H154" s="128">
        <v>2</v>
      </c>
      <c r="I154" s="133">
        <f t="shared" si="39"/>
        <v>0</v>
      </c>
      <c r="J154" s="374">
        <f t="shared" si="40"/>
        <v>0</v>
      </c>
      <c r="K154" s="128">
        <f t="shared" si="35"/>
        <v>2</v>
      </c>
      <c r="L154" s="131">
        <f t="shared" si="41"/>
        <v>173.28</v>
      </c>
      <c r="M154" s="131">
        <f t="shared" si="41"/>
        <v>0</v>
      </c>
      <c r="N154" s="131">
        <f t="shared" si="41"/>
        <v>0</v>
      </c>
      <c r="O154" s="131">
        <f t="shared" si="41"/>
        <v>173.28</v>
      </c>
      <c r="P154" s="136">
        <f t="shared" si="37"/>
        <v>0</v>
      </c>
      <c r="Q154" s="525"/>
      <c r="S154" s="189">
        <v>0</v>
      </c>
      <c r="T154" s="189">
        <v>0</v>
      </c>
      <c r="BT154" s="525"/>
      <c r="BU154" s="523">
        <v>0</v>
      </c>
      <c r="BV154" s="523">
        <v>0</v>
      </c>
      <c r="BW154" s="523"/>
      <c r="BX154" s="523"/>
      <c r="BY154" s="523"/>
      <c r="BZ154" s="523"/>
      <c r="CA154" s="523"/>
      <c r="CB154" s="523"/>
      <c r="CC154" s="523"/>
      <c r="CD154" s="523"/>
      <c r="CE154" s="523"/>
      <c r="CF154" s="523"/>
      <c r="CG154" s="523"/>
      <c r="CH154" s="523"/>
      <c r="CI154" s="523">
        <f t="shared" si="38"/>
        <v>0</v>
      </c>
    </row>
    <row r="155" spans="1:87" x14ac:dyDescent="0.2">
      <c r="A155" s="125" t="s">
        <v>1565</v>
      </c>
      <c r="B155" s="126" t="s">
        <v>1566</v>
      </c>
      <c r="C155" s="126" t="s">
        <v>1324</v>
      </c>
      <c r="D155" s="127" t="s">
        <v>1567</v>
      </c>
      <c r="E155" s="128" t="s">
        <v>102</v>
      </c>
      <c r="F155" s="138"/>
      <c r="G155" s="130">
        <v>52.59</v>
      </c>
      <c r="H155" s="128">
        <v>2</v>
      </c>
      <c r="I155" s="133">
        <f t="shared" si="39"/>
        <v>0</v>
      </c>
      <c r="J155" s="374">
        <f t="shared" si="40"/>
        <v>0</v>
      </c>
      <c r="K155" s="128">
        <f t="shared" si="35"/>
        <v>2</v>
      </c>
      <c r="L155" s="131">
        <f t="shared" si="41"/>
        <v>105.18</v>
      </c>
      <c r="M155" s="131">
        <f t="shared" si="41"/>
        <v>0</v>
      </c>
      <c r="N155" s="131">
        <f t="shared" si="41"/>
        <v>0</v>
      </c>
      <c r="O155" s="131">
        <f t="shared" si="41"/>
        <v>105.18</v>
      </c>
      <c r="P155" s="136">
        <f t="shared" si="37"/>
        <v>0</v>
      </c>
      <c r="Q155" s="525"/>
      <c r="S155" s="189">
        <v>0</v>
      </c>
      <c r="T155" s="189">
        <v>0</v>
      </c>
      <c r="BT155" s="525"/>
      <c r="BU155" s="523">
        <v>0</v>
      </c>
      <c r="BV155" s="523">
        <v>0</v>
      </c>
      <c r="BW155" s="523"/>
      <c r="BX155" s="523"/>
      <c r="BY155" s="523"/>
      <c r="BZ155" s="523"/>
      <c r="CA155" s="523"/>
      <c r="CB155" s="523"/>
      <c r="CC155" s="523"/>
      <c r="CD155" s="523"/>
      <c r="CE155" s="523"/>
      <c r="CF155" s="523"/>
      <c r="CG155" s="523"/>
      <c r="CH155" s="523"/>
      <c r="CI155" s="523">
        <f t="shared" si="38"/>
        <v>0</v>
      </c>
    </row>
    <row r="156" spans="1:87" x14ac:dyDescent="0.2">
      <c r="A156" s="125" t="s">
        <v>1568</v>
      </c>
      <c r="B156" s="126" t="s">
        <v>1569</v>
      </c>
      <c r="C156" s="126" t="s">
        <v>1324</v>
      </c>
      <c r="D156" s="127" t="s">
        <v>1570</v>
      </c>
      <c r="E156" s="128" t="s">
        <v>102</v>
      </c>
      <c r="F156" s="138"/>
      <c r="G156" s="130">
        <v>120.21</v>
      </c>
      <c r="H156" s="128">
        <v>2</v>
      </c>
      <c r="I156" s="133">
        <f t="shared" si="39"/>
        <v>0</v>
      </c>
      <c r="J156" s="374">
        <f t="shared" si="40"/>
        <v>0</v>
      </c>
      <c r="K156" s="128">
        <f t="shared" si="35"/>
        <v>2</v>
      </c>
      <c r="L156" s="131">
        <f t="shared" si="41"/>
        <v>240.42</v>
      </c>
      <c r="M156" s="131">
        <f t="shared" si="41"/>
        <v>0</v>
      </c>
      <c r="N156" s="131">
        <f t="shared" si="41"/>
        <v>0</v>
      </c>
      <c r="O156" s="131">
        <f t="shared" si="41"/>
        <v>240.42</v>
      </c>
      <c r="P156" s="136">
        <f t="shared" si="37"/>
        <v>0</v>
      </c>
      <c r="Q156" s="525"/>
      <c r="S156" s="189">
        <v>0</v>
      </c>
      <c r="T156" s="189">
        <v>0</v>
      </c>
      <c r="BT156" s="525"/>
      <c r="BU156" s="523">
        <v>0</v>
      </c>
      <c r="BV156" s="523">
        <v>0</v>
      </c>
      <c r="BW156" s="523"/>
      <c r="BX156" s="523"/>
      <c r="BY156" s="523"/>
      <c r="BZ156" s="523"/>
      <c r="CA156" s="523"/>
      <c r="CB156" s="523"/>
      <c r="CC156" s="523"/>
      <c r="CD156" s="523"/>
      <c r="CE156" s="523"/>
      <c r="CF156" s="523"/>
      <c r="CG156" s="523"/>
      <c r="CH156" s="523"/>
      <c r="CI156" s="523">
        <f t="shared" si="38"/>
        <v>0</v>
      </c>
    </row>
    <row r="157" spans="1:87" x14ac:dyDescent="0.2">
      <c r="A157" s="125" t="s">
        <v>1571</v>
      </c>
      <c r="B157" s="126" t="s">
        <v>1572</v>
      </c>
      <c r="C157" s="126" t="s">
        <v>1324</v>
      </c>
      <c r="D157" s="127" t="s">
        <v>1573</v>
      </c>
      <c r="E157" s="128" t="s">
        <v>102</v>
      </c>
      <c r="F157" s="129"/>
      <c r="G157" s="130">
        <v>67.349999999999994</v>
      </c>
      <c r="H157" s="128">
        <v>2</v>
      </c>
      <c r="I157" s="133">
        <f t="shared" si="39"/>
        <v>0</v>
      </c>
      <c r="J157" s="374">
        <f t="shared" si="40"/>
        <v>0</v>
      </c>
      <c r="K157" s="128">
        <f t="shared" si="35"/>
        <v>2</v>
      </c>
      <c r="L157" s="131">
        <f t="shared" si="41"/>
        <v>134.69999999999999</v>
      </c>
      <c r="M157" s="131">
        <f t="shared" si="41"/>
        <v>0</v>
      </c>
      <c r="N157" s="131">
        <f t="shared" si="41"/>
        <v>0</v>
      </c>
      <c r="O157" s="131">
        <f t="shared" si="41"/>
        <v>134.69999999999999</v>
      </c>
      <c r="P157" s="136">
        <f t="shared" si="37"/>
        <v>0</v>
      </c>
      <c r="Q157" s="525"/>
      <c r="S157" s="189">
        <v>0</v>
      </c>
      <c r="T157" s="189">
        <v>0</v>
      </c>
      <c r="BT157" s="525"/>
      <c r="BU157" s="523">
        <v>0</v>
      </c>
      <c r="BV157" s="523">
        <v>0</v>
      </c>
      <c r="BW157" s="523"/>
      <c r="BX157" s="523"/>
      <c r="BY157" s="523"/>
      <c r="BZ157" s="523"/>
      <c r="CA157" s="523"/>
      <c r="CB157" s="523"/>
      <c r="CC157" s="523"/>
      <c r="CD157" s="523"/>
      <c r="CE157" s="523"/>
      <c r="CF157" s="523"/>
      <c r="CG157" s="523"/>
      <c r="CH157" s="523"/>
      <c r="CI157" s="523">
        <f t="shared" si="38"/>
        <v>0</v>
      </c>
    </row>
    <row r="158" spans="1:87" x14ac:dyDescent="0.2">
      <c r="A158" s="125" t="s">
        <v>1574</v>
      </c>
      <c r="B158" s="126">
        <v>89987</v>
      </c>
      <c r="C158" s="126" t="s">
        <v>1324</v>
      </c>
      <c r="D158" s="127" t="s">
        <v>1575</v>
      </c>
      <c r="E158" s="128" t="s">
        <v>102</v>
      </c>
      <c r="F158" s="137">
        <v>8.41</v>
      </c>
      <c r="G158" s="130">
        <v>35.92</v>
      </c>
      <c r="H158" s="128">
        <v>2</v>
      </c>
      <c r="I158" s="133">
        <f t="shared" si="39"/>
        <v>0</v>
      </c>
      <c r="J158" s="374">
        <f t="shared" si="40"/>
        <v>0</v>
      </c>
      <c r="K158" s="128">
        <f t="shared" si="35"/>
        <v>2</v>
      </c>
      <c r="L158" s="131">
        <f t="shared" si="41"/>
        <v>71.84</v>
      </c>
      <c r="M158" s="131">
        <f t="shared" si="41"/>
        <v>0</v>
      </c>
      <c r="N158" s="131">
        <f t="shared" si="41"/>
        <v>0</v>
      </c>
      <c r="O158" s="131">
        <f t="shared" si="41"/>
        <v>71.84</v>
      </c>
      <c r="P158" s="136">
        <f t="shared" si="37"/>
        <v>0</v>
      </c>
      <c r="Q158" s="525"/>
      <c r="S158" s="189">
        <v>0</v>
      </c>
      <c r="T158" s="189">
        <v>0</v>
      </c>
      <c r="BT158" s="525"/>
      <c r="BU158" s="523">
        <v>0</v>
      </c>
      <c r="BV158" s="523">
        <v>0</v>
      </c>
      <c r="BW158" s="523"/>
      <c r="BX158" s="523"/>
      <c r="BY158" s="523"/>
      <c r="BZ158" s="523"/>
      <c r="CA158" s="523"/>
      <c r="CB158" s="523"/>
      <c r="CC158" s="523"/>
      <c r="CD158" s="523"/>
      <c r="CE158" s="523"/>
      <c r="CF158" s="523"/>
      <c r="CG158" s="523"/>
      <c r="CH158" s="523"/>
      <c r="CI158" s="523">
        <f t="shared" si="38"/>
        <v>0</v>
      </c>
    </row>
    <row r="159" spans="1:87" x14ac:dyDescent="0.2">
      <c r="A159" s="125" t="s">
        <v>1576</v>
      </c>
      <c r="B159" s="126">
        <v>89985</v>
      </c>
      <c r="C159" s="126" t="s">
        <v>1324</v>
      </c>
      <c r="D159" s="127" t="s">
        <v>1577</v>
      </c>
      <c r="E159" s="128" t="s">
        <v>102</v>
      </c>
      <c r="F159" s="137">
        <v>9.49</v>
      </c>
      <c r="G159" s="130">
        <v>64.02</v>
      </c>
      <c r="H159" s="128">
        <v>8</v>
      </c>
      <c r="I159" s="133">
        <f t="shared" si="39"/>
        <v>0</v>
      </c>
      <c r="J159" s="374">
        <f t="shared" si="40"/>
        <v>0</v>
      </c>
      <c r="K159" s="128">
        <f t="shared" si="35"/>
        <v>8</v>
      </c>
      <c r="L159" s="131">
        <f t="shared" si="41"/>
        <v>512.16</v>
      </c>
      <c r="M159" s="131">
        <f t="shared" si="41"/>
        <v>0</v>
      </c>
      <c r="N159" s="131">
        <f t="shared" si="41"/>
        <v>0</v>
      </c>
      <c r="O159" s="131">
        <f t="shared" si="41"/>
        <v>512.16</v>
      </c>
      <c r="P159" s="136">
        <f t="shared" si="37"/>
        <v>0</v>
      </c>
      <c r="Q159" s="525"/>
      <c r="S159" s="189">
        <v>0</v>
      </c>
      <c r="T159" s="189">
        <v>12</v>
      </c>
      <c r="BT159" s="525"/>
      <c r="BU159" s="523">
        <v>0</v>
      </c>
      <c r="BV159" s="523">
        <v>0</v>
      </c>
      <c r="BW159" s="523"/>
      <c r="BX159" s="523"/>
      <c r="BY159" s="523"/>
      <c r="BZ159" s="523"/>
      <c r="CA159" s="523"/>
      <c r="CB159" s="523"/>
      <c r="CC159" s="523"/>
      <c r="CD159" s="523"/>
      <c r="CE159" s="523"/>
      <c r="CF159" s="523"/>
      <c r="CG159" s="523"/>
      <c r="CH159" s="523"/>
      <c r="CI159" s="523">
        <f t="shared" si="38"/>
        <v>0</v>
      </c>
    </row>
    <row r="160" spans="1:87" x14ac:dyDescent="0.2">
      <c r="A160" s="125" t="s">
        <v>1578</v>
      </c>
      <c r="B160" s="126">
        <v>89538</v>
      </c>
      <c r="C160" s="126" t="s">
        <v>1324</v>
      </c>
      <c r="D160" s="127" t="s">
        <v>1579</v>
      </c>
      <c r="E160" s="128" t="s">
        <v>102</v>
      </c>
      <c r="F160" s="137">
        <v>6.56</v>
      </c>
      <c r="G160" s="130">
        <v>2.75</v>
      </c>
      <c r="H160" s="128">
        <v>12</v>
      </c>
      <c r="I160" s="133">
        <f t="shared" si="39"/>
        <v>0</v>
      </c>
      <c r="J160" s="374">
        <f t="shared" si="40"/>
        <v>0</v>
      </c>
      <c r="K160" s="128">
        <f t="shared" si="35"/>
        <v>12</v>
      </c>
      <c r="L160" s="131">
        <f t="shared" si="41"/>
        <v>33</v>
      </c>
      <c r="M160" s="131">
        <f t="shared" si="41"/>
        <v>0</v>
      </c>
      <c r="N160" s="131">
        <f t="shared" si="41"/>
        <v>0</v>
      </c>
      <c r="O160" s="131">
        <f t="shared" si="41"/>
        <v>33</v>
      </c>
      <c r="P160" s="136">
        <f t="shared" si="37"/>
        <v>0</v>
      </c>
      <c r="Q160" s="525"/>
      <c r="S160" s="189">
        <v>0</v>
      </c>
      <c r="T160" s="189">
        <v>4</v>
      </c>
      <c r="BT160" s="525"/>
      <c r="BU160" s="523">
        <v>0</v>
      </c>
      <c r="BV160" s="523">
        <v>0</v>
      </c>
      <c r="BW160" s="523"/>
      <c r="BX160" s="523"/>
      <c r="BY160" s="523"/>
      <c r="BZ160" s="523"/>
      <c r="CA160" s="523"/>
      <c r="CB160" s="523"/>
      <c r="CC160" s="523"/>
      <c r="CD160" s="523"/>
      <c r="CE160" s="523"/>
      <c r="CF160" s="523"/>
      <c r="CG160" s="523"/>
      <c r="CH160" s="523"/>
      <c r="CI160" s="523">
        <f t="shared" si="38"/>
        <v>0</v>
      </c>
    </row>
    <row r="161" spans="1:87" x14ac:dyDescent="0.2">
      <c r="A161" s="125" t="s">
        <v>1580</v>
      </c>
      <c r="B161" s="126">
        <v>89553</v>
      </c>
      <c r="C161" s="126" t="s">
        <v>1324</v>
      </c>
      <c r="D161" s="127" t="s">
        <v>1581</v>
      </c>
      <c r="E161" s="128" t="s">
        <v>102</v>
      </c>
      <c r="F161" s="138"/>
      <c r="G161" s="130">
        <v>4.01</v>
      </c>
      <c r="H161" s="128">
        <v>4</v>
      </c>
      <c r="I161" s="133">
        <f t="shared" si="39"/>
        <v>0</v>
      </c>
      <c r="J161" s="374">
        <f t="shared" si="40"/>
        <v>0</v>
      </c>
      <c r="K161" s="128">
        <f t="shared" si="35"/>
        <v>4</v>
      </c>
      <c r="L161" s="131">
        <f t="shared" si="41"/>
        <v>16.04</v>
      </c>
      <c r="M161" s="131">
        <f t="shared" si="41"/>
        <v>0</v>
      </c>
      <c r="N161" s="131">
        <f t="shared" si="41"/>
        <v>0</v>
      </c>
      <c r="O161" s="131">
        <f t="shared" si="41"/>
        <v>16.04</v>
      </c>
      <c r="P161" s="136">
        <f t="shared" si="37"/>
        <v>0</v>
      </c>
      <c r="Q161" s="525"/>
      <c r="S161" s="189">
        <v>0</v>
      </c>
      <c r="T161" s="189">
        <v>4</v>
      </c>
      <c r="BT161" s="525"/>
      <c r="BU161" s="523">
        <v>0</v>
      </c>
      <c r="BV161" s="523">
        <v>0</v>
      </c>
      <c r="BW161" s="523"/>
      <c r="BX161" s="523"/>
      <c r="BY161" s="523"/>
      <c r="BZ161" s="523"/>
      <c r="CA161" s="523"/>
      <c r="CB161" s="523"/>
      <c r="CC161" s="523"/>
      <c r="CD161" s="523"/>
      <c r="CE161" s="523"/>
      <c r="CF161" s="523"/>
      <c r="CG161" s="523"/>
      <c r="CH161" s="523"/>
      <c r="CI161" s="523">
        <f t="shared" si="38"/>
        <v>0</v>
      </c>
    </row>
    <row r="162" spans="1:87" x14ac:dyDescent="0.2">
      <c r="A162" s="125" t="s">
        <v>1582</v>
      </c>
      <c r="B162" s="126">
        <v>89570</v>
      </c>
      <c r="C162" s="126" t="s">
        <v>1324</v>
      </c>
      <c r="D162" s="127" t="s">
        <v>1583</v>
      </c>
      <c r="E162" s="128" t="s">
        <v>102</v>
      </c>
      <c r="F162" s="137">
        <v>8.41</v>
      </c>
      <c r="G162" s="130">
        <v>6.66</v>
      </c>
      <c r="H162" s="128">
        <v>4</v>
      </c>
      <c r="I162" s="133">
        <f t="shared" si="39"/>
        <v>0</v>
      </c>
      <c r="J162" s="374">
        <f t="shared" si="40"/>
        <v>0</v>
      </c>
      <c r="K162" s="128">
        <f t="shared" si="35"/>
        <v>4</v>
      </c>
      <c r="L162" s="131">
        <f t="shared" si="41"/>
        <v>26.64</v>
      </c>
      <c r="M162" s="131">
        <f t="shared" si="41"/>
        <v>0</v>
      </c>
      <c r="N162" s="131">
        <f t="shared" si="41"/>
        <v>0</v>
      </c>
      <c r="O162" s="131">
        <f t="shared" si="41"/>
        <v>26.64</v>
      </c>
      <c r="P162" s="136">
        <f t="shared" si="37"/>
        <v>0</v>
      </c>
      <c r="Q162" s="525"/>
      <c r="S162" s="189">
        <v>0</v>
      </c>
      <c r="T162" s="189">
        <v>4</v>
      </c>
      <c r="BT162" s="525"/>
      <c r="BU162" s="523">
        <v>0</v>
      </c>
      <c r="BV162" s="523">
        <v>0</v>
      </c>
      <c r="BW162" s="523"/>
      <c r="BX162" s="523"/>
      <c r="BY162" s="523"/>
      <c r="BZ162" s="523"/>
      <c r="CA162" s="523"/>
      <c r="CB162" s="523"/>
      <c r="CC162" s="523"/>
      <c r="CD162" s="523"/>
      <c r="CE162" s="523"/>
      <c r="CF162" s="523"/>
      <c r="CG162" s="523"/>
      <c r="CH162" s="523"/>
      <c r="CI162" s="523">
        <f t="shared" si="38"/>
        <v>0</v>
      </c>
    </row>
    <row r="163" spans="1:87" x14ac:dyDescent="0.2">
      <c r="A163" s="125" t="s">
        <v>1584</v>
      </c>
      <c r="B163" s="126">
        <v>89596</v>
      </c>
      <c r="C163" s="126" t="s">
        <v>1324</v>
      </c>
      <c r="D163" s="127" t="s">
        <v>1585</v>
      </c>
      <c r="E163" s="128" t="s">
        <v>102</v>
      </c>
      <c r="F163" s="138"/>
      <c r="G163" s="130">
        <v>7.49</v>
      </c>
      <c r="H163" s="128">
        <v>4</v>
      </c>
      <c r="I163" s="133">
        <f t="shared" si="39"/>
        <v>0</v>
      </c>
      <c r="J163" s="374">
        <f t="shared" si="40"/>
        <v>0</v>
      </c>
      <c r="K163" s="128">
        <f t="shared" si="35"/>
        <v>4</v>
      </c>
      <c r="L163" s="131">
        <f t="shared" si="41"/>
        <v>29.96</v>
      </c>
      <c r="M163" s="131">
        <f t="shared" si="41"/>
        <v>0</v>
      </c>
      <c r="N163" s="131">
        <f t="shared" si="41"/>
        <v>0</v>
      </c>
      <c r="O163" s="131">
        <f t="shared" si="41"/>
        <v>29.96</v>
      </c>
      <c r="P163" s="136">
        <f t="shared" si="37"/>
        <v>0</v>
      </c>
      <c r="Q163" s="525"/>
      <c r="S163" s="189">
        <v>0</v>
      </c>
      <c r="T163" s="189">
        <v>10</v>
      </c>
      <c r="BT163" s="525"/>
      <c r="BU163" s="523">
        <v>0</v>
      </c>
      <c r="BV163" s="523">
        <v>0</v>
      </c>
      <c r="BW163" s="523"/>
      <c r="BX163" s="523"/>
      <c r="BY163" s="523"/>
      <c r="BZ163" s="523"/>
      <c r="CA163" s="523"/>
      <c r="CB163" s="523"/>
      <c r="CC163" s="523"/>
      <c r="CD163" s="523"/>
      <c r="CE163" s="523"/>
      <c r="CF163" s="523"/>
      <c r="CG163" s="523"/>
      <c r="CH163" s="523"/>
      <c r="CI163" s="523">
        <f t="shared" si="38"/>
        <v>0</v>
      </c>
    </row>
    <row r="164" spans="1:87" x14ac:dyDescent="0.2">
      <c r="A164" s="125" t="s">
        <v>1586</v>
      </c>
      <c r="B164" s="126">
        <v>86884</v>
      </c>
      <c r="C164" s="126" t="s">
        <v>1324</v>
      </c>
      <c r="D164" s="127" t="s">
        <v>1587</v>
      </c>
      <c r="E164" s="128" t="s">
        <v>102</v>
      </c>
      <c r="F164" s="137">
        <v>6.56</v>
      </c>
      <c r="G164" s="130">
        <v>6.05</v>
      </c>
      <c r="H164" s="128">
        <v>10</v>
      </c>
      <c r="I164" s="133">
        <f t="shared" si="39"/>
        <v>0</v>
      </c>
      <c r="J164" s="374">
        <f t="shared" si="40"/>
        <v>0</v>
      </c>
      <c r="K164" s="128">
        <f t="shared" si="35"/>
        <v>10</v>
      </c>
      <c r="L164" s="131">
        <f t="shared" si="41"/>
        <v>60.5</v>
      </c>
      <c r="M164" s="131">
        <f t="shared" si="41"/>
        <v>0</v>
      </c>
      <c r="N164" s="131">
        <f t="shared" si="41"/>
        <v>0</v>
      </c>
      <c r="O164" s="131">
        <f t="shared" si="41"/>
        <v>60.5</v>
      </c>
      <c r="P164" s="136">
        <f t="shared" si="37"/>
        <v>0</v>
      </c>
      <c r="Q164" s="525"/>
      <c r="S164" s="189">
        <v>0</v>
      </c>
      <c r="T164" s="189">
        <v>0</v>
      </c>
      <c r="BT164" s="525"/>
      <c r="BU164" s="523">
        <v>0</v>
      </c>
      <c r="BV164" s="523">
        <v>0</v>
      </c>
      <c r="BW164" s="523"/>
      <c r="BX164" s="523"/>
      <c r="BY164" s="523"/>
      <c r="BZ164" s="523"/>
      <c r="CA164" s="523"/>
      <c r="CB164" s="523"/>
      <c r="CC164" s="523"/>
      <c r="CD164" s="523"/>
      <c r="CE164" s="523"/>
      <c r="CF164" s="523"/>
      <c r="CG164" s="523"/>
      <c r="CH164" s="523"/>
      <c r="CI164" s="523">
        <f t="shared" si="38"/>
        <v>0</v>
      </c>
    </row>
    <row r="165" spans="1:87" x14ac:dyDescent="0.2">
      <c r="A165" s="125" t="s">
        <v>1588</v>
      </c>
      <c r="B165" s="126">
        <v>72789</v>
      </c>
      <c r="C165" s="126" t="s">
        <v>1324</v>
      </c>
      <c r="D165" s="127" t="s">
        <v>1589</v>
      </c>
      <c r="E165" s="128" t="s">
        <v>102</v>
      </c>
      <c r="F165" s="137">
        <v>9.49</v>
      </c>
      <c r="G165" s="130">
        <v>16.59</v>
      </c>
      <c r="H165" s="128">
        <v>3</v>
      </c>
      <c r="I165" s="133">
        <f t="shared" si="39"/>
        <v>0</v>
      </c>
      <c r="J165" s="374">
        <f t="shared" si="40"/>
        <v>0</v>
      </c>
      <c r="K165" s="128">
        <f t="shared" si="35"/>
        <v>3</v>
      </c>
      <c r="L165" s="131">
        <f t="shared" si="41"/>
        <v>49.77</v>
      </c>
      <c r="M165" s="131">
        <f t="shared" si="41"/>
        <v>0</v>
      </c>
      <c r="N165" s="131">
        <f t="shared" si="41"/>
        <v>0</v>
      </c>
      <c r="O165" s="131">
        <f t="shared" si="41"/>
        <v>49.77</v>
      </c>
      <c r="P165" s="136">
        <f t="shared" si="37"/>
        <v>0</v>
      </c>
      <c r="Q165" s="525"/>
      <c r="S165" s="189">
        <v>0</v>
      </c>
      <c r="T165" s="189">
        <v>0</v>
      </c>
      <c r="BT165" s="525"/>
      <c r="BU165" s="523">
        <v>0</v>
      </c>
      <c r="BV165" s="523">
        <v>0</v>
      </c>
      <c r="BW165" s="523"/>
      <c r="BX165" s="523"/>
      <c r="BY165" s="523"/>
      <c r="BZ165" s="523"/>
      <c r="CA165" s="523"/>
      <c r="CB165" s="523"/>
      <c r="CC165" s="523"/>
      <c r="CD165" s="523"/>
      <c r="CE165" s="523"/>
      <c r="CF165" s="523"/>
      <c r="CG165" s="523"/>
      <c r="CH165" s="523"/>
      <c r="CI165" s="523">
        <f t="shared" si="38"/>
        <v>0</v>
      </c>
    </row>
    <row r="166" spans="1:87" x14ac:dyDescent="0.2">
      <c r="A166" s="125" t="s">
        <v>1590</v>
      </c>
      <c r="B166" s="126">
        <v>72792</v>
      </c>
      <c r="C166" s="126" t="s">
        <v>1324</v>
      </c>
      <c r="D166" s="127" t="s">
        <v>1591</v>
      </c>
      <c r="E166" s="128" t="s">
        <v>102</v>
      </c>
      <c r="F166" s="138"/>
      <c r="G166" s="130">
        <v>32.79</v>
      </c>
      <c r="H166" s="128">
        <v>2</v>
      </c>
      <c r="I166" s="133">
        <f t="shared" si="39"/>
        <v>0</v>
      </c>
      <c r="J166" s="374">
        <f t="shared" si="40"/>
        <v>0</v>
      </c>
      <c r="K166" s="128">
        <f t="shared" si="35"/>
        <v>2</v>
      </c>
      <c r="L166" s="131">
        <f t="shared" si="41"/>
        <v>65.58</v>
      </c>
      <c r="M166" s="131">
        <f t="shared" si="41"/>
        <v>0</v>
      </c>
      <c r="N166" s="131">
        <f t="shared" si="41"/>
        <v>0</v>
      </c>
      <c r="O166" s="131">
        <f t="shared" si="41"/>
        <v>65.58</v>
      </c>
      <c r="P166" s="136">
        <f t="shared" si="37"/>
        <v>0</v>
      </c>
      <c r="Q166" s="525"/>
      <c r="S166" s="189">
        <v>0</v>
      </c>
      <c r="T166" s="189">
        <v>0</v>
      </c>
      <c r="BT166" s="525"/>
      <c r="BU166" s="523">
        <v>0</v>
      </c>
      <c r="BV166" s="523">
        <v>0</v>
      </c>
      <c r="BW166" s="523"/>
      <c r="BX166" s="523"/>
      <c r="BY166" s="523"/>
      <c r="BZ166" s="523"/>
      <c r="CA166" s="523"/>
      <c r="CB166" s="523"/>
      <c r="CC166" s="523"/>
      <c r="CD166" s="523"/>
      <c r="CE166" s="523"/>
      <c r="CF166" s="523"/>
      <c r="CG166" s="523"/>
      <c r="CH166" s="523"/>
      <c r="CI166" s="523">
        <f t="shared" si="38"/>
        <v>0</v>
      </c>
    </row>
    <row r="167" spans="1:87" x14ac:dyDescent="0.2">
      <c r="A167" s="125" t="s">
        <v>1592</v>
      </c>
      <c r="B167" s="126" t="s">
        <v>2007</v>
      </c>
      <c r="C167" s="126" t="s">
        <v>1339</v>
      </c>
      <c r="D167" s="127" t="s">
        <v>1593</v>
      </c>
      <c r="E167" s="128" t="s">
        <v>102</v>
      </c>
      <c r="F167" s="137">
        <v>13.87</v>
      </c>
      <c r="G167" s="130">
        <v>1286.6600000000001</v>
      </c>
      <c r="H167" s="128">
        <v>1</v>
      </c>
      <c r="I167" s="133">
        <f t="shared" si="39"/>
        <v>0</v>
      </c>
      <c r="J167" s="374">
        <f t="shared" si="40"/>
        <v>0</v>
      </c>
      <c r="K167" s="128">
        <f t="shared" si="35"/>
        <v>1</v>
      </c>
      <c r="L167" s="131">
        <f t="shared" si="41"/>
        <v>1286.6600000000001</v>
      </c>
      <c r="M167" s="131">
        <f t="shared" si="41"/>
        <v>0</v>
      </c>
      <c r="N167" s="131">
        <f t="shared" si="41"/>
        <v>0</v>
      </c>
      <c r="O167" s="131">
        <f t="shared" si="41"/>
        <v>1286.6600000000001</v>
      </c>
      <c r="P167" s="136">
        <f t="shared" si="37"/>
        <v>0</v>
      </c>
      <c r="Q167" s="525"/>
      <c r="S167" s="189">
        <v>0</v>
      </c>
      <c r="T167" s="189">
        <v>0</v>
      </c>
      <c r="BT167" s="525"/>
      <c r="BU167" s="523">
        <v>0</v>
      </c>
      <c r="BV167" s="523">
        <v>0</v>
      </c>
      <c r="BW167" s="523"/>
      <c r="BX167" s="523"/>
      <c r="BY167" s="523"/>
      <c r="BZ167" s="523"/>
      <c r="CA167" s="523"/>
      <c r="CB167" s="523"/>
      <c r="CC167" s="523"/>
      <c r="CD167" s="523"/>
      <c r="CE167" s="523"/>
      <c r="CF167" s="523"/>
      <c r="CG167" s="523"/>
      <c r="CH167" s="523"/>
      <c r="CI167" s="523">
        <f t="shared" si="38"/>
        <v>0</v>
      </c>
    </row>
    <row r="168" spans="1:87" s="514" customFormat="1" x14ac:dyDescent="0.2">
      <c r="A168" s="412">
        <v>13</v>
      </c>
      <c r="B168" s="413"/>
      <c r="C168" s="413"/>
      <c r="D168" s="414" t="s">
        <v>1594</v>
      </c>
      <c r="E168" s="415"/>
      <c r="F168" s="415"/>
      <c r="G168" s="415"/>
      <c r="H168" s="415"/>
      <c r="I168" s="415"/>
      <c r="J168" s="415"/>
      <c r="K168" s="415"/>
      <c r="L168" s="416">
        <f>SUM(L169,L181)</f>
        <v>16232.49</v>
      </c>
      <c r="M168" s="416">
        <f>SUM(M169,M181)</f>
        <v>0</v>
      </c>
      <c r="N168" s="416">
        <f>SUM(N169,N181)</f>
        <v>0</v>
      </c>
      <c r="O168" s="416">
        <f>SUM(O169,O181)</f>
        <v>16232.49</v>
      </c>
      <c r="P168" s="423">
        <f t="shared" si="37"/>
        <v>0</v>
      </c>
      <c r="Q168" s="525"/>
      <c r="S168" s="190">
        <v>0</v>
      </c>
      <c r="T168" s="190">
        <v>0</v>
      </c>
      <c r="BT168" s="525"/>
      <c r="BU168" s="523"/>
      <c r="BV168" s="523"/>
      <c r="BW168" s="523"/>
      <c r="BX168" s="523"/>
      <c r="BY168" s="523"/>
      <c r="BZ168" s="523"/>
      <c r="CA168" s="523"/>
      <c r="CB168" s="523"/>
      <c r="CC168" s="523"/>
      <c r="CD168" s="523"/>
      <c r="CE168" s="523"/>
      <c r="CF168" s="523"/>
      <c r="CG168" s="523"/>
      <c r="CH168" s="523"/>
      <c r="CI168" s="523">
        <f t="shared" si="38"/>
        <v>0</v>
      </c>
    </row>
    <row r="169" spans="1:87" x14ac:dyDescent="0.2">
      <c r="A169" s="449" t="s">
        <v>306</v>
      </c>
      <c r="B169" s="450"/>
      <c r="C169" s="450"/>
      <c r="D169" s="451" t="s">
        <v>1516</v>
      </c>
      <c r="E169" s="452"/>
      <c r="F169" s="452"/>
      <c r="G169" s="452"/>
      <c r="H169" s="452"/>
      <c r="I169" s="452"/>
      <c r="J169" s="452"/>
      <c r="K169" s="452"/>
      <c r="L169" s="470">
        <f>SUM(L171:L180)</f>
        <v>2433.5100000000002</v>
      </c>
      <c r="M169" s="470">
        <f>SUM(M171:M180)</f>
        <v>0</v>
      </c>
      <c r="N169" s="470">
        <f>SUM(N171:N180)</f>
        <v>0</v>
      </c>
      <c r="O169" s="470">
        <f>SUM(O171:O180)</f>
        <v>2433.5100000000002</v>
      </c>
      <c r="P169" s="459">
        <f t="shared" si="37"/>
        <v>0</v>
      </c>
      <c r="Q169" s="525"/>
      <c r="S169" s="189">
        <v>0</v>
      </c>
      <c r="T169" s="189">
        <v>47.5</v>
      </c>
      <c r="BT169" s="525"/>
      <c r="BU169" s="523"/>
      <c r="BV169" s="523"/>
      <c r="BW169" s="523"/>
      <c r="BX169" s="523"/>
      <c r="BY169" s="523"/>
      <c r="BZ169" s="523"/>
      <c r="CA169" s="523"/>
      <c r="CB169" s="523"/>
      <c r="CC169" s="523"/>
      <c r="CD169" s="523"/>
      <c r="CE169" s="523"/>
      <c r="CF169" s="523"/>
      <c r="CG169" s="523"/>
      <c r="CH169" s="523"/>
      <c r="CI169" s="523">
        <f t="shared" si="38"/>
        <v>0</v>
      </c>
    </row>
    <row r="170" spans="1:87" x14ac:dyDescent="0.2">
      <c r="A170" s="125" t="s">
        <v>1595</v>
      </c>
      <c r="B170" s="126">
        <v>89711</v>
      </c>
      <c r="C170" s="126" t="s">
        <v>1324</v>
      </c>
      <c r="D170" s="127" t="s">
        <v>1596</v>
      </c>
      <c r="E170" s="128" t="s">
        <v>81</v>
      </c>
      <c r="F170" s="138"/>
      <c r="G170" s="130">
        <v>13.04</v>
      </c>
      <c r="H170" s="128">
        <v>0</v>
      </c>
      <c r="I170" s="133">
        <f t="shared" si="39"/>
        <v>0</v>
      </c>
      <c r="J170" s="374">
        <f t="shared" si="40"/>
        <v>0</v>
      </c>
      <c r="K170" s="128">
        <f t="shared" si="35"/>
        <v>0</v>
      </c>
      <c r="L170" s="131">
        <f t="shared" ref="L170:O180" si="42">ROUND(H170*$G170,2)</f>
        <v>0</v>
      </c>
      <c r="M170" s="131">
        <f t="shared" si="42"/>
        <v>0</v>
      </c>
      <c r="N170" s="131">
        <f t="shared" si="42"/>
        <v>0</v>
      </c>
      <c r="O170" s="131">
        <f t="shared" si="42"/>
        <v>0</v>
      </c>
      <c r="P170" s="136">
        <v>1</v>
      </c>
      <c r="Q170" s="525"/>
      <c r="S170" s="189">
        <v>0</v>
      </c>
      <c r="T170" s="189">
        <v>21.5</v>
      </c>
      <c r="BT170" s="525"/>
      <c r="BU170" s="523">
        <v>0</v>
      </c>
      <c r="BV170" s="523">
        <v>0</v>
      </c>
      <c r="BW170" s="523"/>
      <c r="BX170" s="523"/>
      <c r="BY170" s="523"/>
      <c r="BZ170" s="523"/>
      <c r="CA170" s="523"/>
      <c r="CB170" s="523"/>
      <c r="CC170" s="523"/>
      <c r="CD170" s="523"/>
      <c r="CE170" s="523"/>
      <c r="CF170" s="523"/>
      <c r="CG170" s="523"/>
      <c r="CH170" s="523"/>
      <c r="CI170" s="523">
        <f t="shared" si="38"/>
        <v>0</v>
      </c>
    </row>
    <row r="171" spans="1:87" x14ac:dyDescent="0.2">
      <c r="A171" s="125" t="s">
        <v>1597</v>
      </c>
      <c r="B171" s="126">
        <v>89712</v>
      </c>
      <c r="C171" s="126" t="s">
        <v>1324</v>
      </c>
      <c r="D171" s="127" t="s">
        <v>1598</v>
      </c>
      <c r="E171" s="128" t="s">
        <v>81</v>
      </c>
      <c r="F171" s="138"/>
      <c r="G171" s="130">
        <v>18.98</v>
      </c>
      <c r="H171" s="128">
        <v>21.5</v>
      </c>
      <c r="I171" s="133">
        <f t="shared" si="39"/>
        <v>0</v>
      </c>
      <c r="J171" s="374">
        <f t="shared" si="40"/>
        <v>0</v>
      </c>
      <c r="K171" s="128">
        <f t="shared" si="35"/>
        <v>21.5</v>
      </c>
      <c r="L171" s="131">
        <f t="shared" si="42"/>
        <v>408.07</v>
      </c>
      <c r="M171" s="131">
        <f t="shared" si="42"/>
        <v>0</v>
      </c>
      <c r="N171" s="131">
        <f t="shared" si="42"/>
        <v>0</v>
      </c>
      <c r="O171" s="131">
        <f t="shared" si="42"/>
        <v>408.07</v>
      </c>
      <c r="P171" s="136">
        <f t="shared" si="37"/>
        <v>0</v>
      </c>
      <c r="Q171" s="525"/>
      <c r="S171" s="189">
        <v>0</v>
      </c>
      <c r="T171" s="189">
        <v>36</v>
      </c>
      <c r="BT171" s="525"/>
      <c r="BU171" s="523">
        <v>0</v>
      </c>
      <c r="BV171" s="523">
        <v>0</v>
      </c>
      <c r="BW171" s="523"/>
      <c r="BX171" s="523"/>
      <c r="BY171" s="523"/>
      <c r="BZ171" s="523"/>
      <c r="CA171" s="523"/>
      <c r="CB171" s="523"/>
      <c r="CC171" s="523"/>
      <c r="CD171" s="523"/>
      <c r="CE171" s="523"/>
      <c r="CF171" s="523"/>
      <c r="CG171" s="523"/>
      <c r="CH171" s="523"/>
      <c r="CI171" s="523">
        <f t="shared" si="38"/>
        <v>0</v>
      </c>
    </row>
    <row r="172" spans="1:87" x14ac:dyDescent="0.2">
      <c r="A172" s="125" t="s">
        <v>1599</v>
      </c>
      <c r="B172" s="126">
        <v>89714</v>
      </c>
      <c r="C172" s="126" t="s">
        <v>1324</v>
      </c>
      <c r="D172" s="127" t="s">
        <v>1600</v>
      </c>
      <c r="E172" s="128" t="s">
        <v>81</v>
      </c>
      <c r="F172" s="137">
        <v>224.11</v>
      </c>
      <c r="G172" s="130">
        <v>36.869999999999997</v>
      </c>
      <c r="H172" s="128">
        <v>36</v>
      </c>
      <c r="I172" s="133">
        <f t="shared" si="39"/>
        <v>0</v>
      </c>
      <c r="J172" s="374">
        <f t="shared" si="40"/>
        <v>0</v>
      </c>
      <c r="K172" s="128">
        <f t="shared" si="35"/>
        <v>36</v>
      </c>
      <c r="L172" s="131">
        <f t="shared" si="42"/>
        <v>1327.32</v>
      </c>
      <c r="M172" s="131">
        <f t="shared" si="42"/>
        <v>0</v>
      </c>
      <c r="N172" s="131">
        <f t="shared" si="42"/>
        <v>0</v>
      </c>
      <c r="O172" s="131">
        <f t="shared" si="42"/>
        <v>1327.32</v>
      </c>
      <c r="P172" s="136">
        <f t="shared" si="37"/>
        <v>0</v>
      </c>
      <c r="Q172" s="525"/>
      <c r="S172" s="189">
        <v>0</v>
      </c>
      <c r="T172" s="189">
        <v>7</v>
      </c>
      <c r="BT172" s="525"/>
      <c r="BU172" s="523">
        <v>0</v>
      </c>
      <c r="BV172" s="523">
        <v>0</v>
      </c>
      <c r="BW172" s="523"/>
      <c r="BX172" s="523"/>
      <c r="BY172" s="523"/>
      <c r="BZ172" s="523"/>
      <c r="CA172" s="523"/>
      <c r="CB172" s="523"/>
      <c r="CC172" s="523"/>
      <c r="CD172" s="523"/>
      <c r="CE172" s="523"/>
      <c r="CF172" s="523"/>
      <c r="CG172" s="523"/>
      <c r="CH172" s="523"/>
      <c r="CI172" s="523">
        <f t="shared" si="38"/>
        <v>0</v>
      </c>
    </row>
    <row r="173" spans="1:87" x14ac:dyDescent="0.2">
      <c r="A173" s="125" t="s">
        <v>1601</v>
      </c>
      <c r="B173" s="126">
        <v>89726</v>
      </c>
      <c r="C173" s="126" t="s">
        <v>1324</v>
      </c>
      <c r="D173" s="127" t="s">
        <v>1602</v>
      </c>
      <c r="E173" s="128" t="s">
        <v>102</v>
      </c>
      <c r="F173" s="137">
        <v>312.5</v>
      </c>
      <c r="G173" s="130">
        <v>6.33</v>
      </c>
      <c r="H173" s="128">
        <v>7</v>
      </c>
      <c r="I173" s="133">
        <f t="shared" si="39"/>
        <v>0</v>
      </c>
      <c r="J173" s="374">
        <f t="shared" si="40"/>
        <v>0</v>
      </c>
      <c r="K173" s="128">
        <f t="shared" si="35"/>
        <v>7</v>
      </c>
      <c r="L173" s="131">
        <f t="shared" si="42"/>
        <v>44.31</v>
      </c>
      <c r="M173" s="131">
        <f t="shared" si="42"/>
        <v>0</v>
      </c>
      <c r="N173" s="131">
        <f t="shared" si="42"/>
        <v>0</v>
      </c>
      <c r="O173" s="131">
        <f t="shared" si="42"/>
        <v>44.31</v>
      </c>
      <c r="P173" s="136">
        <f t="shared" si="37"/>
        <v>0</v>
      </c>
      <c r="Q173" s="525"/>
      <c r="S173" s="189">
        <v>0</v>
      </c>
      <c r="T173" s="189">
        <v>6</v>
      </c>
      <c r="BT173" s="525"/>
      <c r="BU173" s="523">
        <v>0</v>
      </c>
      <c r="BV173" s="523">
        <v>0</v>
      </c>
      <c r="BW173" s="523"/>
      <c r="BX173" s="523"/>
      <c r="BY173" s="523"/>
      <c r="BZ173" s="523"/>
      <c r="CA173" s="523"/>
      <c r="CB173" s="523"/>
      <c r="CC173" s="523"/>
      <c r="CD173" s="523"/>
      <c r="CE173" s="523"/>
      <c r="CF173" s="523"/>
      <c r="CG173" s="523"/>
      <c r="CH173" s="523"/>
      <c r="CI173" s="523">
        <f t="shared" si="38"/>
        <v>0</v>
      </c>
    </row>
    <row r="174" spans="1:87" x14ac:dyDescent="0.2">
      <c r="A174" s="125" t="s">
        <v>1603</v>
      </c>
      <c r="B174" s="126">
        <v>89744</v>
      </c>
      <c r="C174" s="126" t="s">
        <v>1324</v>
      </c>
      <c r="D174" s="127" t="s">
        <v>1604</v>
      </c>
      <c r="E174" s="128" t="s">
        <v>102</v>
      </c>
      <c r="F174" s="137">
        <v>323.14</v>
      </c>
      <c r="G174" s="130">
        <v>16.600000000000001</v>
      </c>
      <c r="H174" s="128">
        <v>6</v>
      </c>
      <c r="I174" s="133">
        <f t="shared" si="39"/>
        <v>0</v>
      </c>
      <c r="J174" s="374">
        <f t="shared" si="40"/>
        <v>0</v>
      </c>
      <c r="K174" s="128">
        <f t="shared" si="35"/>
        <v>6</v>
      </c>
      <c r="L174" s="131">
        <f t="shared" si="42"/>
        <v>99.6</v>
      </c>
      <c r="M174" s="131">
        <f t="shared" si="42"/>
        <v>0</v>
      </c>
      <c r="N174" s="131">
        <f t="shared" si="42"/>
        <v>0</v>
      </c>
      <c r="O174" s="131">
        <f t="shared" si="42"/>
        <v>99.6</v>
      </c>
      <c r="P174" s="136">
        <f t="shared" si="37"/>
        <v>0</v>
      </c>
      <c r="Q174" s="525"/>
      <c r="S174" s="189">
        <v>0</v>
      </c>
      <c r="T174" s="189">
        <v>10</v>
      </c>
      <c r="BT174" s="525"/>
      <c r="BU174" s="523">
        <v>0</v>
      </c>
      <c r="BV174" s="523">
        <v>0</v>
      </c>
      <c r="BW174" s="523"/>
      <c r="BX174" s="523"/>
      <c r="BY174" s="523"/>
      <c r="BZ174" s="523"/>
      <c r="CA174" s="523"/>
      <c r="CB174" s="523"/>
      <c r="CC174" s="523"/>
      <c r="CD174" s="523"/>
      <c r="CE174" s="523"/>
      <c r="CF174" s="523"/>
      <c r="CG174" s="523"/>
      <c r="CH174" s="523"/>
      <c r="CI174" s="523">
        <f t="shared" si="38"/>
        <v>0</v>
      </c>
    </row>
    <row r="175" spans="1:87" x14ac:dyDescent="0.2">
      <c r="A175" s="125" t="s">
        <v>1605</v>
      </c>
      <c r="B175" s="126">
        <v>89724</v>
      </c>
      <c r="C175" s="126" t="s">
        <v>1324</v>
      </c>
      <c r="D175" s="127" t="s">
        <v>1606</v>
      </c>
      <c r="E175" s="128" t="s">
        <v>102</v>
      </c>
      <c r="F175" s="137">
        <v>224.11</v>
      </c>
      <c r="G175" s="130">
        <v>5.6</v>
      </c>
      <c r="H175" s="128">
        <v>10</v>
      </c>
      <c r="I175" s="133">
        <f t="shared" si="39"/>
        <v>0</v>
      </c>
      <c r="J175" s="374">
        <f t="shared" si="40"/>
        <v>0</v>
      </c>
      <c r="K175" s="128">
        <f t="shared" si="35"/>
        <v>10</v>
      </c>
      <c r="L175" s="131">
        <f t="shared" si="42"/>
        <v>56</v>
      </c>
      <c r="M175" s="131">
        <f t="shared" si="42"/>
        <v>0</v>
      </c>
      <c r="N175" s="131">
        <f t="shared" si="42"/>
        <v>0</v>
      </c>
      <c r="O175" s="131">
        <f t="shared" si="42"/>
        <v>56</v>
      </c>
      <c r="P175" s="136">
        <f t="shared" si="37"/>
        <v>0</v>
      </c>
      <c r="Q175" s="525"/>
      <c r="S175" s="189">
        <v>0</v>
      </c>
      <c r="T175" s="189">
        <v>6</v>
      </c>
      <c r="BT175" s="525"/>
      <c r="BU175" s="523">
        <v>0</v>
      </c>
      <c r="BV175" s="523">
        <v>0</v>
      </c>
      <c r="BW175" s="523"/>
      <c r="BX175" s="523"/>
      <c r="BY175" s="523"/>
      <c r="BZ175" s="523"/>
      <c r="CA175" s="523"/>
      <c r="CB175" s="523"/>
      <c r="CC175" s="523"/>
      <c r="CD175" s="523"/>
      <c r="CE175" s="523"/>
      <c r="CF175" s="523"/>
      <c r="CG175" s="523"/>
      <c r="CH175" s="523"/>
      <c r="CI175" s="523">
        <f t="shared" si="38"/>
        <v>0</v>
      </c>
    </row>
    <row r="176" spans="1:87" x14ac:dyDescent="0.2">
      <c r="A176" s="125" t="s">
        <v>1607</v>
      </c>
      <c r="B176" s="126">
        <v>89827</v>
      </c>
      <c r="C176" s="126" t="s">
        <v>1324</v>
      </c>
      <c r="D176" s="127" t="s">
        <v>1608</v>
      </c>
      <c r="E176" s="128" t="s">
        <v>102</v>
      </c>
      <c r="F176" s="137">
        <v>33.93</v>
      </c>
      <c r="G176" s="130">
        <v>10.23</v>
      </c>
      <c r="H176" s="128">
        <v>6</v>
      </c>
      <c r="I176" s="133">
        <f t="shared" si="39"/>
        <v>0</v>
      </c>
      <c r="J176" s="374">
        <f t="shared" si="40"/>
        <v>0</v>
      </c>
      <c r="K176" s="128">
        <f t="shared" si="35"/>
        <v>6</v>
      </c>
      <c r="L176" s="131">
        <f t="shared" si="42"/>
        <v>61.38</v>
      </c>
      <c r="M176" s="131">
        <f t="shared" si="42"/>
        <v>0</v>
      </c>
      <c r="N176" s="131">
        <f t="shared" si="42"/>
        <v>0</v>
      </c>
      <c r="O176" s="131">
        <f t="shared" si="42"/>
        <v>61.38</v>
      </c>
      <c r="P176" s="136">
        <f t="shared" si="37"/>
        <v>0</v>
      </c>
      <c r="Q176" s="525"/>
      <c r="S176" s="189">
        <v>0</v>
      </c>
      <c r="T176" s="189">
        <v>5</v>
      </c>
      <c r="BT176" s="525"/>
      <c r="BU176" s="523">
        <v>0</v>
      </c>
      <c r="BV176" s="523">
        <v>0</v>
      </c>
      <c r="BW176" s="523"/>
      <c r="BX176" s="523"/>
      <c r="BY176" s="523"/>
      <c r="BZ176" s="523"/>
      <c r="CA176" s="523"/>
      <c r="CB176" s="523"/>
      <c r="CC176" s="523"/>
      <c r="CD176" s="523"/>
      <c r="CE176" s="523"/>
      <c r="CF176" s="523"/>
      <c r="CG176" s="523"/>
      <c r="CH176" s="523"/>
      <c r="CI176" s="523">
        <f t="shared" si="38"/>
        <v>0</v>
      </c>
    </row>
    <row r="177" spans="1:87" x14ac:dyDescent="0.2">
      <c r="A177" s="125" t="s">
        <v>1609</v>
      </c>
      <c r="B177" s="126">
        <v>89834</v>
      </c>
      <c r="C177" s="126" t="s">
        <v>1324</v>
      </c>
      <c r="D177" s="127" t="s">
        <v>1610</v>
      </c>
      <c r="E177" s="128" t="s">
        <v>102</v>
      </c>
      <c r="F177" s="137">
        <v>33.93</v>
      </c>
      <c r="G177" s="130">
        <v>25.46</v>
      </c>
      <c r="H177" s="128">
        <v>5</v>
      </c>
      <c r="I177" s="133">
        <f t="shared" si="39"/>
        <v>0</v>
      </c>
      <c r="J177" s="374">
        <f t="shared" si="40"/>
        <v>0</v>
      </c>
      <c r="K177" s="128">
        <f t="shared" si="35"/>
        <v>5</v>
      </c>
      <c r="L177" s="131">
        <f t="shared" si="42"/>
        <v>127.3</v>
      </c>
      <c r="M177" s="131">
        <f t="shared" si="42"/>
        <v>0</v>
      </c>
      <c r="N177" s="131">
        <f t="shared" si="42"/>
        <v>0</v>
      </c>
      <c r="O177" s="131">
        <f t="shared" si="42"/>
        <v>127.3</v>
      </c>
      <c r="P177" s="136">
        <f t="shared" si="37"/>
        <v>0</v>
      </c>
      <c r="Q177" s="525"/>
      <c r="S177" s="189">
        <v>0</v>
      </c>
      <c r="T177" s="189">
        <v>5</v>
      </c>
      <c r="BT177" s="525"/>
      <c r="BU177" s="523">
        <v>0</v>
      </c>
      <c r="BV177" s="523">
        <v>0</v>
      </c>
      <c r="BW177" s="523"/>
      <c r="BX177" s="523"/>
      <c r="BY177" s="523"/>
      <c r="BZ177" s="523"/>
      <c r="CA177" s="523"/>
      <c r="CB177" s="523"/>
      <c r="CC177" s="523"/>
      <c r="CD177" s="523"/>
      <c r="CE177" s="523"/>
      <c r="CF177" s="523"/>
      <c r="CG177" s="523"/>
      <c r="CH177" s="523"/>
      <c r="CI177" s="523">
        <f t="shared" si="38"/>
        <v>0</v>
      </c>
    </row>
    <row r="178" spans="1:87" x14ac:dyDescent="0.2">
      <c r="A178" s="125" t="s">
        <v>1611</v>
      </c>
      <c r="B178" s="126">
        <v>89797</v>
      </c>
      <c r="C178" s="126" t="s">
        <v>1324</v>
      </c>
      <c r="D178" s="127" t="s">
        <v>1612</v>
      </c>
      <c r="E178" s="128" t="s">
        <v>102</v>
      </c>
      <c r="F178" s="137">
        <v>33.93</v>
      </c>
      <c r="G178" s="130">
        <v>31.16</v>
      </c>
      <c r="H178" s="128">
        <v>5</v>
      </c>
      <c r="I178" s="133">
        <f t="shared" si="39"/>
        <v>0</v>
      </c>
      <c r="J178" s="374">
        <f t="shared" si="40"/>
        <v>0</v>
      </c>
      <c r="K178" s="128">
        <f t="shared" si="35"/>
        <v>5</v>
      </c>
      <c r="L178" s="131">
        <f t="shared" si="42"/>
        <v>155.80000000000001</v>
      </c>
      <c r="M178" s="131">
        <f t="shared" si="42"/>
        <v>0</v>
      </c>
      <c r="N178" s="131">
        <f t="shared" si="42"/>
        <v>0</v>
      </c>
      <c r="O178" s="131">
        <f t="shared" si="42"/>
        <v>155.80000000000001</v>
      </c>
      <c r="P178" s="136">
        <f t="shared" si="37"/>
        <v>0</v>
      </c>
      <c r="Q178" s="525"/>
      <c r="S178" s="189">
        <v>0</v>
      </c>
      <c r="T178" s="189">
        <v>1</v>
      </c>
      <c r="BT178" s="525"/>
      <c r="BU178" s="523">
        <v>0</v>
      </c>
      <c r="BV178" s="523">
        <v>0</v>
      </c>
      <c r="BW178" s="523"/>
      <c r="BX178" s="523"/>
      <c r="BY178" s="523"/>
      <c r="BZ178" s="523"/>
      <c r="CA178" s="523"/>
      <c r="CB178" s="523"/>
      <c r="CC178" s="523"/>
      <c r="CD178" s="523"/>
      <c r="CE178" s="523"/>
      <c r="CF178" s="523"/>
      <c r="CG178" s="523"/>
      <c r="CH178" s="523"/>
      <c r="CI178" s="523">
        <f t="shared" si="38"/>
        <v>0</v>
      </c>
    </row>
    <row r="179" spans="1:87" x14ac:dyDescent="0.2">
      <c r="A179" s="125" t="s">
        <v>1613</v>
      </c>
      <c r="B179" s="126">
        <v>89852</v>
      </c>
      <c r="C179" s="126" t="s">
        <v>1324</v>
      </c>
      <c r="D179" s="127" t="s">
        <v>1614</v>
      </c>
      <c r="E179" s="128" t="s">
        <v>102</v>
      </c>
      <c r="F179" s="137">
        <v>33.93</v>
      </c>
      <c r="G179" s="130">
        <v>27.17</v>
      </c>
      <c r="H179" s="128">
        <v>1</v>
      </c>
      <c r="I179" s="133">
        <f t="shared" si="39"/>
        <v>0</v>
      </c>
      <c r="J179" s="374">
        <f t="shared" si="40"/>
        <v>0</v>
      </c>
      <c r="K179" s="128">
        <f t="shared" si="35"/>
        <v>1</v>
      </c>
      <c r="L179" s="131">
        <f t="shared" si="42"/>
        <v>27.17</v>
      </c>
      <c r="M179" s="131">
        <f t="shared" si="42"/>
        <v>0</v>
      </c>
      <c r="N179" s="131">
        <f t="shared" si="42"/>
        <v>0</v>
      </c>
      <c r="O179" s="131">
        <f t="shared" si="42"/>
        <v>27.17</v>
      </c>
      <c r="P179" s="136">
        <f t="shared" si="37"/>
        <v>0</v>
      </c>
      <c r="Q179" s="525"/>
      <c r="S179" s="189">
        <v>0</v>
      </c>
      <c r="T179" s="189">
        <v>16</v>
      </c>
      <c r="BT179" s="525"/>
      <c r="BU179" s="523">
        <v>0</v>
      </c>
      <c r="BV179" s="523">
        <v>0</v>
      </c>
      <c r="BW179" s="523"/>
      <c r="BX179" s="523"/>
      <c r="BY179" s="523"/>
      <c r="BZ179" s="523"/>
      <c r="CA179" s="523"/>
      <c r="CB179" s="523"/>
      <c r="CC179" s="523"/>
      <c r="CD179" s="523"/>
      <c r="CE179" s="523"/>
      <c r="CF179" s="523"/>
      <c r="CG179" s="523"/>
      <c r="CH179" s="523"/>
      <c r="CI179" s="523">
        <f t="shared" si="38"/>
        <v>0</v>
      </c>
    </row>
    <row r="180" spans="1:87" s="514" customFormat="1" x14ac:dyDescent="0.2">
      <c r="A180" s="125" t="s">
        <v>1615</v>
      </c>
      <c r="B180" s="126">
        <v>89728</v>
      </c>
      <c r="C180" s="126" t="s">
        <v>1324</v>
      </c>
      <c r="D180" s="127" t="s">
        <v>1616</v>
      </c>
      <c r="E180" s="128" t="s">
        <v>102</v>
      </c>
      <c r="F180" s="137">
        <v>33.93</v>
      </c>
      <c r="G180" s="130">
        <v>7.91</v>
      </c>
      <c r="H180" s="128">
        <v>16</v>
      </c>
      <c r="I180" s="133">
        <f t="shared" si="39"/>
        <v>0</v>
      </c>
      <c r="J180" s="374">
        <f t="shared" si="40"/>
        <v>0</v>
      </c>
      <c r="K180" s="128">
        <f t="shared" si="35"/>
        <v>16</v>
      </c>
      <c r="L180" s="131">
        <f t="shared" si="42"/>
        <v>126.56</v>
      </c>
      <c r="M180" s="131">
        <f t="shared" si="42"/>
        <v>0</v>
      </c>
      <c r="N180" s="131">
        <f t="shared" si="42"/>
        <v>0</v>
      </c>
      <c r="O180" s="131">
        <f t="shared" si="42"/>
        <v>126.56</v>
      </c>
      <c r="P180" s="136">
        <f t="shared" si="37"/>
        <v>0</v>
      </c>
      <c r="Q180" s="525"/>
      <c r="S180" s="190">
        <v>0</v>
      </c>
      <c r="T180" s="190">
        <v>0</v>
      </c>
      <c r="BT180" s="525"/>
      <c r="BU180" s="523">
        <v>0</v>
      </c>
      <c r="BV180" s="523">
        <v>0</v>
      </c>
      <c r="BW180" s="523"/>
      <c r="BX180" s="523"/>
      <c r="BY180" s="523"/>
      <c r="BZ180" s="523"/>
      <c r="CA180" s="523"/>
      <c r="CB180" s="523"/>
      <c r="CC180" s="523"/>
      <c r="CD180" s="523"/>
      <c r="CE180" s="523"/>
      <c r="CF180" s="523"/>
      <c r="CG180" s="523"/>
      <c r="CH180" s="523"/>
      <c r="CI180" s="523">
        <f t="shared" si="38"/>
        <v>0</v>
      </c>
    </row>
    <row r="181" spans="1:87" x14ac:dyDescent="0.2">
      <c r="A181" s="449" t="s">
        <v>309</v>
      </c>
      <c r="B181" s="450"/>
      <c r="C181" s="450"/>
      <c r="D181" s="451" t="s">
        <v>1617</v>
      </c>
      <c r="E181" s="465"/>
      <c r="F181" s="465"/>
      <c r="G181" s="465"/>
      <c r="H181" s="465"/>
      <c r="I181" s="465"/>
      <c r="J181" s="465"/>
      <c r="K181" s="465"/>
      <c r="L181" s="452">
        <f>SUM(L182:L189)</f>
        <v>13798.98</v>
      </c>
      <c r="M181" s="452">
        <f>SUM(M182:M189)</f>
        <v>0</v>
      </c>
      <c r="N181" s="452">
        <f>SUM(N182:N189)</f>
        <v>0</v>
      </c>
      <c r="O181" s="452">
        <f>SUM(O182:O189)</f>
        <v>13798.98</v>
      </c>
      <c r="P181" s="459">
        <f t="shared" si="37"/>
        <v>0</v>
      </c>
      <c r="Q181" s="525"/>
      <c r="S181" s="189">
        <v>0</v>
      </c>
      <c r="T181" s="189">
        <v>0</v>
      </c>
      <c r="BT181" s="525"/>
      <c r="BU181" s="523"/>
      <c r="BV181" s="523"/>
      <c r="BW181" s="523"/>
      <c r="BX181" s="523"/>
      <c r="BY181" s="523"/>
      <c r="BZ181" s="523"/>
      <c r="CA181" s="523"/>
      <c r="CB181" s="523"/>
      <c r="CC181" s="523"/>
      <c r="CD181" s="523"/>
      <c r="CE181" s="523"/>
      <c r="CF181" s="523"/>
      <c r="CG181" s="523"/>
      <c r="CH181" s="523"/>
      <c r="CI181" s="523">
        <f t="shared" si="38"/>
        <v>0</v>
      </c>
    </row>
    <row r="182" spans="1:87" x14ac:dyDescent="0.2">
      <c r="A182" s="125" t="s">
        <v>1618</v>
      </c>
      <c r="B182" s="126" t="s">
        <v>2007</v>
      </c>
      <c r="C182" s="126" t="s">
        <v>1339</v>
      </c>
      <c r="D182" s="127" t="s">
        <v>1619</v>
      </c>
      <c r="E182" s="128" t="s">
        <v>102</v>
      </c>
      <c r="F182" s="137">
        <v>190.09</v>
      </c>
      <c r="G182" s="130">
        <v>46.81</v>
      </c>
      <c r="H182" s="128">
        <v>6</v>
      </c>
      <c r="I182" s="116">
        <f t="shared" si="39"/>
        <v>0</v>
      </c>
      <c r="J182" s="374">
        <f t="shared" si="40"/>
        <v>0</v>
      </c>
      <c r="K182" s="137">
        <f t="shared" si="35"/>
        <v>6</v>
      </c>
      <c r="L182" s="131">
        <f t="shared" ref="L182:O189" si="43">ROUND(H182*$G182,2)</f>
        <v>280.86</v>
      </c>
      <c r="M182" s="131">
        <f t="shared" si="43"/>
        <v>0</v>
      </c>
      <c r="N182" s="131">
        <f t="shared" si="43"/>
        <v>0</v>
      </c>
      <c r="O182" s="131">
        <f t="shared" si="43"/>
        <v>280.86</v>
      </c>
      <c r="P182" s="136">
        <f t="shared" si="37"/>
        <v>0</v>
      </c>
      <c r="Q182" s="525"/>
      <c r="S182" s="189">
        <v>0</v>
      </c>
      <c r="T182" s="189">
        <v>0</v>
      </c>
      <c r="BT182" s="525"/>
      <c r="BU182" s="523">
        <v>0</v>
      </c>
      <c r="BV182" s="523">
        <v>0</v>
      </c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523">
        <f t="shared" si="38"/>
        <v>0</v>
      </c>
    </row>
    <row r="183" spans="1:87" x14ac:dyDescent="0.2">
      <c r="A183" s="125" t="s">
        <v>1620</v>
      </c>
      <c r="B183" s="126" t="s">
        <v>1621</v>
      </c>
      <c r="C183" s="126" t="s">
        <v>1324</v>
      </c>
      <c r="D183" s="127" t="s">
        <v>1622</v>
      </c>
      <c r="E183" s="128" t="s">
        <v>102</v>
      </c>
      <c r="F183" s="137">
        <v>222.14</v>
      </c>
      <c r="G183" s="130">
        <v>367.21</v>
      </c>
      <c r="H183" s="128">
        <v>2</v>
      </c>
      <c r="I183" s="116">
        <f t="shared" si="39"/>
        <v>0</v>
      </c>
      <c r="J183" s="374">
        <f t="shared" si="40"/>
        <v>0</v>
      </c>
      <c r="K183" s="137">
        <f t="shared" si="35"/>
        <v>2</v>
      </c>
      <c r="L183" s="131">
        <f t="shared" si="43"/>
        <v>734.42</v>
      </c>
      <c r="M183" s="131">
        <f t="shared" si="43"/>
        <v>0</v>
      </c>
      <c r="N183" s="131">
        <f t="shared" si="43"/>
        <v>0</v>
      </c>
      <c r="O183" s="131">
        <f t="shared" si="43"/>
        <v>734.42</v>
      </c>
      <c r="P183" s="136">
        <f t="shared" si="37"/>
        <v>0</v>
      </c>
      <c r="Q183" s="525"/>
      <c r="S183" s="189">
        <v>0</v>
      </c>
      <c r="T183" s="189">
        <v>0</v>
      </c>
      <c r="BT183" s="525"/>
      <c r="BU183" s="523">
        <v>0</v>
      </c>
      <c r="BV183" s="523">
        <v>0</v>
      </c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523">
        <f t="shared" si="38"/>
        <v>0</v>
      </c>
    </row>
    <row r="184" spans="1:87" x14ac:dyDescent="0.2">
      <c r="A184" s="125" t="s">
        <v>1623</v>
      </c>
      <c r="B184" s="126">
        <v>89710</v>
      </c>
      <c r="C184" s="126" t="s">
        <v>1324</v>
      </c>
      <c r="D184" s="127" t="s">
        <v>1624</v>
      </c>
      <c r="E184" s="128" t="s">
        <v>102</v>
      </c>
      <c r="F184" s="137">
        <v>474.97</v>
      </c>
      <c r="G184" s="130">
        <v>7.75</v>
      </c>
      <c r="H184" s="128">
        <v>6</v>
      </c>
      <c r="I184" s="116">
        <f t="shared" si="39"/>
        <v>0</v>
      </c>
      <c r="J184" s="374">
        <f t="shared" si="40"/>
        <v>0</v>
      </c>
      <c r="K184" s="137">
        <f t="shared" si="35"/>
        <v>6</v>
      </c>
      <c r="L184" s="131">
        <f t="shared" si="43"/>
        <v>46.5</v>
      </c>
      <c r="M184" s="131">
        <f t="shared" si="43"/>
        <v>0</v>
      </c>
      <c r="N184" s="131">
        <f t="shared" si="43"/>
        <v>0</v>
      </c>
      <c r="O184" s="131">
        <f t="shared" si="43"/>
        <v>46.5</v>
      </c>
      <c r="P184" s="136">
        <f t="shared" si="37"/>
        <v>0</v>
      </c>
      <c r="Q184" s="525"/>
      <c r="S184" s="189">
        <v>0</v>
      </c>
      <c r="T184" s="189">
        <v>0</v>
      </c>
      <c r="BT184" s="525"/>
      <c r="BU184" s="523">
        <v>0</v>
      </c>
      <c r="BV184" s="523">
        <v>0</v>
      </c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523">
        <f t="shared" si="38"/>
        <v>0</v>
      </c>
    </row>
    <row r="185" spans="1:87" x14ac:dyDescent="0.2">
      <c r="A185" s="125" t="s">
        <v>1625</v>
      </c>
      <c r="B185" s="126">
        <v>89798</v>
      </c>
      <c r="C185" s="126" t="s">
        <v>1324</v>
      </c>
      <c r="D185" s="127" t="s">
        <v>1626</v>
      </c>
      <c r="E185" s="128" t="s">
        <v>81</v>
      </c>
      <c r="F185" s="137">
        <v>891.52</v>
      </c>
      <c r="G185" s="130">
        <v>6.93</v>
      </c>
      <c r="H185" s="128">
        <v>8</v>
      </c>
      <c r="I185" s="116">
        <f t="shared" si="39"/>
        <v>0</v>
      </c>
      <c r="J185" s="374">
        <f t="shared" si="40"/>
        <v>0</v>
      </c>
      <c r="K185" s="137">
        <f t="shared" si="35"/>
        <v>8</v>
      </c>
      <c r="L185" s="131">
        <f t="shared" si="43"/>
        <v>55.44</v>
      </c>
      <c r="M185" s="131">
        <f t="shared" si="43"/>
        <v>0</v>
      </c>
      <c r="N185" s="131">
        <f t="shared" si="43"/>
        <v>0</v>
      </c>
      <c r="O185" s="131">
        <f t="shared" si="43"/>
        <v>55.44</v>
      </c>
      <c r="P185" s="136">
        <f t="shared" si="37"/>
        <v>0</v>
      </c>
      <c r="Q185" s="525"/>
      <c r="S185" s="189">
        <v>0</v>
      </c>
      <c r="T185" s="189">
        <v>0</v>
      </c>
      <c r="BT185" s="525"/>
      <c r="BU185" s="523">
        <v>0</v>
      </c>
      <c r="BV185" s="523">
        <v>0</v>
      </c>
      <c r="BW185" s="523"/>
      <c r="BX185" s="523"/>
      <c r="BY185" s="523"/>
      <c r="BZ185" s="523"/>
      <c r="CA185" s="523"/>
      <c r="CB185" s="523"/>
      <c r="CC185" s="523"/>
      <c r="CD185" s="523"/>
      <c r="CE185" s="523"/>
      <c r="CF185" s="523"/>
      <c r="CG185" s="523"/>
      <c r="CH185" s="523"/>
      <c r="CI185" s="523">
        <f t="shared" si="38"/>
        <v>0</v>
      </c>
    </row>
    <row r="186" spans="1:87" x14ac:dyDescent="0.2">
      <c r="A186" s="125" t="s">
        <v>1627</v>
      </c>
      <c r="B186" s="126">
        <v>86882</v>
      </c>
      <c r="C186" s="126" t="s">
        <v>1324</v>
      </c>
      <c r="D186" s="127" t="s">
        <v>1628</v>
      </c>
      <c r="E186" s="128" t="s">
        <v>102</v>
      </c>
      <c r="F186" s="137">
        <v>179</v>
      </c>
      <c r="G186" s="130">
        <v>13.42</v>
      </c>
      <c r="H186" s="128">
        <v>8</v>
      </c>
      <c r="I186" s="116">
        <f t="shared" si="39"/>
        <v>0</v>
      </c>
      <c r="J186" s="374">
        <f t="shared" si="40"/>
        <v>0</v>
      </c>
      <c r="K186" s="137">
        <f t="shared" si="35"/>
        <v>8</v>
      </c>
      <c r="L186" s="131">
        <f t="shared" si="43"/>
        <v>107.36</v>
      </c>
      <c r="M186" s="131">
        <f t="shared" si="43"/>
        <v>0</v>
      </c>
      <c r="N186" s="131">
        <f t="shared" si="43"/>
        <v>0</v>
      </c>
      <c r="O186" s="131">
        <f t="shared" si="43"/>
        <v>107.36</v>
      </c>
      <c r="P186" s="136">
        <f t="shared" si="37"/>
        <v>0</v>
      </c>
      <c r="Q186" s="525"/>
      <c r="S186" s="189">
        <v>0</v>
      </c>
      <c r="T186" s="189">
        <v>0</v>
      </c>
      <c r="BT186" s="525"/>
      <c r="BU186" s="523">
        <v>0</v>
      </c>
      <c r="BV186" s="523">
        <v>0</v>
      </c>
      <c r="BW186" s="523"/>
      <c r="BX186" s="523"/>
      <c r="BY186" s="523"/>
      <c r="BZ186" s="523"/>
      <c r="CA186" s="523"/>
      <c r="CB186" s="523"/>
      <c r="CC186" s="523"/>
      <c r="CD186" s="523"/>
      <c r="CE186" s="523"/>
      <c r="CF186" s="523"/>
      <c r="CG186" s="523"/>
      <c r="CH186" s="523"/>
      <c r="CI186" s="523">
        <f t="shared" si="38"/>
        <v>0</v>
      </c>
    </row>
    <row r="187" spans="1:87" x14ac:dyDescent="0.2">
      <c r="A187" s="125" t="s">
        <v>1629</v>
      </c>
      <c r="B187" s="126" t="s">
        <v>1630</v>
      </c>
      <c r="C187" s="126" t="s">
        <v>1324</v>
      </c>
      <c r="D187" s="127" t="s">
        <v>1631</v>
      </c>
      <c r="E187" s="128" t="s">
        <v>102</v>
      </c>
      <c r="F187" s="137">
        <v>144</v>
      </c>
      <c r="G187" s="130">
        <v>57.87</v>
      </c>
      <c r="H187" s="128">
        <v>8</v>
      </c>
      <c r="I187" s="116">
        <f t="shared" si="39"/>
        <v>0</v>
      </c>
      <c r="J187" s="374">
        <f t="shared" si="40"/>
        <v>0</v>
      </c>
      <c r="K187" s="137">
        <f t="shared" si="35"/>
        <v>8</v>
      </c>
      <c r="L187" s="131">
        <f t="shared" si="43"/>
        <v>462.96</v>
      </c>
      <c r="M187" s="131">
        <f t="shared" si="43"/>
        <v>0</v>
      </c>
      <c r="N187" s="131">
        <f t="shared" si="43"/>
        <v>0</v>
      </c>
      <c r="O187" s="131">
        <f t="shared" si="43"/>
        <v>462.96</v>
      </c>
      <c r="P187" s="136">
        <f t="shared" si="37"/>
        <v>0</v>
      </c>
      <c r="Q187" s="525"/>
      <c r="S187" s="189">
        <v>0</v>
      </c>
      <c r="T187" s="189">
        <v>0</v>
      </c>
      <c r="BT187" s="525"/>
      <c r="BU187" s="523">
        <v>0</v>
      </c>
      <c r="BV187" s="523">
        <v>0</v>
      </c>
      <c r="BW187" s="523"/>
      <c r="BX187" s="523"/>
      <c r="BY187" s="523"/>
      <c r="BZ187" s="523"/>
      <c r="CA187" s="523"/>
      <c r="CB187" s="523"/>
      <c r="CC187" s="523"/>
      <c r="CD187" s="523"/>
      <c r="CE187" s="523"/>
      <c r="CF187" s="523"/>
      <c r="CG187" s="523"/>
      <c r="CH187" s="523"/>
      <c r="CI187" s="523">
        <f t="shared" si="38"/>
        <v>0</v>
      </c>
    </row>
    <row r="188" spans="1:87" x14ac:dyDescent="0.2">
      <c r="A188" s="125" t="s">
        <v>1632</v>
      </c>
      <c r="B188" s="126" t="s">
        <v>1633</v>
      </c>
      <c r="C188" s="126" t="s">
        <v>1324</v>
      </c>
      <c r="D188" s="127" t="s">
        <v>1634</v>
      </c>
      <c r="E188" s="128" t="s">
        <v>102</v>
      </c>
      <c r="F188" s="137">
        <v>201.25</v>
      </c>
      <c r="G188" s="130">
        <v>3019.34</v>
      </c>
      <c r="H188" s="128">
        <v>1</v>
      </c>
      <c r="I188" s="116">
        <f t="shared" si="39"/>
        <v>0</v>
      </c>
      <c r="J188" s="374">
        <f t="shared" si="40"/>
        <v>0</v>
      </c>
      <c r="K188" s="137">
        <f t="shared" si="35"/>
        <v>1</v>
      </c>
      <c r="L188" s="131">
        <f t="shared" si="43"/>
        <v>3019.34</v>
      </c>
      <c r="M188" s="131">
        <f t="shared" si="43"/>
        <v>0</v>
      </c>
      <c r="N188" s="131">
        <f t="shared" si="43"/>
        <v>0</v>
      </c>
      <c r="O188" s="131">
        <f t="shared" si="43"/>
        <v>3019.34</v>
      </c>
      <c r="P188" s="136">
        <f t="shared" si="37"/>
        <v>0</v>
      </c>
      <c r="Q188" s="525"/>
      <c r="S188" s="189">
        <v>0</v>
      </c>
      <c r="T188" s="189">
        <v>0</v>
      </c>
      <c r="BT188" s="525"/>
      <c r="BU188" s="523">
        <v>0</v>
      </c>
      <c r="BV188" s="523">
        <v>0</v>
      </c>
      <c r="BW188" s="523"/>
      <c r="BX188" s="523"/>
      <c r="BY188" s="523"/>
      <c r="BZ188" s="523"/>
      <c r="CA188" s="523"/>
      <c r="CB188" s="523"/>
      <c r="CC188" s="523"/>
      <c r="CD188" s="523"/>
      <c r="CE188" s="523"/>
      <c r="CF188" s="523"/>
      <c r="CG188" s="523"/>
      <c r="CH188" s="523"/>
      <c r="CI188" s="523">
        <f t="shared" si="38"/>
        <v>0</v>
      </c>
    </row>
    <row r="189" spans="1:87" s="514" customFormat="1" x14ac:dyDescent="0.2">
      <c r="A189" s="125" t="s">
        <v>1635</v>
      </c>
      <c r="B189" s="126" t="s">
        <v>1636</v>
      </c>
      <c r="C189" s="126" t="s">
        <v>1324</v>
      </c>
      <c r="D189" s="127" t="s">
        <v>1637</v>
      </c>
      <c r="E189" s="128" t="s">
        <v>102</v>
      </c>
      <c r="F189" s="137">
        <v>356.72</v>
      </c>
      <c r="G189" s="130">
        <v>9092.1</v>
      </c>
      <c r="H189" s="128">
        <v>1</v>
      </c>
      <c r="I189" s="116">
        <f t="shared" si="39"/>
        <v>0</v>
      </c>
      <c r="J189" s="374">
        <f t="shared" si="40"/>
        <v>0</v>
      </c>
      <c r="K189" s="137">
        <f t="shared" si="35"/>
        <v>1</v>
      </c>
      <c r="L189" s="131">
        <f t="shared" si="43"/>
        <v>9092.1</v>
      </c>
      <c r="M189" s="131">
        <f t="shared" si="43"/>
        <v>0</v>
      </c>
      <c r="N189" s="131">
        <f t="shared" si="43"/>
        <v>0</v>
      </c>
      <c r="O189" s="131">
        <f t="shared" si="43"/>
        <v>9092.1</v>
      </c>
      <c r="P189" s="136">
        <f t="shared" si="37"/>
        <v>0</v>
      </c>
      <c r="Q189" s="525"/>
      <c r="S189" s="190">
        <v>0</v>
      </c>
      <c r="T189" s="190">
        <v>0</v>
      </c>
      <c r="BT189" s="525"/>
      <c r="BU189" s="523">
        <v>0</v>
      </c>
      <c r="BV189" s="523">
        <v>0</v>
      </c>
      <c r="BW189" s="523"/>
      <c r="BX189" s="523"/>
      <c r="BY189" s="523"/>
      <c r="BZ189" s="523"/>
      <c r="CA189" s="523"/>
      <c r="CB189" s="523"/>
      <c r="CC189" s="523"/>
      <c r="CD189" s="523"/>
      <c r="CE189" s="523"/>
      <c r="CF189" s="523"/>
      <c r="CG189" s="523"/>
      <c r="CH189" s="523"/>
      <c r="CI189" s="523">
        <f t="shared" si="38"/>
        <v>0</v>
      </c>
    </row>
    <row r="190" spans="1:87" x14ac:dyDescent="0.2">
      <c r="A190" s="412">
        <v>14</v>
      </c>
      <c r="B190" s="413"/>
      <c r="C190" s="413"/>
      <c r="D190" s="414" t="s">
        <v>656</v>
      </c>
      <c r="E190" s="415"/>
      <c r="F190" s="415"/>
      <c r="G190" s="415"/>
      <c r="H190" s="415"/>
      <c r="I190" s="415"/>
      <c r="J190" s="415"/>
      <c r="K190" s="415"/>
      <c r="L190" s="416">
        <f>SUM(L191:L193)</f>
        <v>11646.28</v>
      </c>
      <c r="M190" s="416">
        <f>SUM(M191:M193)</f>
        <v>0</v>
      </c>
      <c r="N190" s="416">
        <f>SUM(N191:N193)</f>
        <v>0</v>
      </c>
      <c r="O190" s="416">
        <f>SUM(O191:O193)</f>
        <v>11646.28</v>
      </c>
      <c r="P190" s="423">
        <f t="shared" si="37"/>
        <v>0</v>
      </c>
      <c r="Q190" s="525"/>
      <c r="S190" s="189">
        <v>0</v>
      </c>
      <c r="T190" s="189">
        <v>0</v>
      </c>
      <c r="BT190" s="525"/>
      <c r="BU190" s="523"/>
      <c r="BV190" s="523"/>
      <c r="BW190" s="523"/>
      <c r="BX190" s="523"/>
      <c r="BY190" s="523"/>
      <c r="BZ190" s="523"/>
      <c r="CA190" s="523"/>
      <c r="CB190" s="523"/>
      <c r="CC190" s="523"/>
      <c r="CD190" s="523"/>
      <c r="CE190" s="523"/>
      <c r="CF190" s="523"/>
      <c r="CG190" s="523"/>
      <c r="CH190" s="523"/>
      <c r="CI190" s="523">
        <f t="shared" si="38"/>
        <v>0</v>
      </c>
    </row>
    <row r="191" spans="1:87" x14ac:dyDescent="0.2">
      <c r="A191" s="125" t="s">
        <v>355</v>
      </c>
      <c r="B191" s="126">
        <v>83688</v>
      </c>
      <c r="C191" s="126" t="s">
        <v>1324</v>
      </c>
      <c r="D191" s="127" t="s">
        <v>1638</v>
      </c>
      <c r="E191" s="128" t="s">
        <v>81</v>
      </c>
      <c r="F191" s="137">
        <v>415</v>
      </c>
      <c r="G191" s="130">
        <v>141.97999999999999</v>
      </c>
      <c r="H191" s="128">
        <v>76.400000000000006</v>
      </c>
      <c r="I191" s="116">
        <f t="shared" si="39"/>
        <v>0</v>
      </c>
      <c r="J191" s="374">
        <f t="shared" si="40"/>
        <v>0</v>
      </c>
      <c r="K191" s="137">
        <f t="shared" si="35"/>
        <v>76.400000000000006</v>
      </c>
      <c r="L191" s="131">
        <f t="shared" ref="L191:O193" si="44">ROUND(H191*$G191,2)</f>
        <v>10847.27</v>
      </c>
      <c r="M191" s="131">
        <f t="shared" si="44"/>
        <v>0</v>
      </c>
      <c r="N191" s="131">
        <f t="shared" si="44"/>
        <v>0</v>
      </c>
      <c r="O191" s="131">
        <f t="shared" si="44"/>
        <v>10847.27</v>
      </c>
      <c r="P191" s="136">
        <f t="shared" si="37"/>
        <v>0</v>
      </c>
      <c r="Q191" s="525"/>
      <c r="S191" s="189">
        <v>0</v>
      </c>
      <c r="T191" s="189">
        <v>0</v>
      </c>
      <c r="BT191" s="525"/>
      <c r="BU191" s="523">
        <v>0</v>
      </c>
      <c r="BV191" s="523">
        <v>0</v>
      </c>
      <c r="BW191" s="523"/>
      <c r="BX191" s="523"/>
      <c r="BY191" s="523"/>
      <c r="BZ191" s="523"/>
      <c r="CA191" s="523"/>
      <c r="CB191" s="523"/>
      <c r="CC191" s="523"/>
      <c r="CD191" s="523"/>
      <c r="CE191" s="523"/>
      <c r="CF191" s="523"/>
      <c r="CG191" s="523"/>
      <c r="CH191" s="523"/>
      <c r="CI191" s="523">
        <f t="shared" si="38"/>
        <v>0</v>
      </c>
    </row>
    <row r="192" spans="1:87" x14ac:dyDescent="0.2">
      <c r="A192" s="125" t="s">
        <v>1639</v>
      </c>
      <c r="B192" s="126" t="s">
        <v>2007</v>
      </c>
      <c r="C192" s="126" t="s">
        <v>1339</v>
      </c>
      <c r="D192" s="127" t="s">
        <v>1640</v>
      </c>
      <c r="E192" s="128" t="s">
        <v>102</v>
      </c>
      <c r="F192" s="137">
        <v>63.04</v>
      </c>
      <c r="G192" s="130">
        <v>76.84</v>
      </c>
      <c r="H192" s="128">
        <v>8</v>
      </c>
      <c r="I192" s="116">
        <f t="shared" si="39"/>
        <v>0</v>
      </c>
      <c r="J192" s="374">
        <f t="shared" si="40"/>
        <v>0</v>
      </c>
      <c r="K192" s="137">
        <f t="shared" si="35"/>
        <v>8</v>
      </c>
      <c r="L192" s="131">
        <f t="shared" si="44"/>
        <v>614.72</v>
      </c>
      <c r="M192" s="131">
        <f t="shared" si="44"/>
        <v>0</v>
      </c>
      <c r="N192" s="131">
        <f t="shared" si="44"/>
        <v>0</v>
      </c>
      <c r="O192" s="131">
        <f t="shared" si="44"/>
        <v>614.72</v>
      </c>
      <c r="P192" s="136">
        <f t="shared" si="37"/>
        <v>0</v>
      </c>
      <c r="Q192" s="525"/>
      <c r="S192" s="189">
        <v>0</v>
      </c>
      <c r="T192" s="189">
        <v>0</v>
      </c>
      <c r="BT192" s="525"/>
      <c r="BU192" s="523">
        <v>0</v>
      </c>
      <c r="BV192" s="523">
        <v>0</v>
      </c>
      <c r="BW192" s="523"/>
      <c r="BX192" s="523"/>
      <c r="BY192" s="523"/>
      <c r="BZ192" s="523"/>
      <c r="CA192" s="523"/>
      <c r="CB192" s="523"/>
      <c r="CC192" s="523"/>
      <c r="CD192" s="523"/>
      <c r="CE192" s="523"/>
      <c r="CF192" s="523"/>
      <c r="CG192" s="523"/>
      <c r="CH192" s="523"/>
      <c r="CI192" s="523">
        <f t="shared" si="38"/>
        <v>0</v>
      </c>
    </row>
    <row r="193" spans="1:87" s="514" customFormat="1" x14ac:dyDescent="0.2">
      <c r="A193" s="125" t="s">
        <v>1641</v>
      </c>
      <c r="B193" s="126">
        <v>88549</v>
      </c>
      <c r="C193" s="126" t="s">
        <v>1324</v>
      </c>
      <c r="D193" s="127" t="s">
        <v>1642</v>
      </c>
      <c r="E193" s="128" t="s">
        <v>48</v>
      </c>
      <c r="F193" s="172"/>
      <c r="G193" s="130">
        <v>98.55</v>
      </c>
      <c r="H193" s="128">
        <v>1.87</v>
      </c>
      <c r="I193" s="116">
        <f t="shared" si="39"/>
        <v>0</v>
      </c>
      <c r="J193" s="374">
        <f t="shared" si="40"/>
        <v>0</v>
      </c>
      <c r="K193" s="137">
        <f t="shared" si="35"/>
        <v>1.87</v>
      </c>
      <c r="L193" s="131">
        <f t="shared" si="44"/>
        <v>184.29</v>
      </c>
      <c r="M193" s="131">
        <f t="shared" si="44"/>
        <v>0</v>
      </c>
      <c r="N193" s="131">
        <f t="shared" si="44"/>
        <v>0</v>
      </c>
      <c r="O193" s="131">
        <f t="shared" si="44"/>
        <v>184.29</v>
      </c>
      <c r="P193" s="136">
        <f t="shared" si="37"/>
        <v>0</v>
      </c>
      <c r="Q193" s="525"/>
      <c r="S193" s="190">
        <v>0</v>
      </c>
      <c r="T193" s="190">
        <v>0</v>
      </c>
      <c r="BT193" s="525"/>
      <c r="BU193" s="523">
        <v>0</v>
      </c>
      <c r="BV193" s="523">
        <v>0</v>
      </c>
      <c r="BW193" s="523"/>
      <c r="BX193" s="523"/>
      <c r="BY193" s="523"/>
      <c r="BZ193" s="523"/>
      <c r="CA193" s="523"/>
      <c r="CB193" s="523"/>
      <c r="CC193" s="523"/>
      <c r="CD193" s="523"/>
      <c r="CE193" s="523"/>
      <c r="CF193" s="523"/>
      <c r="CG193" s="523"/>
      <c r="CH193" s="523"/>
      <c r="CI193" s="523">
        <f t="shared" si="38"/>
        <v>0</v>
      </c>
    </row>
    <row r="194" spans="1:87" x14ac:dyDescent="0.2">
      <c r="A194" s="412">
        <v>15</v>
      </c>
      <c r="B194" s="413"/>
      <c r="C194" s="413"/>
      <c r="D194" s="414" t="s">
        <v>1643</v>
      </c>
      <c r="E194" s="415"/>
      <c r="F194" s="415"/>
      <c r="G194" s="415"/>
      <c r="H194" s="415"/>
      <c r="I194" s="415"/>
      <c r="J194" s="415"/>
      <c r="K194" s="415"/>
      <c r="L194" s="416">
        <f>SUM(L195:L207)</f>
        <v>7636.1200000000017</v>
      </c>
      <c r="M194" s="416">
        <f>SUM(M195:M207)</f>
        <v>0</v>
      </c>
      <c r="N194" s="416">
        <f>SUM(N195:N207)</f>
        <v>0</v>
      </c>
      <c r="O194" s="416">
        <f>SUM(O195:O207)</f>
        <v>7636.1200000000017</v>
      </c>
      <c r="P194" s="423">
        <f t="shared" si="37"/>
        <v>0</v>
      </c>
      <c r="Q194" s="525"/>
      <c r="S194" s="189">
        <v>0</v>
      </c>
      <c r="T194" s="189">
        <v>0</v>
      </c>
      <c r="BT194" s="525"/>
      <c r="BU194" s="523"/>
      <c r="BV194" s="523"/>
      <c r="BW194" s="523"/>
      <c r="BX194" s="523"/>
      <c r="BY194" s="523"/>
      <c r="BZ194" s="523"/>
      <c r="CA194" s="523"/>
      <c r="CB194" s="523"/>
      <c r="CC194" s="523"/>
      <c r="CD194" s="523"/>
      <c r="CE194" s="523"/>
      <c r="CF194" s="523"/>
      <c r="CG194" s="523"/>
      <c r="CH194" s="523"/>
      <c r="CI194" s="523">
        <f t="shared" si="38"/>
        <v>0</v>
      </c>
    </row>
    <row r="195" spans="1:87" x14ac:dyDescent="0.2">
      <c r="A195" s="125" t="s">
        <v>494</v>
      </c>
      <c r="B195" s="126">
        <v>6021</v>
      </c>
      <c r="C195" s="126" t="s">
        <v>1324</v>
      </c>
      <c r="D195" s="127" t="s">
        <v>1644</v>
      </c>
      <c r="E195" s="128" t="s">
        <v>102</v>
      </c>
      <c r="F195" s="129"/>
      <c r="G195" s="130">
        <v>330.33</v>
      </c>
      <c r="H195" s="128">
        <v>6</v>
      </c>
      <c r="I195" s="116">
        <f t="shared" si="39"/>
        <v>0</v>
      </c>
      <c r="J195" s="374">
        <f t="shared" si="40"/>
        <v>0</v>
      </c>
      <c r="K195" s="137">
        <f t="shared" ref="K195:K258" si="45">H195-J195</f>
        <v>6</v>
      </c>
      <c r="L195" s="131">
        <f t="shared" ref="L195:O207" si="46">ROUND(H195*$G195,2)</f>
        <v>1981.98</v>
      </c>
      <c r="M195" s="131">
        <f t="shared" si="46"/>
        <v>0</v>
      </c>
      <c r="N195" s="131">
        <f t="shared" si="46"/>
        <v>0</v>
      </c>
      <c r="O195" s="131">
        <f t="shared" si="46"/>
        <v>1981.98</v>
      </c>
      <c r="P195" s="136">
        <f t="shared" si="37"/>
        <v>0</v>
      </c>
      <c r="Q195" s="525"/>
      <c r="S195" s="189">
        <v>0</v>
      </c>
      <c r="T195" s="189">
        <v>0</v>
      </c>
      <c r="BT195" s="525"/>
      <c r="BU195" s="523">
        <v>0</v>
      </c>
      <c r="BV195" s="523">
        <v>0</v>
      </c>
      <c r="BW195" s="523"/>
      <c r="BX195" s="523"/>
      <c r="BY195" s="523"/>
      <c r="BZ195" s="523"/>
      <c r="CA195" s="523"/>
      <c r="CB195" s="523"/>
      <c r="CC195" s="523"/>
      <c r="CD195" s="523"/>
      <c r="CE195" s="523"/>
      <c r="CF195" s="523"/>
      <c r="CG195" s="523"/>
      <c r="CH195" s="523"/>
      <c r="CI195" s="523">
        <f t="shared" si="38"/>
        <v>0</v>
      </c>
    </row>
    <row r="196" spans="1:87" ht="25.5" x14ac:dyDescent="0.2">
      <c r="A196" s="125" t="s">
        <v>496</v>
      </c>
      <c r="B196" s="126">
        <v>40729</v>
      </c>
      <c r="C196" s="126" t="s">
        <v>1324</v>
      </c>
      <c r="D196" s="127" t="s">
        <v>1645</v>
      </c>
      <c r="E196" s="128" t="s">
        <v>102</v>
      </c>
      <c r="F196" s="129"/>
      <c r="G196" s="130">
        <v>204.63</v>
      </c>
      <c r="H196" s="128">
        <v>6</v>
      </c>
      <c r="I196" s="116">
        <f t="shared" si="39"/>
        <v>0</v>
      </c>
      <c r="J196" s="374">
        <f t="shared" si="40"/>
        <v>0</v>
      </c>
      <c r="K196" s="137">
        <f t="shared" si="45"/>
        <v>6</v>
      </c>
      <c r="L196" s="131">
        <f t="shared" si="46"/>
        <v>1227.78</v>
      </c>
      <c r="M196" s="131">
        <f t="shared" si="46"/>
        <v>0</v>
      </c>
      <c r="N196" s="131">
        <f t="shared" si="46"/>
        <v>0</v>
      </c>
      <c r="O196" s="131">
        <f t="shared" si="46"/>
        <v>1227.78</v>
      </c>
      <c r="P196" s="136">
        <f t="shared" si="37"/>
        <v>0</v>
      </c>
      <c r="Q196" s="525"/>
      <c r="S196" s="189">
        <v>0</v>
      </c>
      <c r="T196" s="189">
        <v>0</v>
      </c>
      <c r="BT196" s="525"/>
      <c r="BU196" s="523">
        <v>0</v>
      </c>
      <c r="BV196" s="523">
        <v>0</v>
      </c>
      <c r="BW196" s="523"/>
      <c r="BX196" s="523"/>
      <c r="BY196" s="523"/>
      <c r="BZ196" s="523"/>
      <c r="CA196" s="523"/>
      <c r="CB196" s="523"/>
      <c r="CC196" s="523"/>
      <c r="CD196" s="523"/>
      <c r="CE196" s="523"/>
      <c r="CF196" s="523"/>
      <c r="CG196" s="523"/>
      <c r="CH196" s="523"/>
      <c r="CI196" s="523">
        <f t="shared" si="38"/>
        <v>0</v>
      </c>
    </row>
    <row r="197" spans="1:87" x14ac:dyDescent="0.2">
      <c r="A197" s="125" t="s">
        <v>498</v>
      </c>
      <c r="B197" s="126">
        <v>86901</v>
      </c>
      <c r="C197" s="126" t="s">
        <v>1324</v>
      </c>
      <c r="D197" s="127" t="s">
        <v>1646</v>
      </c>
      <c r="E197" s="128" t="s">
        <v>102</v>
      </c>
      <c r="F197" s="137">
        <v>11.27</v>
      </c>
      <c r="G197" s="130">
        <v>102.4</v>
      </c>
      <c r="H197" s="128">
        <v>6</v>
      </c>
      <c r="I197" s="116">
        <f t="shared" si="39"/>
        <v>0</v>
      </c>
      <c r="J197" s="374">
        <f t="shared" si="40"/>
        <v>0</v>
      </c>
      <c r="K197" s="137">
        <f t="shared" si="45"/>
        <v>6</v>
      </c>
      <c r="L197" s="131">
        <f t="shared" si="46"/>
        <v>614.4</v>
      </c>
      <c r="M197" s="131">
        <f t="shared" si="46"/>
        <v>0</v>
      </c>
      <c r="N197" s="131">
        <f t="shared" si="46"/>
        <v>0</v>
      </c>
      <c r="O197" s="131">
        <f t="shared" si="46"/>
        <v>614.4</v>
      </c>
      <c r="P197" s="136">
        <f t="shared" si="37"/>
        <v>0</v>
      </c>
      <c r="Q197" s="525"/>
      <c r="S197" s="189">
        <v>0</v>
      </c>
      <c r="T197" s="189">
        <v>0</v>
      </c>
      <c r="BT197" s="525"/>
      <c r="BU197" s="523">
        <v>0</v>
      </c>
      <c r="BV197" s="523">
        <v>0</v>
      </c>
      <c r="BW197" s="523"/>
      <c r="BX197" s="523"/>
      <c r="BY197" s="523"/>
      <c r="BZ197" s="523"/>
      <c r="CA197" s="523"/>
      <c r="CB197" s="523"/>
      <c r="CC197" s="523"/>
      <c r="CD197" s="523"/>
      <c r="CE197" s="523"/>
      <c r="CF197" s="523"/>
      <c r="CG197" s="523"/>
      <c r="CH197" s="523"/>
      <c r="CI197" s="523">
        <f t="shared" si="38"/>
        <v>0</v>
      </c>
    </row>
    <row r="198" spans="1:87" ht="25.5" x14ac:dyDescent="0.2">
      <c r="A198" s="125" t="s">
        <v>500</v>
      </c>
      <c r="B198" s="126">
        <v>86942</v>
      </c>
      <c r="C198" s="126" t="s">
        <v>1324</v>
      </c>
      <c r="D198" s="127" t="s">
        <v>1647</v>
      </c>
      <c r="E198" s="128" t="s">
        <v>102</v>
      </c>
      <c r="F198" s="137">
        <v>11.89</v>
      </c>
      <c r="G198" s="130">
        <v>160.06</v>
      </c>
      <c r="H198" s="128">
        <v>2</v>
      </c>
      <c r="I198" s="116">
        <f t="shared" si="39"/>
        <v>0</v>
      </c>
      <c r="J198" s="374">
        <f t="shared" si="40"/>
        <v>0</v>
      </c>
      <c r="K198" s="137">
        <f t="shared" si="45"/>
        <v>2</v>
      </c>
      <c r="L198" s="131">
        <f t="shared" si="46"/>
        <v>320.12</v>
      </c>
      <c r="M198" s="131">
        <f t="shared" si="46"/>
        <v>0</v>
      </c>
      <c r="N198" s="131">
        <f t="shared" si="46"/>
        <v>0</v>
      </c>
      <c r="O198" s="131">
        <f t="shared" si="46"/>
        <v>320.12</v>
      </c>
      <c r="P198" s="136">
        <f t="shared" si="37"/>
        <v>0</v>
      </c>
      <c r="Q198" s="525"/>
      <c r="S198" s="189">
        <v>0</v>
      </c>
      <c r="T198" s="189">
        <v>0</v>
      </c>
      <c r="BT198" s="525"/>
      <c r="BU198" s="523">
        <v>0</v>
      </c>
      <c r="BV198" s="523">
        <v>0</v>
      </c>
      <c r="BW198" s="523"/>
      <c r="BX198" s="523"/>
      <c r="BY198" s="523"/>
      <c r="BZ198" s="523"/>
      <c r="CA198" s="523"/>
      <c r="CB198" s="523"/>
      <c r="CC198" s="523"/>
      <c r="CD198" s="523"/>
      <c r="CE198" s="523"/>
      <c r="CF198" s="523"/>
      <c r="CG198" s="523"/>
      <c r="CH198" s="523"/>
      <c r="CI198" s="523">
        <f t="shared" si="38"/>
        <v>0</v>
      </c>
    </row>
    <row r="199" spans="1:87" ht="25.5" x14ac:dyDescent="0.2">
      <c r="A199" s="125" t="s">
        <v>502</v>
      </c>
      <c r="B199" s="126" t="s">
        <v>2007</v>
      </c>
      <c r="C199" s="126" t="s">
        <v>1339</v>
      </c>
      <c r="D199" s="127" t="s">
        <v>1648</v>
      </c>
      <c r="E199" s="128" t="s">
        <v>102</v>
      </c>
      <c r="F199" s="137">
        <v>28.56</v>
      </c>
      <c r="G199" s="130">
        <v>223.26</v>
      </c>
      <c r="H199" s="128">
        <v>2</v>
      </c>
      <c r="I199" s="116">
        <f t="shared" si="39"/>
        <v>0</v>
      </c>
      <c r="J199" s="374">
        <f t="shared" si="40"/>
        <v>0</v>
      </c>
      <c r="K199" s="137">
        <f t="shared" si="45"/>
        <v>2</v>
      </c>
      <c r="L199" s="131">
        <f t="shared" si="46"/>
        <v>446.52</v>
      </c>
      <c r="M199" s="131">
        <f t="shared" si="46"/>
        <v>0</v>
      </c>
      <c r="N199" s="131">
        <f t="shared" si="46"/>
        <v>0</v>
      </c>
      <c r="O199" s="131">
        <f t="shared" si="46"/>
        <v>446.52</v>
      </c>
      <c r="P199" s="136">
        <f t="shared" si="37"/>
        <v>0</v>
      </c>
      <c r="Q199" s="525"/>
      <c r="S199" s="189">
        <v>0</v>
      </c>
      <c r="T199" s="189">
        <v>0</v>
      </c>
      <c r="BT199" s="525"/>
      <c r="BU199" s="523">
        <v>0</v>
      </c>
      <c r="BV199" s="523">
        <v>0</v>
      </c>
      <c r="BW199" s="523"/>
      <c r="BX199" s="523"/>
      <c r="BY199" s="523"/>
      <c r="BZ199" s="523"/>
      <c r="CA199" s="523"/>
      <c r="CB199" s="523"/>
      <c r="CC199" s="523"/>
      <c r="CD199" s="523"/>
      <c r="CE199" s="523"/>
      <c r="CF199" s="523"/>
      <c r="CG199" s="523"/>
      <c r="CH199" s="523"/>
      <c r="CI199" s="523">
        <f t="shared" si="38"/>
        <v>0</v>
      </c>
    </row>
    <row r="200" spans="1:87" ht="25.5" x14ac:dyDescent="0.2">
      <c r="A200" s="125" t="s">
        <v>504</v>
      </c>
      <c r="B200" s="126">
        <v>86906</v>
      </c>
      <c r="C200" s="126" t="s">
        <v>1324</v>
      </c>
      <c r="D200" s="127" t="s">
        <v>1649</v>
      </c>
      <c r="E200" s="128" t="s">
        <v>102</v>
      </c>
      <c r="F200" s="137">
        <v>35.53</v>
      </c>
      <c r="G200" s="130">
        <v>39.97</v>
      </c>
      <c r="H200" s="128">
        <v>8</v>
      </c>
      <c r="I200" s="116">
        <f t="shared" si="39"/>
        <v>0</v>
      </c>
      <c r="J200" s="374">
        <f t="shared" si="40"/>
        <v>0</v>
      </c>
      <c r="K200" s="137">
        <f t="shared" si="45"/>
        <v>8</v>
      </c>
      <c r="L200" s="131">
        <f t="shared" si="46"/>
        <v>319.76</v>
      </c>
      <c r="M200" s="131">
        <f t="shared" si="46"/>
        <v>0</v>
      </c>
      <c r="N200" s="131">
        <f t="shared" si="46"/>
        <v>0</v>
      </c>
      <c r="O200" s="131">
        <f t="shared" si="46"/>
        <v>319.76</v>
      </c>
      <c r="P200" s="136">
        <f t="shared" si="37"/>
        <v>0</v>
      </c>
      <c r="Q200" s="525"/>
      <c r="S200" s="189">
        <v>0</v>
      </c>
      <c r="T200" s="189">
        <v>0</v>
      </c>
      <c r="BT200" s="525"/>
      <c r="BU200" s="523">
        <v>0</v>
      </c>
      <c r="BV200" s="523">
        <v>0</v>
      </c>
      <c r="BW200" s="523"/>
      <c r="BX200" s="523"/>
      <c r="BY200" s="523"/>
      <c r="BZ200" s="523"/>
      <c r="CA200" s="523"/>
      <c r="CB200" s="523"/>
      <c r="CC200" s="523"/>
      <c r="CD200" s="523"/>
      <c r="CE200" s="523"/>
      <c r="CF200" s="523"/>
      <c r="CG200" s="523"/>
      <c r="CH200" s="523"/>
      <c r="CI200" s="523">
        <f t="shared" si="38"/>
        <v>0</v>
      </c>
    </row>
    <row r="201" spans="1:87" x14ac:dyDescent="0.2">
      <c r="A201" s="125" t="s">
        <v>506</v>
      </c>
      <c r="B201" s="126">
        <v>86914</v>
      </c>
      <c r="C201" s="126" t="s">
        <v>1324</v>
      </c>
      <c r="D201" s="127" t="s">
        <v>1650</v>
      </c>
      <c r="E201" s="128" t="s">
        <v>102</v>
      </c>
      <c r="F201" s="137">
        <v>47.11</v>
      </c>
      <c r="G201" s="130">
        <v>31.02</v>
      </c>
      <c r="H201" s="128">
        <v>2</v>
      </c>
      <c r="I201" s="116">
        <f t="shared" si="39"/>
        <v>0</v>
      </c>
      <c r="J201" s="374">
        <f t="shared" si="40"/>
        <v>0</v>
      </c>
      <c r="K201" s="137">
        <f t="shared" si="45"/>
        <v>2</v>
      </c>
      <c r="L201" s="131">
        <f t="shared" si="46"/>
        <v>62.04</v>
      </c>
      <c r="M201" s="131">
        <f t="shared" si="46"/>
        <v>0</v>
      </c>
      <c r="N201" s="131">
        <f t="shared" si="46"/>
        <v>0</v>
      </c>
      <c r="O201" s="131">
        <f t="shared" si="46"/>
        <v>62.04</v>
      </c>
      <c r="P201" s="136">
        <f t="shared" si="37"/>
        <v>0</v>
      </c>
      <c r="Q201" s="525"/>
      <c r="S201" s="189">
        <v>0</v>
      </c>
      <c r="T201" s="189">
        <v>0</v>
      </c>
      <c r="BT201" s="525"/>
      <c r="BU201" s="523">
        <v>0</v>
      </c>
      <c r="BV201" s="523">
        <v>0</v>
      </c>
      <c r="BW201" s="523"/>
      <c r="BX201" s="523"/>
      <c r="BY201" s="523"/>
      <c r="BZ201" s="523"/>
      <c r="CA201" s="523"/>
      <c r="CB201" s="523"/>
      <c r="CC201" s="523"/>
      <c r="CD201" s="523"/>
      <c r="CE201" s="523"/>
      <c r="CF201" s="523"/>
      <c r="CG201" s="523"/>
      <c r="CH201" s="523"/>
      <c r="CI201" s="523">
        <f t="shared" si="38"/>
        <v>0</v>
      </c>
    </row>
    <row r="202" spans="1:87" ht="25.5" x14ac:dyDescent="0.2">
      <c r="A202" s="125" t="s">
        <v>508</v>
      </c>
      <c r="B202" s="126">
        <v>9535</v>
      </c>
      <c r="C202" s="126" t="s">
        <v>1324</v>
      </c>
      <c r="D202" s="127" t="s">
        <v>1651</v>
      </c>
      <c r="E202" s="128" t="s">
        <v>102</v>
      </c>
      <c r="F202" s="129"/>
      <c r="G202" s="130">
        <v>30.06</v>
      </c>
      <c r="H202" s="128">
        <v>6</v>
      </c>
      <c r="I202" s="116">
        <f t="shared" si="39"/>
        <v>0</v>
      </c>
      <c r="J202" s="374">
        <f t="shared" si="40"/>
        <v>0</v>
      </c>
      <c r="K202" s="137">
        <f t="shared" si="45"/>
        <v>6</v>
      </c>
      <c r="L202" s="131">
        <f t="shared" si="46"/>
        <v>180.36</v>
      </c>
      <c r="M202" s="131">
        <f t="shared" si="46"/>
        <v>0</v>
      </c>
      <c r="N202" s="131">
        <f t="shared" si="46"/>
        <v>0</v>
      </c>
      <c r="O202" s="131">
        <f t="shared" si="46"/>
        <v>180.36</v>
      </c>
      <c r="P202" s="136">
        <f t="shared" si="37"/>
        <v>0</v>
      </c>
      <c r="Q202" s="525"/>
      <c r="S202" s="189">
        <v>0</v>
      </c>
      <c r="T202" s="189">
        <v>0</v>
      </c>
      <c r="BT202" s="525"/>
      <c r="BU202" s="523">
        <v>0</v>
      </c>
      <c r="BV202" s="523">
        <v>0</v>
      </c>
      <c r="BW202" s="523"/>
      <c r="BX202" s="523"/>
      <c r="BY202" s="523"/>
      <c r="BZ202" s="523"/>
      <c r="CA202" s="523"/>
      <c r="CB202" s="523"/>
      <c r="CC202" s="523"/>
      <c r="CD202" s="523"/>
      <c r="CE202" s="523"/>
      <c r="CF202" s="523"/>
      <c r="CG202" s="523"/>
      <c r="CH202" s="523"/>
      <c r="CI202" s="523">
        <f t="shared" si="38"/>
        <v>0</v>
      </c>
    </row>
    <row r="203" spans="1:87" ht="25.5" x14ac:dyDescent="0.2">
      <c r="A203" s="125" t="s">
        <v>511</v>
      </c>
      <c r="B203" s="126" t="s">
        <v>2007</v>
      </c>
      <c r="C203" s="126" t="s">
        <v>1339</v>
      </c>
      <c r="D203" s="127" t="s">
        <v>1652</v>
      </c>
      <c r="E203" s="128" t="s">
        <v>102</v>
      </c>
      <c r="F203" s="137">
        <v>5.09</v>
      </c>
      <c r="G203" s="130">
        <v>141.72</v>
      </c>
      <c r="H203" s="128">
        <v>6</v>
      </c>
      <c r="I203" s="116">
        <f t="shared" si="39"/>
        <v>0</v>
      </c>
      <c r="J203" s="374">
        <f t="shared" si="40"/>
        <v>0</v>
      </c>
      <c r="K203" s="137">
        <f t="shared" si="45"/>
        <v>6</v>
      </c>
      <c r="L203" s="131">
        <f t="shared" si="46"/>
        <v>850.32</v>
      </c>
      <c r="M203" s="131">
        <f t="shared" si="46"/>
        <v>0</v>
      </c>
      <c r="N203" s="131">
        <f t="shared" si="46"/>
        <v>0</v>
      </c>
      <c r="O203" s="131">
        <f t="shared" si="46"/>
        <v>850.32</v>
      </c>
      <c r="P203" s="136">
        <f t="shared" si="37"/>
        <v>0</v>
      </c>
      <c r="Q203" s="525"/>
      <c r="S203" s="189">
        <v>0</v>
      </c>
      <c r="T203" s="189">
        <v>0</v>
      </c>
      <c r="BT203" s="525"/>
      <c r="BU203" s="523">
        <v>0</v>
      </c>
      <c r="BV203" s="523">
        <v>0</v>
      </c>
      <c r="BW203" s="523"/>
      <c r="BX203" s="523"/>
      <c r="BY203" s="523"/>
      <c r="BZ203" s="523"/>
      <c r="CA203" s="523"/>
      <c r="CB203" s="523"/>
      <c r="CC203" s="523"/>
      <c r="CD203" s="523"/>
      <c r="CE203" s="523"/>
      <c r="CF203" s="523"/>
      <c r="CG203" s="523"/>
      <c r="CH203" s="523"/>
      <c r="CI203" s="523">
        <f t="shared" si="38"/>
        <v>0</v>
      </c>
    </row>
    <row r="204" spans="1:87" x14ac:dyDescent="0.2">
      <c r="A204" s="125" t="s">
        <v>513</v>
      </c>
      <c r="B204" s="126" t="s">
        <v>2007</v>
      </c>
      <c r="C204" s="126" t="s">
        <v>1339</v>
      </c>
      <c r="D204" s="127" t="s">
        <v>1653</v>
      </c>
      <c r="E204" s="128" t="s">
        <v>102</v>
      </c>
      <c r="F204" s="137">
        <v>6.77</v>
      </c>
      <c r="G204" s="130">
        <v>39.700000000000003</v>
      </c>
      <c r="H204" s="128">
        <v>4</v>
      </c>
      <c r="I204" s="116">
        <f t="shared" si="39"/>
        <v>0</v>
      </c>
      <c r="J204" s="374">
        <f t="shared" si="40"/>
        <v>0</v>
      </c>
      <c r="K204" s="137">
        <f t="shared" si="45"/>
        <v>4</v>
      </c>
      <c r="L204" s="131">
        <f t="shared" si="46"/>
        <v>158.80000000000001</v>
      </c>
      <c r="M204" s="131">
        <f t="shared" si="46"/>
        <v>0</v>
      </c>
      <c r="N204" s="131">
        <f t="shared" si="46"/>
        <v>0</v>
      </c>
      <c r="O204" s="131">
        <f t="shared" si="46"/>
        <v>158.80000000000001</v>
      </c>
      <c r="P204" s="136">
        <f t="shared" si="37"/>
        <v>0</v>
      </c>
      <c r="Q204" s="525"/>
      <c r="S204" s="189">
        <v>0</v>
      </c>
      <c r="T204" s="189">
        <v>0</v>
      </c>
      <c r="BT204" s="525"/>
      <c r="BU204" s="523">
        <v>0</v>
      </c>
      <c r="BV204" s="523">
        <v>0</v>
      </c>
      <c r="BW204" s="523"/>
      <c r="BX204" s="523"/>
      <c r="BY204" s="523"/>
      <c r="BZ204" s="523"/>
      <c r="CA204" s="523"/>
      <c r="CB204" s="523"/>
      <c r="CC204" s="523"/>
      <c r="CD204" s="523"/>
      <c r="CE204" s="523"/>
      <c r="CF204" s="523"/>
      <c r="CG204" s="523"/>
      <c r="CH204" s="523"/>
      <c r="CI204" s="523">
        <f t="shared" si="38"/>
        <v>0</v>
      </c>
    </row>
    <row r="205" spans="1:87" x14ac:dyDescent="0.2">
      <c r="A205" s="125" t="s">
        <v>515</v>
      </c>
      <c r="B205" s="126" t="s">
        <v>2007</v>
      </c>
      <c r="C205" s="126" t="s">
        <v>1339</v>
      </c>
      <c r="D205" s="127" t="s">
        <v>1654</v>
      </c>
      <c r="E205" s="128" t="s">
        <v>102</v>
      </c>
      <c r="F205" s="137">
        <v>10.76</v>
      </c>
      <c r="G205" s="130">
        <v>30.45</v>
      </c>
      <c r="H205" s="128">
        <v>4</v>
      </c>
      <c r="I205" s="116">
        <f t="shared" si="39"/>
        <v>0</v>
      </c>
      <c r="J205" s="374">
        <f t="shared" si="40"/>
        <v>0</v>
      </c>
      <c r="K205" s="137">
        <f t="shared" si="45"/>
        <v>4</v>
      </c>
      <c r="L205" s="131">
        <f t="shared" si="46"/>
        <v>121.8</v>
      </c>
      <c r="M205" s="131">
        <f t="shared" si="46"/>
        <v>0</v>
      </c>
      <c r="N205" s="131">
        <f t="shared" si="46"/>
        <v>0</v>
      </c>
      <c r="O205" s="131">
        <f t="shared" si="46"/>
        <v>121.8</v>
      </c>
      <c r="P205" s="136">
        <f t="shared" ref="P205:P268" si="47">N205/L205</f>
        <v>0</v>
      </c>
      <c r="Q205" s="525"/>
      <c r="S205" s="189">
        <v>0</v>
      </c>
      <c r="T205" s="189">
        <v>0</v>
      </c>
      <c r="BT205" s="525"/>
      <c r="BU205" s="523">
        <v>0</v>
      </c>
      <c r="BV205" s="523">
        <v>0</v>
      </c>
      <c r="BW205" s="523"/>
      <c r="BX205" s="523"/>
      <c r="BY205" s="523"/>
      <c r="BZ205" s="523"/>
      <c r="CA205" s="523"/>
      <c r="CB205" s="523"/>
      <c r="CC205" s="523"/>
      <c r="CD205" s="523"/>
      <c r="CE205" s="523"/>
      <c r="CF205" s="523"/>
      <c r="CG205" s="523"/>
      <c r="CH205" s="523"/>
      <c r="CI205" s="523">
        <f t="shared" si="38"/>
        <v>0</v>
      </c>
    </row>
    <row r="206" spans="1:87" ht="25.5" x14ac:dyDescent="0.2">
      <c r="A206" s="125" t="s">
        <v>517</v>
      </c>
      <c r="B206" s="126" t="s">
        <v>2007</v>
      </c>
      <c r="C206" s="126" t="s">
        <v>1339</v>
      </c>
      <c r="D206" s="127" t="s">
        <v>1655</v>
      </c>
      <c r="E206" s="128" t="s">
        <v>102</v>
      </c>
      <c r="F206" s="137">
        <v>42.01</v>
      </c>
      <c r="G206" s="130">
        <v>32.1</v>
      </c>
      <c r="H206" s="128">
        <v>6</v>
      </c>
      <c r="I206" s="116">
        <f t="shared" si="39"/>
        <v>0</v>
      </c>
      <c r="J206" s="374">
        <f t="shared" si="40"/>
        <v>0</v>
      </c>
      <c r="K206" s="137">
        <f t="shared" si="45"/>
        <v>6</v>
      </c>
      <c r="L206" s="131">
        <f t="shared" si="46"/>
        <v>192.6</v>
      </c>
      <c r="M206" s="131">
        <f t="shared" si="46"/>
        <v>0</v>
      </c>
      <c r="N206" s="131">
        <f t="shared" si="46"/>
        <v>0</v>
      </c>
      <c r="O206" s="131">
        <f t="shared" si="46"/>
        <v>192.6</v>
      </c>
      <c r="P206" s="136">
        <f t="shared" si="47"/>
        <v>0</v>
      </c>
      <c r="Q206" s="525"/>
      <c r="S206" s="189">
        <v>0</v>
      </c>
      <c r="T206" s="189">
        <v>0</v>
      </c>
      <c r="BT206" s="525"/>
      <c r="BU206" s="523">
        <v>0</v>
      </c>
      <c r="BV206" s="523">
        <v>0</v>
      </c>
      <c r="BW206" s="523"/>
      <c r="BX206" s="523"/>
      <c r="BY206" s="523"/>
      <c r="BZ206" s="523"/>
      <c r="CA206" s="523"/>
      <c r="CB206" s="523"/>
      <c r="CC206" s="523"/>
      <c r="CD206" s="523"/>
      <c r="CE206" s="523"/>
      <c r="CF206" s="523"/>
      <c r="CG206" s="523"/>
      <c r="CH206" s="523"/>
      <c r="CI206" s="523">
        <f t="shared" si="38"/>
        <v>0</v>
      </c>
    </row>
    <row r="207" spans="1:87" s="514" customFormat="1" x14ac:dyDescent="0.2">
      <c r="A207" s="125" t="s">
        <v>519</v>
      </c>
      <c r="B207" s="126" t="s">
        <v>2007</v>
      </c>
      <c r="C207" s="126" t="s">
        <v>1339</v>
      </c>
      <c r="D207" s="127" t="s">
        <v>1656</v>
      </c>
      <c r="E207" s="128" t="s">
        <v>102</v>
      </c>
      <c r="F207" s="137">
        <v>19.79</v>
      </c>
      <c r="G207" s="130">
        <v>579.82000000000005</v>
      </c>
      <c r="H207" s="128">
        <v>2</v>
      </c>
      <c r="I207" s="116">
        <f t="shared" si="39"/>
        <v>0</v>
      </c>
      <c r="J207" s="374">
        <f t="shared" si="40"/>
        <v>0</v>
      </c>
      <c r="K207" s="137">
        <f t="shared" si="45"/>
        <v>2</v>
      </c>
      <c r="L207" s="131">
        <f t="shared" si="46"/>
        <v>1159.6400000000001</v>
      </c>
      <c r="M207" s="131">
        <f t="shared" si="46"/>
        <v>0</v>
      </c>
      <c r="N207" s="131">
        <f t="shared" si="46"/>
        <v>0</v>
      </c>
      <c r="O207" s="131">
        <f t="shared" si="46"/>
        <v>1159.6400000000001</v>
      </c>
      <c r="P207" s="136">
        <f t="shared" si="47"/>
        <v>0</v>
      </c>
      <c r="Q207" s="525"/>
      <c r="S207" s="190">
        <v>0</v>
      </c>
      <c r="T207" s="190">
        <v>0</v>
      </c>
      <c r="BT207" s="525"/>
      <c r="BU207" s="523">
        <v>0</v>
      </c>
      <c r="BV207" s="523">
        <v>0</v>
      </c>
      <c r="BW207" s="523"/>
      <c r="BX207" s="523"/>
      <c r="BY207" s="523"/>
      <c r="BZ207" s="523"/>
      <c r="CA207" s="523"/>
      <c r="CB207" s="523"/>
      <c r="CC207" s="523"/>
      <c r="CD207" s="523"/>
      <c r="CE207" s="523"/>
      <c r="CF207" s="523"/>
      <c r="CG207" s="523"/>
      <c r="CH207" s="523"/>
      <c r="CI207" s="523">
        <f t="shared" ref="CI207:CI270" si="48">SUM(BU207:CH207)</f>
        <v>0</v>
      </c>
    </row>
    <row r="208" spans="1:87" x14ac:dyDescent="0.2">
      <c r="A208" s="412">
        <v>16</v>
      </c>
      <c r="B208" s="413"/>
      <c r="C208" s="413"/>
      <c r="D208" s="414" t="s">
        <v>1657</v>
      </c>
      <c r="E208" s="415"/>
      <c r="F208" s="415"/>
      <c r="G208" s="415"/>
      <c r="H208" s="415"/>
      <c r="I208" s="415"/>
      <c r="J208" s="415"/>
      <c r="K208" s="415"/>
      <c r="L208" s="416">
        <f>SUM(L209:L213)</f>
        <v>792.22</v>
      </c>
      <c r="M208" s="416">
        <f>SUM(M209:M213)</f>
        <v>0</v>
      </c>
      <c r="N208" s="416">
        <f>SUM(N209:N213)</f>
        <v>0</v>
      </c>
      <c r="O208" s="416">
        <f>SUM(O209:O213)</f>
        <v>792.22</v>
      </c>
      <c r="P208" s="423">
        <f t="shared" si="47"/>
        <v>0</v>
      </c>
      <c r="Q208" s="525"/>
      <c r="S208" s="189">
        <v>0</v>
      </c>
      <c r="T208" s="189">
        <v>0</v>
      </c>
      <c r="BT208" s="525"/>
      <c r="BU208" s="523"/>
      <c r="BV208" s="523"/>
      <c r="BW208" s="523"/>
      <c r="BX208" s="523"/>
      <c r="BY208" s="523"/>
      <c r="BZ208" s="523"/>
      <c r="CA208" s="523"/>
      <c r="CB208" s="523"/>
      <c r="CC208" s="523"/>
      <c r="CD208" s="523"/>
      <c r="CE208" s="523"/>
      <c r="CF208" s="523"/>
      <c r="CG208" s="523"/>
      <c r="CH208" s="523"/>
      <c r="CI208" s="523">
        <f t="shared" si="48"/>
        <v>0</v>
      </c>
    </row>
    <row r="209" spans="1:87" x14ac:dyDescent="0.2">
      <c r="A209" s="125" t="s">
        <v>616</v>
      </c>
      <c r="B209" s="126" t="s">
        <v>2007</v>
      </c>
      <c r="C209" s="126" t="s">
        <v>1339</v>
      </c>
      <c r="D209" s="127" t="s">
        <v>1658</v>
      </c>
      <c r="E209" s="128" t="s">
        <v>102</v>
      </c>
      <c r="F209" s="137">
        <v>40.08</v>
      </c>
      <c r="G209" s="130">
        <v>109.5</v>
      </c>
      <c r="H209" s="128">
        <v>2</v>
      </c>
      <c r="I209" s="116">
        <f t="shared" ref="I209:I272" si="49">BU209</f>
        <v>0</v>
      </c>
      <c r="J209" s="374">
        <f t="shared" ref="J209:J272" si="50">CI209</f>
        <v>0</v>
      </c>
      <c r="K209" s="137">
        <f t="shared" si="45"/>
        <v>2</v>
      </c>
      <c r="L209" s="131">
        <f t="shared" ref="L209:O213" si="51">ROUND(H209*$G209,2)</f>
        <v>219</v>
      </c>
      <c r="M209" s="131">
        <f t="shared" si="51"/>
        <v>0</v>
      </c>
      <c r="N209" s="131">
        <f t="shared" si="51"/>
        <v>0</v>
      </c>
      <c r="O209" s="131">
        <f t="shared" si="51"/>
        <v>219</v>
      </c>
      <c r="P209" s="136">
        <f t="shared" si="47"/>
        <v>0</v>
      </c>
      <c r="Q209" s="525"/>
      <c r="S209" s="189">
        <v>0</v>
      </c>
      <c r="T209" s="189">
        <v>0</v>
      </c>
      <c r="BT209" s="525"/>
      <c r="BU209" s="523">
        <v>0</v>
      </c>
      <c r="BV209" s="523">
        <v>0</v>
      </c>
      <c r="BW209" s="523"/>
      <c r="BX209" s="523"/>
      <c r="BY209" s="523"/>
      <c r="BZ209" s="523"/>
      <c r="CA209" s="523"/>
      <c r="CB209" s="523"/>
      <c r="CC209" s="523"/>
      <c r="CD209" s="523"/>
      <c r="CE209" s="523"/>
      <c r="CF209" s="523"/>
      <c r="CG209" s="523"/>
      <c r="CH209" s="523"/>
      <c r="CI209" s="523">
        <f t="shared" si="48"/>
        <v>0</v>
      </c>
    </row>
    <row r="210" spans="1:87" x14ac:dyDescent="0.2">
      <c r="A210" s="125" t="s">
        <v>618</v>
      </c>
      <c r="B210" s="126" t="s">
        <v>2007</v>
      </c>
      <c r="C210" s="126" t="s">
        <v>1339</v>
      </c>
      <c r="D210" s="127" t="s">
        <v>1659</v>
      </c>
      <c r="E210" s="128" t="s">
        <v>102</v>
      </c>
      <c r="F210" s="137">
        <v>199.75</v>
      </c>
      <c r="G210" s="130">
        <v>227.16</v>
      </c>
      <c r="H210" s="128">
        <v>2</v>
      </c>
      <c r="I210" s="116">
        <f t="shared" si="49"/>
        <v>0</v>
      </c>
      <c r="J210" s="374">
        <f t="shared" si="50"/>
        <v>0</v>
      </c>
      <c r="K210" s="137">
        <f t="shared" si="45"/>
        <v>2</v>
      </c>
      <c r="L210" s="131">
        <f t="shared" si="51"/>
        <v>454.32</v>
      </c>
      <c r="M210" s="131">
        <f t="shared" si="51"/>
        <v>0</v>
      </c>
      <c r="N210" s="131">
        <f t="shared" si="51"/>
        <v>0</v>
      </c>
      <c r="O210" s="131">
        <f t="shared" si="51"/>
        <v>454.32</v>
      </c>
      <c r="P210" s="136">
        <f t="shared" si="47"/>
        <v>0</v>
      </c>
      <c r="Q210" s="525"/>
      <c r="S210" s="189">
        <v>0</v>
      </c>
      <c r="T210" s="189">
        <v>0</v>
      </c>
      <c r="BT210" s="525"/>
      <c r="BU210" s="523">
        <v>0</v>
      </c>
      <c r="BV210" s="523">
        <v>0</v>
      </c>
      <c r="BW210" s="523"/>
      <c r="BX210" s="523"/>
      <c r="BY210" s="523"/>
      <c r="BZ210" s="523"/>
      <c r="CA210" s="523"/>
      <c r="CB210" s="523"/>
      <c r="CC210" s="523"/>
      <c r="CD210" s="523"/>
      <c r="CE210" s="523"/>
      <c r="CF210" s="523"/>
      <c r="CG210" s="523"/>
      <c r="CH210" s="523"/>
      <c r="CI210" s="523">
        <f t="shared" si="48"/>
        <v>0</v>
      </c>
    </row>
    <row r="211" spans="1:87" x14ac:dyDescent="0.2">
      <c r="A211" s="125" t="s">
        <v>620</v>
      </c>
      <c r="B211" s="126" t="s">
        <v>2007</v>
      </c>
      <c r="C211" s="126" t="s">
        <v>1339</v>
      </c>
      <c r="D211" s="127" t="s">
        <v>1660</v>
      </c>
      <c r="E211" s="128" t="s">
        <v>102</v>
      </c>
      <c r="F211" s="129"/>
      <c r="G211" s="130">
        <v>27.98</v>
      </c>
      <c r="H211" s="128">
        <v>2</v>
      </c>
      <c r="I211" s="116">
        <f t="shared" si="49"/>
        <v>0</v>
      </c>
      <c r="J211" s="374">
        <f t="shared" si="50"/>
        <v>0</v>
      </c>
      <c r="K211" s="137">
        <f t="shared" si="45"/>
        <v>2</v>
      </c>
      <c r="L211" s="131">
        <f t="shared" si="51"/>
        <v>55.96</v>
      </c>
      <c r="M211" s="131">
        <f t="shared" si="51"/>
        <v>0</v>
      </c>
      <c r="N211" s="131">
        <f t="shared" si="51"/>
        <v>0</v>
      </c>
      <c r="O211" s="131">
        <f t="shared" si="51"/>
        <v>55.96</v>
      </c>
      <c r="P211" s="136">
        <f t="shared" si="47"/>
        <v>0</v>
      </c>
      <c r="Q211" s="525"/>
      <c r="S211" s="189">
        <v>0</v>
      </c>
      <c r="T211" s="189">
        <v>0</v>
      </c>
      <c r="BT211" s="525"/>
      <c r="BU211" s="523">
        <v>0</v>
      </c>
      <c r="BV211" s="523">
        <v>0</v>
      </c>
      <c r="BW211" s="523"/>
      <c r="BX211" s="523"/>
      <c r="BY211" s="523"/>
      <c r="BZ211" s="523"/>
      <c r="CA211" s="523"/>
      <c r="CB211" s="523"/>
      <c r="CC211" s="523"/>
      <c r="CD211" s="523"/>
      <c r="CE211" s="523"/>
      <c r="CF211" s="523"/>
      <c r="CG211" s="523"/>
      <c r="CH211" s="523"/>
      <c r="CI211" s="523">
        <f t="shared" si="48"/>
        <v>0</v>
      </c>
    </row>
    <row r="212" spans="1:87" x14ac:dyDescent="0.2">
      <c r="A212" s="125" t="s">
        <v>1661</v>
      </c>
      <c r="B212" s="126" t="s">
        <v>2007</v>
      </c>
      <c r="C212" s="126" t="s">
        <v>1339</v>
      </c>
      <c r="D212" s="127" t="s">
        <v>1662</v>
      </c>
      <c r="E212" s="128" t="s">
        <v>102</v>
      </c>
      <c r="F212" s="137">
        <v>3.37</v>
      </c>
      <c r="G212" s="130">
        <v>16.36</v>
      </c>
      <c r="H212" s="128">
        <v>2</v>
      </c>
      <c r="I212" s="116">
        <f t="shared" si="49"/>
        <v>0</v>
      </c>
      <c r="J212" s="374">
        <f t="shared" si="50"/>
        <v>0</v>
      </c>
      <c r="K212" s="137">
        <f t="shared" si="45"/>
        <v>2</v>
      </c>
      <c r="L212" s="131">
        <f t="shared" si="51"/>
        <v>32.72</v>
      </c>
      <c r="M212" s="131">
        <f t="shared" si="51"/>
        <v>0</v>
      </c>
      <c r="N212" s="131">
        <f t="shared" si="51"/>
        <v>0</v>
      </c>
      <c r="O212" s="131">
        <f t="shared" si="51"/>
        <v>32.72</v>
      </c>
      <c r="P212" s="136">
        <f t="shared" si="47"/>
        <v>0</v>
      </c>
      <c r="Q212" s="525"/>
      <c r="S212" s="189">
        <v>0</v>
      </c>
      <c r="T212" s="189">
        <v>0</v>
      </c>
      <c r="BT212" s="525"/>
      <c r="BU212" s="523">
        <v>0</v>
      </c>
      <c r="BV212" s="523">
        <v>0</v>
      </c>
      <c r="BW212" s="523"/>
      <c r="BX212" s="523"/>
      <c r="BY212" s="523"/>
      <c r="BZ212" s="523"/>
      <c r="CA212" s="523"/>
      <c r="CB212" s="523"/>
      <c r="CC212" s="523"/>
      <c r="CD212" s="523"/>
      <c r="CE212" s="523"/>
      <c r="CF212" s="523"/>
      <c r="CG212" s="523"/>
      <c r="CH212" s="523"/>
      <c r="CI212" s="523">
        <f t="shared" si="48"/>
        <v>0</v>
      </c>
    </row>
    <row r="213" spans="1:87" s="194" customFormat="1" x14ac:dyDescent="0.2">
      <c r="A213" s="125" t="s">
        <v>1663</v>
      </c>
      <c r="B213" s="126" t="s">
        <v>2007</v>
      </c>
      <c r="C213" s="126" t="s">
        <v>1339</v>
      </c>
      <c r="D213" s="127" t="s">
        <v>1664</v>
      </c>
      <c r="E213" s="128" t="s">
        <v>102</v>
      </c>
      <c r="F213" s="137">
        <v>10.220000000000001</v>
      </c>
      <c r="G213" s="130">
        <v>15.11</v>
      </c>
      <c r="H213" s="128">
        <v>2</v>
      </c>
      <c r="I213" s="116">
        <f t="shared" si="49"/>
        <v>0</v>
      </c>
      <c r="J213" s="374">
        <f t="shared" si="50"/>
        <v>0</v>
      </c>
      <c r="K213" s="137">
        <f t="shared" si="45"/>
        <v>2</v>
      </c>
      <c r="L213" s="131">
        <f t="shared" si="51"/>
        <v>30.22</v>
      </c>
      <c r="M213" s="131">
        <f t="shared" si="51"/>
        <v>0</v>
      </c>
      <c r="N213" s="131">
        <f t="shared" si="51"/>
        <v>0</v>
      </c>
      <c r="O213" s="131">
        <f t="shared" si="51"/>
        <v>30.22</v>
      </c>
      <c r="P213" s="136">
        <f t="shared" si="47"/>
        <v>0</v>
      </c>
      <c r="Q213" s="525"/>
      <c r="S213" s="195">
        <v>0</v>
      </c>
      <c r="T213" s="195">
        <v>0</v>
      </c>
      <c r="BT213" s="525"/>
      <c r="BU213" s="523">
        <v>0</v>
      </c>
      <c r="BV213" s="523">
        <v>0</v>
      </c>
      <c r="BW213" s="523"/>
      <c r="BX213" s="523"/>
      <c r="BY213" s="523"/>
      <c r="BZ213" s="523"/>
      <c r="CA213" s="523"/>
      <c r="CB213" s="523"/>
      <c r="CC213" s="523"/>
      <c r="CD213" s="523"/>
      <c r="CE213" s="523"/>
      <c r="CF213" s="523"/>
      <c r="CG213" s="523"/>
      <c r="CH213" s="523"/>
      <c r="CI213" s="523">
        <f t="shared" si="48"/>
        <v>0</v>
      </c>
    </row>
    <row r="214" spans="1:87" s="514" customFormat="1" x14ac:dyDescent="0.2">
      <c r="A214" s="425">
        <v>17</v>
      </c>
      <c r="B214" s="414"/>
      <c r="C214" s="414"/>
      <c r="D214" s="414" t="s">
        <v>1665</v>
      </c>
      <c r="E214" s="415"/>
      <c r="F214" s="415"/>
      <c r="G214" s="415"/>
      <c r="H214" s="415"/>
      <c r="I214" s="415"/>
      <c r="J214" s="415"/>
      <c r="K214" s="415"/>
      <c r="L214" s="435">
        <f>SUM(L215,L225,L247,L252)</f>
        <v>20098.660000000003</v>
      </c>
      <c r="M214" s="435">
        <f>SUM(M215,M225,M247,M252)</f>
        <v>0</v>
      </c>
      <c r="N214" s="435">
        <f>SUM(N215,N225,N247,N252)</f>
        <v>0</v>
      </c>
      <c r="O214" s="435">
        <f>SUM(O215,O225,O247,O252)</f>
        <v>20098.660000000003</v>
      </c>
      <c r="P214" s="437">
        <f t="shared" si="47"/>
        <v>0</v>
      </c>
      <c r="Q214" s="525"/>
      <c r="S214" s="190">
        <v>0</v>
      </c>
      <c r="T214" s="190">
        <v>0</v>
      </c>
      <c r="BT214" s="525"/>
      <c r="BU214" s="523"/>
      <c r="BV214" s="523"/>
      <c r="BW214" s="523"/>
      <c r="BX214" s="523"/>
      <c r="BY214" s="523"/>
      <c r="BZ214" s="523"/>
      <c r="CA214" s="523"/>
      <c r="CB214" s="523"/>
      <c r="CC214" s="523"/>
      <c r="CD214" s="523"/>
      <c r="CE214" s="523"/>
      <c r="CF214" s="523"/>
      <c r="CG214" s="523"/>
      <c r="CH214" s="523"/>
      <c r="CI214" s="523">
        <f t="shared" si="48"/>
        <v>0</v>
      </c>
    </row>
    <row r="215" spans="1:87" x14ac:dyDescent="0.2">
      <c r="A215" s="449" t="s">
        <v>625</v>
      </c>
      <c r="B215" s="450"/>
      <c r="C215" s="450"/>
      <c r="D215" s="451" t="s">
        <v>1666</v>
      </c>
      <c r="E215" s="452"/>
      <c r="F215" s="452"/>
      <c r="G215" s="452"/>
      <c r="H215" s="452"/>
      <c r="I215" s="452"/>
      <c r="J215" s="452"/>
      <c r="K215" s="452"/>
      <c r="L215" s="452">
        <f>SUM(L216:L224)</f>
        <v>1711.6100000000001</v>
      </c>
      <c r="M215" s="452">
        <f>SUM(M216:M224)</f>
        <v>0</v>
      </c>
      <c r="N215" s="452">
        <f>SUM(N216:N224)</f>
        <v>0</v>
      </c>
      <c r="O215" s="452">
        <f>SUM(O216:O224)</f>
        <v>1711.6100000000001</v>
      </c>
      <c r="P215" s="459">
        <f t="shared" si="47"/>
        <v>0</v>
      </c>
      <c r="Q215" s="525"/>
      <c r="S215" s="189">
        <v>0</v>
      </c>
      <c r="T215" s="189">
        <v>0</v>
      </c>
      <c r="BT215" s="525"/>
      <c r="BU215" s="523"/>
      <c r="BV215" s="523"/>
      <c r="BW215" s="523"/>
      <c r="BX215" s="523"/>
      <c r="BY215" s="523"/>
      <c r="BZ215" s="523"/>
      <c r="CA215" s="523"/>
      <c r="CB215" s="523"/>
      <c r="CC215" s="523"/>
      <c r="CD215" s="523"/>
      <c r="CE215" s="523"/>
      <c r="CF215" s="523"/>
      <c r="CG215" s="523"/>
      <c r="CH215" s="523"/>
      <c r="CI215" s="523">
        <f t="shared" si="48"/>
        <v>0</v>
      </c>
    </row>
    <row r="216" spans="1:87" x14ac:dyDescent="0.2">
      <c r="A216" s="125" t="s">
        <v>1667</v>
      </c>
      <c r="B216" s="126">
        <v>83463</v>
      </c>
      <c r="C216" s="126" t="s">
        <v>1324</v>
      </c>
      <c r="D216" s="127" t="s">
        <v>1668</v>
      </c>
      <c r="E216" s="128" t="s">
        <v>102</v>
      </c>
      <c r="F216" s="137">
        <v>12.73</v>
      </c>
      <c r="G216" s="130">
        <v>211.62</v>
      </c>
      <c r="H216" s="128">
        <v>1</v>
      </c>
      <c r="I216" s="116">
        <f t="shared" si="49"/>
        <v>0</v>
      </c>
      <c r="J216" s="374">
        <f t="shared" si="50"/>
        <v>0</v>
      </c>
      <c r="K216" s="137">
        <f t="shared" si="45"/>
        <v>1</v>
      </c>
      <c r="L216" s="131">
        <f t="shared" ref="L216:O224" si="52">ROUND(H216*$G216,2)</f>
        <v>211.62</v>
      </c>
      <c r="M216" s="131">
        <f t="shared" si="52"/>
        <v>0</v>
      </c>
      <c r="N216" s="131">
        <f t="shared" si="52"/>
        <v>0</v>
      </c>
      <c r="O216" s="131">
        <f t="shared" si="52"/>
        <v>211.62</v>
      </c>
      <c r="P216" s="136">
        <f t="shared" si="47"/>
        <v>0</v>
      </c>
      <c r="Q216" s="525"/>
      <c r="S216" s="189">
        <v>0</v>
      </c>
      <c r="T216" s="189">
        <v>0</v>
      </c>
      <c r="BT216" s="525"/>
      <c r="BU216" s="523">
        <v>0</v>
      </c>
      <c r="BV216" s="523">
        <v>0</v>
      </c>
      <c r="BW216" s="523"/>
      <c r="BX216" s="523"/>
      <c r="BY216" s="523"/>
      <c r="BZ216" s="523"/>
      <c r="CA216" s="523"/>
      <c r="CB216" s="523"/>
      <c r="CC216" s="523"/>
      <c r="CD216" s="523"/>
      <c r="CE216" s="523"/>
      <c r="CF216" s="523"/>
      <c r="CG216" s="523"/>
      <c r="CH216" s="523"/>
      <c r="CI216" s="523">
        <f t="shared" si="48"/>
        <v>0</v>
      </c>
    </row>
    <row r="217" spans="1:87" x14ac:dyDescent="0.2">
      <c r="A217" s="125" t="s">
        <v>1669</v>
      </c>
      <c r="B217" s="126" t="s">
        <v>1670</v>
      </c>
      <c r="C217" s="126" t="s">
        <v>1324</v>
      </c>
      <c r="D217" s="127" t="s">
        <v>1671</v>
      </c>
      <c r="E217" s="128" t="s">
        <v>102</v>
      </c>
      <c r="F217" s="137">
        <v>8.5299999999999994</v>
      </c>
      <c r="G217" s="130">
        <v>332.47</v>
      </c>
      <c r="H217" s="128">
        <v>1</v>
      </c>
      <c r="I217" s="116">
        <f t="shared" si="49"/>
        <v>0</v>
      </c>
      <c r="J217" s="374">
        <f t="shared" si="50"/>
        <v>0</v>
      </c>
      <c r="K217" s="137">
        <f t="shared" si="45"/>
        <v>1</v>
      </c>
      <c r="L217" s="131">
        <f t="shared" si="52"/>
        <v>332.47</v>
      </c>
      <c r="M217" s="131">
        <f t="shared" si="52"/>
        <v>0</v>
      </c>
      <c r="N217" s="131">
        <f t="shared" si="52"/>
        <v>0</v>
      </c>
      <c r="O217" s="131">
        <f t="shared" si="52"/>
        <v>332.47</v>
      </c>
      <c r="P217" s="136">
        <f t="shared" si="47"/>
        <v>0</v>
      </c>
      <c r="Q217" s="525"/>
      <c r="S217" s="189">
        <v>0</v>
      </c>
      <c r="T217" s="189">
        <v>0</v>
      </c>
      <c r="BT217" s="525"/>
      <c r="BU217" s="523">
        <v>0</v>
      </c>
      <c r="BV217" s="523">
        <v>0</v>
      </c>
      <c r="BW217" s="523"/>
      <c r="BX217" s="523"/>
      <c r="BY217" s="523"/>
      <c r="BZ217" s="523"/>
      <c r="CA217" s="523"/>
      <c r="CB217" s="523"/>
      <c r="CC217" s="523"/>
      <c r="CD217" s="523"/>
      <c r="CE217" s="523"/>
      <c r="CF217" s="523"/>
      <c r="CG217" s="523"/>
      <c r="CH217" s="523"/>
      <c r="CI217" s="523">
        <f t="shared" si="48"/>
        <v>0</v>
      </c>
    </row>
    <row r="218" spans="1:87" x14ac:dyDescent="0.2">
      <c r="A218" s="125" t="s">
        <v>1672</v>
      </c>
      <c r="B218" s="126" t="s">
        <v>1673</v>
      </c>
      <c r="C218" s="126" t="s">
        <v>1343</v>
      </c>
      <c r="D218" s="127" t="s">
        <v>1674</v>
      </c>
      <c r="E218" s="128" t="s">
        <v>102</v>
      </c>
      <c r="F218" s="137">
        <v>22.59</v>
      </c>
      <c r="G218" s="130">
        <v>65.62</v>
      </c>
      <c r="H218" s="128">
        <v>1</v>
      </c>
      <c r="I218" s="116">
        <f t="shared" si="49"/>
        <v>0</v>
      </c>
      <c r="J218" s="374">
        <f t="shared" si="50"/>
        <v>0</v>
      </c>
      <c r="K218" s="137">
        <f t="shared" si="45"/>
        <v>1</v>
      </c>
      <c r="L218" s="131">
        <f t="shared" si="52"/>
        <v>65.62</v>
      </c>
      <c r="M218" s="131">
        <f t="shared" si="52"/>
        <v>0</v>
      </c>
      <c r="N218" s="131">
        <f t="shared" si="52"/>
        <v>0</v>
      </c>
      <c r="O218" s="131">
        <f t="shared" si="52"/>
        <v>65.62</v>
      </c>
      <c r="P218" s="136">
        <f t="shared" si="47"/>
        <v>0</v>
      </c>
      <c r="Q218" s="525"/>
      <c r="S218" s="189">
        <v>0</v>
      </c>
      <c r="T218" s="189">
        <v>0</v>
      </c>
      <c r="BT218" s="525"/>
      <c r="BU218" s="523">
        <v>0</v>
      </c>
      <c r="BV218" s="523">
        <v>0</v>
      </c>
      <c r="BW218" s="523"/>
      <c r="BX218" s="523"/>
      <c r="BY218" s="523"/>
      <c r="BZ218" s="523"/>
      <c r="CA218" s="523"/>
      <c r="CB218" s="523"/>
      <c r="CC218" s="523"/>
      <c r="CD218" s="523"/>
      <c r="CE218" s="523"/>
      <c r="CF218" s="523"/>
      <c r="CG218" s="523"/>
      <c r="CH218" s="523"/>
      <c r="CI218" s="523">
        <f t="shared" si="48"/>
        <v>0</v>
      </c>
    </row>
    <row r="219" spans="1:87" x14ac:dyDescent="0.2">
      <c r="A219" s="125" t="s">
        <v>1675</v>
      </c>
      <c r="B219" s="126" t="s">
        <v>1676</v>
      </c>
      <c r="C219" s="126" t="s">
        <v>1324</v>
      </c>
      <c r="D219" s="127" t="s">
        <v>1677</v>
      </c>
      <c r="E219" s="128" t="s">
        <v>102</v>
      </c>
      <c r="F219" s="129"/>
      <c r="G219" s="130">
        <v>11.27</v>
      </c>
      <c r="H219" s="128">
        <v>7</v>
      </c>
      <c r="I219" s="116">
        <f t="shared" si="49"/>
        <v>0</v>
      </c>
      <c r="J219" s="374">
        <f t="shared" si="50"/>
        <v>0</v>
      </c>
      <c r="K219" s="137">
        <f t="shared" si="45"/>
        <v>7</v>
      </c>
      <c r="L219" s="131">
        <f t="shared" si="52"/>
        <v>78.89</v>
      </c>
      <c r="M219" s="131">
        <f t="shared" si="52"/>
        <v>0</v>
      </c>
      <c r="N219" s="131">
        <f t="shared" si="52"/>
        <v>0</v>
      </c>
      <c r="O219" s="131">
        <f t="shared" si="52"/>
        <v>78.89</v>
      </c>
      <c r="P219" s="136">
        <f t="shared" si="47"/>
        <v>0</v>
      </c>
      <c r="Q219" s="525"/>
      <c r="S219" s="189">
        <v>0</v>
      </c>
      <c r="T219" s="189">
        <v>0</v>
      </c>
      <c r="BT219" s="525"/>
      <c r="BU219" s="523">
        <v>0</v>
      </c>
      <c r="BV219" s="523">
        <v>0</v>
      </c>
      <c r="BW219" s="523"/>
      <c r="BX219" s="523"/>
      <c r="BY219" s="523"/>
      <c r="BZ219" s="523"/>
      <c r="CA219" s="523"/>
      <c r="CB219" s="523"/>
      <c r="CC219" s="523"/>
      <c r="CD219" s="523"/>
      <c r="CE219" s="523"/>
      <c r="CF219" s="523"/>
      <c r="CG219" s="523"/>
      <c r="CH219" s="523"/>
      <c r="CI219" s="523">
        <f t="shared" si="48"/>
        <v>0</v>
      </c>
    </row>
    <row r="220" spans="1:87" x14ac:dyDescent="0.2">
      <c r="A220" s="125" t="s">
        <v>1678</v>
      </c>
      <c r="B220" s="126" t="s">
        <v>1676</v>
      </c>
      <c r="C220" s="126" t="s">
        <v>1324</v>
      </c>
      <c r="D220" s="127" t="s">
        <v>1679</v>
      </c>
      <c r="E220" s="128" t="s">
        <v>102</v>
      </c>
      <c r="F220" s="137">
        <v>4.09</v>
      </c>
      <c r="G220" s="130">
        <v>11.27</v>
      </c>
      <c r="H220" s="128">
        <v>5</v>
      </c>
      <c r="I220" s="116">
        <f t="shared" si="49"/>
        <v>0</v>
      </c>
      <c r="J220" s="374">
        <f t="shared" si="50"/>
        <v>0</v>
      </c>
      <c r="K220" s="137">
        <f t="shared" si="45"/>
        <v>5</v>
      </c>
      <c r="L220" s="131">
        <f t="shared" si="52"/>
        <v>56.35</v>
      </c>
      <c r="M220" s="131">
        <f t="shared" si="52"/>
        <v>0</v>
      </c>
      <c r="N220" s="131">
        <f t="shared" si="52"/>
        <v>0</v>
      </c>
      <c r="O220" s="131">
        <f t="shared" si="52"/>
        <v>56.35</v>
      </c>
      <c r="P220" s="136">
        <f t="shared" si="47"/>
        <v>0</v>
      </c>
      <c r="Q220" s="525"/>
      <c r="S220" s="189">
        <v>0</v>
      </c>
      <c r="T220" s="189">
        <v>0</v>
      </c>
      <c r="BT220" s="525"/>
      <c r="BU220" s="523">
        <v>0</v>
      </c>
      <c r="BV220" s="523">
        <v>0</v>
      </c>
      <c r="BW220" s="523"/>
      <c r="BX220" s="523"/>
      <c r="BY220" s="523"/>
      <c r="BZ220" s="523"/>
      <c r="CA220" s="523"/>
      <c r="CB220" s="523"/>
      <c r="CC220" s="523"/>
      <c r="CD220" s="523"/>
      <c r="CE220" s="523"/>
      <c r="CF220" s="523"/>
      <c r="CG220" s="523"/>
      <c r="CH220" s="523"/>
      <c r="CI220" s="523">
        <f t="shared" si="48"/>
        <v>0</v>
      </c>
    </row>
    <row r="221" spans="1:87" x14ac:dyDescent="0.2">
      <c r="A221" s="125" t="s">
        <v>1680</v>
      </c>
      <c r="B221" s="126" t="s">
        <v>1676</v>
      </c>
      <c r="C221" s="126" t="s">
        <v>1324</v>
      </c>
      <c r="D221" s="127" t="s">
        <v>1681</v>
      </c>
      <c r="E221" s="128" t="s">
        <v>102</v>
      </c>
      <c r="F221" s="137">
        <v>5.71</v>
      </c>
      <c r="G221" s="130">
        <v>11.27</v>
      </c>
      <c r="H221" s="128">
        <v>8</v>
      </c>
      <c r="I221" s="116">
        <f t="shared" si="49"/>
        <v>0</v>
      </c>
      <c r="J221" s="374">
        <f t="shared" si="50"/>
        <v>0</v>
      </c>
      <c r="K221" s="137">
        <f t="shared" si="45"/>
        <v>8</v>
      </c>
      <c r="L221" s="131">
        <f t="shared" si="52"/>
        <v>90.16</v>
      </c>
      <c r="M221" s="131">
        <f t="shared" si="52"/>
        <v>0</v>
      </c>
      <c r="N221" s="131">
        <f t="shared" si="52"/>
        <v>0</v>
      </c>
      <c r="O221" s="131">
        <f t="shared" si="52"/>
        <v>90.16</v>
      </c>
      <c r="P221" s="136">
        <f t="shared" si="47"/>
        <v>0</v>
      </c>
      <c r="Q221" s="525"/>
      <c r="S221" s="189">
        <v>0</v>
      </c>
      <c r="T221" s="189">
        <v>0</v>
      </c>
      <c r="BT221" s="525"/>
      <c r="BU221" s="523">
        <v>0</v>
      </c>
      <c r="BV221" s="523">
        <v>0</v>
      </c>
      <c r="BW221" s="523"/>
      <c r="BX221" s="523"/>
      <c r="BY221" s="523"/>
      <c r="BZ221" s="523"/>
      <c r="CA221" s="523"/>
      <c r="CB221" s="523"/>
      <c r="CC221" s="523"/>
      <c r="CD221" s="523"/>
      <c r="CE221" s="523"/>
      <c r="CF221" s="523"/>
      <c r="CG221" s="523"/>
      <c r="CH221" s="523"/>
      <c r="CI221" s="523">
        <f t="shared" si="48"/>
        <v>0</v>
      </c>
    </row>
    <row r="222" spans="1:87" x14ac:dyDescent="0.2">
      <c r="A222" s="125" t="s">
        <v>1682</v>
      </c>
      <c r="B222" s="126" t="s">
        <v>1683</v>
      </c>
      <c r="C222" s="126" t="s">
        <v>1324</v>
      </c>
      <c r="D222" s="127" t="s">
        <v>1684</v>
      </c>
      <c r="E222" s="128" t="s">
        <v>102</v>
      </c>
      <c r="F222" s="137">
        <v>8.99</v>
      </c>
      <c r="G222" s="130">
        <v>97.76</v>
      </c>
      <c r="H222" s="128">
        <v>2</v>
      </c>
      <c r="I222" s="116">
        <f t="shared" si="49"/>
        <v>0</v>
      </c>
      <c r="J222" s="374">
        <f t="shared" si="50"/>
        <v>0</v>
      </c>
      <c r="K222" s="137">
        <f t="shared" si="45"/>
        <v>2</v>
      </c>
      <c r="L222" s="131">
        <f t="shared" si="52"/>
        <v>195.52</v>
      </c>
      <c r="M222" s="131">
        <f t="shared" si="52"/>
        <v>0</v>
      </c>
      <c r="N222" s="131">
        <f t="shared" si="52"/>
        <v>0</v>
      </c>
      <c r="O222" s="131">
        <f t="shared" si="52"/>
        <v>195.52</v>
      </c>
      <c r="P222" s="136">
        <f t="shared" si="47"/>
        <v>0</v>
      </c>
      <c r="Q222" s="525"/>
      <c r="S222" s="189">
        <v>0</v>
      </c>
      <c r="T222" s="189">
        <v>0</v>
      </c>
      <c r="BT222" s="525"/>
      <c r="BU222" s="523">
        <v>0</v>
      </c>
      <c r="BV222" s="523">
        <v>0</v>
      </c>
      <c r="BW222" s="523"/>
      <c r="BX222" s="523"/>
      <c r="BY222" s="523"/>
      <c r="BZ222" s="523"/>
      <c r="CA222" s="523"/>
      <c r="CB222" s="523"/>
      <c r="CC222" s="523"/>
      <c r="CD222" s="523"/>
      <c r="CE222" s="523"/>
      <c r="CF222" s="523"/>
      <c r="CG222" s="523"/>
      <c r="CH222" s="523"/>
      <c r="CI222" s="523">
        <f t="shared" si="48"/>
        <v>0</v>
      </c>
    </row>
    <row r="223" spans="1:87" x14ac:dyDescent="0.2">
      <c r="A223" s="125" t="s">
        <v>1685</v>
      </c>
      <c r="B223" s="126" t="s">
        <v>1686</v>
      </c>
      <c r="C223" s="126" t="s">
        <v>1324</v>
      </c>
      <c r="D223" s="127" t="s">
        <v>1687</v>
      </c>
      <c r="E223" s="128" t="s">
        <v>102</v>
      </c>
      <c r="F223" s="137">
        <v>23.78</v>
      </c>
      <c r="G223" s="130">
        <v>276.94</v>
      </c>
      <c r="H223" s="128">
        <v>1</v>
      </c>
      <c r="I223" s="116">
        <f t="shared" si="49"/>
        <v>0</v>
      </c>
      <c r="J223" s="374">
        <f t="shared" si="50"/>
        <v>0</v>
      </c>
      <c r="K223" s="137">
        <f t="shared" si="45"/>
        <v>1</v>
      </c>
      <c r="L223" s="131">
        <f t="shared" si="52"/>
        <v>276.94</v>
      </c>
      <c r="M223" s="131">
        <f t="shared" si="52"/>
        <v>0</v>
      </c>
      <c r="N223" s="131">
        <f t="shared" si="52"/>
        <v>0</v>
      </c>
      <c r="O223" s="131">
        <f t="shared" si="52"/>
        <v>276.94</v>
      </c>
      <c r="P223" s="136">
        <f t="shared" si="47"/>
        <v>0</v>
      </c>
      <c r="Q223" s="525"/>
      <c r="S223" s="189">
        <v>0</v>
      </c>
      <c r="T223" s="189">
        <v>0</v>
      </c>
      <c r="BT223" s="525"/>
      <c r="BU223" s="523">
        <v>0</v>
      </c>
      <c r="BV223" s="523">
        <v>0</v>
      </c>
      <c r="BW223" s="523"/>
      <c r="BX223" s="523"/>
      <c r="BY223" s="523"/>
      <c r="BZ223" s="523"/>
      <c r="CA223" s="523"/>
      <c r="CB223" s="523"/>
      <c r="CC223" s="523"/>
      <c r="CD223" s="523"/>
      <c r="CE223" s="523"/>
      <c r="CF223" s="523"/>
      <c r="CG223" s="523"/>
      <c r="CH223" s="523"/>
      <c r="CI223" s="523">
        <f t="shared" si="48"/>
        <v>0</v>
      </c>
    </row>
    <row r="224" spans="1:87" s="517" customFormat="1" ht="25.5" x14ac:dyDescent="0.2">
      <c r="A224" s="125" t="s">
        <v>1688</v>
      </c>
      <c r="B224" s="126" t="s">
        <v>2007</v>
      </c>
      <c r="C224" s="126" t="s">
        <v>1339</v>
      </c>
      <c r="D224" s="127" t="s">
        <v>1689</v>
      </c>
      <c r="E224" s="128" t="s">
        <v>102</v>
      </c>
      <c r="F224" s="137">
        <v>72.209999999999994</v>
      </c>
      <c r="G224" s="130">
        <v>101.01</v>
      </c>
      <c r="H224" s="128">
        <v>4</v>
      </c>
      <c r="I224" s="116">
        <f t="shared" si="49"/>
        <v>0</v>
      </c>
      <c r="J224" s="374">
        <f t="shared" si="50"/>
        <v>0</v>
      </c>
      <c r="K224" s="137">
        <f t="shared" si="45"/>
        <v>4</v>
      </c>
      <c r="L224" s="131">
        <f t="shared" si="52"/>
        <v>404.04</v>
      </c>
      <c r="M224" s="131">
        <f t="shared" si="52"/>
        <v>0</v>
      </c>
      <c r="N224" s="131">
        <f t="shared" si="52"/>
        <v>0</v>
      </c>
      <c r="O224" s="131">
        <f t="shared" si="52"/>
        <v>404.04</v>
      </c>
      <c r="P224" s="136">
        <f t="shared" si="47"/>
        <v>0</v>
      </c>
      <c r="Q224" s="525"/>
      <c r="S224" s="191">
        <v>0</v>
      </c>
      <c r="T224" s="191">
        <v>0</v>
      </c>
      <c r="BT224" s="525"/>
      <c r="BU224" s="523">
        <v>0</v>
      </c>
      <c r="BV224" s="523">
        <v>0</v>
      </c>
      <c r="BW224" s="523"/>
      <c r="BX224" s="523"/>
      <c r="BY224" s="523"/>
      <c r="BZ224" s="523"/>
      <c r="CA224" s="523"/>
      <c r="CB224" s="523"/>
      <c r="CC224" s="523"/>
      <c r="CD224" s="523"/>
      <c r="CE224" s="523"/>
      <c r="CF224" s="523"/>
      <c r="CG224" s="523"/>
      <c r="CH224" s="523"/>
      <c r="CI224" s="523">
        <f t="shared" si="48"/>
        <v>0</v>
      </c>
    </row>
    <row r="225" spans="1:87" s="110" customFormat="1" x14ac:dyDescent="0.2">
      <c r="A225" s="449" t="s">
        <v>631</v>
      </c>
      <c r="B225" s="450"/>
      <c r="C225" s="450"/>
      <c r="D225" s="451" t="s">
        <v>1690</v>
      </c>
      <c r="E225" s="452"/>
      <c r="F225" s="452">
        <f>SUM(F226:F246)</f>
        <v>274.84000000000003</v>
      </c>
      <c r="G225" s="468"/>
      <c r="H225" s="452"/>
      <c r="I225" s="452">
        <f t="shared" si="49"/>
        <v>0</v>
      </c>
      <c r="J225" s="457">
        <f t="shared" si="50"/>
        <v>0</v>
      </c>
      <c r="K225" s="527">
        <f t="shared" si="45"/>
        <v>0</v>
      </c>
      <c r="L225" s="452">
        <f>SUM(L226:L246)</f>
        <v>3741.5200000000004</v>
      </c>
      <c r="M225" s="452">
        <f>SUM(M226:M246)</f>
        <v>0</v>
      </c>
      <c r="N225" s="452">
        <f>SUM(N226:N246)</f>
        <v>0</v>
      </c>
      <c r="O225" s="452">
        <f>SUM(O226:O246)</f>
        <v>3741.5200000000004</v>
      </c>
      <c r="P225" s="459">
        <f t="shared" si="47"/>
        <v>0</v>
      </c>
      <c r="Q225" s="525"/>
      <c r="S225" s="192">
        <v>28</v>
      </c>
      <c r="T225" s="192">
        <v>0</v>
      </c>
      <c r="BT225" s="525"/>
      <c r="BU225" s="523"/>
      <c r="BV225" s="523"/>
      <c r="BW225" s="523"/>
      <c r="BX225" s="523"/>
      <c r="BY225" s="523"/>
      <c r="BZ225" s="523"/>
      <c r="CA225" s="523"/>
      <c r="CB225" s="523"/>
      <c r="CC225" s="523"/>
      <c r="CD225" s="523"/>
      <c r="CE225" s="523"/>
      <c r="CF225" s="523"/>
      <c r="CG225" s="523"/>
      <c r="CH225" s="523"/>
      <c r="CI225" s="523">
        <f t="shared" si="48"/>
        <v>0</v>
      </c>
    </row>
    <row r="226" spans="1:87" s="110" customFormat="1" x14ac:dyDescent="0.2">
      <c r="A226" s="379" t="s">
        <v>1691</v>
      </c>
      <c r="B226" s="380">
        <v>91854</v>
      </c>
      <c r="C226" s="380" t="s">
        <v>1324</v>
      </c>
      <c r="D226" s="381" t="s">
        <v>1692</v>
      </c>
      <c r="E226" s="382" t="s">
        <v>81</v>
      </c>
      <c r="F226" s="137">
        <v>6.88</v>
      </c>
      <c r="G226" s="383">
        <v>6.16</v>
      </c>
      <c r="H226" s="382">
        <v>28</v>
      </c>
      <c r="I226" s="392">
        <f t="shared" si="49"/>
        <v>0</v>
      </c>
      <c r="J226" s="374">
        <f t="shared" si="50"/>
        <v>0</v>
      </c>
      <c r="K226" s="508">
        <f t="shared" si="45"/>
        <v>28</v>
      </c>
      <c r="L226" s="131">
        <f t="shared" ref="L226:O246" si="53">ROUND(H226*$G226,2)</f>
        <v>172.48</v>
      </c>
      <c r="M226" s="131">
        <f t="shared" si="53"/>
        <v>0</v>
      </c>
      <c r="N226" s="131">
        <f t="shared" si="53"/>
        <v>0</v>
      </c>
      <c r="O226" s="131">
        <f t="shared" si="53"/>
        <v>172.48</v>
      </c>
      <c r="P226" s="388">
        <f t="shared" si="47"/>
        <v>0</v>
      </c>
      <c r="Q226" s="525"/>
      <c r="S226" s="192">
        <v>18</v>
      </c>
      <c r="T226" s="192">
        <v>0</v>
      </c>
      <c r="BT226" s="525"/>
      <c r="BU226" s="523">
        <v>0</v>
      </c>
      <c r="BV226" s="523">
        <v>0</v>
      </c>
      <c r="BW226" s="523"/>
      <c r="BX226" s="523"/>
      <c r="BY226" s="523"/>
      <c r="BZ226" s="523"/>
      <c r="CA226" s="523"/>
      <c r="CB226" s="523"/>
      <c r="CC226" s="523"/>
      <c r="CD226" s="523"/>
      <c r="CE226" s="523"/>
      <c r="CF226" s="523"/>
      <c r="CG226" s="523"/>
      <c r="CH226" s="523"/>
      <c r="CI226" s="523">
        <f t="shared" si="48"/>
        <v>0</v>
      </c>
    </row>
    <row r="227" spans="1:87" x14ac:dyDescent="0.2">
      <c r="A227" s="379" t="s">
        <v>1693</v>
      </c>
      <c r="B227" s="380">
        <v>91856</v>
      </c>
      <c r="C227" s="380" t="s">
        <v>1324</v>
      </c>
      <c r="D227" s="381" t="s">
        <v>1694</v>
      </c>
      <c r="E227" s="382" t="s">
        <v>81</v>
      </c>
      <c r="F227" s="137">
        <v>9.86</v>
      </c>
      <c r="G227" s="383">
        <v>7.73</v>
      </c>
      <c r="H227" s="382">
        <v>18</v>
      </c>
      <c r="I227" s="392">
        <f t="shared" si="49"/>
        <v>0</v>
      </c>
      <c r="J227" s="374">
        <f t="shared" si="50"/>
        <v>0</v>
      </c>
      <c r="K227" s="508">
        <f t="shared" si="45"/>
        <v>18</v>
      </c>
      <c r="L227" s="131">
        <f t="shared" si="53"/>
        <v>139.13999999999999</v>
      </c>
      <c r="M227" s="131">
        <f t="shared" si="53"/>
        <v>0</v>
      </c>
      <c r="N227" s="131">
        <f t="shared" si="53"/>
        <v>0</v>
      </c>
      <c r="O227" s="131">
        <f t="shared" si="53"/>
        <v>139.13999999999999</v>
      </c>
      <c r="P227" s="388">
        <f t="shared" si="47"/>
        <v>0</v>
      </c>
      <c r="Q227" s="525"/>
      <c r="S227" s="189">
        <v>0</v>
      </c>
      <c r="T227" s="189">
        <v>0</v>
      </c>
      <c r="BT227" s="525"/>
      <c r="BU227" s="523">
        <v>0</v>
      </c>
      <c r="BV227" s="523">
        <v>0</v>
      </c>
      <c r="BW227" s="523"/>
      <c r="BX227" s="523"/>
      <c r="BY227" s="523"/>
      <c r="BZ227" s="523"/>
      <c r="CA227" s="523"/>
      <c r="CB227" s="523"/>
      <c r="CC227" s="523"/>
      <c r="CD227" s="523"/>
      <c r="CE227" s="523"/>
      <c r="CF227" s="523"/>
      <c r="CG227" s="523"/>
      <c r="CH227" s="523"/>
      <c r="CI227" s="523">
        <f t="shared" si="48"/>
        <v>0</v>
      </c>
    </row>
    <row r="228" spans="1:87" x14ac:dyDescent="0.2">
      <c r="A228" s="125" t="s">
        <v>1695</v>
      </c>
      <c r="B228" s="126">
        <v>91873</v>
      </c>
      <c r="C228" s="126" t="s">
        <v>1324</v>
      </c>
      <c r="D228" s="127" t="s">
        <v>1696</v>
      </c>
      <c r="E228" s="128" t="s">
        <v>81</v>
      </c>
      <c r="F228" s="137">
        <v>10.4</v>
      </c>
      <c r="G228" s="130">
        <v>12.57</v>
      </c>
      <c r="H228" s="128">
        <v>18</v>
      </c>
      <c r="I228" s="116">
        <f t="shared" si="49"/>
        <v>0</v>
      </c>
      <c r="J228" s="374">
        <f t="shared" si="50"/>
        <v>0</v>
      </c>
      <c r="K228" s="137">
        <f t="shared" si="45"/>
        <v>18</v>
      </c>
      <c r="L228" s="131">
        <f t="shared" si="53"/>
        <v>226.26</v>
      </c>
      <c r="M228" s="131">
        <f t="shared" si="53"/>
        <v>0</v>
      </c>
      <c r="N228" s="131">
        <f t="shared" si="53"/>
        <v>0</v>
      </c>
      <c r="O228" s="131">
        <f t="shared" si="53"/>
        <v>226.26</v>
      </c>
      <c r="P228" s="136">
        <f t="shared" si="47"/>
        <v>0</v>
      </c>
      <c r="Q228" s="525"/>
      <c r="S228" s="189">
        <v>0</v>
      </c>
      <c r="T228" s="189">
        <v>0</v>
      </c>
      <c r="BT228" s="525"/>
      <c r="BU228" s="523">
        <v>0</v>
      </c>
      <c r="BV228" s="523">
        <v>0</v>
      </c>
      <c r="BW228" s="523"/>
      <c r="BX228" s="523"/>
      <c r="BY228" s="523"/>
      <c r="BZ228" s="523"/>
      <c r="CA228" s="523"/>
      <c r="CB228" s="523"/>
      <c r="CC228" s="523"/>
      <c r="CD228" s="523"/>
      <c r="CE228" s="523"/>
      <c r="CF228" s="523"/>
      <c r="CG228" s="523"/>
      <c r="CH228" s="523"/>
      <c r="CI228" s="523">
        <f t="shared" si="48"/>
        <v>0</v>
      </c>
    </row>
    <row r="229" spans="1:87" x14ac:dyDescent="0.2">
      <c r="A229" s="125" t="s">
        <v>1697</v>
      </c>
      <c r="B229" s="126">
        <v>72308</v>
      </c>
      <c r="C229" s="126" t="s">
        <v>1324</v>
      </c>
      <c r="D229" s="127" t="s">
        <v>1698</v>
      </c>
      <c r="E229" s="128" t="s">
        <v>81</v>
      </c>
      <c r="F229" s="137">
        <v>9.6</v>
      </c>
      <c r="G229" s="130">
        <v>14.39</v>
      </c>
      <c r="H229" s="128">
        <v>82</v>
      </c>
      <c r="I229" s="116">
        <f t="shared" si="49"/>
        <v>0</v>
      </c>
      <c r="J229" s="374">
        <f t="shared" si="50"/>
        <v>0</v>
      </c>
      <c r="K229" s="137">
        <f t="shared" si="45"/>
        <v>82</v>
      </c>
      <c r="L229" s="131">
        <f t="shared" si="53"/>
        <v>1179.98</v>
      </c>
      <c r="M229" s="131">
        <f t="shared" si="53"/>
        <v>0</v>
      </c>
      <c r="N229" s="131">
        <f t="shared" si="53"/>
        <v>0</v>
      </c>
      <c r="O229" s="131">
        <f t="shared" si="53"/>
        <v>1179.98</v>
      </c>
      <c r="P229" s="136">
        <f t="shared" si="47"/>
        <v>0</v>
      </c>
      <c r="Q229" s="525"/>
      <c r="S229" s="189">
        <v>0</v>
      </c>
      <c r="T229" s="189">
        <v>0</v>
      </c>
      <c r="BT229" s="525"/>
      <c r="BU229" s="523">
        <v>0</v>
      </c>
      <c r="BV229" s="523">
        <v>0</v>
      </c>
      <c r="BW229" s="523"/>
      <c r="BX229" s="523"/>
      <c r="BY229" s="523"/>
      <c r="BZ229" s="523"/>
      <c r="CA229" s="523"/>
      <c r="CB229" s="523"/>
      <c r="CC229" s="523"/>
      <c r="CD229" s="523"/>
      <c r="CE229" s="523"/>
      <c r="CF229" s="523"/>
      <c r="CG229" s="523"/>
      <c r="CH229" s="523"/>
      <c r="CI229" s="523">
        <f t="shared" si="48"/>
        <v>0</v>
      </c>
    </row>
    <row r="230" spans="1:87" x14ac:dyDescent="0.2">
      <c r="A230" s="125" t="s">
        <v>1699</v>
      </c>
      <c r="B230" s="126">
        <v>72309</v>
      </c>
      <c r="C230" s="126" t="s">
        <v>1324</v>
      </c>
      <c r="D230" s="127" t="s">
        <v>1700</v>
      </c>
      <c r="E230" s="128" t="s">
        <v>81</v>
      </c>
      <c r="F230" s="137">
        <v>7.38</v>
      </c>
      <c r="G230" s="130">
        <v>22.92</v>
      </c>
      <c r="H230" s="128">
        <v>13</v>
      </c>
      <c r="I230" s="116">
        <f t="shared" si="49"/>
        <v>0</v>
      </c>
      <c r="J230" s="374">
        <f t="shared" si="50"/>
        <v>0</v>
      </c>
      <c r="K230" s="137">
        <f t="shared" si="45"/>
        <v>13</v>
      </c>
      <c r="L230" s="131">
        <f t="shared" si="53"/>
        <v>297.95999999999998</v>
      </c>
      <c r="M230" s="131">
        <f t="shared" si="53"/>
        <v>0</v>
      </c>
      <c r="N230" s="131">
        <f t="shared" si="53"/>
        <v>0</v>
      </c>
      <c r="O230" s="131">
        <f t="shared" si="53"/>
        <v>297.95999999999998</v>
      </c>
      <c r="P230" s="136">
        <f t="shared" si="47"/>
        <v>0</v>
      </c>
      <c r="Q230" s="525"/>
      <c r="S230" s="189">
        <v>0</v>
      </c>
      <c r="T230" s="189">
        <v>0</v>
      </c>
      <c r="BT230" s="525"/>
      <c r="BU230" s="523">
        <v>0</v>
      </c>
      <c r="BV230" s="523">
        <v>0</v>
      </c>
      <c r="BW230" s="523"/>
      <c r="BX230" s="523"/>
      <c r="BY230" s="523"/>
      <c r="BZ230" s="523"/>
      <c r="CA230" s="523"/>
      <c r="CB230" s="523"/>
      <c r="CC230" s="523"/>
      <c r="CD230" s="523"/>
      <c r="CE230" s="523"/>
      <c r="CF230" s="523"/>
      <c r="CG230" s="523"/>
      <c r="CH230" s="523"/>
      <c r="CI230" s="523">
        <f t="shared" si="48"/>
        <v>0</v>
      </c>
    </row>
    <row r="231" spans="1:87" x14ac:dyDescent="0.2">
      <c r="A231" s="125" t="s">
        <v>2011</v>
      </c>
      <c r="B231" s="126" t="s">
        <v>2012</v>
      </c>
      <c r="C231" s="126" t="s">
        <v>1324</v>
      </c>
      <c r="D231" s="127" t="s">
        <v>1702</v>
      </c>
      <c r="E231" s="128" t="s">
        <v>81</v>
      </c>
      <c r="F231" s="129"/>
      <c r="G231" s="130">
        <v>24.94</v>
      </c>
      <c r="H231" s="128">
        <v>30</v>
      </c>
      <c r="I231" s="116">
        <f t="shared" si="49"/>
        <v>0</v>
      </c>
      <c r="J231" s="374">
        <f t="shared" si="50"/>
        <v>0</v>
      </c>
      <c r="K231" s="137">
        <f t="shared" si="45"/>
        <v>30</v>
      </c>
      <c r="L231" s="131">
        <f t="shared" si="53"/>
        <v>748.2</v>
      </c>
      <c r="M231" s="131">
        <f t="shared" si="53"/>
        <v>0</v>
      </c>
      <c r="N231" s="131">
        <f t="shared" si="53"/>
        <v>0</v>
      </c>
      <c r="O231" s="131">
        <f t="shared" si="53"/>
        <v>748.2</v>
      </c>
      <c r="P231" s="136">
        <f t="shared" si="47"/>
        <v>0</v>
      </c>
      <c r="Q231" s="525"/>
      <c r="S231" s="189">
        <v>0</v>
      </c>
      <c r="T231" s="189">
        <v>0</v>
      </c>
      <c r="BT231" s="525"/>
      <c r="BU231" s="523">
        <v>0</v>
      </c>
      <c r="BV231" s="523">
        <v>0</v>
      </c>
      <c r="BW231" s="523"/>
      <c r="BX231" s="523"/>
      <c r="BY231" s="523"/>
      <c r="BZ231" s="523"/>
      <c r="CA231" s="523"/>
      <c r="CB231" s="523"/>
      <c r="CC231" s="523"/>
      <c r="CD231" s="523"/>
      <c r="CE231" s="523"/>
      <c r="CF231" s="523"/>
      <c r="CG231" s="523"/>
      <c r="CH231" s="523"/>
      <c r="CI231" s="523">
        <f t="shared" si="48"/>
        <v>0</v>
      </c>
    </row>
    <row r="232" spans="1:87" x14ac:dyDescent="0.2">
      <c r="A232" s="125" t="s">
        <v>1703</v>
      </c>
      <c r="B232" s="126" t="s">
        <v>1704</v>
      </c>
      <c r="C232" s="126" t="s">
        <v>1324</v>
      </c>
      <c r="D232" s="127" t="s">
        <v>1705</v>
      </c>
      <c r="E232" s="128" t="s">
        <v>102</v>
      </c>
      <c r="F232" s="137">
        <v>3.06</v>
      </c>
      <c r="G232" s="130">
        <v>23.12</v>
      </c>
      <c r="H232" s="128">
        <v>5</v>
      </c>
      <c r="I232" s="116">
        <f t="shared" si="49"/>
        <v>0</v>
      </c>
      <c r="J232" s="374">
        <f t="shared" si="50"/>
        <v>0</v>
      </c>
      <c r="K232" s="137">
        <f t="shared" si="45"/>
        <v>5</v>
      </c>
      <c r="L232" s="131">
        <f t="shared" si="53"/>
        <v>115.6</v>
      </c>
      <c r="M232" s="131">
        <f t="shared" si="53"/>
        <v>0</v>
      </c>
      <c r="N232" s="131">
        <f t="shared" si="53"/>
        <v>0</v>
      </c>
      <c r="O232" s="131">
        <f t="shared" si="53"/>
        <v>115.6</v>
      </c>
      <c r="P232" s="136">
        <f t="shared" si="47"/>
        <v>0</v>
      </c>
      <c r="Q232" s="525"/>
      <c r="S232" s="189">
        <v>0</v>
      </c>
      <c r="T232" s="189">
        <v>0</v>
      </c>
      <c r="BT232" s="525"/>
      <c r="BU232" s="523">
        <v>0</v>
      </c>
      <c r="BV232" s="523">
        <v>0</v>
      </c>
      <c r="BW232" s="523"/>
      <c r="BX232" s="523"/>
      <c r="BY232" s="523"/>
      <c r="BZ232" s="523"/>
      <c r="CA232" s="523"/>
      <c r="CB232" s="523"/>
      <c r="CC232" s="523"/>
      <c r="CD232" s="523"/>
      <c r="CE232" s="523"/>
      <c r="CF232" s="523"/>
      <c r="CG232" s="523"/>
      <c r="CH232" s="523"/>
      <c r="CI232" s="523">
        <f t="shared" si="48"/>
        <v>0</v>
      </c>
    </row>
    <row r="233" spans="1:87" x14ac:dyDescent="0.2">
      <c r="A233" s="125" t="s">
        <v>1706</v>
      </c>
      <c r="B233" s="126" t="s">
        <v>1707</v>
      </c>
      <c r="C233" s="126" t="s">
        <v>1324</v>
      </c>
      <c r="D233" s="127" t="s">
        <v>1708</v>
      </c>
      <c r="E233" s="128" t="s">
        <v>102</v>
      </c>
      <c r="F233" s="137">
        <v>4.18</v>
      </c>
      <c r="G233" s="130">
        <v>25.34</v>
      </c>
      <c r="H233" s="128">
        <v>5</v>
      </c>
      <c r="I233" s="116">
        <f t="shared" si="49"/>
        <v>0</v>
      </c>
      <c r="J233" s="374">
        <f t="shared" si="50"/>
        <v>0</v>
      </c>
      <c r="K233" s="137">
        <f t="shared" si="45"/>
        <v>5</v>
      </c>
      <c r="L233" s="131">
        <f t="shared" si="53"/>
        <v>126.7</v>
      </c>
      <c r="M233" s="131">
        <f t="shared" si="53"/>
        <v>0</v>
      </c>
      <c r="N233" s="131">
        <f t="shared" si="53"/>
        <v>0</v>
      </c>
      <c r="O233" s="131">
        <f t="shared" si="53"/>
        <v>126.7</v>
      </c>
      <c r="P233" s="136">
        <f t="shared" si="47"/>
        <v>0</v>
      </c>
      <c r="Q233" s="525"/>
      <c r="S233" s="189">
        <v>0</v>
      </c>
      <c r="T233" s="189">
        <v>0</v>
      </c>
      <c r="BT233" s="525"/>
      <c r="BU233" s="523">
        <v>0</v>
      </c>
      <c r="BV233" s="523">
        <v>0</v>
      </c>
      <c r="BW233" s="523"/>
      <c r="BX233" s="523"/>
      <c r="BY233" s="523"/>
      <c r="BZ233" s="523"/>
      <c r="CA233" s="523"/>
      <c r="CB233" s="523"/>
      <c r="CC233" s="523"/>
      <c r="CD233" s="523"/>
      <c r="CE233" s="523"/>
      <c r="CF233" s="523"/>
      <c r="CG233" s="523"/>
      <c r="CH233" s="523"/>
      <c r="CI233" s="523">
        <f t="shared" si="48"/>
        <v>0</v>
      </c>
    </row>
    <row r="234" spans="1:87" x14ac:dyDescent="0.2">
      <c r="A234" s="125" t="s">
        <v>1709</v>
      </c>
      <c r="B234" s="126" t="s">
        <v>1704</v>
      </c>
      <c r="C234" s="126" t="s">
        <v>1324</v>
      </c>
      <c r="D234" s="127" t="s">
        <v>1710</v>
      </c>
      <c r="E234" s="128" t="s">
        <v>102</v>
      </c>
      <c r="F234" s="137">
        <v>6.7</v>
      </c>
      <c r="G234" s="130">
        <v>25.88</v>
      </c>
      <c r="H234" s="128">
        <v>4</v>
      </c>
      <c r="I234" s="116">
        <f t="shared" si="49"/>
        <v>0</v>
      </c>
      <c r="J234" s="374">
        <f t="shared" si="50"/>
        <v>0</v>
      </c>
      <c r="K234" s="137">
        <f t="shared" si="45"/>
        <v>4</v>
      </c>
      <c r="L234" s="131">
        <f t="shared" si="53"/>
        <v>103.52</v>
      </c>
      <c r="M234" s="131">
        <f t="shared" si="53"/>
        <v>0</v>
      </c>
      <c r="N234" s="131">
        <f t="shared" si="53"/>
        <v>0</v>
      </c>
      <c r="O234" s="131">
        <f t="shared" si="53"/>
        <v>103.52</v>
      </c>
      <c r="P234" s="136">
        <f t="shared" si="47"/>
        <v>0</v>
      </c>
      <c r="Q234" s="525"/>
      <c r="S234" s="189">
        <v>0</v>
      </c>
      <c r="T234" s="189">
        <v>0</v>
      </c>
      <c r="BT234" s="525"/>
      <c r="BU234" s="523">
        <v>0</v>
      </c>
      <c r="BV234" s="523">
        <v>0</v>
      </c>
      <c r="BW234" s="523"/>
      <c r="BX234" s="523"/>
      <c r="BY234" s="523"/>
      <c r="BZ234" s="523"/>
      <c r="CA234" s="523"/>
      <c r="CB234" s="523"/>
      <c r="CC234" s="523"/>
      <c r="CD234" s="523"/>
      <c r="CE234" s="523"/>
      <c r="CF234" s="523"/>
      <c r="CG234" s="523"/>
      <c r="CH234" s="523"/>
      <c r="CI234" s="523">
        <f t="shared" si="48"/>
        <v>0</v>
      </c>
    </row>
    <row r="235" spans="1:87" x14ac:dyDescent="0.2">
      <c r="A235" s="125" t="s">
        <v>1711</v>
      </c>
      <c r="B235" s="126" t="s">
        <v>1712</v>
      </c>
      <c r="C235" s="126" t="s">
        <v>1324</v>
      </c>
      <c r="D235" s="127" t="s">
        <v>1713</v>
      </c>
      <c r="E235" s="128" t="s">
        <v>102</v>
      </c>
      <c r="F235" s="137">
        <v>12.3</v>
      </c>
      <c r="G235" s="130">
        <v>26.28</v>
      </c>
      <c r="H235" s="128">
        <v>1</v>
      </c>
      <c r="I235" s="116">
        <f t="shared" si="49"/>
        <v>0</v>
      </c>
      <c r="J235" s="374">
        <f t="shared" si="50"/>
        <v>0</v>
      </c>
      <c r="K235" s="137">
        <f t="shared" si="45"/>
        <v>1</v>
      </c>
      <c r="L235" s="131">
        <f t="shared" si="53"/>
        <v>26.28</v>
      </c>
      <c r="M235" s="131">
        <f t="shared" si="53"/>
        <v>0</v>
      </c>
      <c r="N235" s="131">
        <f t="shared" si="53"/>
        <v>0</v>
      </c>
      <c r="O235" s="131">
        <f t="shared" si="53"/>
        <v>26.28</v>
      </c>
      <c r="P235" s="136">
        <f t="shared" si="47"/>
        <v>0</v>
      </c>
      <c r="Q235" s="525"/>
      <c r="S235" s="189">
        <v>0</v>
      </c>
      <c r="T235" s="189">
        <v>0</v>
      </c>
      <c r="BT235" s="525"/>
      <c r="BU235" s="523">
        <v>0</v>
      </c>
      <c r="BV235" s="523">
        <v>0</v>
      </c>
      <c r="BW235" s="523"/>
      <c r="BX235" s="523"/>
      <c r="BY235" s="523"/>
      <c r="BZ235" s="523"/>
      <c r="CA235" s="523"/>
      <c r="CB235" s="523"/>
      <c r="CC235" s="523"/>
      <c r="CD235" s="523"/>
      <c r="CE235" s="523"/>
      <c r="CF235" s="523"/>
      <c r="CG235" s="523"/>
      <c r="CH235" s="523"/>
      <c r="CI235" s="523">
        <f t="shared" si="48"/>
        <v>0</v>
      </c>
    </row>
    <row r="236" spans="1:87" x14ac:dyDescent="0.2">
      <c r="A236" s="125" t="s">
        <v>1714</v>
      </c>
      <c r="B236" s="126" t="s">
        <v>1715</v>
      </c>
      <c r="C236" s="126" t="s">
        <v>1343</v>
      </c>
      <c r="D236" s="127" t="s">
        <v>1716</v>
      </c>
      <c r="E236" s="128" t="s">
        <v>102</v>
      </c>
      <c r="F236" s="137">
        <v>33.06</v>
      </c>
      <c r="G236" s="130">
        <v>1.94</v>
      </c>
      <c r="H236" s="128">
        <v>50</v>
      </c>
      <c r="I236" s="116">
        <f t="shared" si="49"/>
        <v>0</v>
      </c>
      <c r="J236" s="374">
        <f t="shared" si="50"/>
        <v>0</v>
      </c>
      <c r="K236" s="137">
        <f t="shared" si="45"/>
        <v>50</v>
      </c>
      <c r="L236" s="131">
        <f t="shared" si="53"/>
        <v>97</v>
      </c>
      <c r="M236" s="131">
        <f t="shared" si="53"/>
        <v>0</v>
      </c>
      <c r="N236" s="131">
        <f t="shared" si="53"/>
        <v>0</v>
      </c>
      <c r="O236" s="131">
        <f t="shared" si="53"/>
        <v>97</v>
      </c>
      <c r="P236" s="136">
        <f t="shared" si="47"/>
        <v>0</v>
      </c>
      <c r="Q236" s="525"/>
      <c r="S236" s="189">
        <v>0</v>
      </c>
      <c r="T236" s="189">
        <v>0</v>
      </c>
      <c r="BT236" s="525"/>
      <c r="BU236" s="523">
        <v>0</v>
      </c>
      <c r="BV236" s="523">
        <v>0</v>
      </c>
      <c r="BW236" s="523"/>
      <c r="BX236" s="523"/>
      <c r="BY236" s="523"/>
      <c r="BZ236" s="523"/>
      <c r="CA236" s="523"/>
      <c r="CB236" s="523"/>
      <c r="CC236" s="523"/>
      <c r="CD236" s="523"/>
      <c r="CE236" s="523"/>
      <c r="CF236" s="523"/>
      <c r="CG236" s="523"/>
      <c r="CH236" s="523"/>
      <c r="CI236" s="523">
        <f t="shared" si="48"/>
        <v>0</v>
      </c>
    </row>
    <row r="237" spans="1:87" x14ac:dyDescent="0.2">
      <c r="A237" s="125" t="s">
        <v>1717</v>
      </c>
      <c r="B237" s="126" t="s">
        <v>1715</v>
      </c>
      <c r="C237" s="126" t="s">
        <v>1343</v>
      </c>
      <c r="D237" s="127" t="s">
        <v>1718</v>
      </c>
      <c r="E237" s="128" t="s">
        <v>102</v>
      </c>
      <c r="F237" s="137">
        <v>4.53</v>
      </c>
      <c r="G237" s="130">
        <v>2.19</v>
      </c>
      <c r="H237" s="128">
        <v>4</v>
      </c>
      <c r="I237" s="116">
        <f t="shared" si="49"/>
        <v>0</v>
      </c>
      <c r="J237" s="374">
        <f t="shared" si="50"/>
        <v>0</v>
      </c>
      <c r="K237" s="137">
        <f t="shared" si="45"/>
        <v>4</v>
      </c>
      <c r="L237" s="131">
        <f t="shared" si="53"/>
        <v>8.76</v>
      </c>
      <c r="M237" s="131">
        <f t="shared" si="53"/>
        <v>0</v>
      </c>
      <c r="N237" s="131">
        <f t="shared" si="53"/>
        <v>0</v>
      </c>
      <c r="O237" s="131">
        <f t="shared" si="53"/>
        <v>8.76</v>
      </c>
      <c r="P237" s="136">
        <f t="shared" si="47"/>
        <v>0</v>
      </c>
      <c r="Q237" s="525"/>
      <c r="S237" s="189">
        <v>0</v>
      </c>
      <c r="T237" s="189">
        <v>0</v>
      </c>
      <c r="BT237" s="525"/>
      <c r="BU237" s="523">
        <v>0</v>
      </c>
      <c r="BV237" s="523">
        <v>0</v>
      </c>
      <c r="BW237" s="523"/>
      <c r="BX237" s="523"/>
      <c r="BY237" s="523"/>
      <c r="BZ237" s="523"/>
      <c r="CA237" s="523"/>
      <c r="CB237" s="523"/>
      <c r="CC237" s="523"/>
      <c r="CD237" s="523"/>
      <c r="CE237" s="523"/>
      <c r="CF237" s="523"/>
      <c r="CG237" s="523"/>
      <c r="CH237" s="523"/>
      <c r="CI237" s="523">
        <f t="shared" si="48"/>
        <v>0</v>
      </c>
    </row>
    <row r="238" spans="1:87" x14ac:dyDescent="0.2">
      <c r="A238" s="125" t="s">
        <v>1719</v>
      </c>
      <c r="B238" s="126" t="s">
        <v>1715</v>
      </c>
      <c r="C238" s="126" t="s">
        <v>1343</v>
      </c>
      <c r="D238" s="127" t="s">
        <v>1720</v>
      </c>
      <c r="E238" s="128" t="s">
        <v>102</v>
      </c>
      <c r="F238" s="129"/>
      <c r="G238" s="130">
        <v>2.4</v>
      </c>
      <c r="H238" s="128">
        <v>4</v>
      </c>
      <c r="I238" s="116">
        <f t="shared" si="49"/>
        <v>0</v>
      </c>
      <c r="J238" s="374">
        <f t="shared" si="50"/>
        <v>0</v>
      </c>
      <c r="K238" s="129">
        <f t="shared" si="45"/>
        <v>4</v>
      </c>
      <c r="L238" s="131">
        <f t="shared" si="53"/>
        <v>9.6</v>
      </c>
      <c r="M238" s="131">
        <f t="shared" si="53"/>
        <v>0</v>
      </c>
      <c r="N238" s="131">
        <f t="shared" si="53"/>
        <v>0</v>
      </c>
      <c r="O238" s="131">
        <f t="shared" si="53"/>
        <v>9.6</v>
      </c>
      <c r="P238" s="136">
        <f t="shared" si="47"/>
        <v>0</v>
      </c>
      <c r="Q238" s="525"/>
      <c r="S238" s="189">
        <v>0</v>
      </c>
      <c r="T238" s="189">
        <v>0</v>
      </c>
      <c r="BT238" s="525"/>
      <c r="BU238" s="523">
        <v>0</v>
      </c>
      <c r="BV238" s="523">
        <v>0</v>
      </c>
      <c r="BW238" s="523"/>
      <c r="BX238" s="523"/>
      <c r="BY238" s="523"/>
      <c r="BZ238" s="523"/>
      <c r="CA238" s="523"/>
      <c r="CB238" s="523"/>
      <c r="CC238" s="523"/>
      <c r="CD238" s="523"/>
      <c r="CE238" s="523"/>
      <c r="CF238" s="523"/>
      <c r="CG238" s="523"/>
      <c r="CH238" s="523"/>
      <c r="CI238" s="523">
        <f t="shared" si="48"/>
        <v>0</v>
      </c>
    </row>
    <row r="239" spans="1:87" x14ac:dyDescent="0.2">
      <c r="A239" s="125" t="s">
        <v>1721</v>
      </c>
      <c r="B239" s="126">
        <v>73542</v>
      </c>
      <c r="C239" s="126" t="s">
        <v>1324</v>
      </c>
      <c r="D239" s="127" t="s">
        <v>1722</v>
      </c>
      <c r="E239" s="128" t="s">
        <v>1723</v>
      </c>
      <c r="F239" s="137">
        <v>5.76</v>
      </c>
      <c r="G239" s="130">
        <v>0.73</v>
      </c>
      <c r="H239" s="128">
        <v>15</v>
      </c>
      <c r="I239" s="116">
        <f t="shared" si="49"/>
        <v>0</v>
      </c>
      <c r="J239" s="374">
        <f t="shared" si="50"/>
        <v>0</v>
      </c>
      <c r="K239" s="137">
        <f t="shared" si="45"/>
        <v>15</v>
      </c>
      <c r="L239" s="131">
        <f t="shared" si="53"/>
        <v>10.95</v>
      </c>
      <c r="M239" s="131">
        <f t="shared" si="53"/>
        <v>0</v>
      </c>
      <c r="N239" s="131">
        <f t="shared" si="53"/>
        <v>0</v>
      </c>
      <c r="O239" s="131">
        <f t="shared" si="53"/>
        <v>10.95</v>
      </c>
      <c r="P239" s="136">
        <f t="shared" si="47"/>
        <v>0</v>
      </c>
      <c r="Q239" s="525"/>
      <c r="S239" s="189">
        <v>0</v>
      </c>
      <c r="T239" s="189">
        <v>0</v>
      </c>
      <c r="BT239" s="525"/>
      <c r="BU239" s="523">
        <v>0</v>
      </c>
      <c r="BV239" s="523">
        <v>0</v>
      </c>
      <c r="BW239" s="523"/>
      <c r="BX239" s="523"/>
      <c r="BY239" s="523"/>
      <c r="BZ239" s="523"/>
      <c r="CA239" s="523"/>
      <c r="CB239" s="523"/>
      <c r="CC239" s="523"/>
      <c r="CD239" s="523"/>
      <c r="CE239" s="523"/>
      <c r="CF239" s="523"/>
      <c r="CG239" s="523"/>
      <c r="CH239" s="523"/>
      <c r="CI239" s="523">
        <f t="shared" si="48"/>
        <v>0</v>
      </c>
    </row>
    <row r="240" spans="1:87" x14ac:dyDescent="0.2">
      <c r="A240" s="125" t="s">
        <v>1724</v>
      </c>
      <c r="B240" s="126">
        <v>84158</v>
      </c>
      <c r="C240" s="126" t="s">
        <v>1324</v>
      </c>
      <c r="D240" s="127" t="s">
        <v>1725</v>
      </c>
      <c r="E240" s="128" t="s">
        <v>1723</v>
      </c>
      <c r="F240" s="137">
        <v>8.1999999999999993</v>
      </c>
      <c r="G240" s="130">
        <v>1.42</v>
      </c>
      <c r="H240" s="128">
        <v>2</v>
      </c>
      <c r="I240" s="116">
        <f t="shared" si="49"/>
        <v>0</v>
      </c>
      <c r="J240" s="374">
        <f t="shared" si="50"/>
        <v>0</v>
      </c>
      <c r="K240" s="137">
        <f t="shared" si="45"/>
        <v>2</v>
      </c>
      <c r="L240" s="131">
        <f t="shared" si="53"/>
        <v>2.84</v>
      </c>
      <c r="M240" s="131">
        <f t="shared" si="53"/>
        <v>0</v>
      </c>
      <c r="N240" s="131">
        <f t="shared" si="53"/>
        <v>0</v>
      </c>
      <c r="O240" s="131">
        <f t="shared" si="53"/>
        <v>2.84</v>
      </c>
      <c r="P240" s="136">
        <f t="shared" si="47"/>
        <v>0</v>
      </c>
      <c r="Q240" s="525"/>
      <c r="S240" s="189">
        <v>0</v>
      </c>
      <c r="T240" s="189">
        <v>0</v>
      </c>
      <c r="BT240" s="525"/>
      <c r="BU240" s="523">
        <v>0</v>
      </c>
      <c r="BV240" s="523">
        <v>0</v>
      </c>
      <c r="BW240" s="523"/>
      <c r="BX240" s="523"/>
      <c r="BY240" s="523"/>
      <c r="BZ240" s="523"/>
      <c r="CA240" s="523"/>
      <c r="CB240" s="523"/>
      <c r="CC240" s="523"/>
      <c r="CD240" s="523"/>
      <c r="CE240" s="523"/>
      <c r="CF240" s="523"/>
      <c r="CG240" s="523"/>
      <c r="CH240" s="523"/>
      <c r="CI240" s="523">
        <f t="shared" si="48"/>
        <v>0</v>
      </c>
    </row>
    <row r="241" spans="1:87" x14ac:dyDescent="0.2">
      <c r="A241" s="125" t="s">
        <v>1726</v>
      </c>
      <c r="B241" s="126">
        <v>84159</v>
      </c>
      <c r="C241" s="126" t="s">
        <v>1324</v>
      </c>
      <c r="D241" s="127" t="s">
        <v>1727</v>
      </c>
      <c r="E241" s="128" t="s">
        <v>1723</v>
      </c>
      <c r="F241" s="137">
        <v>13.75</v>
      </c>
      <c r="G241" s="130">
        <v>3.16</v>
      </c>
      <c r="H241" s="128">
        <v>1</v>
      </c>
      <c r="I241" s="116">
        <f t="shared" si="49"/>
        <v>0</v>
      </c>
      <c r="J241" s="374">
        <f t="shared" si="50"/>
        <v>0</v>
      </c>
      <c r="K241" s="137">
        <f t="shared" si="45"/>
        <v>1</v>
      </c>
      <c r="L241" s="131">
        <f t="shared" si="53"/>
        <v>3.16</v>
      </c>
      <c r="M241" s="131">
        <f t="shared" si="53"/>
        <v>0</v>
      </c>
      <c r="N241" s="131">
        <f t="shared" si="53"/>
        <v>0</v>
      </c>
      <c r="O241" s="131">
        <f t="shared" si="53"/>
        <v>3.16</v>
      </c>
      <c r="P241" s="136">
        <f t="shared" si="47"/>
        <v>0</v>
      </c>
      <c r="Q241" s="525"/>
      <c r="S241" s="189">
        <v>0</v>
      </c>
      <c r="T241" s="189">
        <v>0</v>
      </c>
      <c r="BT241" s="525"/>
      <c r="BU241" s="523">
        <v>0</v>
      </c>
      <c r="BV241" s="523">
        <v>0</v>
      </c>
      <c r="BW241" s="523"/>
      <c r="BX241" s="523"/>
      <c r="BY241" s="523"/>
      <c r="BZ241" s="523"/>
      <c r="CA241" s="523"/>
      <c r="CB241" s="523"/>
      <c r="CC241" s="523"/>
      <c r="CD241" s="523"/>
      <c r="CE241" s="523"/>
      <c r="CF241" s="523"/>
      <c r="CG241" s="523"/>
      <c r="CH241" s="523"/>
      <c r="CI241" s="523">
        <f t="shared" si="48"/>
        <v>0</v>
      </c>
    </row>
    <row r="242" spans="1:87" x14ac:dyDescent="0.2">
      <c r="A242" s="125" t="s">
        <v>1728</v>
      </c>
      <c r="B242" s="126">
        <v>92695</v>
      </c>
      <c r="C242" s="126" t="s">
        <v>1324</v>
      </c>
      <c r="D242" s="127" t="s">
        <v>1729</v>
      </c>
      <c r="E242" s="128" t="s">
        <v>102</v>
      </c>
      <c r="F242" s="137">
        <v>27.72</v>
      </c>
      <c r="G242" s="130">
        <v>14</v>
      </c>
      <c r="H242" s="128">
        <v>15</v>
      </c>
      <c r="I242" s="116">
        <f t="shared" si="49"/>
        <v>0</v>
      </c>
      <c r="J242" s="374">
        <f t="shared" si="50"/>
        <v>0</v>
      </c>
      <c r="K242" s="137">
        <f t="shared" si="45"/>
        <v>15</v>
      </c>
      <c r="L242" s="131">
        <f t="shared" si="53"/>
        <v>210</v>
      </c>
      <c r="M242" s="131">
        <f t="shared" si="53"/>
        <v>0</v>
      </c>
      <c r="N242" s="131">
        <f t="shared" si="53"/>
        <v>0</v>
      </c>
      <c r="O242" s="131">
        <f t="shared" si="53"/>
        <v>210</v>
      </c>
      <c r="P242" s="136">
        <f t="shared" si="47"/>
        <v>0</v>
      </c>
      <c r="Q242" s="525"/>
      <c r="S242" s="189">
        <v>0</v>
      </c>
      <c r="T242" s="189">
        <v>0</v>
      </c>
      <c r="BT242" s="525"/>
      <c r="BU242" s="523">
        <v>0</v>
      </c>
      <c r="BV242" s="523">
        <v>0</v>
      </c>
      <c r="BW242" s="523"/>
      <c r="BX242" s="523"/>
      <c r="BY242" s="523"/>
      <c r="BZ242" s="523"/>
      <c r="CA242" s="523"/>
      <c r="CB242" s="523"/>
      <c r="CC242" s="523"/>
      <c r="CD242" s="523"/>
      <c r="CE242" s="523"/>
      <c r="CF242" s="523"/>
      <c r="CG242" s="523"/>
      <c r="CH242" s="523"/>
      <c r="CI242" s="523">
        <f t="shared" si="48"/>
        <v>0</v>
      </c>
    </row>
    <row r="243" spans="1:87" x14ac:dyDescent="0.2">
      <c r="A243" s="125" t="s">
        <v>1730</v>
      </c>
      <c r="B243" s="126">
        <v>92697</v>
      </c>
      <c r="C243" s="126" t="s">
        <v>1324</v>
      </c>
      <c r="D243" s="127" t="s">
        <v>1731</v>
      </c>
      <c r="E243" s="128" t="s">
        <v>102</v>
      </c>
      <c r="F243" s="137">
        <v>71.03</v>
      </c>
      <c r="G243" s="130">
        <v>22.66</v>
      </c>
      <c r="H243" s="128">
        <v>2</v>
      </c>
      <c r="I243" s="116">
        <f t="shared" si="49"/>
        <v>0</v>
      </c>
      <c r="J243" s="374">
        <f t="shared" si="50"/>
        <v>0</v>
      </c>
      <c r="K243" s="137">
        <f t="shared" si="45"/>
        <v>2</v>
      </c>
      <c r="L243" s="131">
        <f t="shared" si="53"/>
        <v>45.32</v>
      </c>
      <c r="M243" s="131">
        <f t="shared" si="53"/>
        <v>0</v>
      </c>
      <c r="N243" s="131">
        <f t="shared" si="53"/>
        <v>0</v>
      </c>
      <c r="O243" s="131">
        <f t="shared" si="53"/>
        <v>45.32</v>
      </c>
      <c r="P243" s="136">
        <f t="shared" si="47"/>
        <v>0</v>
      </c>
      <c r="Q243" s="525"/>
      <c r="S243" s="189">
        <v>0</v>
      </c>
      <c r="T243" s="189">
        <v>0</v>
      </c>
      <c r="BT243" s="525"/>
      <c r="BU243" s="523">
        <v>0</v>
      </c>
      <c r="BV243" s="523">
        <v>0</v>
      </c>
      <c r="BW243" s="523"/>
      <c r="BX243" s="523"/>
      <c r="BY243" s="523"/>
      <c r="BZ243" s="523"/>
      <c r="CA243" s="523"/>
      <c r="CB243" s="523"/>
      <c r="CC243" s="523"/>
      <c r="CD243" s="523"/>
      <c r="CE243" s="523"/>
      <c r="CF243" s="523"/>
      <c r="CG243" s="523"/>
      <c r="CH243" s="523"/>
      <c r="CI243" s="523">
        <f t="shared" si="48"/>
        <v>0</v>
      </c>
    </row>
    <row r="244" spans="1:87" x14ac:dyDescent="0.2">
      <c r="A244" s="125" t="s">
        <v>1732</v>
      </c>
      <c r="B244" s="126">
        <v>92662</v>
      </c>
      <c r="C244" s="126" t="s">
        <v>1324</v>
      </c>
      <c r="D244" s="127" t="s">
        <v>1733</v>
      </c>
      <c r="E244" s="128" t="s">
        <v>102</v>
      </c>
      <c r="F244" s="137">
        <v>12.99</v>
      </c>
      <c r="G244" s="130">
        <v>22.38</v>
      </c>
      <c r="H244" s="128">
        <v>1</v>
      </c>
      <c r="I244" s="116">
        <f t="shared" si="49"/>
        <v>0</v>
      </c>
      <c r="J244" s="374">
        <f t="shared" si="50"/>
        <v>0</v>
      </c>
      <c r="K244" s="137">
        <f t="shared" si="45"/>
        <v>1</v>
      </c>
      <c r="L244" s="131">
        <f t="shared" si="53"/>
        <v>22.38</v>
      </c>
      <c r="M244" s="131">
        <f t="shared" si="53"/>
        <v>0</v>
      </c>
      <c r="N244" s="131">
        <f t="shared" si="53"/>
        <v>0</v>
      </c>
      <c r="O244" s="131">
        <f t="shared" si="53"/>
        <v>22.38</v>
      </c>
      <c r="P244" s="136">
        <f t="shared" si="47"/>
        <v>0</v>
      </c>
      <c r="Q244" s="525"/>
      <c r="S244" s="189">
        <v>0</v>
      </c>
      <c r="T244" s="189">
        <v>0</v>
      </c>
      <c r="BT244" s="525"/>
      <c r="BU244" s="523">
        <v>0</v>
      </c>
      <c r="BV244" s="523">
        <v>0</v>
      </c>
      <c r="BW244" s="523"/>
      <c r="BX244" s="523"/>
      <c r="BY244" s="523"/>
      <c r="BZ244" s="523"/>
      <c r="CA244" s="523"/>
      <c r="CB244" s="523"/>
      <c r="CC244" s="523"/>
      <c r="CD244" s="523"/>
      <c r="CE244" s="523"/>
      <c r="CF244" s="523"/>
      <c r="CG244" s="523"/>
      <c r="CH244" s="523"/>
      <c r="CI244" s="523">
        <f t="shared" si="48"/>
        <v>0</v>
      </c>
    </row>
    <row r="245" spans="1:87" x14ac:dyDescent="0.2">
      <c r="A245" s="125" t="s">
        <v>1734</v>
      </c>
      <c r="B245" s="126">
        <v>92868</v>
      </c>
      <c r="C245" s="126" t="s">
        <v>1324</v>
      </c>
      <c r="D245" s="127" t="s">
        <v>1735</v>
      </c>
      <c r="E245" s="128" t="s">
        <v>102</v>
      </c>
      <c r="F245" s="137">
        <v>14.25</v>
      </c>
      <c r="G245" s="130">
        <v>9.5299999999999994</v>
      </c>
      <c r="H245" s="128">
        <v>16</v>
      </c>
      <c r="I245" s="116">
        <f t="shared" si="49"/>
        <v>0</v>
      </c>
      <c r="J245" s="374">
        <f t="shared" si="50"/>
        <v>0</v>
      </c>
      <c r="K245" s="137">
        <f t="shared" si="45"/>
        <v>16</v>
      </c>
      <c r="L245" s="131">
        <f t="shared" si="53"/>
        <v>152.47999999999999</v>
      </c>
      <c r="M245" s="131">
        <f t="shared" si="53"/>
        <v>0</v>
      </c>
      <c r="N245" s="131">
        <f t="shared" si="53"/>
        <v>0</v>
      </c>
      <c r="O245" s="131">
        <f t="shared" si="53"/>
        <v>152.47999999999999</v>
      </c>
      <c r="P245" s="136">
        <f t="shared" si="47"/>
        <v>0</v>
      </c>
      <c r="Q245" s="525"/>
      <c r="S245" s="189">
        <v>0</v>
      </c>
      <c r="T245" s="189">
        <v>0</v>
      </c>
      <c r="BT245" s="525"/>
      <c r="BU245" s="523">
        <v>0</v>
      </c>
      <c r="BV245" s="523">
        <v>0</v>
      </c>
      <c r="BW245" s="523"/>
      <c r="BX245" s="523"/>
      <c r="BY245" s="523"/>
      <c r="BZ245" s="523"/>
      <c r="CA245" s="523"/>
      <c r="CB245" s="523"/>
      <c r="CC245" s="523"/>
      <c r="CD245" s="523"/>
      <c r="CE245" s="523"/>
      <c r="CF245" s="523"/>
      <c r="CG245" s="523"/>
      <c r="CH245" s="523"/>
      <c r="CI245" s="523">
        <f t="shared" si="48"/>
        <v>0</v>
      </c>
    </row>
    <row r="246" spans="1:87" s="514" customFormat="1" ht="25.5" x14ac:dyDescent="0.2">
      <c r="A246" s="125" t="s">
        <v>1736</v>
      </c>
      <c r="B246" s="126">
        <v>92865</v>
      </c>
      <c r="C246" s="126" t="s">
        <v>1324</v>
      </c>
      <c r="D246" s="127" t="s">
        <v>1737</v>
      </c>
      <c r="E246" s="128" t="s">
        <v>102</v>
      </c>
      <c r="F246" s="137">
        <v>13.19</v>
      </c>
      <c r="G246" s="130">
        <v>6.13</v>
      </c>
      <c r="H246" s="128">
        <v>7</v>
      </c>
      <c r="I246" s="116">
        <f t="shared" si="49"/>
        <v>0</v>
      </c>
      <c r="J246" s="374">
        <f t="shared" si="50"/>
        <v>0</v>
      </c>
      <c r="K246" s="137">
        <f t="shared" si="45"/>
        <v>7</v>
      </c>
      <c r="L246" s="131">
        <f t="shared" si="53"/>
        <v>42.91</v>
      </c>
      <c r="M246" s="131">
        <f t="shared" si="53"/>
        <v>0</v>
      </c>
      <c r="N246" s="131">
        <f t="shared" si="53"/>
        <v>0</v>
      </c>
      <c r="O246" s="131">
        <f t="shared" si="53"/>
        <v>42.91</v>
      </c>
      <c r="P246" s="136">
        <f t="shared" si="47"/>
        <v>0</v>
      </c>
      <c r="Q246" s="525"/>
      <c r="S246" s="190">
        <v>0</v>
      </c>
      <c r="T246" s="190">
        <v>0</v>
      </c>
      <c r="BT246" s="525"/>
      <c r="BU246" s="523">
        <v>0</v>
      </c>
      <c r="BV246" s="523">
        <v>0</v>
      </c>
      <c r="BW246" s="523"/>
      <c r="BX246" s="523"/>
      <c r="BY246" s="523"/>
      <c r="BZ246" s="523"/>
      <c r="CA246" s="523"/>
      <c r="CB246" s="523"/>
      <c r="CC246" s="523"/>
      <c r="CD246" s="523"/>
      <c r="CE246" s="523"/>
      <c r="CF246" s="523"/>
      <c r="CG246" s="523"/>
      <c r="CH246" s="523"/>
      <c r="CI246" s="523">
        <f t="shared" si="48"/>
        <v>0</v>
      </c>
    </row>
    <row r="247" spans="1:87" x14ac:dyDescent="0.2">
      <c r="A247" s="449" t="s">
        <v>634</v>
      </c>
      <c r="B247" s="450"/>
      <c r="C247" s="450"/>
      <c r="D247" s="451" t="s">
        <v>1738</v>
      </c>
      <c r="E247" s="452"/>
      <c r="F247" s="452"/>
      <c r="G247" s="452"/>
      <c r="H247" s="452"/>
      <c r="I247" s="452"/>
      <c r="J247" s="452"/>
      <c r="K247" s="452"/>
      <c r="L247" s="452">
        <f>SUM(L248:L251)</f>
        <v>4345.79</v>
      </c>
      <c r="M247" s="452">
        <f>SUM(M248:M251)</f>
        <v>0</v>
      </c>
      <c r="N247" s="452">
        <f>SUM(N248:N251)</f>
        <v>0</v>
      </c>
      <c r="O247" s="452">
        <f>SUM(O248:O251)</f>
        <v>4345.79</v>
      </c>
      <c r="P247" s="459">
        <f t="shared" si="47"/>
        <v>0</v>
      </c>
      <c r="Q247" s="525"/>
      <c r="S247" s="189">
        <v>0</v>
      </c>
      <c r="T247" s="189">
        <v>0</v>
      </c>
      <c r="BT247" s="525"/>
      <c r="BU247" s="523"/>
      <c r="BV247" s="523"/>
      <c r="BW247" s="523"/>
      <c r="BX247" s="523"/>
      <c r="BY247" s="523"/>
      <c r="BZ247" s="523"/>
      <c r="CA247" s="523"/>
      <c r="CB247" s="523"/>
      <c r="CC247" s="523"/>
      <c r="CD247" s="523"/>
      <c r="CE247" s="523"/>
      <c r="CF247" s="523"/>
      <c r="CG247" s="523"/>
      <c r="CH247" s="523"/>
      <c r="CI247" s="523">
        <f t="shared" si="48"/>
        <v>0</v>
      </c>
    </row>
    <row r="248" spans="1:87" x14ac:dyDescent="0.2">
      <c r="A248" s="125" t="s">
        <v>1739</v>
      </c>
      <c r="B248" s="126">
        <v>91926</v>
      </c>
      <c r="C248" s="126" t="s">
        <v>1324</v>
      </c>
      <c r="D248" s="127" t="s">
        <v>1740</v>
      </c>
      <c r="E248" s="128" t="s">
        <v>81</v>
      </c>
      <c r="F248" s="137">
        <v>26.32</v>
      </c>
      <c r="G248" s="130">
        <v>2.31</v>
      </c>
      <c r="H248" s="128">
        <v>190</v>
      </c>
      <c r="I248" s="116">
        <f t="shared" si="49"/>
        <v>0</v>
      </c>
      <c r="J248" s="374">
        <f t="shared" si="50"/>
        <v>0</v>
      </c>
      <c r="K248" s="137">
        <f t="shared" si="45"/>
        <v>190</v>
      </c>
      <c r="L248" s="131">
        <f t="shared" ref="L248:O251" si="54">ROUND(H248*$G248,2)</f>
        <v>438.9</v>
      </c>
      <c r="M248" s="131">
        <f t="shared" si="54"/>
        <v>0</v>
      </c>
      <c r="N248" s="131">
        <f t="shared" si="54"/>
        <v>0</v>
      </c>
      <c r="O248" s="131">
        <f t="shared" si="54"/>
        <v>438.9</v>
      </c>
      <c r="P248" s="136">
        <f t="shared" si="47"/>
        <v>0</v>
      </c>
      <c r="Q248" s="525"/>
      <c r="S248" s="189">
        <v>0</v>
      </c>
      <c r="T248" s="189">
        <v>0</v>
      </c>
      <c r="BT248" s="525"/>
      <c r="BU248" s="523">
        <v>0</v>
      </c>
      <c r="BV248" s="523">
        <v>0</v>
      </c>
      <c r="BW248" s="523"/>
      <c r="BX248" s="523"/>
      <c r="BY248" s="523"/>
      <c r="BZ248" s="523"/>
      <c r="CA248" s="523"/>
      <c r="CB248" s="523"/>
      <c r="CC248" s="523"/>
      <c r="CD248" s="523"/>
      <c r="CE248" s="523"/>
      <c r="CF248" s="523"/>
      <c r="CG248" s="523"/>
      <c r="CH248" s="523"/>
      <c r="CI248" s="523">
        <f t="shared" si="48"/>
        <v>0</v>
      </c>
    </row>
    <row r="249" spans="1:87" x14ac:dyDescent="0.2">
      <c r="A249" s="125" t="s">
        <v>1741</v>
      </c>
      <c r="B249" s="126">
        <v>91928</v>
      </c>
      <c r="C249" s="126" t="s">
        <v>1324</v>
      </c>
      <c r="D249" s="127" t="s">
        <v>1742</v>
      </c>
      <c r="E249" s="128" t="s">
        <v>81</v>
      </c>
      <c r="F249" s="137">
        <v>61.2</v>
      </c>
      <c r="G249" s="130">
        <v>3.64</v>
      </c>
      <c r="H249" s="128">
        <v>820</v>
      </c>
      <c r="I249" s="116">
        <f t="shared" si="49"/>
        <v>0</v>
      </c>
      <c r="J249" s="374">
        <f t="shared" si="50"/>
        <v>0</v>
      </c>
      <c r="K249" s="137">
        <f t="shared" si="45"/>
        <v>820</v>
      </c>
      <c r="L249" s="131">
        <f t="shared" si="54"/>
        <v>2984.8</v>
      </c>
      <c r="M249" s="131">
        <f t="shared" si="54"/>
        <v>0</v>
      </c>
      <c r="N249" s="131">
        <f t="shared" si="54"/>
        <v>0</v>
      </c>
      <c r="O249" s="131">
        <f t="shared" si="54"/>
        <v>2984.8</v>
      </c>
      <c r="P249" s="136">
        <f t="shared" si="47"/>
        <v>0</v>
      </c>
      <c r="Q249" s="525"/>
      <c r="S249" s="189">
        <v>0</v>
      </c>
      <c r="T249" s="189">
        <v>0</v>
      </c>
      <c r="BT249" s="525"/>
      <c r="BU249" s="523">
        <v>0</v>
      </c>
      <c r="BV249" s="523">
        <v>0</v>
      </c>
      <c r="BW249" s="523"/>
      <c r="BX249" s="523"/>
      <c r="BY249" s="523"/>
      <c r="BZ249" s="523"/>
      <c r="CA249" s="523"/>
      <c r="CB249" s="523"/>
      <c r="CC249" s="523"/>
      <c r="CD249" s="523"/>
      <c r="CE249" s="523"/>
      <c r="CF249" s="523"/>
      <c r="CG249" s="523"/>
      <c r="CH249" s="523"/>
      <c r="CI249" s="523">
        <f t="shared" si="48"/>
        <v>0</v>
      </c>
    </row>
    <row r="250" spans="1:87" x14ac:dyDescent="0.2">
      <c r="A250" s="125" t="s">
        <v>1743</v>
      </c>
      <c r="B250" s="126">
        <v>91934</v>
      </c>
      <c r="C250" s="126" t="s">
        <v>1324</v>
      </c>
      <c r="D250" s="127" t="s">
        <v>1744</v>
      </c>
      <c r="E250" s="128" t="s">
        <v>81</v>
      </c>
      <c r="F250" s="129"/>
      <c r="G250" s="130">
        <v>12.3</v>
      </c>
      <c r="H250" s="128">
        <v>14</v>
      </c>
      <c r="I250" s="116">
        <f t="shared" si="49"/>
        <v>0</v>
      </c>
      <c r="J250" s="374">
        <f t="shared" si="50"/>
        <v>0</v>
      </c>
      <c r="K250" s="137">
        <f t="shared" si="45"/>
        <v>14</v>
      </c>
      <c r="L250" s="131">
        <f t="shared" si="54"/>
        <v>172.2</v>
      </c>
      <c r="M250" s="131">
        <f t="shared" si="54"/>
        <v>0</v>
      </c>
      <c r="N250" s="131">
        <f t="shared" si="54"/>
        <v>0</v>
      </c>
      <c r="O250" s="131">
        <f t="shared" si="54"/>
        <v>172.2</v>
      </c>
      <c r="P250" s="136">
        <f t="shared" si="47"/>
        <v>0</v>
      </c>
      <c r="Q250" s="525"/>
      <c r="S250" s="189">
        <v>0</v>
      </c>
      <c r="T250" s="189">
        <v>0</v>
      </c>
      <c r="BT250" s="525"/>
      <c r="BU250" s="523">
        <v>0</v>
      </c>
      <c r="BV250" s="523">
        <v>0</v>
      </c>
      <c r="BW250" s="523"/>
      <c r="BX250" s="523"/>
      <c r="BY250" s="523"/>
      <c r="BZ250" s="523"/>
      <c r="CA250" s="523"/>
      <c r="CB250" s="523"/>
      <c r="CC250" s="523"/>
      <c r="CD250" s="523"/>
      <c r="CE250" s="523"/>
      <c r="CF250" s="523"/>
      <c r="CG250" s="523"/>
      <c r="CH250" s="523"/>
      <c r="CI250" s="523">
        <f t="shared" si="48"/>
        <v>0</v>
      </c>
    </row>
    <row r="251" spans="1:87" s="514" customFormat="1" x14ac:dyDescent="0.2">
      <c r="A251" s="125" t="s">
        <v>1745</v>
      </c>
      <c r="B251" s="126">
        <v>92985</v>
      </c>
      <c r="C251" s="126" t="s">
        <v>1324</v>
      </c>
      <c r="D251" s="127" t="s">
        <v>1746</v>
      </c>
      <c r="E251" s="128" t="s">
        <v>81</v>
      </c>
      <c r="F251" s="137">
        <v>8.39</v>
      </c>
      <c r="G251" s="130">
        <v>18.29</v>
      </c>
      <c r="H251" s="128">
        <v>41</v>
      </c>
      <c r="I251" s="116">
        <f t="shared" si="49"/>
        <v>0</v>
      </c>
      <c r="J251" s="374">
        <f t="shared" si="50"/>
        <v>0</v>
      </c>
      <c r="K251" s="137">
        <f t="shared" si="45"/>
        <v>41</v>
      </c>
      <c r="L251" s="131">
        <f t="shared" si="54"/>
        <v>749.89</v>
      </c>
      <c r="M251" s="131">
        <f t="shared" si="54"/>
        <v>0</v>
      </c>
      <c r="N251" s="131">
        <f t="shared" si="54"/>
        <v>0</v>
      </c>
      <c r="O251" s="131">
        <f t="shared" si="54"/>
        <v>749.89</v>
      </c>
      <c r="P251" s="136">
        <f t="shared" si="47"/>
        <v>0</v>
      </c>
      <c r="Q251" s="525"/>
      <c r="S251" s="190">
        <v>0</v>
      </c>
      <c r="T251" s="190">
        <v>0</v>
      </c>
      <c r="BT251" s="525"/>
      <c r="BU251" s="523">
        <v>0</v>
      </c>
      <c r="BV251" s="523">
        <v>0</v>
      </c>
      <c r="BW251" s="523"/>
      <c r="BX251" s="523"/>
      <c r="BY251" s="523"/>
      <c r="BZ251" s="523"/>
      <c r="CA251" s="523"/>
      <c r="CB251" s="523"/>
      <c r="CC251" s="523"/>
      <c r="CD251" s="523"/>
      <c r="CE251" s="523"/>
      <c r="CF251" s="523"/>
      <c r="CG251" s="523"/>
      <c r="CH251" s="523"/>
      <c r="CI251" s="523">
        <f t="shared" si="48"/>
        <v>0</v>
      </c>
    </row>
    <row r="252" spans="1:87" x14ac:dyDescent="0.2">
      <c r="A252" s="449" t="s">
        <v>640</v>
      </c>
      <c r="B252" s="450"/>
      <c r="C252" s="450"/>
      <c r="D252" s="451" t="s">
        <v>1747</v>
      </c>
      <c r="E252" s="452"/>
      <c r="F252" s="452"/>
      <c r="G252" s="452"/>
      <c r="H252" s="452"/>
      <c r="I252" s="452"/>
      <c r="J252" s="452"/>
      <c r="K252" s="452"/>
      <c r="L252" s="452">
        <f>SUM(L253:L258)</f>
        <v>10299.74</v>
      </c>
      <c r="M252" s="452">
        <f>SUM(M253:M258)</f>
        <v>0</v>
      </c>
      <c r="N252" s="452">
        <f>SUM(N253:N258)</f>
        <v>0</v>
      </c>
      <c r="O252" s="452">
        <f>SUM(O253:O258)</f>
        <v>10299.74</v>
      </c>
      <c r="P252" s="459">
        <f t="shared" si="47"/>
        <v>0</v>
      </c>
      <c r="Q252" s="525"/>
      <c r="S252" s="189">
        <v>0</v>
      </c>
      <c r="T252" s="189">
        <v>0</v>
      </c>
      <c r="BT252" s="525"/>
      <c r="BU252" s="523"/>
      <c r="BV252" s="523"/>
      <c r="BW252" s="523"/>
      <c r="BX252" s="523"/>
      <c r="BY252" s="523"/>
      <c r="BZ252" s="523"/>
      <c r="CA252" s="523"/>
      <c r="CB252" s="523"/>
      <c r="CC252" s="523"/>
      <c r="CD252" s="523"/>
      <c r="CE252" s="523"/>
      <c r="CF252" s="523"/>
      <c r="CG252" s="523"/>
      <c r="CH252" s="523"/>
      <c r="CI252" s="523">
        <f t="shared" si="48"/>
        <v>0</v>
      </c>
    </row>
    <row r="253" spans="1:87" x14ac:dyDescent="0.2">
      <c r="A253" s="125" t="s">
        <v>1748</v>
      </c>
      <c r="B253" s="126">
        <v>92000</v>
      </c>
      <c r="C253" s="126" t="s">
        <v>1324</v>
      </c>
      <c r="D253" s="127" t="s">
        <v>1749</v>
      </c>
      <c r="E253" s="128" t="s">
        <v>102</v>
      </c>
      <c r="F253" s="137">
        <v>21.53</v>
      </c>
      <c r="G253" s="130">
        <v>20.07</v>
      </c>
      <c r="H253" s="128">
        <v>4</v>
      </c>
      <c r="I253" s="116">
        <f t="shared" si="49"/>
        <v>0</v>
      </c>
      <c r="J253" s="374">
        <f t="shared" si="50"/>
        <v>0</v>
      </c>
      <c r="K253" s="137">
        <f t="shared" si="45"/>
        <v>4</v>
      </c>
      <c r="L253" s="131">
        <f t="shared" ref="L253:O258" si="55">ROUND(H253*$G253,2)</f>
        <v>80.28</v>
      </c>
      <c r="M253" s="131">
        <f t="shared" si="55"/>
        <v>0</v>
      </c>
      <c r="N253" s="131">
        <f t="shared" si="55"/>
        <v>0</v>
      </c>
      <c r="O253" s="131">
        <f t="shared" si="55"/>
        <v>80.28</v>
      </c>
      <c r="P253" s="136">
        <f t="shared" si="47"/>
        <v>0</v>
      </c>
      <c r="Q253" s="525"/>
      <c r="S253" s="189">
        <v>0</v>
      </c>
      <c r="T253" s="189">
        <v>0</v>
      </c>
      <c r="BT253" s="525"/>
      <c r="BU253" s="523">
        <v>0</v>
      </c>
      <c r="BV253" s="523">
        <v>0</v>
      </c>
      <c r="BW253" s="523"/>
      <c r="BX253" s="523"/>
      <c r="BY253" s="523"/>
      <c r="BZ253" s="523"/>
      <c r="CA253" s="523"/>
      <c r="CB253" s="523"/>
      <c r="CC253" s="523"/>
      <c r="CD253" s="523"/>
      <c r="CE253" s="523"/>
      <c r="CF253" s="523"/>
      <c r="CG253" s="523"/>
      <c r="CH253" s="523"/>
      <c r="CI253" s="523">
        <f t="shared" si="48"/>
        <v>0</v>
      </c>
    </row>
    <row r="254" spans="1:87" x14ac:dyDescent="0.2">
      <c r="A254" s="125" t="s">
        <v>1750</v>
      </c>
      <c r="B254" s="126">
        <v>92001</v>
      </c>
      <c r="C254" s="126" t="s">
        <v>1324</v>
      </c>
      <c r="D254" s="127" t="s">
        <v>1751</v>
      </c>
      <c r="E254" s="128" t="s">
        <v>102</v>
      </c>
      <c r="F254" s="137">
        <v>133.13999999999999</v>
      </c>
      <c r="G254" s="130">
        <v>21.83</v>
      </c>
      <c r="H254" s="128">
        <v>1</v>
      </c>
      <c r="I254" s="116">
        <f t="shared" si="49"/>
        <v>0</v>
      </c>
      <c r="J254" s="374">
        <f t="shared" si="50"/>
        <v>0</v>
      </c>
      <c r="K254" s="137">
        <f t="shared" si="45"/>
        <v>1</v>
      </c>
      <c r="L254" s="131">
        <f t="shared" si="55"/>
        <v>21.83</v>
      </c>
      <c r="M254" s="131">
        <f t="shared" si="55"/>
        <v>0</v>
      </c>
      <c r="N254" s="131">
        <f t="shared" si="55"/>
        <v>0</v>
      </c>
      <c r="O254" s="131">
        <f t="shared" si="55"/>
        <v>21.83</v>
      </c>
      <c r="P254" s="136">
        <f t="shared" si="47"/>
        <v>0</v>
      </c>
      <c r="Q254" s="525"/>
      <c r="S254" s="189">
        <v>0</v>
      </c>
      <c r="T254" s="189">
        <v>0</v>
      </c>
      <c r="BT254" s="525"/>
      <c r="BU254" s="523">
        <v>0</v>
      </c>
      <c r="BV254" s="523">
        <v>0</v>
      </c>
      <c r="BW254" s="523"/>
      <c r="BX254" s="523"/>
      <c r="BY254" s="523"/>
      <c r="BZ254" s="523"/>
      <c r="CA254" s="523"/>
      <c r="CB254" s="523"/>
      <c r="CC254" s="523"/>
      <c r="CD254" s="523"/>
      <c r="CE254" s="523"/>
      <c r="CF254" s="523"/>
      <c r="CG254" s="523"/>
      <c r="CH254" s="523"/>
      <c r="CI254" s="523">
        <f t="shared" si="48"/>
        <v>0</v>
      </c>
    </row>
    <row r="255" spans="1:87" ht="25.5" x14ac:dyDescent="0.2">
      <c r="A255" s="125" t="s">
        <v>1752</v>
      </c>
      <c r="B255" s="126">
        <v>91953</v>
      </c>
      <c r="C255" s="126" t="s">
        <v>1324</v>
      </c>
      <c r="D255" s="127" t="s">
        <v>1753</v>
      </c>
      <c r="E255" s="128" t="s">
        <v>102</v>
      </c>
      <c r="F255" s="129"/>
      <c r="G255" s="130">
        <v>18.98</v>
      </c>
      <c r="H255" s="128">
        <v>7</v>
      </c>
      <c r="I255" s="116">
        <f t="shared" si="49"/>
        <v>0</v>
      </c>
      <c r="J255" s="374">
        <f t="shared" si="50"/>
        <v>0</v>
      </c>
      <c r="K255" s="137">
        <f t="shared" si="45"/>
        <v>7</v>
      </c>
      <c r="L255" s="131">
        <f t="shared" si="55"/>
        <v>132.86000000000001</v>
      </c>
      <c r="M255" s="131">
        <f t="shared" si="55"/>
        <v>0</v>
      </c>
      <c r="N255" s="131">
        <f t="shared" si="55"/>
        <v>0</v>
      </c>
      <c r="O255" s="131">
        <f t="shared" si="55"/>
        <v>132.86000000000001</v>
      </c>
      <c r="P255" s="136">
        <f t="shared" si="47"/>
        <v>0</v>
      </c>
      <c r="Q255" s="525"/>
      <c r="S255" s="189">
        <v>0</v>
      </c>
      <c r="T255" s="189">
        <v>0</v>
      </c>
      <c r="BT255" s="525"/>
      <c r="BU255" s="523">
        <v>0</v>
      </c>
      <c r="BV255" s="523">
        <v>0</v>
      </c>
      <c r="BW255" s="523"/>
      <c r="BX255" s="523"/>
      <c r="BY255" s="523"/>
      <c r="BZ255" s="523"/>
      <c r="CA255" s="523"/>
      <c r="CB255" s="523"/>
      <c r="CC255" s="523"/>
      <c r="CD255" s="523"/>
      <c r="CE255" s="523"/>
      <c r="CF255" s="523"/>
      <c r="CG255" s="523"/>
      <c r="CH255" s="523"/>
      <c r="CI255" s="523">
        <f t="shared" si="48"/>
        <v>0</v>
      </c>
    </row>
    <row r="256" spans="1:87" x14ac:dyDescent="0.2">
      <c r="A256" s="125" t="s">
        <v>1754</v>
      </c>
      <c r="B256" s="126" t="s">
        <v>1755</v>
      </c>
      <c r="C256" s="126" t="s">
        <v>1324</v>
      </c>
      <c r="D256" s="127" t="s">
        <v>1756</v>
      </c>
      <c r="E256" s="128" t="s">
        <v>102</v>
      </c>
      <c r="F256" s="137">
        <v>1.81</v>
      </c>
      <c r="G256" s="130">
        <v>133.31</v>
      </c>
      <c r="H256" s="128">
        <v>1</v>
      </c>
      <c r="I256" s="116">
        <f t="shared" si="49"/>
        <v>0</v>
      </c>
      <c r="J256" s="374">
        <f t="shared" si="50"/>
        <v>0</v>
      </c>
      <c r="K256" s="137">
        <f t="shared" si="45"/>
        <v>1</v>
      </c>
      <c r="L256" s="131">
        <f t="shared" si="55"/>
        <v>133.31</v>
      </c>
      <c r="M256" s="131">
        <f t="shared" si="55"/>
        <v>0</v>
      </c>
      <c r="N256" s="131">
        <f t="shared" si="55"/>
        <v>0</v>
      </c>
      <c r="O256" s="131">
        <f t="shared" si="55"/>
        <v>133.31</v>
      </c>
      <c r="P256" s="136">
        <f t="shared" si="47"/>
        <v>0</v>
      </c>
      <c r="Q256" s="525"/>
      <c r="S256" s="189">
        <v>0</v>
      </c>
      <c r="T256" s="189">
        <v>0</v>
      </c>
      <c r="BT256" s="525"/>
      <c r="BU256" s="523">
        <v>0</v>
      </c>
      <c r="BV256" s="523">
        <v>0</v>
      </c>
      <c r="BW256" s="523"/>
      <c r="BX256" s="523"/>
      <c r="BY256" s="523"/>
      <c r="BZ256" s="523"/>
      <c r="CA256" s="523"/>
      <c r="CB256" s="523"/>
      <c r="CC256" s="523"/>
      <c r="CD256" s="523"/>
      <c r="CE256" s="523"/>
      <c r="CF256" s="523"/>
      <c r="CG256" s="523"/>
      <c r="CH256" s="523"/>
      <c r="CI256" s="523">
        <f t="shared" si="48"/>
        <v>0</v>
      </c>
    </row>
    <row r="257" spans="1:87" x14ac:dyDescent="0.2">
      <c r="A257" s="125" t="s">
        <v>1757</v>
      </c>
      <c r="B257" s="126" t="s">
        <v>1758</v>
      </c>
      <c r="C257" s="126" t="s">
        <v>1324</v>
      </c>
      <c r="D257" s="127" t="s">
        <v>1759</v>
      </c>
      <c r="E257" s="128" t="s">
        <v>102</v>
      </c>
      <c r="F257" s="137">
        <v>2.93</v>
      </c>
      <c r="G257" s="130">
        <v>156.31</v>
      </c>
      <c r="H257" s="128">
        <v>6</v>
      </c>
      <c r="I257" s="116">
        <f t="shared" si="49"/>
        <v>0</v>
      </c>
      <c r="J257" s="374">
        <f t="shared" si="50"/>
        <v>0</v>
      </c>
      <c r="K257" s="137">
        <f t="shared" si="45"/>
        <v>6</v>
      </c>
      <c r="L257" s="131">
        <f t="shared" si="55"/>
        <v>937.86</v>
      </c>
      <c r="M257" s="131">
        <f t="shared" si="55"/>
        <v>0</v>
      </c>
      <c r="N257" s="131">
        <f t="shared" si="55"/>
        <v>0</v>
      </c>
      <c r="O257" s="131">
        <f t="shared" si="55"/>
        <v>937.86</v>
      </c>
      <c r="P257" s="136">
        <f t="shared" si="47"/>
        <v>0</v>
      </c>
      <c r="Q257" s="525"/>
      <c r="S257" s="189">
        <v>0</v>
      </c>
      <c r="T257" s="189">
        <v>0</v>
      </c>
      <c r="BT257" s="525"/>
      <c r="BU257" s="523">
        <v>0</v>
      </c>
      <c r="BV257" s="523">
        <v>0</v>
      </c>
      <c r="BW257" s="523"/>
      <c r="BX257" s="523"/>
      <c r="BY257" s="523"/>
      <c r="BZ257" s="523"/>
      <c r="CA257" s="523"/>
      <c r="CB257" s="523"/>
      <c r="CC257" s="523"/>
      <c r="CD257" s="523"/>
      <c r="CE257" s="523"/>
      <c r="CF257" s="523"/>
      <c r="CG257" s="523"/>
      <c r="CH257" s="523"/>
      <c r="CI257" s="523">
        <f t="shared" si="48"/>
        <v>0</v>
      </c>
    </row>
    <row r="258" spans="1:87" ht="25.5" x14ac:dyDescent="0.2">
      <c r="A258" s="125" t="s">
        <v>1760</v>
      </c>
      <c r="B258" s="126" t="s">
        <v>2007</v>
      </c>
      <c r="C258" s="126" t="s">
        <v>1339</v>
      </c>
      <c r="D258" s="127" t="s">
        <v>1761</v>
      </c>
      <c r="E258" s="128" t="s">
        <v>102</v>
      </c>
      <c r="F258" s="137">
        <v>4.1100000000000003</v>
      </c>
      <c r="G258" s="130">
        <v>449.68</v>
      </c>
      <c r="H258" s="128">
        <v>20</v>
      </c>
      <c r="I258" s="116">
        <f t="shared" si="49"/>
        <v>0</v>
      </c>
      <c r="J258" s="374">
        <f t="shared" si="50"/>
        <v>0</v>
      </c>
      <c r="K258" s="137">
        <f t="shared" si="45"/>
        <v>20</v>
      </c>
      <c r="L258" s="131">
        <f t="shared" si="55"/>
        <v>8993.6</v>
      </c>
      <c r="M258" s="131">
        <f t="shared" si="55"/>
        <v>0</v>
      </c>
      <c r="N258" s="131">
        <f t="shared" si="55"/>
        <v>0</v>
      </c>
      <c r="O258" s="131">
        <f t="shared" si="55"/>
        <v>8993.6</v>
      </c>
      <c r="P258" s="136">
        <f t="shared" si="47"/>
        <v>0</v>
      </c>
      <c r="Q258" s="525"/>
      <c r="S258" s="189">
        <v>0</v>
      </c>
      <c r="T258" s="189">
        <v>0</v>
      </c>
      <c r="BT258" s="525"/>
      <c r="BU258" s="523">
        <v>0</v>
      </c>
      <c r="BV258" s="523">
        <v>0</v>
      </c>
      <c r="BW258" s="523"/>
      <c r="BX258" s="523"/>
      <c r="BY258" s="523"/>
      <c r="BZ258" s="523"/>
      <c r="CA258" s="523"/>
      <c r="CB258" s="523"/>
      <c r="CC258" s="523"/>
      <c r="CD258" s="523"/>
      <c r="CE258" s="523"/>
      <c r="CF258" s="523"/>
      <c r="CG258" s="523"/>
      <c r="CH258" s="523"/>
      <c r="CI258" s="523">
        <f t="shared" si="48"/>
        <v>0</v>
      </c>
    </row>
    <row r="259" spans="1:87" x14ac:dyDescent="0.2">
      <c r="A259" s="412">
        <v>18</v>
      </c>
      <c r="B259" s="413"/>
      <c r="C259" s="413"/>
      <c r="D259" s="414" t="s">
        <v>1762</v>
      </c>
      <c r="E259" s="415"/>
      <c r="F259" s="415"/>
      <c r="G259" s="415"/>
      <c r="H259" s="415"/>
      <c r="I259" s="415"/>
      <c r="J259" s="415"/>
      <c r="K259" s="415"/>
      <c r="L259" s="416">
        <f>SUM(L260:L267)</f>
        <v>7237.1900000000014</v>
      </c>
      <c r="M259" s="416">
        <f>SUM(M260:M267)</f>
        <v>0</v>
      </c>
      <c r="N259" s="416">
        <f>SUM(N260:N267)</f>
        <v>0</v>
      </c>
      <c r="O259" s="416">
        <f>SUM(O260:O267)</f>
        <v>7237.1900000000014</v>
      </c>
      <c r="P259" s="423">
        <f t="shared" si="47"/>
        <v>0</v>
      </c>
      <c r="Q259" s="525"/>
      <c r="S259" s="189">
        <v>0</v>
      </c>
      <c r="T259" s="189">
        <v>0</v>
      </c>
      <c r="BT259" s="525"/>
      <c r="BU259" s="523"/>
      <c r="BV259" s="523"/>
      <c r="BW259" s="523"/>
      <c r="BX259" s="523"/>
      <c r="BY259" s="523"/>
      <c r="BZ259" s="523"/>
      <c r="CA259" s="523"/>
      <c r="CB259" s="523"/>
      <c r="CC259" s="523"/>
      <c r="CD259" s="523"/>
      <c r="CE259" s="523"/>
      <c r="CF259" s="523"/>
      <c r="CG259" s="523"/>
      <c r="CH259" s="523"/>
      <c r="CI259" s="523">
        <f t="shared" si="48"/>
        <v>0</v>
      </c>
    </row>
    <row r="260" spans="1:87" ht="25.5" x14ac:dyDescent="0.2">
      <c r="A260" s="125" t="s">
        <v>657</v>
      </c>
      <c r="B260" s="126" t="s">
        <v>2007</v>
      </c>
      <c r="C260" s="126" t="s">
        <v>1339</v>
      </c>
      <c r="D260" s="127" t="s">
        <v>1763</v>
      </c>
      <c r="E260" s="128" t="s">
        <v>102</v>
      </c>
      <c r="F260" s="129"/>
      <c r="G260" s="130">
        <v>205.82</v>
      </c>
      <c r="H260" s="128">
        <v>7</v>
      </c>
      <c r="I260" s="116">
        <f t="shared" si="49"/>
        <v>0</v>
      </c>
      <c r="J260" s="374">
        <f t="shared" si="50"/>
        <v>0</v>
      </c>
      <c r="K260" s="137">
        <f t="shared" ref="K260:K284" si="56">H260-J260</f>
        <v>7</v>
      </c>
      <c r="L260" s="131">
        <f t="shared" ref="L260:O267" si="57">ROUND(H260*$G260,2)</f>
        <v>1440.74</v>
      </c>
      <c r="M260" s="131">
        <f t="shared" si="57"/>
        <v>0</v>
      </c>
      <c r="N260" s="131">
        <f t="shared" si="57"/>
        <v>0</v>
      </c>
      <c r="O260" s="131">
        <f t="shared" si="57"/>
        <v>1440.74</v>
      </c>
      <c r="P260" s="136">
        <f t="shared" si="47"/>
        <v>0</v>
      </c>
      <c r="Q260" s="525"/>
      <c r="S260" s="189">
        <v>0</v>
      </c>
      <c r="T260" s="189">
        <v>0</v>
      </c>
      <c r="BT260" s="525"/>
      <c r="BU260" s="523">
        <v>0</v>
      </c>
      <c r="BV260" s="523">
        <v>0</v>
      </c>
      <c r="BW260" s="523"/>
      <c r="BX260" s="523"/>
      <c r="BY260" s="523"/>
      <c r="BZ260" s="523"/>
      <c r="CA260" s="523"/>
      <c r="CB260" s="523"/>
      <c r="CC260" s="523"/>
      <c r="CD260" s="523"/>
      <c r="CE260" s="523"/>
      <c r="CF260" s="523"/>
      <c r="CG260" s="523"/>
      <c r="CH260" s="523"/>
      <c r="CI260" s="523">
        <f t="shared" si="48"/>
        <v>0</v>
      </c>
    </row>
    <row r="261" spans="1:87" x14ac:dyDescent="0.2">
      <c r="A261" s="125" t="s">
        <v>664</v>
      </c>
      <c r="B261" s="126" t="s">
        <v>2007</v>
      </c>
      <c r="C261" s="126" t="s">
        <v>1339</v>
      </c>
      <c r="D261" s="127" t="s">
        <v>1764</v>
      </c>
      <c r="E261" s="128" t="s">
        <v>102</v>
      </c>
      <c r="F261" s="137">
        <v>179.19</v>
      </c>
      <c r="G261" s="130">
        <v>232.41</v>
      </c>
      <c r="H261" s="128">
        <v>1</v>
      </c>
      <c r="I261" s="116">
        <f t="shared" si="49"/>
        <v>0</v>
      </c>
      <c r="J261" s="374">
        <f t="shared" si="50"/>
        <v>0</v>
      </c>
      <c r="K261" s="137">
        <f t="shared" si="56"/>
        <v>1</v>
      </c>
      <c r="L261" s="131">
        <f t="shared" si="57"/>
        <v>232.41</v>
      </c>
      <c r="M261" s="131">
        <f t="shared" si="57"/>
        <v>0</v>
      </c>
      <c r="N261" s="131">
        <f t="shared" si="57"/>
        <v>0</v>
      </c>
      <c r="O261" s="131">
        <f t="shared" si="57"/>
        <v>232.41</v>
      </c>
      <c r="P261" s="136">
        <f t="shared" si="47"/>
        <v>0</v>
      </c>
      <c r="Q261" s="525"/>
      <c r="S261" s="189">
        <v>0</v>
      </c>
      <c r="T261" s="189">
        <v>0</v>
      </c>
      <c r="BT261" s="525"/>
      <c r="BU261" s="523">
        <v>0</v>
      </c>
      <c r="BV261" s="523">
        <v>0</v>
      </c>
      <c r="BW261" s="523"/>
      <c r="BX261" s="523"/>
      <c r="BY261" s="523"/>
      <c r="BZ261" s="523"/>
      <c r="CA261" s="523"/>
      <c r="CB261" s="523"/>
      <c r="CC261" s="523"/>
      <c r="CD261" s="523"/>
      <c r="CE261" s="523"/>
      <c r="CF261" s="523"/>
      <c r="CG261" s="523"/>
      <c r="CH261" s="523"/>
      <c r="CI261" s="523">
        <f t="shared" si="48"/>
        <v>0</v>
      </c>
    </row>
    <row r="262" spans="1:87" x14ac:dyDescent="0.2">
      <c r="A262" s="125" t="s">
        <v>668</v>
      </c>
      <c r="B262" s="126">
        <v>72929</v>
      </c>
      <c r="C262" s="126" t="s">
        <v>1324</v>
      </c>
      <c r="D262" s="127" t="s">
        <v>1765</v>
      </c>
      <c r="E262" s="128" t="s">
        <v>81</v>
      </c>
      <c r="F262" s="137">
        <v>212.03</v>
      </c>
      <c r="G262" s="130">
        <v>22.1</v>
      </c>
      <c r="H262" s="128">
        <v>39.200000000000003</v>
      </c>
      <c r="I262" s="116">
        <f t="shared" si="49"/>
        <v>0</v>
      </c>
      <c r="J262" s="374">
        <f t="shared" si="50"/>
        <v>0</v>
      </c>
      <c r="K262" s="137">
        <f t="shared" si="56"/>
        <v>39.200000000000003</v>
      </c>
      <c r="L262" s="131">
        <f t="shared" si="57"/>
        <v>866.32</v>
      </c>
      <c r="M262" s="131">
        <f t="shared" si="57"/>
        <v>0</v>
      </c>
      <c r="N262" s="131">
        <f t="shared" si="57"/>
        <v>0</v>
      </c>
      <c r="O262" s="131">
        <f t="shared" si="57"/>
        <v>866.32</v>
      </c>
      <c r="P262" s="136">
        <f t="shared" si="47"/>
        <v>0</v>
      </c>
      <c r="Q262" s="525"/>
      <c r="S262" s="189">
        <v>0</v>
      </c>
      <c r="T262" s="189">
        <v>0</v>
      </c>
      <c r="BT262" s="525"/>
      <c r="BU262" s="523">
        <v>0</v>
      </c>
      <c r="BV262" s="523">
        <v>0</v>
      </c>
      <c r="BW262" s="523"/>
      <c r="BX262" s="523"/>
      <c r="BY262" s="523"/>
      <c r="BZ262" s="523"/>
      <c r="CA262" s="523"/>
      <c r="CB262" s="523"/>
      <c r="CC262" s="523"/>
      <c r="CD262" s="523"/>
      <c r="CE262" s="523"/>
      <c r="CF262" s="523"/>
      <c r="CG262" s="523"/>
      <c r="CH262" s="523"/>
      <c r="CI262" s="523">
        <f t="shared" si="48"/>
        <v>0</v>
      </c>
    </row>
    <row r="263" spans="1:87" x14ac:dyDescent="0.2">
      <c r="A263" s="125" t="s">
        <v>671</v>
      </c>
      <c r="B263" s="126">
        <v>72930</v>
      </c>
      <c r="C263" s="126" t="s">
        <v>1324</v>
      </c>
      <c r="D263" s="127" t="s">
        <v>1766</v>
      </c>
      <c r="E263" s="128" t="s">
        <v>81</v>
      </c>
      <c r="F263" s="137">
        <v>101.58</v>
      </c>
      <c r="G263" s="130">
        <v>31.35</v>
      </c>
      <c r="H263" s="128">
        <v>126.32</v>
      </c>
      <c r="I263" s="116">
        <f t="shared" si="49"/>
        <v>0</v>
      </c>
      <c r="J263" s="374">
        <f t="shared" si="50"/>
        <v>0</v>
      </c>
      <c r="K263" s="137">
        <f t="shared" si="56"/>
        <v>126.32</v>
      </c>
      <c r="L263" s="131">
        <f t="shared" si="57"/>
        <v>3960.13</v>
      </c>
      <c r="M263" s="131">
        <f t="shared" si="57"/>
        <v>0</v>
      </c>
      <c r="N263" s="131">
        <f t="shared" si="57"/>
        <v>0</v>
      </c>
      <c r="O263" s="131">
        <f t="shared" si="57"/>
        <v>3960.13</v>
      </c>
      <c r="P263" s="136">
        <f t="shared" si="47"/>
        <v>0</v>
      </c>
      <c r="Q263" s="525"/>
      <c r="S263" s="189">
        <v>0</v>
      </c>
      <c r="T263" s="189">
        <v>0</v>
      </c>
      <c r="BT263" s="525"/>
      <c r="BU263" s="523">
        <v>0</v>
      </c>
      <c r="BV263" s="523">
        <v>0</v>
      </c>
      <c r="BW263" s="523"/>
      <c r="BX263" s="523"/>
      <c r="BY263" s="523"/>
      <c r="BZ263" s="523"/>
      <c r="CA263" s="523"/>
      <c r="CB263" s="523"/>
      <c r="CC263" s="523"/>
      <c r="CD263" s="523"/>
      <c r="CE263" s="523"/>
      <c r="CF263" s="523"/>
      <c r="CG263" s="523"/>
      <c r="CH263" s="523"/>
      <c r="CI263" s="523">
        <f t="shared" si="48"/>
        <v>0</v>
      </c>
    </row>
    <row r="264" spans="1:87" x14ac:dyDescent="0.2">
      <c r="A264" s="125" t="s">
        <v>679</v>
      </c>
      <c r="B264" s="126">
        <v>93008</v>
      </c>
      <c r="C264" s="126" t="s">
        <v>1324</v>
      </c>
      <c r="D264" s="127" t="s">
        <v>1767</v>
      </c>
      <c r="E264" s="128" t="s">
        <v>81</v>
      </c>
      <c r="F264" s="137">
        <v>412.2</v>
      </c>
      <c r="G264" s="130">
        <v>9.83</v>
      </c>
      <c r="H264" s="128">
        <v>21</v>
      </c>
      <c r="I264" s="116">
        <f t="shared" si="49"/>
        <v>0</v>
      </c>
      <c r="J264" s="374">
        <f t="shared" si="50"/>
        <v>0</v>
      </c>
      <c r="K264" s="137">
        <f t="shared" si="56"/>
        <v>21</v>
      </c>
      <c r="L264" s="131">
        <f t="shared" si="57"/>
        <v>206.43</v>
      </c>
      <c r="M264" s="131">
        <f t="shared" si="57"/>
        <v>0</v>
      </c>
      <c r="N264" s="131">
        <f t="shared" si="57"/>
        <v>0</v>
      </c>
      <c r="O264" s="131">
        <f t="shared" si="57"/>
        <v>206.43</v>
      </c>
      <c r="P264" s="136">
        <f t="shared" si="47"/>
        <v>0</v>
      </c>
      <c r="Q264" s="525"/>
      <c r="S264" s="189">
        <v>0</v>
      </c>
      <c r="T264" s="189">
        <v>0</v>
      </c>
      <c r="BT264" s="525"/>
      <c r="BU264" s="523">
        <v>0</v>
      </c>
      <c r="BV264" s="523">
        <v>0</v>
      </c>
      <c r="BW264" s="523"/>
      <c r="BX264" s="523"/>
      <c r="BY264" s="523"/>
      <c r="BZ264" s="523"/>
      <c r="CA264" s="523"/>
      <c r="CB264" s="523"/>
      <c r="CC264" s="523"/>
      <c r="CD264" s="523"/>
      <c r="CE264" s="523"/>
      <c r="CF264" s="523"/>
      <c r="CG264" s="523"/>
      <c r="CH264" s="523"/>
      <c r="CI264" s="523">
        <f t="shared" si="48"/>
        <v>0</v>
      </c>
    </row>
    <row r="265" spans="1:87" x14ac:dyDescent="0.2">
      <c r="A265" s="125" t="s">
        <v>1768</v>
      </c>
      <c r="B265" s="126" t="s">
        <v>2007</v>
      </c>
      <c r="C265" s="126" t="s">
        <v>1769</v>
      </c>
      <c r="D265" s="127" t="s">
        <v>1770</v>
      </c>
      <c r="E265" s="128" t="s">
        <v>102</v>
      </c>
      <c r="F265" s="137">
        <v>348.66</v>
      </c>
      <c r="G265" s="130">
        <v>38.299999999999997</v>
      </c>
      <c r="H265" s="128">
        <v>7</v>
      </c>
      <c r="I265" s="116">
        <f t="shared" si="49"/>
        <v>0</v>
      </c>
      <c r="J265" s="374">
        <f t="shared" si="50"/>
        <v>0</v>
      </c>
      <c r="K265" s="137">
        <f t="shared" si="56"/>
        <v>7</v>
      </c>
      <c r="L265" s="131">
        <f t="shared" si="57"/>
        <v>268.10000000000002</v>
      </c>
      <c r="M265" s="131">
        <f t="shared" si="57"/>
        <v>0</v>
      </c>
      <c r="N265" s="131">
        <f t="shared" si="57"/>
        <v>0</v>
      </c>
      <c r="O265" s="131">
        <f t="shared" si="57"/>
        <v>268.10000000000002</v>
      </c>
      <c r="P265" s="136">
        <f t="shared" si="47"/>
        <v>0</v>
      </c>
      <c r="Q265" s="525"/>
      <c r="S265" s="189">
        <v>0</v>
      </c>
      <c r="T265" s="189">
        <v>0</v>
      </c>
      <c r="BT265" s="525"/>
      <c r="BU265" s="523">
        <v>0</v>
      </c>
      <c r="BV265" s="523">
        <v>0</v>
      </c>
      <c r="BW265" s="523"/>
      <c r="BX265" s="523"/>
      <c r="BY265" s="523"/>
      <c r="BZ265" s="523"/>
      <c r="CA265" s="523"/>
      <c r="CB265" s="523"/>
      <c r="CC265" s="523"/>
      <c r="CD265" s="523"/>
      <c r="CE265" s="523"/>
      <c r="CF265" s="523"/>
      <c r="CG265" s="523"/>
      <c r="CH265" s="523"/>
      <c r="CI265" s="523">
        <f t="shared" si="48"/>
        <v>0</v>
      </c>
    </row>
    <row r="266" spans="1:87" x14ac:dyDescent="0.2">
      <c r="A266" s="125" t="s">
        <v>1771</v>
      </c>
      <c r="B266" s="126" t="s">
        <v>2007</v>
      </c>
      <c r="C266" s="126" t="s">
        <v>1769</v>
      </c>
      <c r="D266" s="127" t="s">
        <v>1772</v>
      </c>
      <c r="E266" s="128" t="s">
        <v>102</v>
      </c>
      <c r="F266" s="137">
        <v>153.37</v>
      </c>
      <c r="G266" s="130">
        <v>24.49</v>
      </c>
      <c r="H266" s="128">
        <v>7</v>
      </c>
      <c r="I266" s="116">
        <f t="shared" si="49"/>
        <v>0</v>
      </c>
      <c r="J266" s="374">
        <f t="shared" si="50"/>
        <v>0</v>
      </c>
      <c r="K266" s="137">
        <f t="shared" si="56"/>
        <v>7</v>
      </c>
      <c r="L266" s="131">
        <f t="shared" si="57"/>
        <v>171.43</v>
      </c>
      <c r="M266" s="131">
        <f t="shared" si="57"/>
        <v>0</v>
      </c>
      <c r="N266" s="131">
        <f t="shared" si="57"/>
        <v>0</v>
      </c>
      <c r="O266" s="131">
        <f t="shared" si="57"/>
        <v>171.43</v>
      </c>
      <c r="P266" s="136">
        <f t="shared" si="47"/>
        <v>0</v>
      </c>
      <c r="Q266" s="525"/>
      <c r="S266" s="189">
        <v>0</v>
      </c>
      <c r="T266" s="189">
        <v>0</v>
      </c>
      <c r="BT266" s="525"/>
      <c r="BU266" s="523">
        <v>0</v>
      </c>
      <c r="BV266" s="523">
        <v>0</v>
      </c>
      <c r="BW266" s="523"/>
      <c r="BX266" s="523"/>
      <c r="BY266" s="523"/>
      <c r="BZ266" s="523"/>
      <c r="CA266" s="523"/>
      <c r="CB266" s="523"/>
      <c r="CC266" s="523"/>
      <c r="CD266" s="523"/>
      <c r="CE266" s="523"/>
      <c r="CF266" s="523"/>
      <c r="CG266" s="523"/>
      <c r="CH266" s="523"/>
      <c r="CI266" s="523">
        <f t="shared" si="48"/>
        <v>0</v>
      </c>
    </row>
    <row r="267" spans="1:87" x14ac:dyDescent="0.2">
      <c r="A267" s="125" t="s">
        <v>1773</v>
      </c>
      <c r="B267" s="126">
        <v>72262</v>
      </c>
      <c r="C267" s="126" t="s">
        <v>1324</v>
      </c>
      <c r="D267" s="127" t="s">
        <v>1774</v>
      </c>
      <c r="E267" s="128" t="s">
        <v>102</v>
      </c>
      <c r="F267" s="137">
        <v>62.01</v>
      </c>
      <c r="G267" s="130">
        <v>13.09</v>
      </c>
      <c r="H267" s="128">
        <v>7</v>
      </c>
      <c r="I267" s="116">
        <f t="shared" si="49"/>
        <v>0</v>
      </c>
      <c r="J267" s="374">
        <f t="shared" si="50"/>
        <v>0</v>
      </c>
      <c r="K267" s="137">
        <f t="shared" si="56"/>
        <v>7</v>
      </c>
      <c r="L267" s="131">
        <f t="shared" si="57"/>
        <v>91.63</v>
      </c>
      <c r="M267" s="131">
        <f t="shared" si="57"/>
        <v>0</v>
      </c>
      <c r="N267" s="131">
        <f t="shared" si="57"/>
        <v>0</v>
      </c>
      <c r="O267" s="131">
        <f t="shared" si="57"/>
        <v>91.63</v>
      </c>
      <c r="P267" s="136">
        <f t="shared" si="47"/>
        <v>0</v>
      </c>
      <c r="Q267" s="525"/>
      <c r="S267" s="189">
        <v>0</v>
      </c>
      <c r="T267" s="189">
        <v>0</v>
      </c>
      <c r="BT267" s="525"/>
      <c r="BU267" s="523">
        <v>0</v>
      </c>
      <c r="BV267" s="523">
        <v>0</v>
      </c>
      <c r="BW267" s="523"/>
      <c r="BX267" s="523"/>
      <c r="BY267" s="523"/>
      <c r="BZ267" s="523"/>
      <c r="CA267" s="523"/>
      <c r="CB267" s="523"/>
      <c r="CC267" s="523"/>
      <c r="CD267" s="523"/>
      <c r="CE267" s="523"/>
      <c r="CF267" s="523"/>
      <c r="CG267" s="523"/>
      <c r="CH267" s="523"/>
      <c r="CI267" s="523">
        <f t="shared" si="48"/>
        <v>0</v>
      </c>
    </row>
    <row r="268" spans="1:87" s="514" customFormat="1" x14ac:dyDescent="0.2">
      <c r="A268" s="412">
        <v>19</v>
      </c>
      <c r="B268" s="413"/>
      <c r="C268" s="413"/>
      <c r="D268" s="414" t="s">
        <v>304</v>
      </c>
      <c r="E268" s="415"/>
      <c r="F268" s="415"/>
      <c r="G268" s="415"/>
      <c r="H268" s="415"/>
      <c r="I268" s="415"/>
      <c r="J268" s="415"/>
      <c r="K268" s="415"/>
      <c r="L268" s="416">
        <f>SUM(L269,L275)</f>
        <v>28168.979999999996</v>
      </c>
      <c r="M268" s="416">
        <f>SUM(M269,M275)</f>
        <v>0</v>
      </c>
      <c r="N268" s="416">
        <f>SUM(N269,N275)</f>
        <v>0</v>
      </c>
      <c r="O268" s="416">
        <f>SUM(O269,O275)</f>
        <v>28168.979999999996</v>
      </c>
      <c r="P268" s="423">
        <f t="shared" si="47"/>
        <v>0</v>
      </c>
      <c r="Q268" s="525"/>
      <c r="S268" s="190">
        <v>0</v>
      </c>
      <c r="T268" s="190">
        <v>0</v>
      </c>
      <c r="BT268" s="525"/>
      <c r="BU268" s="523"/>
      <c r="BV268" s="523"/>
      <c r="BW268" s="523"/>
      <c r="BX268" s="523"/>
      <c r="BY268" s="523"/>
      <c r="BZ268" s="523"/>
      <c r="CA268" s="523"/>
      <c r="CB268" s="523"/>
      <c r="CC268" s="523"/>
      <c r="CD268" s="523"/>
      <c r="CE268" s="523"/>
      <c r="CF268" s="523"/>
      <c r="CG268" s="523"/>
      <c r="CH268" s="523"/>
      <c r="CI268" s="523">
        <f t="shared" si="48"/>
        <v>0</v>
      </c>
    </row>
    <row r="269" spans="1:87" x14ac:dyDescent="0.2">
      <c r="A269" s="449" t="s">
        <v>685</v>
      </c>
      <c r="B269" s="450"/>
      <c r="C269" s="450"/>
      <c r="D269" s="451" t="s">
        <v>1775</v>
      </c>
      <c r="E269" s="452"/>
      <c r="F269" s="452"/>
      <c r="G269" s="452"/>
      <c r="H269" s="452"/>
      <c r="I269" s="452"/>
      <c r="J269" s="452"/>
      <c r="K269" s="452"/>
      <c r="L269" s="452">
        <f>SUM(L270:L274)</f>
        <v>6263.99</v>
      </c>
      <c r="M269" s="452">
        <f>SUM(M270:M274)</f>
        <v>0</v>
      </c>
      <c r="N269" s="452">
        <f>SUM(N270:N274)</f>
        <v>0</v>
      </c>
      <c r="O269" s="452">
        <f>SUM(O270:O274)</f>
        <v>6263.99</v>
      </c>
      <c r="P269" s="459">
        <f t="shared" ref="P269:P283" si="58">N269/L269</f>
        <v>0</v>
      </c>
      <c r="Q269" s="525"/>
      <c r="S269" s="189">
        <v>0</v>
      </c>
      <c r="T269" s="189">
        <v>0</v>
      </c>
      <c r="BT269" s="525"/>
      <c r="BU269" s="523"/>
      <c r="BV269" s="523"/>
      <c r="BW269" s="523"/>
      <c r="BX269" s="523"/>
      <c r="BY269" s="523"/>
      <c r="BZ269" s="523"/>
      <c r="CA269" s="523"/>
      <c r="CB269" s="523"/>
      <c r="CC269" s="523"/>
      <c r="CD269" s="523"/>
      <c r="CE269" s="523"/>
      <c r="CF269" s="523"/>
      <c r="CG269" s="523"/>
      <c r="CH269" s="523"/>
      <c r="CI269" s="523">
        <f t="shared" si="48"/>
        <v>0</v>
      </c>
    </row>
    <row r="270" spans="1:87" x14ac:dyDescent="0.2">
      <c r="A270" s="125" t="s">
        <v>1776</v>
      </c>
      <c r="B270" s="126" t="s">
        <v>2007</v>
      </c>
      <c r="C270" s="126" t="s">
        <v>1339</v>
      </c>
      <c r="D270" s="127" t="s">
        <v>1777</v>
      </c>
      <c r="E270" s="128" t="s">
        <v>14</v>
      </c>
      <c r="F270" s="137">
        <v>224.79</v>
      </c>
      <c r="G270" s="130">
        <v>236.77</v>
      </c>
      <c r="H270" s="128">
        <v>2.5</v>
      </c>
      <c r="I270" s="116">
        <f t="shared" si="49"/>
        <v>0</v>
      </c>
      <c r="J270" s="374">
        <f t="shared" si="50"/>
        <v>0</v>
      </c>
      <c r="K270" s="137">
        <f t="shared" si="56"/>
        <v>2.5</v>
      </c>
      <c r="L270" s="131">
        <f t="shared" ref="L270:O274" si="59">ROUND(H270*$G270,2)</f>
        <v>591.92999999999995</v>
      </c>
      <c r="M270" s="131">
        <f t="shared" si="59"/>
        <v>0</v>
      </c>
      <c r="N270" s="131">
        <f t="shared" si="59"/>
        <v>0</v>
      </c>
      <c r="O270" s="131">
        <f t="shared" si="59"/>
        <v>591.92999999999995</v>
      </c>
      <c r="P270" s="136">
        <f t="shared" si="58"/>
        <v>0</v>
      </c>
      <c r="Q270" s="525"/>
      <c r="S270" s="189">
        <v>0</v>
      </c>
      <c r="T270" s="189">
        <v>0</v>
      </c>
      <c r="BT270" s="525"/>
      <c r="BU270" s="523">
        <v>0</v>
      </c>
      <c r="BV270" s="523">
        <v>0</v>
      </c>
      <c r="BW270" s="523"/>
      <c r="BX270" s="523"/>
      <c r="BY270" s="523"/>
      <c r="BZ270" s="523"/>
      <c r="CA270" s="523"/>
      <c r="CB270" s="523"/>
      <c r="CC270" s="523"/>
      <c r="CD270" s="523"/>
      <c r="CE270" s="523"/>
      <c r="CF270" s="523"/>
      <c r="CG270" s="523"/>
      <c r="CH270" s="523"/>
      <c r="CI270" s="523">
        <f t="shared" si="48"/>
        <v>0</v>
      </c>
    </row>
    <row r="271" spans="1:87" x14ac:dyDescent="0.2">
      <c r="A271" s="125" t="s">
        <v>1778</v>
      </c>
      <c r="B271" s="126" t="s">
        <v>2007</v>
      </c>
      <c r="C271" s="126" t="s">
        <v>1339</v>
      </c>
      <c r="D271" s="127" t="s">
        <v>1779</v>
      </c>
      <c r="E271" s="128" t="s">
        <v>102</v>
      </c>
      <c r="F271" s="137">
        <v>170.36</v>
      </c>
      <c r="G271" s="130">
        <v>1103.49</v>
      </c>
      <c r="H271" s="128">
        <v>1</v>
      </c>
      <c r="I271" s="116">
        <f t="shared" si="49"/>
        <v>0</v>
      </c>
      <c r="J271" s="374">
        <f t="shared" si="50"/>
        <v>0</v>
      </c>
      <c r="K271" s="137">
        <f t="shared" si="56"/>
        <v>1</v>
      </c>
      <c r="L271" s="131">
        <f t="shared" si="59"/>
        <v>1103.49</v>
      </c>
      <c r="M271" s="131">
        <f t="shared" si="59"/>
        <v>0</v>
      </c>
      <c r="N271" s="131">
        <f t="shared" si="59"/>
        <v>0</v>
      </c>
      <c r="O271" s="131">
        <f t="shared" si="59"/>
        <v>1103.49</v>
      </c>
      <c r="P271" s="136">
        <f t="shared" si="58"/>
        <v>0</v>
      </c>
      <c r="Q271" s="525"/>
      <c r="S271" s="189">
        <v>0</v>
      </c>
      <c r="T271" s="189">
        <v>0</v>
      </c>
      <c r="BT271" s="525"/>
      <c r="BU271" s="523">
        <v>0</v>
      </c>
      <c r="BV271" s="523">
        <v>0</v>
      </c>
      <c r="BW271" s="523"/>
      <c r="BX271" s="523"/>
      <c r="BY271" s="523"/>
      <c r="BZ271" s="523"/>
      <c r="CA271" s="523"/>
      <c r="CB271" s="523"/>
      <c r="CC271" s="523"/>
      <c r="CD271" s="523"/>
      <c r="CE271" s="523"/>
      <c r="CF271" s="523"/>
      <c r="CG271" s="523"/>
      <c r="CH271" s="523"/>
      <c r="CI271" s="523">
        <f t="shared" ref="CI271:CI284" si="60">SUM(BU271:CH271)</f>
        <v>0</v>
      </c>
    </row>
    <row r="272" spans="1:87" x14ac:dyDescent="0.2">
      <c r="A272" s="125" t="s">
        <v>1780</v>
      </c>
      <c r="B272" s="126" t="s">
        <v>2007</v>
      </c>
      <c r="C272" s="126" t="s">
        <v>1339</v>
      </c>
      <c r="D272" s="127" t="s">
        <v>1781</v>
      </c>
      <c r="E272" s="128" t="s">
        <v>102</v>
      </c>
      <c r="F272" s="137">
        <v>108</v>
      </c>
      <c r="G272" s="130">
        <v>1841.38</v>
      </c>
      <c r="H272" s="128">
        <v>1</v>
      </c>
      <c r="I272" s="116">
        <f t="shared" si="49"/>
        <v>0</v>
      </c>
      <c r="J272" s="374">
        <f t="shared" si="50"/>
        <v>0</v>
      </c>
      <c r="K272" s="137">
        <f t="shared" si="56"/>
        <v>1</v>
      </c>
      <c r="L272" s="131">
        <f t="shared" si="59"/>
        <v>1841.38</v>
      </c>
      <c r="M272" s="131">
        <f t="shared" si="59"/>
        <v>0</v>
      </c>
      <c r="N272" s="131">
        <f t="shared" si="59"/>
        <v>0</v>
      </c>
      <c r="O272" s="131">
        <f t="shared" si="59"/>
        <v>1841.38</v>
      </c>
      <c r="P272" s="136">
        <f t="shared" si="58"/>
        <v>0</v>
      </c>
      <c r="Q272" s="525"/>
      <c r="S272" s="189">
        <v>0</v>
      </c>
      <c r="T272" s="189">
        <v>0</v>
      </c>
      <c r="BT272" s="525"/>
      <c r="BU272" s="523">
        <v>0</v>
      </c>
      <c r="BV272" s="523">
        <v>0</v>
      </c>
      <c r="BW272" s="523"/>
      <c r="BX272" s="523"/>
      <c r="BY272" s="523"/>
      <c r="BZ272" s="523"/>
      <c r="CA272" s="523"/>
      <c r="CB272" s="523"/>
      <c r="CC272" s="523"/>
      <c r="CD272" s="523"/>
      <c r="CE272" s="523"/>
      <c r="CF272" s="523"/>
      <c r="CG272" s="523"/>
      <c r="CH272" s="523"/>
      <c r="CI272" s="523">
        <f t="shared" si="60"/>
        <v>0</v>
      </c>
    </row>
    <row r="273" spans="1:87" x14ac:dyDescent="0.2">
      <c r="A273" s="125" t="s">
        <v>1782</v>
      </c>
      <c r="B273" s="126" t="s">
        <v>2007</v>
      </c>
      <c r="C273" s="126" t="s">
        <v>1339</v>
      </c>
      <c r="D273" s="127" t="s">
        <v>1783</v>
      </c>
      <c r="E273" s="128" t="s">
        <v>102</v>
      </c>
      <c r="F273" s="137">
        <v>1249</v>
      </c>
      <c r="G273" s="130">
        <v>777.91</v>
      </c>
      <c r="H273" s="128">
        <v>1</v>
      </c>
      <c r="I273" s="116">
        <f t="shared" ref="I273:I284" si="61">BU273</f>
        <v>0</v>
      </c>
      <c r="J273" s="374">
        <f t="shared" ref="J273:J284" si="62">CI273</f>
        <v>0</v>
      </c>
      <c r="K273" s="137">
        <f t="shared" si="56"/>
        <v>1</v>
      </c>
      <c r="L273" s="131">
        <f t="shared" si="59"/>
        <v>777.91</v>
      </c>
      <c r="M273" s="131">
        <f t="shared" si="59"/>
        <v>0</v>
      </c>
      <c r="N273" s="131">
        <f t="shared" si="59"/>
        <v>0</v>
      </c>
      <c r="O273" s="131">
        <f t="shared" si="59"/>
        <v>777.91</v>
      </c>
      <c r="P273" s="136">
        <f t="shared" si="58"/>
        <v>0</v>
      </c>
      <c r="Q273" s="525"/>
      <c r="S273" s="189">
        <v>0</v>
      </c>
      <c r="T273" s="189">
        <v>0</v>
      </c>
      <c r="BT273" s="525"/>
      <c r="BU273" s="523">
        <v>0</v>
      </c>
      <c r="BV273" s="523">
        <v>0</v>
      </c>
      <c r="BW273" s="523"/>
      <c r="BX273" s="523"/>
      <c r="BY273" s="523"/>
      <c r="BZ273" s="523"/>
      <c r="CA273" s="523"/>
      <c r="CB273" s="523"/>
      <c r="CC273" s="523"/>
      <c r="CD273" s="523"/>
      <c r="CE273" s="523"/>
      <c r="CF273" s="523"/>
      <c r="CG273" s="523"/>
      <c r="CH273" s="523"/>
      <c r="CI273" s="523">
        <f t="shared" si="60"/>
        <v>0</v>
      </c>
    </row>
    <row r="274" spans="1:87" s="514" customFormat="1" x14ac:dyDescent="0.2">
      <c r="A274" s="125" t="s">
        <v>1784</v>
      </c>
      <c r="B274" s="126">
        <v>84862</v>
      </c>
      <c r="C274" s="126" t="s">
        <v>1324</v>
      </c>
      <c r="D274" s="127" t="s">
        <v>1785</v>
      </c>
      <c r="E274" s="128" t="s">
        <v>81</v>
      </c>
      <c r="F274" s="137">
        <v>74.2</v>
      </c>
      <c r="G274" s="130">
        <v>203.05</v>
      </c>
      <c r="H274" s="128">
        <v>9.6</v>
      </c>
      <c r="I274" s="116">
        <f t="shared" si="61"/>
        <v>0</v>
      </c>
      <c r="J274" s="374">
        <f t="shared" si="62"/>
        <v>0</v>
      </c>
      <c r="K274" s="137">
        <f t="shared" si="56"/>
        <v>9.6</v>
      </c>
      <c r="L274" s="131">
        <f t="shared" si="59"/>
        <v>1949.28</v>
      </c>
      <c r="M274" s="131">
        <f t="shared" si="59"/>
        <v>0</v>
      </c>
      <c r="N274" s="131">
        <f t="shared" si="59"/>
        <v>0</v>
      </c>
      <c r="O274" s="131">
        <f t="shared" si="59"/>
        <v>1949.28</v>
      </c>
      <c r="P274" s="136">
        <f t="shared" si="58"/>
        <v>0</v>
      </c>
      <c r="Q274" s="525"/>
      <c r="S274" s="190">
        <v>0</v>
      </c>
      <c r="T274" s="190">
        <v>0</v>
      </c>
      <c r="BT274" s="525"/>
      <c r="BU274" s="523">
        <v>0</v>
      </c>
      <c r="BV274" s="523">
        <v>0</v>
      </c>
      <c r="BW274" s="523"/>
      <c r="BX274" s="523"/>
      <c r="BY274" s="523"/>
      <c r="BZ274" s="523"/>
      <c r="CA274" s="523"/>
      <c r="CB274" s="523"/>
      <c r="CC274" s="523"/>
      <c r="CD274" s="523"/>
      <c r="CE274" s="523"/>
      <c r="CF274" s="523"/>
      <c r="CG274" s="523"/>
      <c r="CH274" s="523"/>
      <c r="CI274" s="523">
        <f t="shared" si="60"/>
        <v>0</v>
      </c>
    </row>
    <row r="275" spans="1:87" x14ac:dyDescent="0.2">
      <c r="A275" s="449" t="s">
        <v>691</v>
      </c>
      <c r="B275" s="450"/>
      <c r="C275" s="450"/>
      <c r="D275" s="451" t="s">
        <v>1786</v>
      </c>
      <c r="E275" s="452"/>
      <c r="F275" s="452"/>
      <c r="G275" s="452"/>
      <c r="H275" s="452"/>
      <c r="I275" s="452"/>
      <c r="J275" s="452"/>
      <c r="K275" s="452"/>
      <c r="L275" s="452">
        <f>SUM(L276:L277)</f>
        <v>21904.989999999998</v>
      </c>
      <c r="M275" s="452">
        <f>SUM(M276:M277)</f>
        <v>0</v>
      </c>
      <c r="N275" s="452">
        <f>SUM(N276:N277)</f>
        <v>0</v>
      </c>
      <c r="O275" s="452">
        <f>SUM(O276:O277)</f>
        <v>21904.989999999998</v>
      </c>
      <c r="P275" s="459">
        <f t="shared" si="58"/>
        <v>0</v>
      </c>
      <c r="Q275" s="525"/>
      <c r="S275" s="189">
        <v>0</v>
      </c>
      <c r="T275" s="189">
        <v>0</v>
      </c>
      <c r="BT275" s="525"/>
      <c r="BU275" s="523"/>
      <c r="BV275" s="523"/>
      <c r="BW275" s="523"/>
      <c r="BX275" s="523"/>
      <c r="BY275" s="523"/>
      <c r="BZ275" s="523"/>
      <c r="CA275" s="523"/>
      <c r="CB275" s="523"/>
      <c r="CC275" s="523"/>
      <c r="CD275" s="523"/>
      <c r="CE275" s="523"/>
      <c r="CF275" s="523"/>
      <c r="CG275" s="523"/>
      <c r="CH275" s="523"/>
      <c r="CI275" s="523">
        <f t="shared" si="60"/>
        <v>0</v>
      </c>
    </row>
    <row r="276" spans="1:87" ht="25.5" x14ac:dyDescent="0.2">
      <c r="A276" s="125" t="s">
        <v>1787</v>
      </c>
      <c r="B276" s="126" t="s">
        <v>1788</v>
      </c>
      <c r="C276" s="126" t="s">
        <v>1324</v>
      </c>
      <c r="D276" s="127" t="s">
        <v>1789</v>
      </c>
      <c r="E276" s="128" t="s">
        <v>14</v>
      </c>
      <c r="F276" s="137">
        <v>62.36</v>
      </c>
      <c r="G276" s="130">
        <v>103.67</v>
      </c>
      <c r="H276" s="128">
        <v>201</v>
      </c>
      <c r="I276" s="116">
        <f t="shared" si="61"/>
        <v>0</v>
      </c>
      <c r="J276" s="374">
        <f t="shared" si="62"/>
        <v>0</v>
      </c>
      <c r="K276" s="137">
        <f t="shared" si="56"/>
        <v>201</v>
      </c>
      <c r="L276" s="131">
        <f t="shared" ref="L276:O277" si="63">ROUND(H276*$G276,2)</f>
        <v>20837.669999999998</v>
      </c>
      <c r="M276" s="131">
        <f t="shared" si="63"/>
        <v>0</v>
      </c>
      <c r="N276" s="131">
        <f t="shared" si="63"/>
        <v>0</v>
      </c>
      <c r="O276" s="131">
        <f t="shared" si="63"/>
        <v>20837.669999999998</v>
      </c>
      <c r="P276" s="136">
        <f t="shared" si="58"/>
        <v>0</v>
      </c>
      <c r="Q276" s="525"/>
      <c r="S276" s="189">
        <v>0</v>
      </c>
      <c r="T276" s="189">
        <v>0</v>
      </c>
      <c r="BT276" s="525"/>
      <c r="BU276" s="523">
        <v>0</v>
      </c>
      <c r="BV276" s="523">
        <v>0</v>
      </c>
      <c r="BW276" s="523"/>
      <c r="BX276" s="523"/>
      <c r="BY276" s="523"/>
      <c r="BZ276" s="523"/>
      <c r="CA276" s="523"/>
      <c r="CB276" s="523"/>
      <c r="CC276" s="523"/>
      <c r="CD276" s="523"/>
      <c r="CE276" s="523"/>
      <c r="CF276" s="523"/>
      <c r="CG276" s="523"/>
      <c r="CH276" s="523"/>
      <c r="CI276" s="523">
        <f t="shared" si="60"/>
        <v>0</v>
      </c>
    </row>
    <row r="277" spans="1:87" s="514" customFormat="1" x14ac:dyDescent="0.2">
      <c r="A277" s="125" t="s">
        <v>1790</v>
      </c>
      <c r="B277" s="126" t="s">
        <v>2007</v>
      </c>
      <c r="C277" s="126" t="s">
        <v>1339</v>
      </c>
      <c r="D277" s="127" t="s">
        <v>1791</v>
      </c>
      <c r="E277" s="128" t="s">
        <v>102</v>
      </c>
      <c r="F277" s="137">
        <v>100.46</v>
      </c>
      <c r="G277" s="130">
        <v>266.83</v>
      </c>
      <c r="H277" s="128">
        <v>4</v>
      </c>
      <c r="I277" s="116">
        <f t="shared" si="61"/>
        <v>0</v>
      </c>
      <c r="J277" s="374">
        <f t="shared" si="62"/>
        <v>0</v>
      </c>
      <c r="K277" s="137">
        <f t="shared" si="56"/>
        <v>4</v>
      </c>
      <c r="L277" s="131">
        <f t="shared" si="63"/>
        <v>1067.32</v>
      </c>
      <c r="M277" s="131">
        <f t="shared" si="63"/>
        <v>0</v>
      </c>
      <c r="N277" s="131">
        <f t="shared" si="63"/>
        <v>0</v>
      </c>
      <c r="O277" s="131">
        <f t="shared" si="63"/>
        <v>1067.32</v>
      </c>
      <c r="P277" s="136">
        <f t="shared" si="58"/>
        <v>0</v>
      </c>
      <c r="Q277" s="525"/>
      <c r="S277" s="190">
        <v>0</v>
      </c>
      <c r="T277" s="190">
        <v>0</v>
      </c>
      <c r="BT277" s="525"/>
      <c r="BU277" s="523">
        <v>0</v>
      </c>
      <c r="BV277" s="523">
        <v>0</v>
      </c>
      <c r="BW277" s="523"/>
      <c r="BX277" s="523"/>
      <c r="BY277" s="523"/>
      <c r="BZ277" s="523"/>
      <c r="CA277" s="523"/>
      <c r="CB277" s="523"/>
      <c r="CC277" s="523"/>
      <c r="CD277" s="523"/>
      <c r="CE277" s="523"/>
      <c r="CF277" s="523"/>
      <c r="CG277" s="523"/>
      <c r="CH277" s="523"/>
      <c r="CI277" s="523">
        <f t="shared" si="60"/>
        <v>0</v>
      </c>
    </row>
    <row r="278" spans="1:87" x14ac:dyDescent="0.2">
      <c r="A278" s="412">
        <v>20</v>
      </c>
      <c r="B278" s="413"/>
      <c r="C278" s="413"/>
      <c r="D278" s="414" t="s">
        <v>1232</v>
      </c>
      <c r="E278" s="415"/>
      <c r="F278" s="415"/>
      <c r="G278" s="415"/>
      <c r="H278" s="415"/>
      <c r="I278" s="415"/>
      <c r="J278" s="415"/>
      <c r="K278" s="415"/>
      <c r="L278" s="416">
        <f>SUM(L279:L283)</f>
        <v>4777.13</v>
      </c>
      <c r="M278" s="416">
        <f>SUM(M279:M283)</f>
        <v>0</v>
      </c>
      <c r="N278" s="416">
        <f>SUM(N279:N283)</f>
        <v>0</v>
      </c>
      <c r="O278" s="416">
        <f>SUM(O279:O283)</f>
        <v>4777.13</v>
      </c>
      <c r="P278" s="423">
        <f t="shared" si="58"/>
        <v>0</v>
      </c>
      <c r="Q278" s="525"/>
      <c r="S278" s="189">
        <v>0</v>
      </c>
      <c r="T278" s="189">
        <v>0</v>
      </c>
      <c r="BT278" s="525"/>
      <c r="BU278" s="523"/>
      <c r="BV278" s="523"/>
      <c r="BW278" s="523"/>
      <c r="BX278" s="523"/>
      <c r="BY278" s="523"/>
      <c r="BZ278" s="523"/>
      <c r="CA278" s="523"/>
      <c r="CB278" s="523"/>
      <c r="CC278" s="523"/>
      <c r="CD278" s="523"/>
      <c r="CE278" s="523"/>
      <c r="CF278" s="523"/>
      <c r="CG278" s="523"/>
      <c r="CH278" s="523"/>
      <c r="CI278" s="523">
        <f t="shared" si="60"/>
        <v>0</v>
      </c>
    </row>
    <row r="279" spans="1:87" x14ac:dyDescent="0.2">
      <c r="A279" s="125" t="s">
        <v>719</v>
      </c>
      <c r="B279" s="126" t="s">
        <v>1792</v>
      </c>
      <c r="C279" s="126" t="s">
        <v>1324</v>
      </c>
      <c r="D279" s="127" t="s">
        <v>1793</v>
      </c>
      <c r="E279" s="128" t="s">
        <v>14</v>
      </c>
      <c r="F279" s="137">
        <v>37.18</v>
      </c>
      <c r="G279" s="130">
        <v>4.97</v>
      </c>
      <c r="H279" s="128">
        <v>296.01</v>
      </c>
      <c r="I279" s="116">
        <f t="shared" si="61"/>
        <v>0</v>
      </c>
      <c r="J279" s="374">
        <f t="shared" si="62"/>
        <v>0</v>
      </c>
      <c r="K279" s="137">
        <f t="shared" si="56"/>
        <v>296.01</v>
      </c>
      <c r="L279" s="131">
        <f t="shared" ref="L279:O283" si="64">ROUND(H279*$G279,2)</f>
        <v>1471.17</v>
      </c>
      <c r="M279" s="131">
        <f t="shared" si="64"/>
        <v>0</v>
      </c>
      <c r="N279" s="131">
        <f t="shared" si="64"/>
        <v>0</v>
      </c>
      <c r="O279" s="131">
        <f t="shared" si="64"/>
        <v>1471.17</v>
      </c>
      <c r="P279" s="136">
        <f t="shared" si="58"/>
        <v>0</v>
      </c>
      <c r="Q279" s="525"/>
      <c r="S279" s="189">
        <v>0</v>
      </c>
      <c r="T279" s="189">
        <v>0</v>
      </c>
      <c r="BT279" s="525"/>
      <c r="BU279" s="523">
        <v>0</v>
      </c>
      <c r="BV279" s="523">
        <v>0</v>
      </c>
      <c r="BW279" s="523"/>
      <c r="BX279" s="523"/>
      <c r="BY279" s="523"/>
      <c r="BZ279" s="523"/>
      <c r="CA279" s="523"/>
      <c r="CB279" s="523"/>
      <c r="CC279" s="523"/>
      <c r="CD279" s="523"/>
      <c r="CE279" s="523"/>
      <c r="CF279" s="523"/>
      <c r="CG279" s="523"/>
      <c r="CH279" s="523"/>
      <c r="CI279" s="523">
        <f t="shared" si="60"/>
        <v>0</v>
      </c>
    </row>
    <row r="280" spans="1:87" x14ac:dyDescent="0.2">
      <c r="A280" s="125" t="s">
        <v>726</v>
      </c>
      <c r="B280" s="126" t="s">
        <v>1794</v>
      </c>
      <c r="C280" s="126" t="s">
        <v>1324</v>
      </c>
      <c r="D280" s="127" t="s">
        <v>1795</v>
      </c>
      <c r="E280" s="128" t="s">
        <v>14</v>
      </c>
      <c r="F280" s="137">
        <v>14.42</v>
      </c>
      <c r="G280" s="130">
        <v>9.57</v>
      </c>
      <c r="H280" s="128">
        <v>21.9</v>
      </c>
      <c r="I280" s="116">
        <f t="shared" si="61"/>
        <v>0</v>
      </c>
      <c r="J280" s="374">
        <f t="shared" si="62"/>
        <v>0</v>
      </c>
      <c r="K280" s="137">
        <f t="shared" si="56"/>
        <v>21.9</v>
      </c>
      <c r="L280" s="131">
        <f t="shared" si="64"/>
        <v>209.58</v>
      </c>
      <c r="M280" s="131">
        <f t="shared" si="64"/>
        <v>0</v>
      </c>
      <c r="N280" s="131">
        <f t="shared" si="64"/>
        <v>0</v>
      </c>
      <c r="O280" s="131">
        <f t="shared" si="64"/>
        <v>209.58</v>
      </c>
      <c r="P280" s="136">
        <f t="shared" si="58"/>
        <v>0</v>
      </c>
      <c r="Q280" s="525"/>
      <c r="S280" s="189">
        <v>0</v>
      </c>
      <c r="T280" s="189">
        <v>0</v>
      </c>
      <c r="BT280" s="525"/>
      <c r="BU280" s="523">
        <v>0</v>
      </c>
      <c r="BV280" s="523">
        <v>0</v>
      </c>
      <c r="BW280" s="523"/>
      <c r="BX280" s="523"/>
      <c r="BY280" s="523"/>
      <c r="BZ280" s="523"/>
      <c r="CA280" s="523"/>
      <c r="CB280" s="523"/>
      <c r="CC280" s="523"/>
      <c r="CD280" s="523"/>
      <c r="CE280" s="523"/>
      <c r="CF280" s="523"/>
      <c r="CG280" s="523"/>
      <c r="CH280" s="523"/>
      <c r="CI280" s="523">
        <f t="shared" si="60"/>
        <v>0</v>
      </c>
    </row>
    <row r="281" spans="1:87" x14ac:dyDescent="0.2">
      <c r="A281" s="125" t="s">
        <v>730</v>
      </c>
      <c r="B281" s="126" t="s">
        <v>1796</v>
      </c>
      <c r="C281" s="126" t="s">
        <v>1324</v>
      </c>
      <c r="D281" s="127" t="s">
        <v>1797</v>
      </c>
      <c r="E281" s="128" t="s">
        <v>14</v>
      </c>
      <c r="F281" s="137">
        <v>22.57</v>
      </c>
      <c r="G281" s="130">
        <v>11.45</v>
      </c>
      <c r="H281" s="128">
        <v>64.91</v>
      </c>
      <c r="I281" s="116">
        <f t="shared" si="61"/>
        <v>0</v>
      </c>
      <c r="J281" s="374">
        <f t="shared" si="62"/>
        <v>0</v>
      </c>
      <c r="K281" s="137">
        <f t="shared" si="56"/>
        <v>64.91</v>
      </c>
      <c r="L281" s="131">
        <f t="shared" si="64"/>
        <v>743.22</v>
      </c>
      <c r="M281" s="131">
        <f t="shared" si="64"/>
        <v>0</v>
      </c>
      <c r="N281" s="131">
        <f t="shared" si="64"/>
        <v>0</v>
      </c>
      <c r="O281" s="131">
        <f t="shared" si="64"/>
        <v>743.22</v>
      </c>
      <c r="P281" s="136">
        <f t="shared" si="58"/>
        <v>0</v>
      </c>
      <c r="Q281" s="525"/>
      <c r="S281" s="189">
        <v>0</v>
      </c>
      <c r="T281" s="189">
        <v>0</v>
      </c>
      <c r="BT281" s="525"/>
      <c r="BU281" s="523">
        <v>0</v>
      </c>
      <c r="BV281" s="523">
        <v>0</v>
      </c>
      <c r="BW281" s="523"/>
      <c r="BX281" s="523"/>
      <c r="BY281" s="523"/>
      <c r="BZ281" s="523"/>
      <c r="CA281" s="523"/>
      <c r="CB281" s="523"/>
      <c r="CC281" s="523"/>
      <c r="CD281" s="523"/>
      <c r="CE281" s="523"/>
      <c r="CF281" s="523"/>
      <c r="CG281" s="523"/>
      <c r="CH281" s="523"/>
      <c r="CI281" s="523">
        <f t="shared" si="60"/>
        <v>0</v>
      </c>
    </row>
    <row r="282" spans="1:87" x14ac:dyDescent="0.2">
      <c r="A282" s="125" t="s">
        <v>739</v>
      </c>
      <c r="B282" s="126" t="s">
        <v>1798</v>
      </c>
      <c r="C282" s="126" t="s">
        <v>1324</v>
      </c>
      <c r="D282" s="127" t="s">
        <v>1799</v>
      </c>
      <c r="E282" s="128" t="s">
        <v>14</v>
      </c>
      <c r="F282" s="137">
        <v>26.75</v>
      </c>
      <c r="G282" s="130">
        <v>1.53</v>
      </c>
      <c r="H282" s="128">
        <v>676.67</v>
      </c>
      <c r="I282" s="116">
        <f t="shared" si="61"/>
        <v>0</v>
      </c>
      <c r="J282" s="374">
        <f t="shared" si="62"/>
        <v>0</v>
      </c>
      <c r="K282" s="137">
        <f t="shared" si="56"/>
        <v>676.67</v>
      </c>
      <c r="L282" s="131">
        <f t="shared" si="64"/>
        <v>1035.31</v>
      </c>
      <c r="M282" s="131">
        <f t="shared" si="64"/>
        <v>0</v>
      </c>
      <c r="N282" s="131">
        <f t="shared" si="64"/>
        <v>0</v>
      </c>
      <c r="O282" s="131">
        <f t="shared" si="64"/>
        <v>1035.31</v>
      </c>
      <c r="P282" s="136">
        <f t="shared" si="58"/>
        <v>0</v>
      </c>
      <c r="Q282" s="525"/>
      <c r="S282" s="189">
        <v>0</v>
      </c>
      <c r="T282" s="189">
        <v>0</v>
      </c>
      <c r="BT282" s="525"/>
      <c r="BU282" s="523">
        <v>0</v>
      </c>
      <c r="BV282" s="523">
        <v>0</v>
      </c>
      <c r="BW282" s="523"/>
      <c r="BX282" s="523"/>
      <c r="BY282" s="523"/>
      <c r="BZ282" s="523"/>
      <c r="CA282" s="523"/>
      <c r="CB282" s="523"/>
      <c r="CC282" s="523"/>
      <c r="CD282" s="523"/>
      <c r="CE282" s="523"/>
      <c r="CF282" s="523"/>
      <c r="CG282" s="523"/>
      <c r="CH282" s="523"/>
      <c r="CI282" s="523">
        <f t="shared" si="60"/>
        <v>0</v>
      </c>
    </row>
    <row r="283" spans="1:87" x14ac:dyDescent="0.2">
      <c r="A283" s="125" t="s">
        <v>743</v>
      </c>
      <c r="B283" s="126">
        <v>84122</v>
      </c>
      <c r="C283" s="126" t="s">
        <v>1324</v>
      </c>
      <c r="D283" s="127" t="s">
        <v>1800</v>
      </c>
      <c r="E283" s="128" t="s">
        <v>102</v>
      </c>
      <c r="F283" s="137">
        <v>61.1</v>
      </c>
      <c r="G283" s="130">
        <v>1317.85</v>
      </c>
      <c r="H283" s="128">
        <v>1</v>
      </c>
      <c r="I283" s="116">
        <f t="shared" si="61"/>
        <v>0</v>
      </c>
      <c r="J283" s="374">
        <f t="shared" si="62"/>
        <v>0</v>
      </c>
      <c r="K283" s="137">
        <f t="shared" si="56"/>
        <v>1</v>
      </c>
      <c r="L283" s="131">
        <f t="shared" si="64"/>
        <v>1317.85</v>
      </c>
      <c r="M283" s="131">
        <f t="shared" si="64"/>
        <v>0</v>
      </c>
      <c r="N283" s="131">
        <f t="shared" si="64"/>
        <v>0</v>
      </c>
      <c r="O283" s="131">
        <f t="shared" si="64"/>
        <v>1317.85</v>
      </c>
      <c r="P283" s="136">
        <f t="shared" si="58"/>
        <v>0</v>
      </c>
      <c r="Q283" s="525"/>
      <c r="S283" s="189">
        <v>0</v>
      </c>
      <c r="T283" s="189">
        <v>0</v>
      </c>
      <c r="AE283" s="393"/>
      <c r="BT283" s="525"/>
      <c r="BU283" s="523">
        <v>0</v>
      </c>
      <c r="BV283" s="523">
        <v>0</v>
      </c>
      <c r="BW283" s="523"/>
      <c r="BX283" s="523"/>
      <c r="BY283" s="523"/>
      <c r="BZ283" s="523"/>
      <c r="CA283" s="523"/>
      <c r="CB283" s="523"/>
      <c r="CC283" s="523"/>
      <c r="CD283" s="523"/>
      <c r="CE283" s="523"/>
      <c r="CF283" s="523"/>
      <c r="CG283" s="523"/>
      <c r="CH283" s="523"/>
      <c r="CI283" s="523">
        <f t="shared" si="60"/>
        <v>0</v>
      </c>
    </row>
    <row r="284" spans="1:87" s="67" customFormat="1" ht="13.5" thickBot="1" x14ac:dyDescent="0.25">
      <c r="A284" s="438"/>
      <c r="B284" s="439"/>
      <c r="C284" s="440"/>
      <c r="D284" s="440"/>
      <c r="E284" s="440"/>
      <c r="F284" s="440"/>
      <c r="G284" s="442" t="s">
        <v>1281</v>
      </c>
      <c r="H284" s="441"/>
      <c r="I284" s="444">
        <f t="shared" si="61"/>
        <v>0</v>
      </c>
      <c r="J284" s="445">
        <f t="shared" si="62"/>
        <v>0</v>
      </c>
      <c r="K284" s="440">
        <f t="shared" si="56"/>
        <v>0</v>
      </c>
      <c r="L284" s="443">
        <f>L14+L26+L32+L45+L69+L77+L92+L95+L98+L109+L120+L129+L168+L190+L194+L208+L214+L259+L268+L278</f>
        <v>664297.17000000004</v>
      </c>
      <c r="M284" s="446">
        <f>SUM(M278,M268,M259,M214,M208,M194,M190,M168,M129,M120,M109,M98,M95,M92,M77,M69,M45,M32,M26,M14)</f>
        <v>49742.080000000002</v>
      </c>
      <c r="N284" s="446">
        <f>SUM(N278,N268,N259,N214,N208,N194,N190,N168,N129,N120,N109,N98,N95,N92,N77,N69,N45,N32,N26,N14)</f>
        <v>107914.23999999999</v>
      </c>
      <c r="O284" s="446">
        <f>SUM(O278,O268,O259,O214,O208,O194,O190,O168,O129,O120,O109,O98,O95,O92,O77,O69,O45,O32,O26,O14)</f>
        <v>556382.92999999993</v>
      </c>
      <c r="P284" s="448">
        <f>N284/O284</f>
        <v>0.19395677721457055</v>
      </c>
      <c r="Q284" s="525"/>
      <c r="S284" s="193"/>
      <c r="T284" s="193"/>
      <c r="BT284" s="525"/>
      <c r="BU284" s="523"/>
      <c r="BV284" s="523"/>
      <c r="BW284" s="523"/>
      <c r="BX284" s="523"/>
      <c r="BY284" s="523"/>
      <c r="BZ284" s="523"/>
      <c r="CA284" s="523"/>
      <c r="CB284" s="523"/>
      <c r="CC284" s="523"/>
      <c r="CD284" s="523"/>
      <c r="CE284" s="523"/>
      <c r="CF284" s="523"/>
      <c r="CG284" s="523"/>
      <c r="CH284" s="523"/>
      <c r="CI284" s="523">
        <f t="shared" si="60"/>
        <v>0</v>
      </c>
    </row>
    <row r="285" spans="1:87" x14ac:dyDescent="0.2">
      <c r="A285" s="69"/>
      <c r="B285" s="69"/>
      <c r="C285" s="59"/>
      <c r="D285" s="111"/>
      <c r="E285" s="59"/>
      <c r="F285" s="59"/>
      <c r="G285" s="82"/>
      <c r="H285" s="68"/>
      <c r="I285" s="70"/>
      <c r="J285" s="70"/>
      <c r="K285" s="59"/>
      <c r="L285" s="77"/>
      <c r="M285" s="77"/>
      <c r="N285" s="77"/>
      <c r="O285" s="373"/>
      <c r="P285" s="61"/>
    </row>
    <row r="286" spans="1:87" x14ac:dyDescent="0.2">
      <c r="P286" s="72"/>
    </row>
    <row r="287" spans="1:87" x14ac:dyDescent="0.2">
      <c r="B287" s="71"/>
      <c r="C287" s="66"/>
      <c r="P287" s="72"/>
    </row>
    <row r="288" spans="1:87" x14ac:dyDescent="0.2">
      <c r="B288" s="71"/>
      <c r="C288" s="66"/>
    </row>
    <row r="289" spans="1:15" x14ac:dyDescent="0.2">
      <c r="A289" s="66" t="s">
        <v>1802</v>
      </c>
      <c r="B289" s="71"/>
      <c r="C289" s="66"/>
      <c r="E289" s="66" t="s">
        <v>1297</v>
      </c>
      <c r="J289" s="892" t="s">
        <v>1307</v>
      </c>
      <c r="K289" s="892"/>
      <c r="L289" s="892"/>
      <c r="M289" s="78" t="s">
        <v>1308</v>
      </c>
    </row>
    <row r="290" spans="1:15" x14ac:dyDescent="0.2">
      <c r="A290" s="66" t="s">
        <v>1803</v>
      </c>
      <c r="B290" s="71"/>
      <c r="C290" s="66"/>
      <c r="E290" s="66" t="s">
        <v>1298</v>
      </c>
      <c r="J290" s="892" t="s">
        <v>1305</v>
      </c>
      <c r="K290" s="892"/>
      <c r="L290" s="892"/>
      <c r="M290" s="892" t="s">
        <v>2022</v>
      </c>
      <c r="N290" s="892"/>
      <c r="O290" s="892"/>
    </row>
    <row r="291" spans="1:15" x14ac:dyDescent="0.2">
      <c r="A291" s="66" t="s">
        <v>1804</v>
      </c>
      <c r="B291" s="71"/>
      <c r="C291" s="66"/>
      <c r="E291" s="66" t="s">
        <v>1300</v>
      </c>
      <c r="J291" s="892" t="s">
        <v>1306</v>
      </c>
      <c r="K291" s="892"/>
      <c r="L291" s="892"/>
      <c r="M291" s="892"/>
      <c r="N291" s="892"/>
      <c r="O291" s="892"/>
    </row>
    <row r="292" spans="1:15" x14ac:dyDescent="0.2">
      <c r="A292" s="66" t="s">
        <v>1805</v>
      </c>
      <c r="B292" s="71"/>
      <c r="C292" s="66"/>
      <c r="E292" s="66" t="s">
        <v>1315</v>
      </c>
      <c r="J292" s="892" t="s">
        <v>1301</v>
      </c>
      <c r="K292" s="892"/>
      <c r="L292" s="892"/>
      <c r="M292" s="78" t="s">
        <v>1303</v>
      </c>
    </row>
    <row r="293" spans="1:15" x14ac:dyDescent="0.2">
      <c r="M293" s="78" t="s">
        <v>1304</v>
      </c>
    </row>
  </sheetData>
  <mergeCells count="23">
    <mergeCell ref="A1:D5"/>
    <mergeCell ref="E1:P5"/>
    <mergeCell ref="A7:D7"/>
    <mergeCell ref="E7:G7"/>
    <mergeCell ref="A8:D8"/>
    <mergeCell ref="E8:G8"/>
    <mergeCell ref="A9:D9"/>
    <mergeCell ref="N9:O9"/>
    <mergeCell ref="A11:A12"/>
    <mergeCell ref="B11:B12"/>
    <mergeCell ref="C11:C12"/>
    <mergeCell ref="D11:D12"/>
    <mergeCell ref="E11:E12"/>
    <mergeCell ref="F11:F12"/>
    <mergeCell ref="G11:G12"/>
    <mergeCell ref="H11:K11"/>
    <mergeCell ref="J292:L292"/>
    <mergeCell ref="L11:O11"/>
    <mergeCell ref="J289:L289"/>
    <mergeCell ref="J290:L290"/>
    <mergeCell ref="M290:O290"/>
    <mergeCell ref="J291:L291"/>
    <mergeCell ref="M291:O291"/>
  </mergeCells>
  <conditionalFormatting sqref="A14:E14 F46:G46 H89 O95 F51:G51 I51 K132:K151 H226:H246 H216:H224 F225:H225 A89:E89 L95:M95 A16:E16 H14:H16 H27:H31 A27:E31 A26:D26 A33:E44 A32:D32 H34:H44 H46:H56 A46:E56 A45:D45 A71:E71 H71 H79:H82 A79:E82 A93:E94 A92:D92 H93:H94 H96:H97 A96:E97 A95:D95 A99:E108 A98:D98 H99:H108 H111:H115 A111:E115 A121:E128 A120:D120 H121:H128 H131:H151 A131:E151 A169:E180 A168:D168 H170:H180 K170:K180 A191:E193 A190:D190 H191:I193 A195:E207 A194:D194 H195:I207 A209:E213 A208:D208 H209:I213 I216:I246 A215:E258 A214:D214 A260:E267 A259:D259 H260:I267 H270:I274 A269:E277 A268:D268 A279:E283 A278:D278 I279:I283 H279:H285 A58:E61 A57:D57 H58:H61 H63:H66 A63:E66 A62:D62 A68:E68 A67:D67 H68 A69:D70 H73:H74 A73:E74 A72:D72 A76:E76 A75:D75 H76 A77:D78 A84:E86 A83:D83 H84:H86 A87:D87 A91:E91 A90:D90 H91 A109:D110 A117:E119 A116:D116 H117:H119 A129:D130 A153:E167 A152:D152 H153:H167 K153:K167 H182:I189 A182:E189 A181:D181 H22:H25 A22:E25 L45:O45 L51:O51 L57:O57 L62:O62 L67:O67 L70:O70 L72:O72 L75:O75 L77:O78 L83:O83 L92:O92 L98:O98 L109:O110 L116:O116 L120:O120 L129:O130 L152:O152 L168:O169 L181:O181 L190:O190 L194:O194 L208:O208 K225:O225 L214:O215 L259:O259 L268:O269 L278:O278 H248:I251 F247:O247 H276:I277 F275:O275 F269:K269 H253:I258 F252:O252 F215:K215 F169:K169">
    <cfRule type="expression" dxfId="655" priority="75">
      <formula>$D14&lt;&gt;0</formula>
    </cfRule>
    <cfRule type="expression" dxfId="654" priority="76">
      <formula>$O14=1</formula>
    </cfRule>
  </conditionalFormatting>
  <conditionalFormatting sqref="G14 G39 L39:O39 G33:K33">
    <cfRule type="expression" dxfId="653" priority="77">
      <formula>$D14&lt;&gt;0</formula>
    </cfRule>
    <cfRule type="expression" dxfId="652" priority="78">
      <formula>$O14=1</formula>
    </cfRule>
  </conditionalFormatting>
  <conditionalFormatting sqref="E26">
    <cfRule type="expression" dxfId="651" priority="71">
      <formula>$D26&lt;&gt;0</formula>
    </cfRule>
    <cfRule type="expression" dxfId="650" priority="72">
      <formula>$O26=1</formula>
    </cfRule>
  </conditionalFormatting>
  <conditionalFormatting sqref="G26:J26">
    <cfRule type="expression" dxfId="649" priority="73">
      <formula>$D26&lt;&gt;0</formula>
    </cfRule>
    <cfRule type="expression" dxfId="648" priority="74">
      <formula>$O26=1</formula>
    </cfRule>
  </conditionalFormatting>
  <conditionalFormatting sqref="E32">
    <cfRule type="expression" dxfId="647" priority="67">
      <formula>$D32&lt;&gt;0</formula>
    </cfRule>
    <cfRule type="expression" dxfId="646" priority="68">
      <formula>$O32=1</formula>
    </cfRule>
  </conditionalFormatting>
  <conditionalFormatting sqref="G32:K32">
    <cfRule type="expression" dxfId="645" priority="69">
      <formula>$D32&lt;&gt;0</formula>
    </cfRule>
    <cfRule type="expression" dxfId="644" priority="70">
      <formula>$O32=1</formula>
    </cfRule>
  </conditionalFormatting>
  <conditionalFormatting sqref="E45 H45">
    <cfRule type="expression" dxfId="643" priority="63">
      <formula>$D45&lt;&gt;0</formula>
    </cfRule>
    <cfRule type="expression" dxfId="642" priority="64">
      <formula>$O45=1</formula>
    </cfRule>
  </conditionalFormatting>
  <conditionalFormatting sqref="G45">
    <cfRule type="expression" dxfId="641" priority="65">
      <formula>$D45&lt;&gt;0</formula>
    </cfRule>
    <cfRule type="expression" dxfId="640" priority="66">
      <formula>$O45=1</formula>
    </cfRule>
  </conditionalFormatting>
  <conditionalFormatting sqref="E69:K69">
    <cfRule type="expression" dxfId="639" priority="61">
      <formula>$D69&lt;&gt;0</formula>
    </cfRule>
    <cfRule type="expression" dxfId="638" priority="62">
      <formula>$O69=1</formula>
    </cfRule>
  </conditionalFormatting>
  <conditionalFormatting sqref="E77:K77">
    <cfRule type="expression" dxfId="637" priority="59">
      <formula>$D77&lt;&gt;0</formula>
    </cfRule>
    <cfRule type="expression" dxfId="636" priority="60">
      <formula>$O77=1</formula>
    </cfRule>
  </conditionalFormatting>
  <conditionalFormatting sqref="E92:K92">
    <cfRule type="expression" dxfId="635" priority="57">
      <formula>$D92&lt;&gt;0</formula>
    </cfRule>
    <cfRule type="expression" dxfId="634" priority="58">
      <formula>$O92=1</formula>
    </cfRule>
  </conditionalFormatting>
  <conditionalFormatting sqref="E95:K95">
    <cfRule type="expression" dxfId="633" priority="55">
      <formula>$D95&lt;&gt;0</formula>
    </cfRule>
    <cfRule type="expression" dxfId="632" priority="56">
      <formula>$O95=1</formula>
    </cfRule>
  </conditionalFormatting>
  <conditionalFormatting sqref="E98:K98">
    <cfRule type="expression" dxfId="631" priority="53">
      <formula>$D98&lt;&gt;0</formula>
    </cfRule>
    <cfRule type="expression" dxfId="630" priority="54">
      <formula>$O98=1</formula>
    </cfRule>
  </conditionalFormatting>
  <conditionalFormatting sqref="E109:K109">
    <cfRule type="expression" dxfId="629" priority="51">
      <formula>$D109&lt;&gt;0</formula>
    </cfRule>
    <cfRule type="expression" dxfId="628" priority="52">
      <formula>$O109=1</formula>
    </cfRule>
  </conditionalFormatting>
  <conditionalFormatting sqref="E120:K120">
    <cfRule type="expression" dxfId="627" priority="49">
      <formula>$D120&lt;&gt;0</formula>
    </cfRule>
    <cfRule type="expression" dxfId="626" priority="50">
      <formula>$O120=1</formula>
    </cfRule>
  </conditionalFormatting>
  <conditionalFormatting sqref="E129:K129">
    <cfRule type="expression" dxfId="625" priority="47">
      <formula>$D129&lt;&gt;0</formula>
    </cfRule>
    <cfRule type="expression" dxfId="624" priority="48">
      <formula>$O129=1</formula>
    </cfRule>
  </conditionalFormatting>
  <conditionalFormatting sqref="E168:K168">
    <cfRule type="expression" dxfId="623" priority="45">
      <formula>$D168&lt;&gt;0</formula>
    </cfRule>
    <cfRule type="expression" dxfId="622" priority="46">
      <formula>$O168=1</formula>
    </cfRule>
  </conditionalFormatting>
  <conditionalFormatting sqref="E190:K190">
    <cfRule type="expression" dxfId="621" priority="43">
      <formula>$D190&lt;&gt;0</formula>
    </cfRule>
    <cfRule type="expression" dxfId="620" priority="44">
      <formula>$O190=1</formula>
    </cfRule>
  </conditionalFormatting>
  <conditionalFormatting sqref="E194:K194">
    <cfRule type="expression" dxfId="619" priority="41">
      <formula>$D194&lt;&gt;0</formula>
    </cfRule>
    <cfRule type="expression" dxfId="618" priority="42">
      <formula>$O194=1</formula>
    </cfRule>
  </conditionalFormatting>
  <conditionalFormatting sqref="E208:K208">
    <cfRule type="expression" dxfId="617" priority="39">
      <formula>$D208&lt;&gt;0</formula>
    </cfRule>
    <cfRule type="expression" dxfId="616" priority="40">
      <formula>$O208=1</formula>
    </cfRule>
  </conditionalFormatting>
  <conditionalFormatting sqref="E214:K214">
    <cfRule type="expression" dxfId="615" priority="37">
      <formula>$D214&lt;&gt;0</formula>
    </cfRule>
    <cfRule type="expression" dxfId="614" priority="38">
      <formula>$O214=1</formula>
    </cfRule>
  </conditionalFormatting>
  <conditionalFormatting sqref="E259:K259">
    <cfRule type="expression" dxfId="613" priority="35">
      <formula>$D259&lt;&gt;0</formula>
    </cfRule>
    <cfRule type="expression" dxfId="612" priority="36">
      <formula>$O259=1</formula>
    </cfRule>
  </conditionalFormatting>
  <conditionalFormatting sqref="E268:K268">
    <cfRule type="expression" dxfId="611" priority="33">
      <formula>$D268&lt;&gt;0</formula>
    </cfRule>
    <cfRule type="expression" dxfId="610" priority="34">
      <formula>$O268=1</formula>
    </cfRule>
  </conditionalFormatting>
  <conditionalFormatting sqref="E278:K278">
    <cfRule type="expression" dxfId="609" priority="31">
      <formula>$D278&lt;&gt;0</formula>
    </cfRule>
    <cfRule type="expression" dxfId="608" priority="32">
      <formula>$O278=1</formula>
    </cfRule>
  </conditionalFormatting>
  <conditionalFormatting sqref="E57:I57">
    <cfRule type="expression" dxfId="607" priority="29">
      <formula>$D57&lt;&gt;0</formula>
    </cfRule>
    <cfRule type="expression" dxfId="606" priority="30">
      <formula>$O57=1</formula>
    </cfRule>
  </conditionalFormatting>
  <conditionalFormatting sqref="E62:K62">
    <cfRule type="expression" dxfId="605" priority="27">
      <formula>$D62&lt;&gt;0</formula>
    </cfRule>
    <cfRule type="expression" dxfId="604" priority="28">
      <formula>$O62=1</formula>
    </cfRule>
  </conditionalFormatting>
  <conditionalFormatting sqref="E67:K67">
    <cfRule type="expression" dxfId="603" priority="25">
      <formula>$D67&lt;&gt;0</formula>
    </cfRule>
    <cfRule type="expression" dxfId="602" priority="26">
      <formula>$O67=1</formula>
    </cfRule>
  </conditionalFormatting>
  <conditionalFormatting sqref="E70:K70">
    <cfRule type="expression" dxfId="601" priority="23">
      <formula>$D70&lt;&gt;0</formula>
    </cfRule>
    <cfRule type="expression" dxfId="600" priority="24">
      <formula>$O70=1</formula>
    </cfRule>
  </conditionalFormatting>
  <conditionalFormatting sqref="E72:K72">
    <cfRule type="expression" dxfId="599" priority="21">
      <formula>$D72&lt;&gt;0</formula>
    </cfRule>
    <cfRule type="expression" dxfId="598" priority="22">
      <formula>$O72=1</formula>
    </cfRule>
  </conditionalFormatting>
  <conditionalFormatting sqref="E75:K75">
    <cfRule type="expression" dxfId="597" priority="19">
      <formula>$D75&lt;&gt;0</formula>
    </cfRule>
    <cfRule type="expression" dxfId="596" priority="20">
      <formula>$O75=1</formula>
    </cfRule>
  </conditionalFormatting>
  <conditionalFormatting sqref="E78:K78">
    <cfRule type="expression" dxfId="595" priority="17">
      <formula>$D78&lt;&gt;0</formula>
    </cfRule>
    <cfRule type="expression" dxfId="594" priority="18">
      <formula>$O78=1</formula>
    </cfRule>
  </conditionalFormatting>
  <conditionalFormatting sqref="E83:K83">
    <cfRule type="expression" dxfId="593" priority="15">
      <formula>$D83&lt;&gt;0</formula>
    </cfRule>
    <cfRule type="expression" dxfId="592" priority="16">
      <formula>$O83=1</formula>
    </cfRule>
  </conditionalFormatting>
  <conditionalFormatting sqref="E87:K87">
    <cfRule type="expression" dxfId="591" priority="13">
      <formula>$D87&lt;&gt;0</formula>
    </cfRule>
    <cfRule type="expression" dxfId="590" priority="14">
      <formula>$O87=1</formula>
    </cfRule>
  </conditionalFormatting>
  <conditionalFormatting sqref="E90:K90">
    <cfRule type="expression" dxfId="589" priority="11">
      <formula>$D90&lt;&gt;0</formula>
    </cfRule>
    <cfRule type="expression" dxfId="588" priority="12">
      <formula>$O90=1</formula>
    </cfRule>
  </conditionalFormatting>
  <conditionalFormatting sqref="E110:K110">
    <cfRule type="expression" dxfId="587" priority="9">
      <formula>$D110&lt;&gt;0</formula>
    </cfRule>
    <cfRule type="expression" dxfId="586" priority="10">
      <formula>$O110=1</formula>
    </cfRule>
  </conditionalFormatting>
  <conditionalFormatting sqref="E116:K116">
    <cfRule type="expression" dxfId="585" priority="7">
      <formula>$D116&lt;&gt;0</formula>
    </cfRule>
    <cfRule type="expression" dxfId="584" priority="8">
      <formula>$O116=1</formula>
    </cfRule>
  </conditionalFormatting>
  <conditionalFormatting sqref="E130:K130">
    <cfRule type="expression" dxfId="583" priority="5">
      <formula>$D130&lt;&gt;0</formula>
    </cfRule>
    <cfRule type="expression" dxfId="582" priority="6">
      <formula>$O130=1</formula>
    </cfRule>
  </conditionalFormatting>
  <conditionalFormatting sqref="E152:K152">
    <cfRule type="expression" dxfId="581" priority="3">
      <formula>$D152&lt;&gt;0</formula>
    </cfRule>
    <cfRule type="expression" dxfId="580" priority="4">
      <formula>$O152=1</formula>
    </cfRule>
  </conditionalFormatting>
  <conditionalFormatting sqref="E181:K181">
    <cfRule type="expression" dxfId="579" priority="1">
      <formula>$D181&lt;&gt;0</formula>
    </cfRule>
    <cfRule type="expression" dxfId="578" priority="2">
      <formula>$O181=1</formula>
    </cfRule>
  </conditionalFormatting>
  <printOptions horizontalCentered="1"/>
  <pageMargins left="0.31496062992125984" right="0.31496062992125984" top="0.39370078740157483" bottom="1.1417322834645669" header="0.31496062992125984" footer="0.31496062992125984"/>
  <pageSetup paperSize="9" scale="49" fitToHeight="0" orientation="landscape" r:id="rId1"/>
  <headerFooter>
    <oddFooter xml:space="preserve">&amp;LResp.  
CREA:  
ART:
&amp;CResp. Técnico Fiscalização: Nei Frederico
CREA: 101562139-2
ART: 
</oddFooter>
  </headerFooter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CI293"/>
  <sheetViews>
    <sheetView showGridLines="0" topLeftCell="H1" zoomScale="70" zoomScaleNormal="70" zoomScaleSheetLayoutView="80" workbookViewId="0">
      <pane ySplit="13" topLeftCell="A29" activePane="bottomLeft" state="frozen"/>
      <selection pane="bottomLeft" activeCell="I9" sqref="I9:O9"/>
    </sheetView>
  </sheetViews>
  <sheetFormatPr defaultColWidth="9.33203125" defaultRowHeight="12.75" x14ac:dyDescent="0.2"/>
  <cols>
    <col min="1" max="1" width="12.5" style="66" customWidth="1"/>
    <col min="2" max="2" width="11.33203125" style="66" customWidth="1"/>
    <col min="3" max="3" width="11.5" style="71" customWidth="1"/>
    <col min="4" max="4" width="84.83203125" style="66" customWidth="1"/>
    <col min="5" max="5" width="11.5" style="66" customWidth="1"/>
    <col min="6" max="6" width="14" style="66" hidden="1" customWidth="1"/>
    <col min="7" max="7" width="21.5" style="75" customWidth="1"/>
    <col min="8" max="8" width="19.6640625" style="66" bestFit="1" customWidth="1"/>
    <col min="9" max="9" width="23.5" style="189" customWidth="1"/>
    <col min="10" max="10" width="19.6640625" style="189" bestFit="1" customWidth="1"/>
    <col min="11" max="11" width="12.83203125" style="66" customWidth="1"/>
    <col min="12" max="12" width="21.1640625" style="78" customWidth="1"/>
    <col min="13" max="13" width="18.6640625" style="78" customWidth="1"/>
    <col min="14" max="14" width="23.1640625" style="78" bestFit="1" customWidth="1"/>
    <col min="15" max="15" width="20.33203125" style="75" customWidth="1"/>
    <col min="16" max="16" width="12.5" style="66" customWidth="1"/>
    <col min="17" max="17" width="16.6640625" style="66" bestFit="1" customWidth="1"/>
    <col min="18" max="18" width="0" style="66" hidden="1" customWidth="1"/>
    <col min="19" max="19" width="13.83203125" style="189" hidden="1" customWidth="1"/>
    <col min="20" max="20" width="11.1640625" style="189" hidden="1" customWidth="1"/>
    <col min="21" max="25" width="0" style="66" hidden="1" customWidth="1"/>
    <col min="26" max="26" width="12.33203125" style="66" hidden="1" customWidth="1"/>
    <col min="27" max="27" width="0" style="66" hidden="1" customWidth="1"/>
    <col min="28" max="28" width="13.5" style="66" hidden="1" customWidth="1"/>
    <col min="29" max="30" width="0" style="66" hidden="1" customWidth="1"/>
    <col min="31" max="31" width="15.6640625" style="66" hidden="1" customWidth="1"/>
    <col min="32" max="33" width="11.5" style="66" hidden="1" customWidth="1"/>
    <col min="34" max="71" width="0" style="66" hidden="1" customWidth="1"/>
    <col min="72" max="72" width="15" style="66" bestFit="1" customWidth="1"/>
    <col min="73" max="86" width="9.33203125" style="66"/>
    <col min="87" max="87" width="11.1640625" style="66" bestFit="1" customWidth="1"/>
    <col min="88" max="16384" width="9.33203125" style="66"/>
  </cols>
  <sheetData>
    <row r="1" spans="1:87" s="51" customFormat="1" ht="11.25" customHeight="1" x14ac:dyDescent="0.2">
      <c r="A1" s="876"/>
      <c r="B1" s="877"/>
      <c r="C1" s="877"/>
      <c r="D1" s="877"/>
      <c r="E1" s="886" t="s">
        <v>1806</v>
      </c>
      <c r="F1" s="886"/>
      <c r="G1" s="886"/>
      <c r="H1" s="886"/>
      <c r="I1" s="886"/>
      <c r="J1" s="886"/>
      <c r="K1" s="886"/>
      <c r="L1" s="886"/>
      <c r="M1" s="886"/>
      <c r="N1" s="886"/>
      <c r="O1" s="886"/>
      <c r="P1" s="887"/>
      <c r="S1" s="188"/>
      <c r="T1" s="188"/>
    </row>
    <row r="2" spans="1:87" s="51" customFormat="1" ht="12" customHeight="1" x14ac:dyDescent="0.2">
      <c r="A2" s="878"/>
      <c r="B2" s="879"/>
      <c r="C2" s="879"/>
      <c r="D2" s="879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9"/>
      <c r="S2" s="188"/>
      <c r="T2" s="188"/>
    </row>
    <row r="3" spans="1:87" s="51" customFormat="1" ht="12" customHeight="1" x14ac:dyDescent="0.2">
      <c r="A3" s="878"/>
      <c r="B3" s="879"/>
      <c r="C3" s="879"/>
      <c r="D3" s="879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9"/>
      <c r="S3" s="188"/>
      <c r="T3" s="188"/>
    </row>
    <row r="4" spans="1:87" s="51" customFormat="1" ht="12" customHeight="1" x14ac:dyDescent="0.2">
      <c r="A4" s="878"/>
      <c r="B4" s="879"/>
      <c r="C4" s="879"/>
      <c r="D4" s="879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9"/>
      <c r="S4" s="188"/>
      <c r="T4" s="188"/>
    </row>
    <row r="5" spans="1:87" s="51" customFormat="1" ht="31.5" customHeight="1" thickBot="1" x14ac:dyDescent="0.25">
      <c r="A5" s="880"/>
      <c r="B5" s="881"/>
      <c r="C5" s="881"/>
      <c r="D5" s="881"/>
      <c r="E5" s="890"/>
      <c r="F5" s="890"/>
      <c r="G5" s="890"/>
      <c r="H5" s="890"/>
      <c r="I5" s="890"/>
      <c r="J5" s="890"/>
      <c r="K5" s="890"/>
      <c r="L5" s="890"/>
      <c r="M5" s="890"/>
      <c r="N5" s="890"/>
      <c r="O5" s="890"/>
      <c r="P5" s="891"/>
      <c r="S5" s="188"/>
      <c r="T5" s="188"/>
    </row>
    <row r="6" spans="1:87" s="51" customFormat="1" ht="12.75" customHeight="1" x14ac:dyDescent="0.2">
      <c r="A6" s="518"/>
      <c r="B6" s="518"/>
      <c r="C6" s="518"/>
      <c r="D6" s="518"/>
      <c r="E6" s="519"/>
      <c r="F6" s="519"/>
      <c r="G6" s="519"/>
      <c r="H6" s="519"/>
      <c r="I6" s="519"/>
      <c r="J6" s="519"/>
      <c r="K6" s="519"/>
      <c r="L6" s="519"/>
      <c r="M6" s="519"/>
      <c r="N6" s="519"/>
      <c r="O6" s="519"/>
      <c r="P6" s="519"/>
      <c r="S6" s="188">
        <v>30999.574999999997</v>
      </c>
      <c r="T6" s="188" t="s">
        <v>1288</v>
      </c>
      <c r="Z6" s="64">
        <v>30999.574999999997</v>
      </c>
      <c r="AB6" s="64">
        <v>44898.842499999999</v>
      </c>
      <c r="AE6" s="371">
        <v>38575.583824999994</v>
      </c>
      <c r="AF6" s="372">
        <f>AE6-I7</f>
        <v>38575.583824999994</v>
      </c>
    </row>
    <row r="7" spans="1:87" s="51" customFormat="1" x14ac:dyDescent="0.2">
      <c r="A7" s="874" t="s">
        <v>1320</v>
      </c>
      <c r="B7" s="874"/>
      <c r="C7" s="874"/>
      <c r="D7" s="874"/>
      <c r="E7" s="894" t="s">
        <v>2019</v>
      </c>
      <c r="F7" s="894"/>
      <c r="G7" s="894"/>
      <c r="H7" s="506" t="s">
        <v>1323</v>
      </c>
      <c r="I7" s="485"/>
      <c r="L7" s="484"/>
      <c r="M7" s="483" t="s">
        <v>2021</v>
      </c>
      <c r="N7" s="504">
        <v>43658</v>
      </c>
      <c r="O7" s="491"/>
      <c r="P7" s="491"/>
      <c r="S7" s="188">
        <v>203365.995</v>
      </c>
      <c r="T7" s="188" t="s">
        <v>1309</v>
      </c>
      <c r="AB7" s="64">
        <v>152813.08250000002</v>
      </c>
    </row>
    <row r="8" spans="1:87" s="51" customFormat="1" x14ac:dyDescent="0.2">
      <c r="A8" s="875" t="s">
        <v>2014</v>
      </c>
      <c r="B8" s="875"/>
      <c r="C8" s="875"/>
      <c r="D8" s="875"/>
      <c r="E8" s="893" t="s">
        <v>2020</v>
      </c>
      <c r="F8" s="893"/>
      <c r="G8" s="893"/>
      <c r="H8" s="488">
        <f>664297.16</f>
        <v>664297.16</v>
      </c>
      <c r="I8" s="485"/>
      <c r="J8" s="195"/>
      <c r="K8" s="486"/>
      <c r="L8" s="484"/>
      <c r="M8" s="503" t="s">
        <v>3</v>
      </c>
      <c r="N8" s="505">
        <v>0.27139999999999997</v>
      </c>
      <c r="O8" s="491"/>
      <c r="P8" s="491"/>
      <c r="S8" s="188">
        <v>485968.91500000004</v>
      </c>
      <c r="T8" s="188" t="s">
        <v>1294</v>
      </c>
      <c r="AB8" s="64">
        <v>511484.07750000001</v>
      </c>
      <c r="AE8" s="107" t="e">
        <f>H8/I9</f>
        <v>#DIV/0!</v>
      </c>
    </row>
    <row r="9" spans="1:87" s="51" customFormat="1" ht="27.75" customHeight="1" x14ac:dyDescent="0.2">
      <c r="A9" s="874" t="s">
        <v>2017</v>
      </c>
      <c r="B9" s="874"/>
      <c r="C9" s="874"/>
      <c r="D9" s="874"/>
      <c r="E9" s="194"/>
      <c r="F9" s="482"/>
      <c r="G9" s="489"/>
      <c r="H9" s="484"/>
      <c r="I9" s="485"/>
      <c r="J9" s="195"/>
      <c r="K9" s="516"/>
      <c r="L9" s="490"/>
      <c r="M9" s="516" t="s">
        <v>2016</v>
      </c>
      <c r="N9" s="875"/>
      <c r="O9" s="875"/>
      <c r="P9" s="517"/>
      <c r="S9" s="188"/>
      <c r="T9" s="188"/>
      <c r="AB9" s="485"/>
      <c r="AE9" s="493"/>
    </row>
    <row r="10" spans="1:87" s="51" customFormat="1" ht="24" customHeight="1" thickBot="1" x14ac:dyDescent="0.25">
      <c r="A10" s="514"/>
      <c r="B10" s="514"/>
      <c r="C10" s="514"/>
      <c r="D10" s="514"/>
      <c r="E10" s="517"/>
      <c r="F10" s="482"/>
      <c r="G10" s="483"/>
      <c r="H10" s="511"/>
      <c r="I10" s="485"/>
      <c r="J10" s="195"/>
      <c r="K10" s="492"/>
      <c r="L10" s="490"/>
      <c r="M10" s="492"/>
      <c r="N10" s="492"/>
      <c r="O10" s="492"/>
      <c r="P10" s="492"/>
      <c r="S10" s="188"/>
      <c r="T10" s="188"/>
    </row>
    <row r="11" spans="1:87" ht="23.25" customHeight="1" thickBot="1" x14ac:dyDescent="0.25">
      <c r="A11" s="882" t="s">
        <v>1325</v>
      </c>
      <c r="B11" s="884" t="s">
        <v>1326</v>
      </c>
      <c r="C11" s="882" t="s">
        <v>1327</v>
      </c>
      <c r="D11" s="882" t="s">
        <v>5</v>
      </c>
      <c r="E11" s="882" t="s">
        <v>6</v>
      </c>
      <c r="F11" s="903" t="s">
        <v>1316</v>
      </c>
      <c r="G11" s="895" t="s">
        <v>1317</v>
      </c>
      <c r="H11" s="897" t="s">
        <v>2008</v>
      </c>
      <c r="I11" s="898"/>
      <c r="J11" s="898"/>
      <c r="K11" s="899"/>
      <c r="L11" s="900" t="s">
        <v>2009</v>
      </c>
      <c r="M11" s="901"/>
      <c r="N11" s="901"/>
      <c r="O11" s="902"/>
      <c r="P11" s="515"/>
      <c r="S11" s="189" t="s">
        <v>1282</v>
      </c>
      <c r="T11" s="189" t="s">
        <v>1283</v>
      </c>
    </row>
    <row r="12" spans="1:87" ht="24.75" customHeight="1" thickBot="1" x14ac:dyDescent="0.25">
      <c r="A12" s="883"/>
      <c r="B12" s="885"/>
      <c r="C12" s="883"/>
      <c r="D12" s="883"/>
      <c r="E12" s="883"/>
      <c r="F12" s="904"/>
      <c r="G12" s="896"/>
      <c r="H12" s="499" t="s">
        <v>2018</v>
      </c>
      <c r="I12" s="494" t="s">
        <v>2013</v>
      </c>
      <c r="J12" s="494" t="s">
        <v>1819</v>
      </c>
      <c r="K12" s="495" t="s">
        <v>1295</v>
      </c>
      <c r="L12" s="502" t="s">
        <v>2018</v>
      </c>
      <c r="M12" s="500" t="s">
        <v>2013</v>
      </c>
      <c r="N12" s="500" t="s">
        <v>1819</v>
      </c>
      <c r="O12" s="513" t="s">
        <v>1295</v>
      </c>
      <c r="P12" s="495" t="s">
        <v>1296</v>
      </c>
    </row>
    <row r="13" spans="1:87" s="514" customFormat="1" ht="34.5" customHeight="1" x14ac:dyDescent="0.2">
      <c r="A13" s="475"/>
      <c r="B13" s="476"/>
      <c r="C13" s="477"/>
      <c r="D13" s="478" t="s">
        <v>2010</v>
      </c>
      <c r="E13" s="409"/>
      <c r="F13" s="479"/>
      <c r="G13" s="411"/>
      <c r="H13" s="410"/>
      <c r="I13" s="480"/>
      <c r="J13" s="480"/>
      <c r="K13" s="480"/>
      <c r="L13" s="480">
        <f>L14+L26+L32+L45+L69+L77+L92+L95+L98+L109+L120+L129+L168+L190+L194+L208+L214+L259+L268+L278</f>
        <v>664297.16</v>
      </c>
      <c r="M13" s="480">
        <f>M14+M26+M32+M45+M69+M77+M92+M95+M98+M109+M120+M129+M168+M190+M194+M208+M214+M259+M268+M278</f>
        <v>39414.629999999997</v>
      </c>
      <c r="N13" s="480">
        <f>N14+N26+N32+N45+N69+N77+N92+N95+N98+N109+N120+N129+N168+N190+N194+N208+N214+N259+N268+N278</f>
        <v>147328.87</v>
      </c>
      <c r="O13" s="480">
        <f>O14+O26+O32+O45+O69+O77+O92+O95+O98+O109+O120+O129+O168+O190+O194+O208+O214+O259+O268+O278</f>
        <v>516968.27999999997</v>
      </c>
      <c r="P13" s="510">
        <f>N13/O13</f>
        <v>0.28498628581235197</v>
      </c>
      <c r="Q13" s="525">
        <f>L13-N13</f>
        <v>516968.29000000004</v>
      </c>
      <c r="S13" s="190">
        <v>0</v>
      </c>
      <c r="T13" s="190">
        <v>2411.4</v>
      </c>
      <c r="BT13" s="525"/>
      <c r="BU13" s="521">
        <v>4</v>
      </c>
      <c r="BV13" s="514">
        <v>3</v>
      </c>
      <c r="BW13" s="514">
        <v>2</v>
      </c>
      <c r="BX13" s="514">
        <v>1</v>
      </c>
      <c r="CI13" s="514" t="s">
        <v>2023</v>
      </c>
    </row>
    <row r="14" spans="1:87" x14ac:dyDescent="0.2">
      <c r="A14" s="412">
        <v>1</v>
      </c>
      <c r="B14" s="413"/>
      <c r="C14" s="413"/>
      <c r="D14" s="414" t="s">
        <v>9</v>
      </c>
      <c r="E14" s="415"/>
      <c r="F14" s="417"/>
      <c r="G14" s="418"/>
      <c r="H14" s="416"/>
      <c r="I14" s="420">
        <v>0</v>
      </c>
      <c r="J14" s="421"/>
      <c r="K14" s="420"/>
      <c r="L14" s="419">
        <f>SUM(L15:L25)</f>
        <v>32660.889999999992</v>
      </c>
      <c r="M14" s="419">
        <f>SUM(M15:M25)</f>
        <v>0</v>
      </c>
      <c r="N14" s="419">
        <f>SUM(N15:N25)</f>
        <v>32660.889999999992</v>
      </c>
      <c r="O14" s="419">
        <f>SUM(O15:O25)</f>
        <v>0</v>
      </c>
      <c r="P14" s="423">
        <f t="shared" ref="P14:P77" si="0">N14/L14</f>
        <v>1</v>
      </c>
      <c r="Q14" s="525"/>
      <c r="S14" s="189">
        <v>0</v>
      </c>
      <c r="T14" s="189">
        <v>10</v>
      </c>
      <c r="BT14" s="525"/>
      <c r="BU14" s="523">
        <v>0</v>
      </c>
      <c r="BV14" s="523">
        <v>0</v>
      </c>
      <c r="BW14" s="523"/>
      <c r="BX14" s="523"/>
      <c r="BY14" s="523"/>
      <c r="BZ14" s="523"/>
      <c r="CA14" s="523"/>
      <c r="CB14" s="523"/>
      <c r="CC14" s="523"/>
      <c r="CD14" s="523"/>
      <c r="CE14" s="523"/>
      <c r="CF14" s="523"/>
      <c r="CG14" s="523"/>
      <c r="CH14" s="523"/>
      <c r="CI14" s="523">
        <f>SUM(BU14:CH14)</f>
        <v>0</v>
      </c>
    </row>
    <row r="15" spans="1:87" x14ac:dyDescent="0.2">
      <c r="A15" s="125" t="s">
        <v>10</v>
      </c>
      <c r="B15" s="126" t="s">
        <v>1328</v>
      </c>
      <c r="C15" s="126" t="s">
        <v>1324</v>
      </c>
      <c r="D15" s="127" t="s">
        <v>1329</v>
      </c>
      <c r="E15" s="128" t="s">
        <v>14</v>
      </c>
      <c r="F15" s="129"/>
      <c r="G15" s="130">
        <v>232.25</v>
      </c>
      <c r="H15" s="128">
        <v>10</v>
      </c>
      <c r="I15" s="132">
        <f>BU15</f>
        <v>0</v>
      </c>
      <c r="J15" s="374">
        <f>CI15</f>
        <v>10</v>
      </c>
      <c r="K15" s="132">
        <f>H15-J15</f>
        <v>0</v>
      </c>
      <c r="L15" s="131">
        <f>ROUND(H15*$G15,2)</f>
        <v>2322.5</v>
      </c>
      <c r="M15" s="131">
        <f t="shared" ref="M15:O25" si="1">ROUND(I15*$G15,2)</f>
        <v>0</v>
      </c>
      <c r="N15" s="131">
        <f t="shared" si="1"/>
        <v>2322.5</v>
      </c>
      <c r="O15" s="131">
        <f t="shared" si="1"/>
        <v>0</v>
      </c>
      <c r="P15" s="136">
        <f t="shared" si="0"/>
        <v>1</v>
      </c>
      <c r="Q15" s="525"/>
      <c r="S15" s="189">
        <v>0</v>
      </c>
      <c r="T15" s="189">
        <v>312.39999999999998</v>
      </c>
      <c r="BT15" s="525"/>
      <c r="BU15" s="523">
        <v>0</v>
      </c>
      <c r="BV15" s="523">
        <v>0</v>
      </c>
      <c r="BW15" s="523">
        <v>0</v>
      </c>
      <c r="BX15" s="523">
        <v>10</v>
      </c>
      <c r="BY15" s="523"/>
      <c r="BZ15" s="523"/>
      <c r="CA15" s="523"/>
      <c r="CB15" s="523"/>
      <c r="CC15" s="523"/>
      <c r="CD15" s="523"/>
      <c r="CE15" s="523"/>
      <c r="CF15" s="523"/>
      <c r="CG15" s="523"/>
      <c r="CH15" s="523"/>
      <c r="CI15" s="523">
        <f t="shared" ref="CI15:CI78" si="2">SUM(BU15:CH15)</f>
        <v>10</v>
      </c>
    </row>
    <row r="16" spans="1:87" ht="25.5" customHeight="1" x14ac:dyDescent="0.2">
      <c r="A16" s="125" t="s">
        <v>1330</v>
      </c>
      <c r="B16" s="126" t="s">
        <v>1331</v>
      </c>
      <c r="C16" s="126" t="s">
        <v>1324</v>
      </c>
      <c r="D16" s="127" t="s">
        <v>1332</v>
      </c>
      <c r="E16" s="128" t="s">
        <v>14</v>
      </c>
      <c r="F16" s="137">
        <v>595.62</v>
      </c>
      <c r="G16" s="130">
        <v>39.78</v>
      </c>
      <c r="H16" s="128">
        <v>312.39999999999998</v>
      </c>
      <c r="I16" s="132">
        <f t="shared" ref="I16:I79" si="3">BU16</f>
        <v>0</v>
      </c>
      <c r="J16" s="374">
        <f t="shared" ref="J16:J79" si="4">CI16</f>
        <v>312.39999999999998</v>
      </c>
      <c r="K16" s="132">
        <f t="shared" ref="K16:K31" si="5">H16-J16</f>
        <v>0</v>
      </c>
      <c r="L16" s="131">
        <f t="shared" ref="L16:L25" si="6">ROUND(H16*$G16,2)</f>
        <v>12427.27</v>
      </c>
      <c r="M16" s="131">
        <f t="shared" si="1"/>
        <v>0</v>
      </c>
      <c r="N16" s="131">
        <f t="shared" si="1"/>
        <v>12427.27</v>
      </c>
      <c r="O16" s="131">
        <f t="shared" si="1"/>
        <v>0</v>
      </c>
      <c r="P16" s="136">
        <f t="shared" si="0"/>
        <v>1</v>
      </c>
      <c r="Q16" s="525"/>
      <c r="S16" s="189">
        <v>0</v>
      </c>
      <c r="T16" s="189">
        <v>1</v>
      </c>
      <c r="BT16" s="525"/>
      <c r="BU16" s="523">
        <v>0</v>
      </c>
      <c r="BV16" s="523">
        <v>0</v>
      </c>
      <c r="BW16" s="523">
        <v>203.49999999999997</v>
      </c>
      <c r="BX16" s="523">
        <v>108.9</v>
      </c>
      <c r="BY16" s="523"/>
      <c r="BZ16" s="523"/>
      <c r="CA16" s="523"/>
      <c r="CB16" s="523"/>
      <c r="CC16" s="523"/>
      <c r="CD16" s="523"/>
      <c r="CE16" s="523"/>
      <c r="CF16" s="523"/>
      <c r="CG16" s="523"/>
      <c r="CH16" s="523"/>
      <c r="CI16" s="523">
        <f t="shared" si="2"/>
        <v>312.39999999999998</v>
      </c>
    </row>
    <row r="17" spans="1:87" ht="25.5" x14ac:dyDescent="0.2">
      <c r="A17" s="125" t="s">
        <v>1333</v>
      </c>
      <c r="B17" s="126">
        <v>9540</v>
      </c>
      <c r="C17" s="126" t="s">
        <v>1324</v>
      </c>
      <c r="D17" s="127" t="s">
        <v>1334</v>
      </c>
      <c r="E17" s="128" t="s">
        <v>102</v>
      </c>
      <c r="F17" s="137">
        <v>256.73</v>
      </c>
      <c r="G17" s="130">
        <v>783.05</v>
      </c>
      <c r="H17" s="128">
        <v>1</v>
      </c>
      <c r="I17" s="132">
        <f t="shared" si="3"/>
        <v>0</v>
      </c>
      <c r="J17" s="374">
        <f t="shared" si="4"/>
        <v>1</v>
      </c>
      <c r="K17" s="132">
        <f t="shared" si="5"/>
        <v>0</v>
      </c>
      <c r="L17" s="131">
        <f t="shared" si="6"/>
        <v>783.05</v>
      </c>
      <c r="M17" s="131">
        <f t="shared" si="1"/>
        <v>0</v>
      </c>
      <c r="N17" s="131">
        <f t="shared" si="1"/>
        <v>783.05</v>
      </c>
      <c r="O17" s="131">
        <f t="shared" si="1"/>
        <v>0</v>
      </c>
      <c r="P17" s="136">
        <f t="shared" si="0"/>
        <v>1</v>
      </c>
      <c r="Q17" s="525"/>
      <c r="S17" s="189">
        <v>0</v>
      </c>
      <c r="T17" s="189">
        <v>1</v>
      </c>
      <c r="BT17" s="525"/>
      <c r="BU17" s="523">
        <v>0</v>
      </c>
      <c r="BV17" s="523">
        <v>0</v>
      </c>
      <c r="BW17" s="523">
        <v>1</v>
      </c>
      <c r="BX17" s="523">
        <v>0</v>
      </c>
      <c r="BY17" s="523"/>
      <c r="BZ17" s="523"/>
      <c r="CA17" s="523"/>
      <c r="CB17" s="523"/>
      <c r="CC17" s="523"/>
      <c r="CD17" s="523"/>
      <c r="CE17" s="523"/>
      <c r="CF17" s="523"/>
      <c r="CG17" s="523"/>
      <c r="CH17" s="523"/>
      <c r="CI17" s="523">
        <f t="shared" si="2"/>
        <v>1</v>
      </c>
    </row>
    <row r="18" spans="1:87" x14ac:dyDescent="0.2">
      <c r="A18" s="125" t="s">
        <v>1335</v>
      </c>
      <c r="B18" s="126" t="s">
        <v>1336</v>
      </c>
      <c r="C18" s="126" t="s">
        <v>1324</v>
      </c>
      <c r="D18" s="127" t="s">
        <v>1337</v>
      </c>
      <c r="E18" s="128" t="s">
        <v>102</v>
      </c>
      <c r="F18" s="137">
        <v>49.62</v>
      </c>
      <c r="G18" s="130">
        <v>1344.39</v>
      </c>
      <c r="H18" s="128">
        <v>1</v>
      </c>
      <c r="I18" s="132">
        <f t="shared" si="3"/>
        <v>0</v>
      </c>
      <c r="J18" s="374">
        <f t="shared" si="4"/>
        <v>1</v>
      </c>
      <c r="K18" s="132">
        <f t="shared" si="5"/>
        <v>0</v>
      </c>
      <c r="L18" s="131">
        <f t="shared" si="6"/>
        <v>1344.39</v>
      </c>
      <c r="M18" s="131">
        <f t="shared" si="1"/>
        <v>0</v>
      </c>
      <c r="N18" s="131">
        <f t="shared" si="1"/>
        <v>1344.39</v>
      </c>
      <c r="O18" s="131">
        <f t="shared" si="1"/>
        <v>0</v>
      </c>
      <c r="P18" s="136">
        <f t="shared" si="0"/>
        <v>1</v>
      </c>
      <c r="Q18" s="525"/>
      <c r="S18" s="189">
        <v>0</v>
      </c>
      <c r="T18" s="189">
        <v>1</v>
      </c>
      <c r="BT18" s="525"/>
      <c r="BU18" s="523">
        <v>0</v>
      </c>
      <c r="BV18" s="523">
        <v>0</v>
      </c>
      <c r="BW18" s="523">
        <v>1</v>
      </c>
      <c r="BX18" s="523">
        <v>0</v>
      </c>
      <c r="BY18" s="523"/>
      <c r="BZ18" s="523"/>
      <c r="CA18" s="523"/>
      <c r="CB18" s="523"/>
      <c r="CC18" s="523"/>
      <c r="CD18" s="523"/>
      <c r="CE18" s="523"/>
      <c r="CF18" s="523"/>
      <c r="CG18" s="523"/>
      <c r="CH18" s="523"/>
      <c r="CI18" s="523">
        <f t="shared" si="2"/>
        <v>1</v>
      </c>
    </row>
    <row r="19" spans="1:87" x14ac:dyDescent="0.2">
      <c r="A19" s="125" t="s">
        <v>1338</v>
      </c>
      <c r="B19" s="126" t="s">
        <v>2007</v>
      </c>
      <c r="C19" s="126" t="s">
        <v>1339</v>
      </c>
      <c r="D19" s="127" t="s">
        <v>1340</v>
      </c>
      <c r="E19" s="128" t="s">
        <v>102</v>
      </c>
      <c r="F19" s="137">
        <v>5.2</v>
      </c>
      <c r="G19" s="130">
        <v>823.61</v>
      </c>
      <c r="H19" s="128">
        <v>1</v>
      </c>
      <c r="I19" s="132">
        <f t="shared" si="3"/>
        <v>0</v>
      </c>
      <c r="J19" s="374">
        <f t="shared" si="4"/>
        <v>1</v>
      </c>
      <c r="K19" s="132">
        <f t="shared" si="5"/>
        <v>0</v>
      </c>
      <c r="L19" s="131">
        <f t="shared" si="6"/>
        <v>823.61</v>
      </c>
      <c r="M19" s="131">
        <f t="shared" si="1"/>
        <v>0</v>
      </c>
      <c r="N19" s="131">
        <f t="shared" si="1"/>
        <v>823.61</v>
      </c>
      <c r="O19" s="131">
        <f t="shared" si="1"/>
        <v>0</v>
      </c>
      <c r="P19" s="136">
        <f t="shared" si="0"/>
        <v>1</v>
      </c>
      <c r="Q19" s="525"/>
      <c r="S19" s="189">
        <v>0</v>
      </c>
      <c r="T19" s="189">
        <v>1</v>
      </c>
      <c r="BT19" s="525"/>
      <c r="BU19" s="523">
        <v>0</v>
      </c>
      <c r="BV19" s="523">
        <v>0</v>
      </c>
      <c r="BW19" s="523">
        <v>1</v>
      </c>
      <c r="BX19" s="523">
        <v>0</v>
      </c>
      <c r="BY19" s="523"/>
      <c r="BZ19" s="523"/>
      <c r="CA19" s="523"/>
      <c r="CB19" s="523"/>
      <c r="CC19" s="523"/>
      <c r="CD19" s="523"/>
      <c r="CE19" s="523"/>
      <c r="CF19" s="523"/>
      <c r="CG19" s="523"/>
      <c r="CH19" s="523"/>
      <c r="CI19" s="523">
        <f t="shared" si="2"/>
        <v>1</v>
      </c>
    </row>
    <row r="20" spans="1:87" ht="25.5" customHeight="1" x14ac:dyDescent="0.2">
      <c r="A20" s="125" t="s">
        <v>1341</v>
      </c>
      <c r="B20" s="126" t="s">
        <v>1342</v>
      </c>
      <c r="C20" s="126" t="s">
        <v>1343</v>
      </c>
      <c r="D20" s="127" t="s">
        <v>1344</v>
      </c>
      <c r="E20" s="128" t="s">
        <v>102</v>
      </c>
      <c r="F20" s="138"/>
      <c r="G20" s="130">
        <v>174.71</v>
      </c>
      <c r="H20" s="128">
        <v>1</v>
      </c>
      <c r="I20" s="132">
        <f t="shared" si="3"/>
        <v>0</v>
      </c>
      <c r="J20" s="374">
        <f t="shared" si="4"/>
        <v>1</v>
      </c>
      <c r="K20" s="132">
        <f t="shared" si="5"/>
        <v>0</v>
      </c>
      <c r="L20" s="131">
        <f t="shared" si="6"/>
        <v>174.71</v>
      </c>
      <c r="M20" s="131">
        <f t="shared" si="1"/>
        <v>0</v>
      </c>
      <c r="N20" s="131">
        <f t="shared" si="1"/>
        <v>174.71</v>
      </c>
      <c r="O20" s="131">
        <f t="shared" si="1"/>
        <v>0</v>
      </c>
      <c r="P20" s="136">
        <f t="shared" si="0"/>
        <v>1</v>
      </c>
      <c r="Q20" s="525"/>
      <c r="S20" s="189">
        <v>0</v>
      </c>
      <c r="T20" s="189">
        <v>1</v>
      </c>
      <c r="BT20" s="525"/>
      <c r="BU20" s="523">
        <v>0</v>
      </c>
      <c r="BV20" s="523">
        <v>0</v>
      </c>
      <c r="BW20" s="523">
        <v>1</v>
      </c>
      <c r="BX20" s="523">
        <v>0</v>
      </c>
      <c r="BY20" s="523"/>
      <c r="BZ20" s="523"/>
      <c r="CA20" s="523"/>
      <c r="CB20" s="523"/>
      <c r="CC20" s="523"/>
      <c r="CD20" s="523"/>
      <c r="CE20" s="523"/>
      <c r="CF20" s="523"/>
      <c r="CG20" s="523"/>
      <c r="CH20" s="523"/>
      <c r="CI20" s="523">
        <f t="shared" si="2"/>
        <v>1</v>
      </c>
    </row>
    <row r="21" spans="1:87" ht="25.5" x14ac:dyDescent="0.2">
      <c r="A21" s="125" t="s">
        <v>1345</v>
      </c>
      <c r="B21" s="126" t="s">
        <v>1346</v>
      </c>
      <c r="C21" s="126" t="s">
        <v>1324</v>
      </c>
      <c r="D21" s="127" t="s">
        <v>1347</v>
      </c>
      <c r="E21" s="128" t="s">
        <v>102</v>
      </c>
      <c r="F21" s="129"/>
      <c r="G21" s="130">
        <v>1343.12</v>
      </c>
      <c r="H21" s="128">
        <v>1</v>
      </c>
      <c r="I21" s="132">
        <f t="shared" si="3"/>
        <v>0</v>
      </c>
      <c r="J21" s="374">
        <f t="shared" si="4"/>
        <v>1</v>
      </c>
      <c r="K21" s="132">
        <f t="shared" si="5"/>
        <v>0</v>
      </c>
      <c r="L21" s="131">
        <f t="shared" si="6"/>
        <v>1343.12</v>
      </c>
      <c r="M21" s="131">
        <f t="shared" si="1"/>
        <v>0</v>
      </c>
      <c r="N21" s="131">
        <f t="shared" si="1"/>
        <v>1343.12</v>
      </c>
      <c r="O21" s="131">
        <f t="shared" si="1"/>
        <v>0</v>
      </c>
      <c r="P21" s="136">
        <f t="shared" si="0"/>
        <v>1</v>
      </c>
      <c r="Q21" s="525"/>
      <c r="S21" s="189">
        <v>0</v>
      </c>
      <c r="T21" s="189">
        <v>20</v>
      </c>
      <c r="BT21" s="525"/>
      <c r="BU21" s="523">
        <v>0</v>
      </c>
      <c r="BV21" s="523">
        <v>0</v>
      </c>
      <c r="BW21" s="523">
        <v>1</v>
      </c>
      <c r="BX21" s="523">
        <v>0</v>
      </c>
      <c r="BY21" s="523"/>
      <c r="BZ21" s="523"/>
      <c r="CA21" s="523"/>
      <c r="CB21" s="523"/>
      <c r="CC21" s="523"/>
      <c r="CD21" s="523"/>
      <c r="CE21" s="523"/>
      <c r="CF21" s="523"/>
      <c r="CG21" s="523"/>
      <c r="CH21" s="523"/>
      <c r="CI21" s="523">
        <f t="shared" si="2"/>
        <v>1</v>
      </c>
    </row>
    <row r="22" spans="1:87" x14ac:dyDescent="0.2">
      <c r="A22" s="125" t="s">
        <v>1348</v>
      </c>
      <c r="B22" s="126" t="s">
        <v>1349</v>
      </c>
      <c r="C22" s="126" t="s">
        <v>1324</v>
      </c>
      <c r="D22" s="127" t="s">
        <v>1350</v>
      </c>
      <c r="E22" s="128" t="s">
        <v>14</v>
      </c>
      <c r="F22" s="129"/>
      <c r="G22" s="130">
        <v>390.47</v>
      </c>
      <c r="H22" s="128">
        <v>20</v>
      </c>
      <c r="I22" s="132">
        <f t="shared" si="3"/>
        <v>0</v>
      </c>
      <c r="J22" s="374">
        <f t="shared" si="4"/>
        <v>20</v>
      </c>
      <c r="K22" s="132">
        <f t="shared" si="5"/>
        <v>0</v>
      </c>
      <c r="L22" s="131">
        <f t="shared" si="6"/>
        <v>7809.4</v>
      </c>
      <c r="M22" s="131">
        <f t="shared" si="1"/>
        <v>0</v>
      </c>
      <c r="N22" s="131">
        <f>ROUND(J22*$G22,2)</f>
        <v>7809.4</v>
      </c>
      <c r="O22" s="131">
        <f t="shared" si="1"/>
        <v>0</v>
      </c>
      <c r="P22" s="136">
        <f t="shared" si="0"/>
        <v>1</v>
      </c>
      <c r="Q22" s="525"/>
      <c r="S22" s="189">
        <v>0</v>
      </c>
      <c r="T22" s="189">
        <v>785</v>
      </c>
      <c r="BT22" s="525"/>
      <c r="BU22" s="523">
        <v>0</v>
      </c>
      <c r="BV22" s="523">
        <v>0</v>
      </c>
      <c r="BW22" s="523">
        <v>10</v>
      </c>
      <c r="BX22" s="523">
        <v>10</v>
      </c>
      <c r="BY22" s="523"/>
      <c r="BZ22" s="523"/>
      <c r="CA22" s="523"/>
      <c r="CB22" s="523"/>
      <c r="CC22" s="523"/>
      <c r="CD22" s="523"/>
      <c r="CE22" s="523"/>
      <c r="CF22" s="523"/>
      <c r="CG22" s="523"/>
      <c r="CH22" s="523"/>
      <c r="CI22" s="523">
        <f t="shared" si="2"/>
        <v>20</v>
      </c>
    </row>
    <row r="23" spans="1:87" x14ac:dyDescent="0.2">
      <c r="A23" s="125" t="s">
        <v>1351</v>
      </c>
      <c r="B23" s="126" t="s">
        <v>1352</v>
      </c>
      <c r="C23" s="126" t="s">
        <v>1324</v>
      </c>
      <c r="D23" s="127" t="s">
        <v>1353</v>
      </c>
      <c r="E23" s="128" t="s">
        <v>14</v>
      </c>
      <c r="F23" s="137">
        <v>302.64</v>
      </c>
      <c r="G23" s="130">
        <v>4.0999999999999996</v>
      </c>
      <c r="H23" s="128">
        <v>785</v>
      </c>
      <c r="I23" s="132">
        <f t="shared" si="3"/>
        <v>0</v>
      </c>
      <c r="J23" s="374">
        <f t="shared" si="4"/>
        <v>785</v>
      </c>
      <c r="K23" s="132">
        <f t="shared" si="5"/>
        <v>0</v>
      </c>
      <c r="L23" s="131">
        <f t="shared" si="6"/>
        <v>3218.5</v>
      </c>
      <c r="M23" s="131">
        <f t="shared" si="1"/>
        <v>0</v>
      </c>
      <c r="N23" s="131">
        <f t="shared" si="1"/>
        <v>3218.5</v>
      </c>
      <c r="O23" s="131">
        <f t="shared" si="1"/>
        <v>0</v>
      </c>
      <c r="P23" s="136">
        <f t="shared" si="0"/>
        <v>1</v>
      </c>
      <c r="Q23" s="525"/>
      <c r="S23" s="189">
        <v>0</v>
      </c>
      <c r="T23" s="189">
        <v>49</v>
      </c>
      <c r="BT23" s="525"/>
      <c r="BU23" s="523">
        <v>0</v>
      </c>
      <c r="BV23" s="523">
        <v>0</v>
      </c>
      <c r="BW23" s="523">
        <v>0</v>
      </c>
      <c r="BX23" s="523">
        <v>785</v>
      </c>
      <c r="BY23" s="523"/>
      <c r="BZ23" s="523"/>
      <c r="CA23" s="523"/>
      <c r="CB23" s="523"/>
      <c r="CC23" s="523"/>
      <c r="CD23" s="523"/>
      <c r="CE23" s="523"/>
      <c r="CF23" s="523"/>
      <c r="CG23" s="523"/>
      <c r="CH23" s="523"/>
      <c r="CI23" s="523">
        <f t="shared" si="2"/>
        <v>785</v>
      </c>
    </row>
    <row r="24" spans="1:87" x14ac:dyDescent="0.2">
      <c r="A24" s="125" t="s">
        <v>1354</v>
      </c>
      <c r="B24" s="126" t="s">
        <v>1355</v>
      </c>
      <c r="C24" s="126" t="s">
        <v>1343</v>
      </c>
      <c r="D24" s="127" t="s">
        <v>1356</v>
      </c>
      <c r="E24" s="128" t="s">
        <v>81</v>
      </c>
      <c r="F24" s="137">
        <v>135.94</v>
      </c>
      <c r="G24" s="130">
        <v>46.26</v>
      </c>
      <c r="H24" s="128">
        <v>49</v>
      </c>
      <c r="I24" s="132">
        <f t="shared" si="3"/>
        <v>0</v>
      </c>
      <c r="J24" s="374">
        <f t="shared" si="4"/>
        <v>49</v>
      </c>
      <c r="K24" s="132">
        <f t="shared" si="5"/>
        <v>0</v>
      </c>
      <c r="L24" s="131">
        <f t="shared" si="6"/>
        <v>2266.7399999999998</v>
      </c>
      <c r="M24" s="131">
        <f t="shared" si="1"/>
        <v>0</v>
      </c>
      <c r="N24" s="131">
        <f t="shared" si="1"/>
        <v>2266.7399999999998</v>
      </c>
      <c r="O24" s="131">
        <f t="shared" si="1"/>
        <v>0</v>
      </c>
      <c r="P24" s="136">
        <f t="shared" si="0"/>
        <v>1</v>
      </c>
      <c r="Q24" s="525"/>
      <c r="S24" s="189">
        <v>0</v>
      </c>
      <c r="T24" s="189">
        <v>1230</v>
      </c>
      <c r="BT24" s="525"/>
      <c r="BU24" s="523">
        <v>0</v>
      </c>
      <c r="BV24" s="523">
        <v>0</v>
      </c>
      <c r="BW24" s="523">
        <v>0</v>
      </c>
      <c r="BX24" s="523">
        <v>49</v>
      </c>
      <c r="BY24" s="523"/>
      <c r="BZ24" s="523"/>
      <c r="CA24" s="523"/>
      <c r="CB24" s="523"/>
      <c r="CC24" s="523"/>
      <c r="CD24" s="523"/>
      <c r="CE24" s="523"/>
      <c r="CF24" s="523"/>
      <c r="CG24" s="523"/>
      <c r="CH24" s="523"/>
      <c r="CI24" s="523">
        <f t="shared" si="2"/>
        <v>49</v>
      </c>
    </row>
    <row r="25" spans="1:87" s="514" customFormat="1" x14ac:dyDescent="0.2">
      <c r="A25" s="125" t="s">
        <v>1357</v>
      </c>
      <c r="B25" s="126">
        <v>72213</v>
      </c>
      <c r="C25" s="126" t="s">
        <v>1324</v>
      </c>
      <c r="D25" s="127" t="s">
        <v>1358</v>
      </c>
      <c r="E25" s="128" t="s">
        <v>14</v>
      </c>
      <c r="F25" s="137">
        <v>5.86</v>
      </c>
      <c r="G25" s="130">
        <v>0.12</v>
      </c>
      <c r="H25" s="128">
        <v>1230</v>
      </c>
      <c r="I25" s="132">
        <f t="shared" si="3"/>
        <v>0</v>
      </c>
      <c r="J25" s="374">
        <f t="shared" si="4"/>
        <v>1230</v>
      </c>
      <c r="K25" s="132">
        <f t="shared" si="5"/>
        <v>0</v>
      </c>
      <c r="L25" s="131">
        <f t="shared" si="6"/>
        <v>147.6</v>
      </c>
      <c r="M25" s="131">
        <f t="shared" si="1"/>
        <v>0</v>
      </c>
      <c r="N25" s="131">
        <f t="shared" si="1"/>
        <v>147.6</v>
      </c>
      <c r="O25" s="131">
        <f t="shared" si="1"/>
        <v>0</v>
      </c>
      <c r="P25" s="136">
        <f t="shared" si="0"/>
        <v>1</v>
      </c>
      <c r="Q25" s="525"/>
      <c r="S25" s="190">
        <v>0</v>
      </c>
      <c r="T25" s="190">
        <v>415.90999999999997</v>
      </c>
      <c r="BT25" s="525"/>
      <c r="BU25" s="523">
        <v>0</v>
      </c>
      <c r="BV25" s="523">
        <v>0</v>
      </c>
      <c r="BW25" s="523">
        <v>0</v>
      </c>
      <c r="BX25" s="523">
        <v>1230</v>
      </c>
      <c r="BY25" s="523"/>
      <c r="BZ25" s="523"/>
      <c r="CA25" s="523"/>
      <c r="CB25" s="523"/>
      <c r="CC25" s="523"/>
      <c r="CD25" s="523"/>
      <c r="CE25" s="523"/>
      <c r="CF25" s="523"/>
      <c r="CG25" s="523"/>
      <c r="CH25" s="523"/>
      <c r="CI25" s="523">
        <f t="shared" si="2"/>
        <v>1230</v>
      </c>
    </row>
    <row r="26" spans="1:87" ht="25.5" customHeight="1" x14ac:dyDescent="0.2">
      <c r="A26" s="412">
        <v>2</v>
      </c>
      <c r="B26" s="413"/>
      <c r="C26" s="413"/>
      <c r="D26" s="414" t="s">
        <v>1359</v>
      </c>
      <c r="E26" s="415"/>
      <c r="F26" s="417"/>
      <c r="G26" s="418"/>
      <c r="H26" s="418"/>
      <c r="I26" s="418"/>
      <c r="J26" s="418"/>
      <c r="K26" s="420"/>
      <c r="L26" s="424">
        <f>SUM(L27:L31)</f>
        <v>11015.16</v>
      </c>
      <c r="M26" s="424">
        <f>SUM(M27:M31)</f>
        <v>0</v>
      </c>
      <c r="N26" s="424">
        <f>SUM(N27:N31)</f>
        <v>10356.6</v>
      </c>
      <c r="O26" s="424">
        <f>SUM(O27:O31)</f>
        <v>658.56000000000006</v>
      </c>
      <c r="P26" s="423">
        <f t="shared" si="0"/>
        <v>0.94021330602551401</v>
      </c>
      <c r="Q26" s="525"/>
      <c r="S26" s="189">
        <v>0</v>
      </c>
      <c r="T26" s="189">
        <v>154.94</v>
      </c>
      <c r="BT26" s="525"/>
      <c r="BU26" s="523">
        <v>0</v>
      </c>
      <c r="BV26" s="523">
        <v>62.89</v>
      </c>
      <c r="BW26" s="523">
        <v>194.56</v>
      </c>
      <c r="BX26" s="523">
        <v>158.464</v>
      </c>
      <c r="BY26" s="523"/>
      <c r="BZ26" s="523"/>
      <c r="CA26" s="523"/>
      <c r="CB26" s="523"/>
      <c r="CC26" s="523"/>
      <c r="CD26" s="523"/>
      <c r="CE26" s="523"/>
      <c r="CF26" s="523"/>
      <c r="CG26" s="523"/>
      <c r="CH26" s="523"/>
      <c r="CI26" s="523">
        <f t="shared" si="2"/>
        <v>415.91399999999999</v>
      </c>
    </row>
    <row r="27" spans="1:87" ht="25.5" x14ac:dyDescent="0.2">
      <c r="A27" s="125" t="s">
        <v>27</v>
      </c>
      <c r="B27" s="126">
        <v>55835</v>
      </c>
      <c r="C27" s="126" t="s">
        <v>1324</v>
      </c>
      <c r="D27" s="127" t="s">
        <v>1360</v>
      </c>
      <c r="E27" s="128" t="s">
        <v>48</v>
      </c>
      <c r="F27" s="129"/>
      <c r="G27" s="130">
        <v>29.27</v>
      </c>
      <c r="H27" s="128">
        <v>154.94</v>
      </c>
      <c r="I27" s="132">
        <f t="shared" si="3"/>
        <v>0</v>
      </c>
      <c r="J27" s="374">
        <f t="shared" si="4"/>
        <v>154.94</v>
      </c>
      <c r="K27" s="132">
        <f t="shared" si="5"/>
        <v>0</v>
      </c>
      <c r="L27" s="131">
        <f t="shared" ref="L27:O31" si="7">ROUND(H27*$G27,2)</f>
        <v>4535.09</v>
      </c>
      <c r="M27" s="131">
        <f t="shared" si="7"/>
        <v>0</v>
      </c>
      <c r="N27" s="131">
        <f t="shared" si="7"/>
        <v>4535.09</v>
      </c>
      <c r="O27" s="131">
        <f t="shared" si="7"/>
        <v>0</v>
      </c>
      <c r="P27" s="136">
        <f t="shared" si="0"/>
        <v>1</v>
      </c>
      <c r="Q27" s="525"/>
      <c r="S27" s="189">
        <v>0</v>
      </c>
      <c r="T27" s="189">
        <v>83.25</v>
      </c>
      <c r="BT27" s="525"/>
      <c r="BU27" s="523">
        <v>0</v>
      </c>
      <c r="BV27" s="523">
        <v>0</v>
      </c>
      <c r="BW27" s="523">
        <v>154.94</v>
      </c>
      <c r="BX27" s="523">
        <v>0</v>
      </c>
      <c r="BY27" s="523"/>
      <c r="BZ27" s="523"/>
      <c r="CA27" s="523"/>
      <c r="CB27" s="523"/>
      <c r="CC27" s="523"/>
      <c r="CD27" s="523"/>
      <c r="CE27" s="523"/>
      <c r="CF27" s="523"/>
      <c r="CG27" s="523"/>
      <c r="CH27" s="523"/>
      <c r="CI27" s="523">
        <f t="shared" si="2"/>
        <v>154.94</v>
      </c>
    </row>
    <row r="28" spans="1:87" x14ac:dyDescent="0.2">
      <c r="A28" s="125" t="s">
        <v>1263</v>
      </c>
      <c r="B28" s="126">
        <v>79478</v>
      </c>
      <c r="C28" s="126" t="s">
        <v>1324</v>
      </c>
      <c r="D28" s="127" t="s">
        <v>1361</v>
      </c>
      <c r="E28" s="128" t="s">
        <v>48</v>
      </c>
      <c r="F28" s="137">
        <v>302.64</v>
      </c>
      <c r="G28" s="130">
        <v>46.94</v>
      </c>
      <c r="H28" s="128">
        <v>83.25</v>
      </c>
      <c r="I28" s="132">
        <f t="shared" si="3"/>
        <v>0</v>
      </c>
      <c r="J28" s="374">
        <f t="shared" si="4"/>
        <v>83.250000000000014</v>
      </c>
      <c r="K28" s="132">
        <f t="shared" si="5"/>
        <v>0</v>
      </c>
      <c r="L28" s="131">
        <f t="shared" si="7"/>
        <v>3907.76</v>
      </c>
      <c r="M28" s="131">
        <f t="shared" si="7"/>
        <v>0</v>
      </c>
      <c r="N28" s="131">
        <f t="shared" si="7"/>
        <v>3907.76</v>
      </c>
      <c r="O28" s="131">
        <f t="shared" si="7"/>
        <v>0</v>
      </c>
      <c r="P28" s="136">
        <f t="shared" si="0"/>
        <v>1</v>
      </c>
      <c r="Q28" s="525"/>
      <c r="S28" s="189">
        <v>0</v>
      </c>
      <c r="T28" s="189">
        <v>114.83</v>
      </c>
      <c r="BT28" s="525"/>
      <c r="BU28" s="523">
        <v>0</v>
      </c>
      <c r="BV28" s="523">
        <v>0</v>
      </c>
      <c r="BW28" s="523">
        <v>16.650000000000006</v>
      </c>
      <c r="BX28" s="523">
        <v>66.600000000000009</v>
      </c>
      <c r="BY28" s="523"/>
      <c r="BZ28" s="523"/>
      <c r="CA28" s="523"/>
      <c r="CB28" s="523"/>
      <c r="CC28" s="523"/>
      <c r="CD28" s="523"/>
      <c r="CE28" s="523"/>
      <c r="CF28" s="523"/>
      <c r="CG28" s="523"/>
      <c r="CH28" s="523"/>
      <c r="CI28" s="523">
        <f t="shared" si="2"/>
        <v>83.250000000000014</v>
      </c>
    </row>
    <row r="29" spans="1:87" x14ac:dyDescent="0.2">
      <c r="A29" s="125" t="s">
        <v>1362</v>
      </c>
      <c r="B29" s="126">
        <v>79483</v>
      </c>
      <c r="C29" s="126" t="s">
        <v>1324</v>
      </c>
      <c r="D29" s="127" t="s">
        <v>1363</v>
      </c>
      <c r="E29" s="128" t="s">
        <v>14</v>
      </c>
      <c r="F29" s="137">
        <v>135.94</v>
      </c>
      <c r="G29" s="130">
        <v>5.4</v>
      </c>
      <c r="H29" s="128">
        <v>114.83</v>
      </c>
      <c r="I29" s="132">
        <f t="shared" si="3"/>
        <v>0</v>
      </c>
      <c r="J29" s="374">
        <f t="shared" si="4"/>
        <v>114.834</v>
      </c>
      <c r="K29" s="132">
        <f t="shared" si="5"/>
        <v>-4.0000000000048885E-3</v>
      </c>
      <c r="L29" s="131">
        <f t="shared" si="7"/>
        <v>620.08000000000004</v>
      </c>
      <c r="M29" s="131">
        <f t="shared" si="7"/>
        <v>0</v>
      </c>
      <c r="N29" s="131">
        <f t="shared" si="7"/>
        <v>620.1</v>
      </c>
      <c r="O29" s="131">
        <f t="shared" si="7"/>
        <v>-0.02</v>
      </c>
      <c r="P29" s="136">
        <f t="shared" si="0"/>
        <v>1.0000322539027222</v>
      </c>
      <c r="Q29" s="525"/>
      <c r="S29" s="189">
        <v>0</v>
      </c>
      <c r="T29" s="189">
        <v>62.89</v>
      </c>
      <c r="BT29" s="525"/>
      <c r="BU29" s="523">
        <v>0</v>
      </c>
      <c r="BV29" s="523">
        <v>0</v>
      </c>
      <c r="BW29" s="523">
        <v>22.97</v>
      </c>
      <c r="BX29" s="523">
        <v>91.864000000000004</v>
      </c>
      <c r="BY29" s="523"/>
      <c r="BZ29" s="523"/>
      <c r="CA29" s="523"/>
      <c r="CB29" s="523"/>
      <c r="CC29" s="523"/>
      <c r="CD29" s="523"/>
      <c r="CE29" s="523"/>
      <c r="CF29" s="523"/>
      <c r="CG29" s="523"/>
      <c r="CH29" s="523"/>
      <c r="CI29" s="523">
        <f t="shared" si="2"/>
        <v>114.834</v>
      </c>
    </row>
    <row r="30" spans="1:87" x14ac:dyDescent="0.2">
      <c r="A30" s="125" t="s">
        <v>1364</v>
      </c>
      <c r="B30" s="126">
        <v>53527</v>
      </c>
      <c r="C30" s="126" t="s">
        <v>1324</v>
      </c>
      <c r="D30" s="127" t="s">
        <v>1365</v>
      </c>
      <c r="E30" s="128" t="s">
        <v>48</v>
      </c>
      <c r="F30" s="137">
        <v>5.86</v>
      </c>
      <c r="G30" s="130">
        <v>20.57</v>
      </c>
      <c r="H30" s="128">
        <v>62.89</v>
      </c>
      <c r="I30" s="132">
        <f t="shared" si="3"/>
        <v>0</v>
      </c>
      <c r="J30" s="374">
        <f t="shared" si="4"/>
        <v>62.89</v>
      </c>
      <c r="K30" s="132">
        <f t="shared" si="5"/>
        <v>0</v>
      </c>
      <c r="L30" s="131">
        <f t="shared" si="7"/>
        <v>1293.6500000000001</v>
      </c>
      <c r="M30" s="131">
        <f t="shared" si="7"/>
        <v>0</v>
      </c>
      <c r="N30" s="131">
        <f t="shared" si="7"/>
        <v>1293.6500000000001</v>
      </c>
      <c r="O30" s="131">
        <f t="shared" si="7"/>
        <v>0</v>
      </c>
      <c r="P30" s="136">
        <f t="shared" si="0"/>
        <v>1</v>
      </c>
      <c r="Q30" s="525"/>
      <c r="S30" s="189">
        <v>0</v>
      </c>
      <c r="T30" s="189">
        <v>0</v>
      </c>
      <c r="BT30" s="525"/>
      <c r="BU30" s="523">
        <v>0</v>
      </c>
      <c r="BV30" s="523">
        <v>62.89</v>
      </c>
      <c r="BW30" s="523"/>
      <c r="BX30" s="523">
        <v>0</v>
      </c>
      <c r="BY30" s="523"/>
      <c r="BZ30" s="523"/>
      <c r="CA30" s="523"/>
      <c r="CB30" s="523"/>
      <c r="CC30" s="523"/>
      <c r="CD30" s="523"/>
      <c r="CE30" s="523"/>
      <c r="CF30" s="523"/>
      <c r="CG30" s="523"/>
      <c r="CH30" s="523"/>
      <c r="CI30" s="523">
        <f t="shared" si="2"/>
        <v>62.89</v>
      </c>
    </row>
    <row r="31" spans="1:87" s="514" customFormat="1" x14ac:dyDescent="0.2">
      <c r="A31" s="125" t="s">
        <v>1366</v>
      </c>
      <c r="B31" s="126">
        <v>55835</v>
      </c>
      <c r="C31" s="126" t="s">
        <v>1324</v>
      </c>
      <c r="D31" s="127" t="s">
        <v>1367</v>
      </c>
      <c r="E31" s="128" t="s">
        <v>48</v>
      </c>
      <c r="F31" s="137">
        <v>59.37</v>
      </c>
      <c r="G31" s="130">
        <v>29.27</v>
      </c>
      <c r="H31" s="128">
        <v>22.5</v>
      </c>
      <c r="I31" s="132">
        <f t="shared" si="3"/>
        <v>0</v>
      </c>
      <c r="J31" s="374">
        <f t="shared" si="4"/>
        <v>0</v>
      </c>
      <c r="K31" s="132">
        <f t="shared" si="5"/>
        <v>22.5</v>
      </c>
      <c r="L31" s="131">
        <f t="shared" si="7"/>
        <v>658.58</v>
      </c>
      <c r="M31" s="131">
        <f t="shared" si="7"/>
        <v>0</v>
      </c>
      <c r="N31" s="131">
        <f t="shared" si="7"/>
        <v>0</v>
      </c>
      <c r="O31" s="131">
        <f t="shared" si="7"/>
        <v>658.58</v>
      </c>
      <c r="P31" s="136">
        <f t="shared" si="0"/>
        <v>0</v>
      </c>
      <c r="Q31" s="525"/>
      <c r="S31" s="190">
        <v>0</v>
      </c>
      <c r="T31" s="190">
        <v>1922.15</v>
      </c>
      <c r="BT31" s="525"/>
      <c r="BU31" s="523">
        <v>0</v>
      </c>
      <c r="BV31" s="523">
        <v>0</v>
      </c>
      <c r="BW31" s="523">
        <v>0</v>
      </c>
      <c r="BX31" s="523">
        <v>0</v>
      </c>
      <c r="BY31" s="523"/>
      <c r="BZ31" s="523"/>
      <c r="CA31" s="523"/>
      <c r="CB31" s="523"/>
      <c r="CC31" s="523"/>
      <c r="CD31" s="523"/>
      <c r="CE31" s="523"/>
      <c r="CF31" s="523"/>
      <c r="CG31" s="523"/>
      <c r="CH31" s="523"/>
      <c r="CI31" s="523">
        <f t="shared" si="2"/>
        <v>0</v>
      </c>
    </row>
    <row r="32" spans="1:87" s="514" customFormat="1" x14ac:dyDescent="0.2">
      <c r="A32" s="412">
        <v>3</v>
      </c>
      <c r="B32" s="413"/>
      <c r="C32" s="413"/>
      <c r="D32" s="414" t="s">
        <v>1368</v>
      </c>
      <c r="E32" s="415"/>
      <c r="F32" s="417"/>
      <c r="G32" s="418"/>
      <c r="H32" s="418"/>
      <c r="I32" s="418"/>
      <c r="J32" s="418"/>
      <c r="K32" s="418"/>
      <c r="L32" s="424">
        <f>SUM(L33,L39)</f>
        <v>35418.720000000001</v>
      </c>
      <c r="M32" s="424">
        <f>SUM(M33,M39)</f>
        <v>0</v>
      </c>
      <c r="N32" s="424">
        <f>SUM(N33,N39)</f>
        <v>35418.89</v>
      </c>
      <c r="O32" s="424">
        <f>SUM(O33,O39)</f>
        <v>-0.18000000000000002</v>
      </c>
      <c r="P32" s="423">
        <f t="shared" si="0"/>
        <v>1.000004799721729</v>
      </c>
      <c r="Q32" s="525"/>
      <c r="S32" s="190">
        <v>0</v>
      </c>
      <c r="T32" s="190">
        <v>1242.5800000000002</v>
      </c>
      <c r="BT32" s="525"/>
      <c r="BU32" s="523">
        <v>0</v>
      </c>
      <c r="BV32" s="523">
        <v>679.56999999999994</v>
      </c>
      <c r="BW32" s="523">
        <v>504.28000000000003</v>
      </c>
      <c r="BX32" s="523">
        <v>727.32</v>
      </c>
      <c r="BY32" s="523"/>
      <c r="BZ32" s="523"/>
      <c r="CA32" s="523"/>
      <c r="CB32" s="523"/>
      <c r="CC32" s="523"/>
      <c r="CD32" s="523"/>
      <c r="CE32" s="523"/>
      <c r="CF32" s="523"/>
      <c r="CG32" s="523"/>
      <c r="CH32" s="523"/>
      <c r="CI32" s="523">
        <f t="shared" si="2"/>
        <v>1911.17</v>
      </c>
    </row>
    <row r="33" spans="1:87" x14ac:dyDescent="0.2">
      <c r="A33" s="449" t="s">
        <v>41</v>
      </c>
      <c r="B33" s="450"/>
      <c r="C33" s="450"/>
      <c r="D33" s="451" t="s">
        <v>1369</v>
      </c>
      <c r="E33" s="452"/>
      <c r="F33" s="453"/>
      <c r="G33" s="454"/>
      <c r="H33" s="454"/>
      <c r="I33" s="454"/>
      <c r="J33" s="454"/>
      <c r="K33" s="454"/>
      <c r="L33" s="455">
        <f>SUM(L34:L38)</f>
        <v>16448.150000000001</v>
      </c>
      <c r="M33" s="455">
        <f>SUM(M34:M38)</f>
        <v>0</v>
      </c>
      <c r="N33" s="455">
        <f>SUM(N34:N38)</f>
        <v>16448.32</v>
      </c>
      <c r="O33" s="455">
        <f>SUM(O34:O38)</f>
        <v>-0.18000000000000002</v>
      </c>
      <c r="P33" s="459">
        <f t="shared" si="0"/>
        <v>1.0000103355088565</v>
      </c>
      <c r="Q33" s="525"/>
      <c r="S33" s="189">
        <v>0</v>
      </c>
      <c r="T33" s="189">
        <v>3.7699999999999996</v>
      </c>
      <c r="BT33" s="525"/>
      <c r="BU33" s="523">
        <v>0</v>
      </c>
      <c r="BV33" s="523">
        <v>0</v>
      </c>
      <c r="BW33" s="523">
        <v>504.28000000000003</v>
      </c>
      <c r="BX33" s="523">
        <v>727.32</v>
      </c>
      <c r="BY33" s="523"/>
      <c r="BZ33" s="523"/>
      <c r="CA33" s="523"/>
      <c r="CB33" s="523"/>
      <c r="CC33" s="523"/>
      <c r="CD33" s="523"/>
      <c r="CE33" s="523"/>
      <c r="CF33" s="523"/>
      <c r="CG33" s="523"/>
      <c r="CH33" s="523"/>
      <c r="CI33" s="523">
        <f t="shared" si="2"/>
        <v>1231.6000000000001</v>
      </c>
    </row>
    <row r="34" spans="1:87" x14ac:dyDescent="0.2">
      <c r="A34" s="146" t="s">
        <v>43</v>
      </c>
      <c r="B34" s="126">
        <v>83532</v>
      </c>
      <c r="C34" s="126" t="s">
        <v>1324</v>
      </c>
      <c r="D34" s="127" t="s">
        <v>1370</v>
      </c>
      <c r="E34" s="128" t="s">
        <v>48</v>
      </c>
      <c r="F34" s="129"/>
      <c r="G34" s="130">
        <v>19.86</v>
      </c>
      <c r="H34" s="147">
        <v>3.77</v>
      </c>
      <c r="I34" s="132">
        <f t="shared" si="3"/>
        <v>0</v>
      </c>
      <c r="J34" s="374">
        <f t="shared" si="4"/>
        <v>3.77</v>
      </c>
      <c r="K34" s="132">
        <f t="shared" ref="K34:K44" si="8">H34-J34</f>
        <v>0</v>
      </c>
      <c r="L34" s="131">
        <f t="shared" ref="L34:O38" si="9">ROUND(H34*$G34,2)</f>
        <v>74.87</v>
      </c>
      <c r="M34" s="131">
        <f t="shared" si="9"/>
        <v>0</v>
      </c>
      <c r="N34" s="131">
        <f t="shared" si="9"/>
        <v>74.87</v>
      </c>
      <c r="O34" s="131">
        <f t="shared" si="9"/>
        <v>0</v>
      </c>
      <c r="P34" s="136">
        <f t="shared" si="0"/>
        <v>1</v>
      </c>
      <c r="Q34" s="525"/>
      <c r="S34" s="189">
        <v>0</v>
      </c>
      <c r="T34" s="189">
        <v>63.02</v>
      </c>
      <c r="BT34" s="525"/>
      <c r="BU34" s="523">
        <v>0</v>
      </c>
      <c r="BV34" s="523">
        <v>0</v>
      </c>
      <c r="BW34" s="523">
        <v>3.77</v>
      </c>
      <c r="BX34" s="523">
        <v>0</v>
      </c>
      <c r="BY34" s="523"/>
      <c r="BZ34" s="523"/>
      <c r="CA34" s="523"/>
      <c r="CB34" s="523"/>
      <c r="CC34" s="523"/>
      <c r="CD34" s="523"/>
      <c r="CE34" s="523"/>
      <c r="CF34" s="523"/>
      <c r="CG34" s="523"/>
      <c r="CH34" s="523"/>
      <c r="CI34" s="523">
        <f t="shared" si="2"/>
        <v>3.77</v>
      </c>
    </row>
    <row r="35" spans="1:87" ht="25.5" customHeight="1" x14ac:dyDescent="0.2">
      <c r="A35" s="146" t="s">
        <v>45</v>
      </c>
      <c r="B35" s="126">
        <v>5970</v>
      </c>
      <c r="C35" s="126" t="s">
        <v>1324</v>
      </c>
      <c r="D35" s="127" t="s">
        <v>1371</v>
      </c>
      <c r="E35" s="128" t="s">
        <v>14</v>
      </c>
      <c r="F35" s="137">
        <v>60.66</v>
      </c>
      <c r="G35" s="130">
        <v>93.42</v>
      </c>
      <c r="H35" s="147">
        <v>63.02</v>
      </c>
      <c r="I35" s="132">
        <f t="shared" si="3"/>
        <v>0</v>
      </c>
      <c r="J35" s="374">
        <f t="shared" si="4"/>
        <v>63.021999999999998</v>
      </c>
      <c r="K35" s="132">
        <f t="shared" si="8"/>
        <v>-1.9999999999953388E-3</v>
      </c>
      <c r="L35" s="131">
        <f t="shared" si="9"/>
        <v>5887.33</v>
      </c>
      <c r="M35" s="131">
        <f t="shared" si="9"/>
        <v>0</v>
      </c>
      <c r="N35" s="131">
        <f t="shared" si="9"/>
        <v>5887.52</v>
      </c>
      <c r="O35" s="131">
        <f t="shared" si="9"/>
        <v>-0.19</v>
      </c>
      <c r="P35" s="136">
        <f t="shared" si="0"/>
        <v>1.0000322726940736</v>
      </c>
      <c r="Q35" s="525"/>
      <c r="S35" s="189">
        <v>0</v>
      </c>
      <c r="T35" s="189">
        <v>1094.27</v>
      </c>
      <c r="BT35" s="525"/>
      <c r="BU35" s="523">
        <v>0</v>
      </c>
      <c r="BV35" s="523">
        <v>0</v>
      </c>
      <c r="BW35" s="523">
        <v>25.21</v>
      </c>
      <c r="BX35" s="523">
        <v>37.811999999999998</v>
      </c>
      <c r="BY35" s="523"/>
      <c r="BZ35" s="523"/>
      <c r="CA35" s="523"/>
      <c r="CB35" s="523"/>
      <c r="CC35" s="523"/>
      <c r="CD35" s="523"/>
      <c r="CE35" s="523"/>
      <c r="CF35" s="523"/>
      <c r="CG35" s="523"/>
      <c r="CH35" s="523"/>
      <c r="CI35" s="523">
        <f t="shared" si="2"/>
        <v>63.021999999999998</v>
      </c>
    </row>
    <row r="36" spans="1:87" ht="25.5" customHeight="1" x14ac:dyDescent="0.2">
      <c r="A36" s="146" t="s">
        <v>47</v>
      </c>
      <c r="B36" s="126">
        <v>92793</v>
      </c>
      <c r="C36" s="126" t="s">
        <v>1324</v>
      </c>
      <c r="D36" s="127" t="s">
        <v>1372</v>
      </c>
      <c r="E36" s="128" t="s">
        <v>35</v>
      </c>
      <c r="F36" s="137">
        <v>5.86</v>
      </c>
      <c r="G36" s="130">
        <v>4.6500000000000004</v>
      </c>
      <c r="H36" s="147">
        <v>1094.27</v>
      </c>
      <c r="I36" s="132">
        <f t="shared" si="3"/>
        <v>0</v>
      </c>
      <c r="J36" s="374">
        <f t="shared" si="4"/>
        <v>1094.2719999999999</v>
      </c>
      <c r="K36" s="132">
        <f t="shared" si="8"/>
        <v>-1.9999999999527063E-3</v>
      </c>
      <c r="L36" s="131">
        <f t="shared" si="9"/>
        <v>5088.3599999999997</v>
      </c>
      <c r="M36" s="131">
        <f t="shared" si="9"/>
        <v>0</v>
      </c>
      <c r="N36" s="131">
        <f t="shared" si="9"/>
        <v>5088.3599999999997</v>
      </c>
      <c r="O36" s="131">
        <f t="shared" si="9"/>
        <v>-0.01</v>
      </c>
      <c r="P36" s="136">
        <f t="shared" si="0"/>
        <v>1</v>
      </c>
      <c r="Q36" s="525"/>
      <c r="S36" s="189">
        <v>0</v>
      </c>
      <c r="T36" s="189">
        <v>65.89</v>
      </c>
      <c r="BT36" s="525"/>
      <c r="BU36" s="523">
        <v>0</v>
      </c>
      <c r="BV36" s="523">
        <v>0</v>
      </c>
      <c r="BW36" s="523">
        <v>437.71000000000004</v>
      </c>
      <c r="BX36" s="523">
        <v>656.56200000000001</v>
      </c>
      <c r="BY36" s="523"/>
      <c r="BZ36" s="523"/>
      <c r="CA36" s="523"/>
      <c r="CB36" s="523"/>
      <c r="CC36" s="523"/>
      <c r="CD36" s="523"/>
      <c r="CE36" s="523"/>
      <c r="CF36" s="523"/>
      <c r="CG36" s="523"/>
      <c r="CH36" s="523"/>
      <c r="CI36" s="523">
        <f t="shared" si="2"/>
        <v>1094.2719999999999</v>
      </c>
    </row>
    <row r="37" spans="1:87" ht="25.5" x14ac:dyDescent="0.2">
      <c r="A37" s="146" t="s">
        <v>49</v>
      </c>
      <c r="B37" s="126">
        <v>92791</v>
      </c>
      <c r="C37" s="126" t="s">
        <v>1324</v>
      </c>
      <c r="D37" s="127" t="s">
        <v>1373</v>
      </c>
      <c r="E37" s="128" t="s">
        <v>35</v>
      </c>
      <c r="F37" s="137">
        <v>302.64</v>
      </c>
      <c r="G37" s="130">
        <v>6.11</v>
      </c>
      <c r="H37" s="147">
        <v>54.91</v>
      </c>
      <c r="I37" s="132">
        <f t="shared" si="3"/>
        <v>0</v>
      </c>
      <c r="J37" s="374">
        <f t="shared" si="4"/>
        <v>54.905999999999992</v>
      </c>
      <c r="K37" s="132">
        <f t="shared" si="8"/>
        <v>4.0000000000048885E-3</v>
      </c>
      <c r="L37" s="131">
        <f t="shared" si="9"/>
        <v>335.5</v>
      </c>
      <c r="M37" s="131">
        <f t="shared" si="9"/>
        <v>0</v>
      </c>
      <c r="N37" s="131">
        <f t="shared" si="9"/>
        <v>335.48</v>
      </c>
      <c r="O37" s="131">
        <f t="shared" si="9"/>
        <v>0.02</v>
      </c>
      <c r="P37" s="136">
        <f t="shared" si="0"/>
        <v>0.99994038748137115</v>
      </c>
      <c r="Q37" s="525"/>
      <c r="S37" s="189">
        <v>0</v>
      </c>
      <c r="T37" s="189">
        <v>15.630000000000003</v>
      </c>
      <c r="BT37" s="525"/>
      <c r="BU37" s="523">
        <v>0</v>
      </c>
      <c r="BV37" s="523">
        <v>0</v>
      </c>
      <c r="BW37" s="523">
        <v>21.959999999999994</v>
      </c>
      <c r="BX37" s="523">
        <v>32.945999999999998</v>
      </c>
      <c r="BY37" s="523"/>
      <c r="BZ37" s="523"/>
      <c r="CA37" s="523"/>
      <c r="CB37" s="523"/>
      <c r="CC37" s="523"/>
      <c r="CD37" s="523"/>
      <c r="CE37" s="523"/>
      <c r="CF37" s="523"/>
      <c r="CG37" s="523"/>
      <c r="CH37" s="523"/>
      <c r="CI37" s="523">
        <f t="shared" si="2"/>
        <v>54.905999999999992</v>
      </c>
    </row>
    <row r="38" spans="1:87" s="514" customFormat="1" x14ac:dyDescent="0.2">
      <c r="A38" s="146" t="s">
        <v>1374</v>
      </c>
      <c r="B38" s="126">
        <v>92720</v>
      </c>
      <c r="C38" s="126" t="s">
        <v>1324</v>
      </c>
      <c r="D38" s="127" t="s">
        <v>1375</v>
      </c>
      <c r="E38" s="128" t="s">
        <v>48</v>
      </c>
      <c r="F38" s="137">
        <v>135.94</v>
      </c>
      <c r="G38" s="130">
        <v>323.87</v>
      </c>
      <c r="H38" s="147">
        <v>15.63</v>
      </c>
      <c r="I38" s="132">
        <f t="shared" si="3"/>
        <v>0</v>
      </c>
      <c r="J38" s="374">
        <f t="shared" si="4"/>
        <v>15.63</v>
      </c>
      <c r="K38" s="132">
        <f t="shared" si="8"/>
        <v>0</v>
      </c>
      <c r="L38" s="131">
        <f t="shared" si="9"/>
        <v>5062.09</v>
      </c>
      <c r="M38" s="131">
        <f t="shared" si="9"/>
        <v>0</v>
      </c>
      <c r="N38" s="131">
        <f t="shared" si="9"/>
        <v>5062.09</v>
      </c>
      <c r="O38" s="131">
        <f t="shared" si="9"/>
        <v>0</v>
      </c>
      <c r="P38" s="136">
        <f t="shared" si="0"/>
        <v>1</v>
      </c>
      <c r="Q38" s="525"/>
      <c r="S38" s="190">
        <v>0</v>
      </c>
      <c r="T38" s="190">
        <v>679.56999999999994</v>
      </c>
      <c r="BT38" s="525"/>
      <c r="BU38" s="523">
        <v>0</v>
      </c>
      <c r="BV38" s="523">
        <v>0</v>
      </c>
      <c r="BW38" s="523">
        <v>15.63</v>
      </c>
      <c r="BX38" s="523">
        <v>0</v>
      </c>
      <c r="BY38" s="523"/>
      <c r="BZ38" s="523"/>
      <c r="CA38" s="523"/>
      <c r="CB38" s="523"/>
      <c r="CC38" s="523"/>
      <c r="CD38" s="523"/>
      <c r="CE38" s="523"/>
      <c r="CF38" s="523"/>
      <c r="CG38" s="523"/>
      <c r="CH38" s="523"/>
      <c r="CI38" s="523">
        <f t="shared" si="2"/>
        <v>15.63</v>
      </c>
    </row>
    <row r="39" spans="1:87" x14ac:dyDescent="0.2">
      <c r="A39" s="449" t="s">
        <v>50</v>
      </c>
      <c r="B39" s="450"/>
      <c r="C39" s="450"/>
      <c r="D39" s="451" t="s">
        <v>1376</v>
      </c>
      <c r="E39" s="452"/>
      <c r="F39" s="453"/>
      <c r="G39" s="454"/>
      <c r="H39" s="472"/>
      <c r="I39" s="456">
        <f t="shared" si="3"/>
        <v>0</v>
      </c>
      <c r="J39" s="457"/>
      <c r="K39" s="456">
        <v>0</v>
      </c>
      <c r="L39" s="454">
        <f>SUM(L40:L44)</f>
        <v>18970.57</v>
      </c>
      <c r="M39" s="454">
        <f>SUM(M40:M44)</f>
        <v>0</v>
      </c>
      <c r="N39" s="454">
        <f>SUM(N40:N44)</f>
        <v>18970.57</v>
      </c>
      <c r="O39" s="454">
        <f>SUM(O40:O44)</f>
        <v>0</v>
      </c>
      <c r="P39" s="459">
        <f t="shared" si="0"/>
        <v>1</v>
      </c>
      <c r="Q39" s="525"/>
      <c r="S39" s="189">
        <v>0</v>
      </c>
      <c r="T39" s="189">
        <v>2.58</v>
      </c>
      <c r="BT39" s="525"/>
      <c r="BU39" s="523">
        <v>0</v>
      </c>
      <c r="BV39" s="523">
        <v>679.56999999999994</v>
      </c>
      <c r="BW39" s="523">
        <v>0</v>
      </c>
      <c r="BX39" s="523">
        <v>0</v>
      </c>
      <c r="BY39" s="523"/>
      <c r="BZ39" s="523"/>
      <c r="CA39" s="523"/>
      <c r="CB39" s="523"/>
      <c r="CC39" s="523"/>
      <c r="CD39" s="523"/>
      <c r="CE39" s="523"/>
      <c r="CF39" s="523"/>
      <c r="CG39" s="523"/>
      <c r="CH39" s="523"/>
      <c r="CI39" s="523">
        <f t="shared" si="2"/>
        <v>679.56999999999994</v>
      </c>
    </row>
    <row r="40" spans="1:87" x14ac:dyDescent="0.2">
      <c r="A40" s="125" t="s">
        <v>52</v>
      </c>
      <c r="B40" s="126">
        <v>83532</v>
      </c>
      <c r="C40" s="126" t="s">
        <v>1324</v>
      </c>
      <c r="D40" s="127" t="s">
        <v>1370</v>
      </c>
      <c r="E40" s="128" t="s">
        <v>48</v>
      </c>
      <c r="F40" s="137">
        <v>60.66</v>
      </c>
      <c r="G40" s="130">
        <v>19.86</v>
      </c>
      <c r="H40" s="147">
        <v>2.58</v>
      </c>
      <c r="I40" s="132">
        <f t="shared" si="3"/>
        <v>0</v>
      </c>
      <c r="J40" s="374">
        <f t="shared" si="4"/>
        <v>2.58</v>
      </c>
      <c r="K40" s="132">
        <f t="shared" si="8"/>
        <v>0</v>
      </c>
      <c r="L40" s="131">
        <f t="shared" ref="L40:O44" si="10">ROUND(H40*$G40,2)</f>
        <v>51.24</v>
      </c>
      <c r="M40" s="131">
        <f t="shared" si="10"/>
        <v>0</v>
      </c>
      <c r="N40" s="131">
        <f t="shared" si="10"/>
        <v>51.24</v>
      </c>
      <c r="O40" s="131">
        <f t="shared" si="10"/>
        <v>0</v>
      </c>
      <c r="P40" s="136">
        <f t="shared" si="0"/>
        <v>1</v>
      </c>
      <c r="Q40" s="525"/>
      <c r="S40" s="189">
        <v>0</v>
      </c>
      <c r="T40" s="189">
        <v>139.57</v>
      </c>
      <c r="BT40" s="525"/>
      <c r="BU40" s="523">
        <v>0</v>
      </c>
      <c r="BV40" s="523">
        <v>2.58</v>
      </c>
      <c r="BW40" s="523">
        <v>0</v>
      </c>
      <c r="BX40" s="523">
        <v>0</v>
      </c>
      <c r="BY40" s="523"/>
      <c r="BZ40" s="523"/>
      <c r="CA40" s="523"/>
      <c r="CB40" s="523"/>
      <c r="CC40" s="523"/>
      <c r="CD40" s="523"/>
      <c r="CE40" s="523"/>
      <c r="CF40" s="523"/>
      <c r="CG40" s="523"/>
      <c r="CH40" s="523"/>
      <c r="CI40" s="523">
        <f t="shared" si="2"/>
        <v>2.58</v>
      </c>
    </row>
    <row r="41" spans="1:87" ht="25.5" customHeight="1" x14ac:dyDescent="0.2">
      <c r="A41" s="125" t="s">
        <v>53</v>
      </c>
      <c r="B41" s="126">
        <v>5970</v>
      </c>
      <c r="C41" s="126" t="s">
        <v>1324</v>
      </c>
      <c r="D41" s="127" t="s">
        <v>1371</v>
      </c>
      <c r="E41" s="128" t="s">
        <v>14</v>
      </c>
      <c r="F41" s="137">
        <v>5.86</v>
      </c>
      <c r="G41" s="130">
        <v>93.42</v>
      </c>
      <c r="H41" s="147">
        <v>139.57</v>
      </c>
      <c r="I41" s="132">
        <f t="shared" si="3"/>
        <v>0</v>
      </c>
      <c r="J41" s="374">
        <f t="shared" si="4"/>
        <v>139.57</v>
      </c>
      <c r="K41" s="132">
        <f t="shared" si="8"/>
        <v>0</v>
      </c>
      <c r="L41" s="131">
        <f t="shared" si="10"/>
        <v>13038.63</v>
      </c>
      <c r="M41" s="131">
        <f t="shared" si="10"/>
        <v>0</v>
      </c>
      <c r="N41" s="131">
        <f t="shared" si="10"/>
        <v>13038.63</v>
      </c>
      <c r="O41" s="131">
        <f t="shared" si="10"/>
        <v>0</v>
      </c>
      <c r="P41" s="136">
        <f t="shared" si="0"/>
        <v>1</v>
      </c>
      <c r="Q41" s="525"/>
      <c r="S41" s="189">
        <v>0</v>
      </c>
      <c r="T41" s="189">
        <v>389.64</v>
      </c>
      <c r="BT41" s="525"/>
      <c r="BU41" s="523">
        <v>0</v>
      </c>
      <c r="BV41" s="523">
        <v>139.57</v>
      </c>
      <c r="BW41" s="523">
        <v>0</v>
      </c>
      <c r="BX41" s="523">
        <v>0</v>
      </c>
      <c r="BY41" s="523"/>
      <c r="BZ41" s="523"/>
      <c r="CA41" s="523"/>
      <c r="CB41" s="523"/>
      <c r="CC41" s="523"/>
      <c r="CD41" s="523"/>
      <c r="CE41" s="523"/>
      <c r="CF41" s="523"/>
      <c r="CG41" s="523"/>
      <c r="CH41" s="523"/>
      <c r="CI41" s="523">
        <f t="shared" si="2"/>
        <v>139.57</v>
      </c>
    </row>
    <row r="42" spans="1:87" ht="25.5" customHeight="1" x14ac:dyDescent="0.2">
      <c r="A42" s="125" t="s">
        <v>54</v>
      </c>
      <c r="B42" s="126">
        <v>92793</v>
      </c>
      <c r="C42" s="126" t="s">
        <v>1324</v>
      </c>
      <c r="D42" s="127" t="s">
        <v>1372</v>
      </c>
      <c r="E42" s="128" t="s">
        <v>35</v>
      </c>
      <c r="F42" s="137">
        <v>302.64</v>
      </c>
      <c r="G42" s="130">
        <v>4.6500000000000004</v>
      </c>
      <c r="H42" s="147">
        <v>389.64</v>
      </c>
      <c r="I42" s="132">
        <f t="shared" si="3"/>
        <v>0</v>
      </c>
      <c r="J42" s="374">
        <f t="shared" si="4"/>
        <v>389.64</v>
      </c>
      <c r="K42" s="132">
        <f t="shared" si="8"/>
        <v>0</v>
      </c>
      <c r="L42" s="131">
        <f t="shared" si="10"/>
        <v>1811.83</v>
      </c>
      <c r="M42" s="131">
        <f t="shared" si="10"/>
        <v>0</v>
      </c>
      <c r="N42" s="131">
        <f t="shared" si="10"/>
        <v>1811.83</v>
      </c>
      <c r="O42" s="131">
        <f t="shared" si="10"/>
        <v>0</v>
      </c>
      <c r="P42" s="136">
        <f t="shared" si="0"/>
        <v>1</v>
      </c>
      <c r="Q42" s="525"/>
      <c r="S42" s="189">
        <v>0</v>
      </c>
      <c r="T42" s="189">
        <v>137.72999999999999</v>
      </c>
      <c r="BT42" s="525"/>
      <c r="BU42" s="523">
        <v>0</v>
      </c>
      <c r="BV42" s="523">
        <v>389.64</v>
      </c>
      <c r="BW42" s="523">
        <v>0</v>
      </c>
      <c r="BX42" s="523">
        <v>0</v>
      </c>
      <c r="BY42" s="523"/>
      <c r="BZ42" s="523"/>
      <c r="CA42" s="523"/>
      <c r="CB42" s="523"/>
      <c r="CC42" s="523"/>
      <c r="CD42" s="523"/>
      <c r="CE42" s="523"/>
      <c r="CF42" s="523"/>
      <c r="CG42" s="523"/>
      <c r="CH42" s="523"/>
      <c r="CI42" s="523">
        <f t="shared" si="2"/>
        <v>389.64</v>
      </c>
    </row>
    <row r="43" spans="1:87" ht="25.5" x14ac:dyDescent="0.2">
      <c r="A43" s="125" t="s">
        <v>55</v>
      </c>
      <c r="B43" s="126">
        <v>92791</v>
      </c>
      <c r="C43" s="126" t="s">
        <v>1324</v>
      </c>
      <c r="D43" s="127" t="s">
        <v>1373</v>
      </c>
      <c r="E43" s="128" t="s">
        <v>35</v>
      </c>
      <c r="F43" s="137">
        <v>135.94</v>
      </c>
      <c r="G43" s="130">
        <v>5.91</v>
      </c>
      <c r="H43" s="147">
        <v>137.72999999999999</v>
      </c>
      <c r="I43" s="132">
        <f t="shared" si="3"/>
        <v>0</v>
      </c>
      <c r="J43" s="374">
        <f t="shared" si="4"/>
        <v>137.72999999999999</v>
      </c>
      <c r="K43" s="132">
        <f t="shared" si="8"/>
        <v>0</v>
      </c>
      <c r="L43" s="131">
        <f t="shared" si="10"/>
        <v>813.98</v>
      </c>
      <c r="M43" s="131">
        <f t="shared" si="10"/>
        <v>0</v>
      </c>
      <c r="N43" s="131">
        <f t="shared" si="10"/>
        <v>813.98</v>
      </c>
      <c r="O43" s="131">
        <f t="shared" si="10"/>
        <v>0</v>
      </c>
      <c r="P43" s="136">
        <f t="shared" si="0"/>
        <v>1</v>
      </c>
      <c r="Q43" s="525"/>
      <c r="S43" s="189">
        <v>0</v>
      </c>
      <c r="T43" s="189">
        <v>10.050000000000001</v>
      </c>
      <c r="BT43" s="525"/>
      <c r="BU43" s="523">
        <v>0</v>
      </c>
      <c r="BV43" s="523">
        <v>137.72999999999999</v>
      </c>
      <c r="BW43" s="523">
        <v>0</v>
      </c>
      <c r="BX43" s="523">
        <v>0</v>
      </c>
      <c r="BY43" s="523"/>
      <c r="BZ43" s="523"/>
      <c r="CA43" s="523"/>
      <c r="CB43" s="523"/>
      <c r="CC43" s="523"/>
      <c r="CD43" s="523"/>
      <c r="CE43" s="523"/>
      <c r="CF43" s="523"/>
      <c r="CG43" s="523"/>
      <c r="CH43" s="523"/>
      <c r="CI43" s="523">
        <f t="shared" si="2"/>
        <v>137.72999999999999</v>
      </c>
    </row>
    <row r="44" spans="1:87" s="517" customFormat="1" x14ac:dyDescent="0.2">
      <c r="A44" s="125" t="s">
        <v>1377</v>
      </c>
      <c r="B44" s="126">
        <v>92720</v>
      </c>
      <c r="C44" s="126" t="s">
        <v>1324</v>
      </c>
      <c r="D44" s="127" t="s">
        <v>1375</v>
      </c>
      <c r="E44" s="128" t="s">
        <v>48</v>
      </c>
      <c r="F44" s="129"/>
      <c r="G44" s="130">
        <v>323.87</v>
      </c>
      <c r="H44" s="147">
        <v>10.050000000000001</v>
      </c>
      <c r="I44" s="132">
        <f t="shared" si="3"/>
        <v>0</v>
      </c>
      <c r="J44" s="374">
        <f t="shared" si="4"/>
        <v>10.050000000000001</v>
      </c>
      <c r="K44" s="132">
        <f t="shared" si="8"/>
        <v>0</v>
      </c>
      <c r="L44" s="131">
        <f t="shared" si="10"/>
        <v>3254.89</v>
      </c>
      <c r="M44" s="131">
        <f t="shared" si="10"/>
        <v>0</v>
      </c>
      <c r="N44" s="131">
        <f t="shared" si="10"/>
        <v>3254.89</v>
      </c>
      <c r="O44" s="131">
        <f t="shared" si="10"/>
        <v>0</v>
      </c>
      <c r="P44" s="136">
        <f t="shared" si="0"/>
        <v>1</v>
      </c>
      <c r="Q44" s="525"/>
      <c r="S44" s="191">
        <v>0</v>
      </c>
      <c r="T44" s="191">
        <v>0</v>
      </c>
      <c r="BT44" s="525"/>
      <c r="BU44" s="523">
        <v>0</v>
      </c>
      <c r="BV44" s="523">
        <v>10.050000000000001</v>
      </c>
      <c r="BW44" s="523">
        <v>0</v>
      </c>
      <c r="BX44" s="523">
        <v>0</v>
      </c>
      <c r="BY44" s="523"/>
      <c r="BZ44" s="523"/>
      <c r="CA44" s="523"/>
      <c r="CB44" s="523"/>
      <c r="CC44" s="523"/>
      <c r="CD44" s="523"/>
      <c r="CE44" s="523"/>
      <c r="CF44" s="523"/>
      <c r="CG44" s="523"/>
      <c r="CH44" s="523"/>
      <c r="CI44" s="523">
        <f t="shared" si="2"/>
        <v>10.050000000000001</v>
      </c>
    </row>
    <row r="45" spans="1:87" s="517" customFormat="1" x14ac:dyDescent="0.2">
      <c r="A45" s="425">
        <v>4</v>
      </c>
      <c r="B45" s="426"/>
      <c r="C45" s="426"/>
      <c r="D45" s="427" t="s">
        <v>1378</v>
      </c>
      <c r="E45" s="415"/>
      <c r="F45" s="417"/>
      <c r="G45" s="418"/>
      <c r="H45" s="416"/>
      <c r="I45" s="416"/>
      <c r="J45" s="421"/>
      <c r="K45" s="420"/>
      <c r="L45" s="429">
        <f>SUM(L46,L51,L57,L62,L67)</f>
        <v>88897.260000000009</v>
      </c>
      <c r="M45" s="429">
        <f>SUM(M46,M51,M57,M62,M67)</f>
        <v>19678.899999999998</v>
      </c>
      <c r="N45" s="429">
        <f>SUM(N46,N51,N57,N62,N67)</f>
        <v>43320.159999999996</v>
      </c>
      <c r="O45" s="429">
        <f>SUM(O46,O51,O57,O62,O67)</f>
        <v>45577.1</v>
      </c>
      <c r="P45" s="431">
        <f t="shared" si="0"/>
        <v>0.48730590796611722</v>
      </c>
      <c r="Q45" s="525"/>
      <c r="S45" s="191">
        <v>0</v>
      </c>
      <c r="T45" s="191">
        <v>0</v>
      </c>
      <c r="BT45" s="525"/>
      <c r="BU45" s="523">
        <v>354.95380799999998</v>
      </c>
      <c r="BV45" s="523"/>
      <c r="BW45" s="523"/>
      <c r="BX45" s="523"/>
      <c r="BY45" s="523"/>
      <c r="BZ45" s="523"/>
      <c r="CA45" s="523"/>
      <c r="CB45" s="523"/>
      <c r="CC45" s="523"/>
      <c r="CD45" s="523"/>
      <c r="CE45" s="523"/>
      <c r="CF45" s="523"/>
      <c r="CG45" s="523"/>
      <c r="CH45" s="523"/>
      <c r="CI45" s="523">
        <f t="shared" si="2"/>
        <v>354.95380799999998</v>
      </c>
    </row>
    <row r="46" spans="1:87" s="110" customFormat="1" x14ac:dyDescent="0.2">
      <c r="A46" s="461" t="s">
        <v>74</v>
      </c>
      <c r="B46" s="462"/>
      <c r="C46" s="462"/>
      <c r="D46" s="463" t="s">
        <v>1379</v>
      </c>
      <c r="E46" s="464"/>
      <c r="F46" s="452">
        <f>SUM(F47:F50)</f>
        <v>499.24</v>
      </c>
      <c r="G46" s="465"/>
      <c r="H46" s="464"/>
      <c r="I46" s="464"/>
      <c r="J46" s="457"/>
      <c r="K46" s="457">
        <v>0</v>
      </c>
      <c r="L46" s="474">
        <f>SUM(L47:L50)</f>
        <v>17368.48</v>
      </c>
      <c r="M46" s="474">
        <f>SUM(M47:M50)</f>
        <v>11150.65</v>
      </c>
      <c r="N46" s="474">
        <f>SUM(N47:N50)</f>
        <v>13266.949999999999</v>
      </c>
      <c r="O46" s="474">
        <f>SUM(O47:O50)</f>
        <v>4101.5300000000007</v>
      </c>
      <c r="P46" s="466">
        <f t="shared" si="0"/>
        <v>0.76385210450194829</v>
      </c>
      <c r="Q46" s="525"/>
      <c r="S46" s="192">
        <v>22.81</v>
      </c>
      <c r="T46" s="192">
        <v>126.72</v>
      </c>
      <c r="BT46" s="525"/>
      <c r="BU46" s="523">
        <v>132.10999999999999</v>
      </c>
      <c r="BV46" s="523"/>
      <c r="BW46" s="523"/>
      <c r="BX46" s="523"/>
      <c r="BY46" s="523"/>
      <c r="BZ46" s="523"/>
      <c r="CA46" s="523"/>
      <c r="CB46" s="523"/>
      <c r="CC46" s="523"/>
      <c r="CD46" s="523"/>
      <c r="CE46" s="523"/>
      <c r="CF46" s="523"/>
      <c r="CG46" s="523"/>
      <c r="CH46" s="523"/>
      <c r="CI46" s="523">
        <f t="shared" si="2"/>
        <v>132.10999999999999</v>
      </c>
    </row>
    <row r="47" spans="1:87" s="110" customFormat="1" ht="25.5" x14ac:dyDescent="0.2">
      <c r="A47" s="379" t="s">
        <v>76</v>
      </c>
      <c r="B47" s="380">
        <v>92448</v>
      </c>
      <c r="C47" s="380" t="s">
        <v>1324</v>
      </c>
      <c r="D47" s="381" t="s">
        <v>1380</v>
      </c>
      <c r="E47" s="382" t="s">
        <v>14</v>
      </c>
      <c r="F47" s="137">
        <v>302.64</v>
      </c>
      <c r="G47" s="383">
        <v>93.42</v>
      </c>
      <c r="H47" s="382">
        <v>126.72</v>
      </c>
      <c r="I47" s="132">
        <f t="shared" si="3"/>
        <v>103.9104</v>
      </c>
      <c r="J47" s="374">
        <f t="shared" si="4"/>
        <v>103.9104</v>
      </c>
      <c r="K47" s="132">
        <f t="shared" ref="K47:K56" si="11">H47-J47</f>
        <v>22.809600000000003</v>
      </c>
      <c r="L47" s="131">
        <f t="shared" ref="L47:O50" si="12">ROUND(H47*$G47,2)</f>
        <v>11838.18</v>
      </c>
      <c r="M47" s="131">
        <f t="shared" si="12"/>
        <v>9707.31</v>
      </c>
      <c r="N47" s="131">
        <f t="shared" si="12"/>
        <v>9707.31</v>
      </c>
      <c r="O47" s="131">
        <f t="shared" si="12"/>
        <v>2130.87</v>
      </c>
      <c r="P47" s="388">
        <f t="shared" si="0"/>
        <v>0.82000020273386609</v>
      </c>
      <c r="Q47" s="525"/>
      <c r="S47" s="192">
        <v>78.55</v>
      </c>
      <c r="T47" s="192">
        <v>428.55</v>
      </c>
      <c r="BT47" s="525"/>
      <c r="BU47" s="523">
        <v>103.9104</v>
      </c>
      <c r="BV47" s="523">
        <v>0</v>
      </c>
      <c r="BW47" s="523">
        <v>0</v>
      </c>
      <c r="BX47" s="523"/>
      <c r="BY47" s="523"/>
      <c r="BZ47" s="523"/>
      <c r="CA47" s="523"/>
      <c r="CB47" s="523"/>
      <c r="CC47" s="523"/>
      <c r="CD47" s="523"/>
      <c r="CE47" s="523"/>
      <c r="CF47" s="523"/>
      <c r="CG47" s="523"/>
      <c r="CH47" s="523"/>
      <c r="CI47" s="523">
        <f t="shared" si="2"/>
        <v>103.9104</v>
      </c>
    </row>
    <row r="48" spans="1:87" s="110" customFormat="1" ht="25.5" x14ac:dyDescent="0.2">
      <c r="A48" s="379" t="s">
        <v>79</v>
      </c>
      <c r="B48" s="380">
        <v>92793</v>
      </c>
      <c r="C48" s="380" t="s">
        <v>1324</v>
      </c>
      <c r="D48" s="381" t="s">
        <v>1372</v>
      </c>
      <c r="E48" s="382" t="s">
        <v>35</v>
      </c>
      <c r="F48" s="137">
        <v>135.94</v>
      </c>
      <c r="G48" s="383">
        <v>4.6500000000000004</v>
      </c>
      <c r="H48" s="382">
        <v>428.55</v>
      </c>
      <c r="I48" s="132">
        <f t="shared" si="3"/>
        <v>0</v>
      </c>
      <c r="J48" s="374">
        <f t="shared" si="4"/>
        <v>350</v>
      </c>
      <c r="K48" s="132">
        <f t="shared" si="11"/>
        <v>78.550000000000011</v>
      </c>
      <c r="L48" s="131">
        <f t="shared" si="12"/>
        <v>1992.76</v>
      </c>
      <c r="M48" s="131">
        <f t="shared" si="12"/>
        <v>0</v>
      </c>
      <c r="N48" s="131">
        <f t="shared" si="12"/>
        <v>1627.5</v>
      </c>
      <c r="O48" s="131">
        <f t="shared" si="12"/>
        <v>365.26</v>
      </c>
      <c r="P48" s="388">
        <f t="shared" si="0"/>
        <v>0.81670647744836311</v>
      </c>
      <c r="Q48" s="525"/>
      <c r="S48" s="192">
        <v>23.16</v>
      </c>
      <c r="T48" s="192">
        <v>127.36</v>
      </c>
      <c r="BT48" s="525"/>
      <c r="BU48" s="523">
        <v>0</v>
      </c>
      <c r="BV48" s="523">
        <v>350</v>
      </c>
      <c r="BW48" s="523">
        <v>0</v>
      </c>
      <c r="BX48" s="523"/>
      <c r="BY48" s="523"/>
      <c r="BZ48" s="523"/>
      <c r="CA48" s="523"/>
      <c r="CB48" s="523"/>
      <c r="CC48" s="523"/>
      <c r="CD48" s="523"/>
      <c r="CE48" s="523"/>
      <c r="CF48" s="523"/>
      <c r="CG48" s="523"/>
      <c r="CH48" s="523"/>
      <c r="CI48" s="523">
        <f t="shared" si="2"/>
        <v>350</v>
      </c>
    </row>
    <row r="49" spans="1:87" s="110" customFormat="1" ht="25.5" x14ac:dyDescent="0.2">
      <c r="A49" s="379" t="s">
        <v>83</v>
      </c>
      <c r="B49" s="380">
        <v>92791</v>
      </c>
      <c r="C49" s="380" t="s">
        <v>1324</v>
      </c>
      <c r="D49" s="381" t="s">
        <v>1373</v>
      </c>
      <c r="E49" s="382" t="s">
        <v>35</v>
      </c>
      <c r="F49" s="129"/>
      <c r="G49" s="383">
        <v>6.11</v>
      </c>
      <c r="H49" s="382">
        <v>127.36</v>
      </c>
      <c r="I49" s="132">
        <f t="shared" si="3"/>
        <v>24.2</v>
      </c>
      <c r="J49" s="374">
        <f t="shared" si="4"/>
        <v>104.2</v>
      </c>
      <c r="K49" s="132">
        <f t="shared" si="11"/>
        <v>23.159999999999997</v>
      </c>
      <c r="L49" s="131">
        <f t="shared" si="12"/>
        <v>778.17</v>
      </c>
      <c r="M49" s="131">
        <f t="shared" si="12"/>
        <v>147.86000000000001</v>
      </c>
      <c r="N49" s="131">
        <f t="shared" si="12"/>
        <v>636.66</v>
      </c>
      <c r="O49" s="131">
        <f t="shared" si="12"/>
        <v>141.51</v>
      </c>
      <c r="P49" s="388">
        <f t="shared" si="0"/>
        <v>0.81815027564670961</v>
      </c>
      <c r="Q49" s="525"/>
      <c r="S49" s="192">
        <v>4.5199999999999996</v>
      </c>
      <c r="T49" s="192">
        <v>8.52</v>
      </c>
      <c r="BT49" s="525"/>
      <c r="BU49" s="523">
        <v>24.2</v>
      </c>
      <c r="BV49" s="523">
        <v>80</v>
      </c>
      <c r="BW49" s="523">
        <v>0</v>
      </c>
      <c r="BX49" s="523"/>
      <c r="BY49" s="523"/>
      <c r="BZ49" s="523"/>
      <c r="CA49" s="523"/>
      <c r="CB49" s="523"/>
      <c r="CC49" s="523"/>
      <c r="CD49" s="523"/>
      <c r="CE49" s="523"/>
      <c r="CF49" s="523"/>
      <c r="CG49" s="523"/>
      <c r="CH49" s="523"/>
      <c r="CI49" s="523">
        <f t="shared" si="2"/>
        <v>104.2</v>
      </c>
    </row>
    <row r="50" spans="1:87" s="517" customFormat="1" x14ac:dyDescent="0.2">
      <c r="A50" s="379" t="s">
        <v>86</v>
      </c>
      <c r="B50" s="380">
        <v>92720</v>
      </c>
      <c r="C50" s="380" t="s">
        <v>1324</v>
      </c>
      <c r="D50" s="381" t="s">
        <v>1375</v>
      </c>
      <c r="E50" s="382" t="s">
        <v>48</v>
      </c>
      <c r="F50" s="137">
        <v>60.66</v>
      </c>
      <c r="G50" s="383">
        <v>323.87</v>
      </c>
      <c r="H50" s="382">
        <v>8.52</v>
      </c>
      <c r="I50" s="132">
        <f t="shared" si="3"/>
        <v>4</v>
      </c>
      <c r="J50" s="374">
        <f t="shared" si="4"/>
        <v>4</v>
      </c>
      <c r="K50" s="132">
        <f t="shared" si="11"/>
        <v>4.5199999999999996</v>
      </c>
      <c r="L50" s="131">
        <f t="shared" si="12"/>
        <v>2759.37</v>
      </c>
      <c r="M50" s="131">
        <f t="shared" si="12"/>
        <v>1295.48</v>
      </c>
      <c r="N50" s="131">
        <f t="shared" si="12"/>
        <v>1295.48</v>
      </c>
      <c r="O50" s="131">
        <f t="shared" si="12"/>
        <v>1463.89</v>
      </c>
      <c r="P50" s="388">
        <f t="shared" si="0"/>
        <v>0.4694839764149063</v>
      </c>
      <c r="Q50" s="525"/>
      <c r="S50" s="191">
        <v>0</v>
      </c>
      <c r="T50" s="191">
        <v>0</v>
      </c>
      <c r="BT50" s="525"/>
      <c r="BU50" s="523">
        <v>4</v>
      </c>
      <c r="BV50" s="523">
        <v>0</v>
      </c>
      <c r="BW50" s="523">
        <v>0</v>
      </c>
      <c r="BX50" s="523"/>
      <c r="BY50" s="523"/>
      <c r="BZ50" s="523"/>
      <c r="CA50" s="523"/>
      <c r="CB50" s="523"/>
      <c r="CC50" s="523"/>
      <c r="CD50" s="523"/>
      <c r="CE50" s="523"/>
      <c r="CF50" s="523"/>
      <c r="CG50" s="523"/>
      <c r="CH50" s="523"/>
      <c r="CI50" s="523">
        <f t="shared" si="2"/>
        <v>4</v>
      </c>
    </row>
    <row r="51" spans="1:87" s="110" customFormat="1" x14ac:dyDescent="0.2">
      <c r="A51" s="461" t="s">
        <v>1381</v>
      </c>
      <c r="B51" s="462"/>
      <c r="C51" s="462"/>
      <c r="D51" s="463" t="s">
        <v>1382</v>
      </c>
      <c r="E51" s="465"/>
      <c r="F51" s="468"/>
      <c r="G51" s="465"/>
      <c r="H51" s="465"/>
      <c r="I51" s="465"/>
      <c r="J51" s="474"/>
      <c r="K51" s="474"/>
      <c r="L51" s="465">
        <f>SUM(L52:L56)</f>
        <v>33356.590000000004</v>
      </c>
      <c r="M51" s="465">
        <f>SUM(M52:M56)</f>
        <v>7615.66</v>
      </c>
      <c r="N51" s="465">
        <f>SUM(N52:N56)</f>
        <v>29140.620000000003</v>
      </c>
      <c r="O51" s="465">
        <f>SUM(O52:O56)</f>
        <v>4215.97</v>
      </c>
      <c r="P51" s="524">
        <f t="shared" si="0"/>
        <v>0.87360908294283079</v>
      </c>
      <c r="Q51" s="525"/>
      <c r="S51" s="192">
        <v>30.35</v>
      </c>
      <c r="T51" s="192">
        <v>0</v>
      </c>
      <c r="BT51" s="525"/>
      <c r="BU51" s="523">
        <v>188.94380799999999</v>
      </c>
      <c r="BV51" s="523"/>
      <c r="BW51" s="523"/>
      <c r="BX51" s="523"/>
      <c r="BY51" s="523"/>
      <c r="BZ51" s="523"/>
      <c r="CA51" s="523"/>
      <c r="CB51" s="523"/>
      <c r="CC51" s="523"/>
      <c r="CD51" s="523"/>
      <c r="CE51" s="523"/>
      <c r="CF51" s="523"/>
      <c r="CG51" s="523"/>
      <c r="CH51" s="523"/>
      <c r="CI51" s="523">
        <f t="shared" si="2"/>
        <v>188.94380799999999</v>
      </c>
    </row>
    <row r="52" spans="1:87" s="110" customFormat="1" x14ac:dyDescent="0.2">
      <c r="A52" s="379" t="s">
        <v>1383</v>
      </c>
      <c r="B52" s="380">
        <v>92510</v>
      </c>
      <c r="C52" s="380" t="s">
        <v>1324</v>
      </c>
      <c r="D52" s="381" t="s">
        <v>1384</v>
      </c>
      <c r="E52" s="382" t="s">
        <v>14</v>
      </c>
      <c r="F52" s="137">
        <v>302.64</v>
      </c>
      <c r="G52" s="383">
        <v>93.42</v>
      </c>
      <c r="H52" s="382">
        <v>155.72999999999999</v>
      </c>
      <c r="I52" s="132">
        <f t="shared" si="3"/>
        <v>25.383990000000001</v>
      </c>
      <c r="J52" s="374">
        <f t="shared" si="4"/>
        <v>125.38399</v>
      </c>
      <c r="K52" s="132">
        <f t="shared" si="11"/>
        <v>30.346009999999993</v>
      </c>
      <c r="L52" s="131">
        <f t="shared" ref="L52:O56" si="13">ROUND(H52*$G52,2)</f>
        <v>14548.3</v>
      </c>
      <c r="M52" s="131">
        <f t="shared" si="13"/>
        <v>2371.37</v>
      </c>
      <c r="N52" s="131">
        <f t="shared" si="13"/>
        <v>11713.37</v>
      </c>
      <c r="O52" s="131">
        <f t="shared" si="13"/>
        <v>2834.92</v>
      </c>
      <c r="P52" s="388">
        <f t="shared" si="0"/>
        <v>0.80513668263645932</v>
      </c>
      <c r="Q52" s="525"/>
      <c r="S52" s="192">
        <v>95.84</v>
      </c>
      <c r="T52" s="192">
        <v>0</v>
      </c>
      <c r="BT52" s="525"/>
      <c r="BU52" s="523">
        <v>25.383990000000001</v>
      </c>
      <c r="BV52" s="523">
        <v>100</v>
      </c>
      <c r="BW52" s="523">
        <v>0</v>
      </c>
      <c r="BX52" s="523"/>
      <c r="BY52" s="523"/>
      <c r="BZ52" s="523"/>
      <c r="CA52" s="523"/>
      <c r="CB52" s="523"/>
      <c r="CC52" s="523"/>
      <c r="CD52" s="523"/>
      <c r="CE52" s="523"/>
      <c r="CF52" s="523"/>
      <c r="CG52" s="523"/>
      <c r="CH52" s="523"/>
      <c r="CI52" s="523">
        <f t="shared" si="2"/>
        <v>125.38399</v>
      </c>
    </row>
    <row r="53" spans="1:87" s="110" customFormat="1" ht="25.5" x14ac:dyDescent="0.2">
      <c r="A53" s="379" t="s">
        <v>1385</v>
      </c>
      <c r="B53" s="380">
        <v>92793</v>
      </c>
      <c r="C53" s="380" t="s">
        <v>1324</v>
      </c>
      <c r="D53" s="381" t="s">
        <v>1372</v>
      </c>
      <c r="E53" s="382" t="s">
        <v>35</v>
      </c>
      <c r="F53" s="137">
        <v>135.94</v>
      </c>
      <c r="G53" s="383">
        <v>4.6500000000000004</v>
      </c>
      <c r="H53" s="382">
        <v>1946.45</v>
      </c>
      <c r="I53" s="132">
        <f t="shared" si="3"/>
        <v>50.607700000000001</v>
      </c>
      <c r="J53" s="374">
        <f t="shared" si="4"/>
        <v>1850.6077</v>
      </c>
      <c r="K53" s="132">
        <f t="shared" si="11"/>
        <v>95.842300000000023</v>
      </c>
      <c r="L53" s="131">
        <f t="shared" si="13"/>
        <v>9050.99</v>
      </c>
      <c r="M53" s="131">
        <f t="shared" si="13"/>
        <v>235.33</v>
      </c>
      <c r="N53" s="131">
        <f t="shared" si="13"/>
        <v>8605.33</v>
      </c>
      <c r="O53" s="131">
        <f t="shared" si="13"/>
        <v>445.67</v>
      </c>
      <c r="P53" s="388">
        <f t="shared" si="0"/>
        <v>0.95076118745021265</v>
      </c>
      <c r="Q53" s="525"/>
      <c r="S53" s="192">
        <v>11.599999999999994</v>
      </c>
      <c r="T53" s="192">
        <v>0</v>
      </c>
      <c r="BT53" s="525"/>
      <c r="BU53" s="523">
        <v>50.607700000000001</v>
      </c>
      <c r="BV53" s="523">
        <v>1800</v>
      </c>
      <c r="BW53" s="523">
        <v>0</v>
      </c>
      <c r="BX53" s="523"/>
      <c r="BY53" s="523"/>
      <c r="BZ53" s="523"/>
      <c r="CA53" s="523"/>
      <c r="CB53" s="523"/>
      <c r="CC53" s="523"/>
      <c r="CD53" s="523"/>
      <c r="CE53" s="523"/>
      <c r="CF53" s="523"/>
      <c r="CG53" s="523"/>
      <c r="CH53" s="523"/>
      <c r="CI53" s="523">
        <f t="shared" si="2"/>
        <v>1850.6077</v>
      </c>
    </row>
    <row r="54" spans="1:87" s="110" customFormat="1" ht="25.5" x14ac:dyDescent="0.2">
      <c r="A54" s="379" t="s">
        <v>1386</v>
      </c>
      <c r="B54" s="380">
        <v>92791</v>
      </c>
      <c r="C54" s="380" t="s">
        <v>1324</v>
      </c>
      <c r="D54" s="381" t="s">
        <v>1373</v>
      </c>
      <c r="E54" s="382" t="s">
        <v>35</v>
      </c>
      <c r="F54" s="138"/>
      <c r="G54" s="383">
        <v>6.11</v>
      </c>
      <c r="H54" s="382">
        <v>240.18</v>
      </c>
      <c r="I54" s="132">
        <f t="shared" si="3"/>
        <v>28.581419999999998</v>
      </c>
      <c r="J54" s="374">
        <f t="shared" si="4"/>
        <v>228.58142000000001</v>
      </c>
      <c r="K54" s="132">
        <f t="shared" si="11"/>
        <v>11.598579999999998</v>
      </c>
      <c r="L54" s="131">
        <f t="shared" si="13"/>
        <v>1467.5</v>
      </c>
      <c r="M54" s="131">
        <f t="shared" si="13"/>
        <v>174.63</v>
      </c>
      <c r="N54" s="131">
        <f t="shared" si="13"/>
        <v>1396.63</v>
      </c>
      <c r="O54" s="131">
        <f t="shared" si="13"/>
        <v>70.87</v>
      </c>
      <c r="P54" s="388">
        <f t="shared" si="0"/>
        <v>0.95170698466780246</v>
      </c>
      <c r="Q54" s="525"/>
      <c r="S54" s="192">
        <v>2.6700000000000017</v>
      </c>
      <c r="T54" s="192">
        <v>10.71</v>
      </c>
      <c r="BT54" s="525"/>
      <c r="BU54" s="523">
        <v>28.581419999999998</v>
      </c>
      <c r="BV54" s="523">
        <v>200</v>
      </c>
      <c r="BW54" s="523">
        <v>0</v>
      </c>
      <c r="BX54" s="523"/>
      <c r="BY54" s="523"/>
      <c r="BZ54" s="523"/>
      <c r="CA54" s="523"/>
      <c r="CB54" s="523"/>
      <c r="CC54" s="523"/>
      <c r="CD54" s="523"/>
      <c r="CE54" s="523"/>
      <c r="CF54" s="523"/>
      <c r="CG54" s="523"/>
      <c r="CH54" s="523"/>
      <c r="CI54" s="523">
        <f t="shared" si="2"/>
        <v>228.58142000000001</v>
      </c>
    </row>
    <row r="55" spans="1:87" x14ac:dyDescent="0.2">
      <c r="A55" s="379" t="s">
        <v>1387</v>
      </c>
      <c r="B55" s="380">
        <v>92720</v>
      </c>
      <c r="C55" s="380" t="s">
        <v>1324</v>
      </c>
      <c r="D55" s="381" t="s">
        <v>1375</v>
      </c>
      <c r="E55" s="382" t="s">
        <v>48</v>
      </c>
      <c r="F55" s="129"/>
      <c r="G55" s="383">
        <v>323.87</v>
      </c>
      <c r="H55" s="382">
        <v>10.71</v>
      </c>
      <c r="I55" s="132">
        <f t="shared" si="3"/>
        <v>4.0698000000000005E-2</v>
      </c>
      <c r="J55" s="374">
        <f t="shared" si="4"/>
        <v>8.0406980000000008</v>
      </c>
      <c r="K55" s="132">
        <f t="shared" si="11"/>
        <v>2.6693020000000001</v>
      </c>
      <c r="L55" s="131">
        <f t="shared" si="13"/>
        <v>3468.65</v>
      </c>
      <c r="M55" s="131">
        <f t="shared" si="13"/>
        <v>13.18</v>
      </c>
      <c r="N55" s="131">
        <f t="shared" si="13"/>
        <v>2604.14</v>
      </c>
      <c r="O55" s="131">
        <f t="shared" si="13"/>
        <v>864.51</v>
      </c>
      <c r="P55" s="388">
        <f t="shared" si="0"/>
        <v>0.75076470673028406</v>
      </c>
      <c r="Q55" s="525"/>
      <c r="S55" s="189">
        <v>0</v>
      </c>
      <c r="T55" s="189">
        <v>84.33</v>
      </c>
      <c r="BT55" s="525"/>
      <c r="BU55" s="523">
        <v>4.0698000000000005E-2</v>
      </c>
      <c r="BV55" s="523">
        <v>8</v>
      </c>
      <c r="BW55" s="523">
        <v>0</v>
      </c>
      <c r="BX55" s="523"/>
      <c r="BY55" s="523"/>
      <c r="BZ55" s="523"/>
      <c r="CA55" s="523"/>
      <c r="CB55" s="523"/>
      <c r="CC55" s="523"/>
      <c r="CD55" s="523"/>
      <c r="CE55" s="523"/>
      <c r="CF55" s="523"/>
      <c r="CG55" s="523"/>
      <c r="CH55" s="523"/>
      <c r="CI55" s="523">
        <f t="shared" si="2"/>
        <v>8.0406980000000008</v>
      </c>
    </row>
    <row r="56" spans="1:87" s="514" customFormat="1" x14ac:dyDescent="0.2">
      <c r="A56" s="125" t="s">
        <v>1388</v>
      </c>
      <c r="B56" s="126" t="s">
        <v>1389</v>
      </c>
      <c r="C56" s="126" t="s">
        <v>1324</v>
      </c>
      <c r="D56" s="127" t="s">
        <v>1390</v>
      </c>
      <c r="E56" s="128" t="s">
        <v>14</v>
      </c>
      <c r="F56" s="129"/>
      <c r="G56" s="130">
        <v>57.17</v>
      </c>
      <c r="H56" s="128">
        <v>84.33</v>
      </c>
      <c r="I56" s="132">
        <f t="shared" si="3"/>
        <v>84.33</v>
      </c>
      <c r="J56" s="374">
        <f t="shared" si="4"/>
        <v>84.33</v>
      </c>
      <c r="K56" s="132">
        <f t="shared" si="11"/>
        <v>0</v>
      </c>
      <c r="L56" s="131">
        <f t="shared" si="13"/>
        <v>4821.1499999999996</v>
      </c>
      <c r="M56" s="131">
        <f t="shared" si="13"/>
        <v>4821.1499999999996</v>
      </c>
      <c r="N56" s="131">
        <f t="shared" si="13"/>
        <v>4821.1499999999996</v>
      </c>
      <c r="O56" s="131">
        <f t="shared" si="13"/>
        <v>0</v>
      </c>
      <c r="P56" s="136">
        <f t="shared" si="0"/>
        <v>1</v>
      </c>
      <c r="Q56" s="525"/>
      <c r="S56" s="190">
        <v>0</v>
      </c>
      <c r="T56" s="190">
        <v>0</v>
      </c>
      <c r="BT56" s="525"/>
      <c r="BU56" s="523">
        <v>84.33</v>
      </c>
      <c r="BV56" s="523">
        <v>0</v>
      </c>
      <c r="BW56" s="523">
        <v>0</v>
      </c>
      <c r="BX56" s="523"/>
      <c r="BY56" s="523"/>
      <c r="BZ56" s="523"/>
      <c r="CA56" s="523"/>
      <c r="CB56" s="523"/>
      <c r="CC56" s="523"/>
      <c r="CD56" s="523"/>
      <c r="CE56" s="523"/>
      <c r="CF56" s="523"/>
      <c r="CG56" s="523"/>
      <c r="CH56" s="523"/>
      <c r="CI56" s="523">
        <f t="shared" si="2"/>
        <v>84.33</v>
      </c>
    </row>
    <row r="57" spans="1:87" x14ac:dyDescent="0.2">
      <c r="A57" s="449" t="s">
        <v>1391</v>
      </c>
      <c r="B57" s="450"/>
      <c r="C57" s="450"/>
      <c r="D57" s="451" t="s">
        <v>1392</v>
      </c>
      <c r="E57" s="465"/>
      <c r="F57" s="468"/>
      <c r="G57" s="465"/>
      <c r="H57" s="465"/>
      <c r="I57" s="465"/>
      <c r="J57" s="474"/>
      <c r="K57" s="526"/>
      <c r="L57" s="468">
        <f>SUM(L58:L61)</f>
        <v>13794.349999999999</v>
      </c>
      <c r="M57" s="468">
        <f>SUM(M58:M61)</f>
        <v>0</v>
      </c>
      <c r="N57" s="468">
        <f>SUM(N58:N61)</f>
        <v>0</v>
      </c>
      <c r="O57" s="468">
        <f>SUM(O58:O61)</f>
        <v>13794.349999999999</v>
      </c>
      <c r="P57" s="459">
        <f t="shared" si="0"/>
        <v>0</v>
      </c>
      <c r="Q57" s="525"/>
      <c r="S57" s="189">
        <v>0</v>
      </c>
      <c r="T57" s="189">
        <v>0</v>
      </c>
      <c r="BT57" s="525"/>
      <c r="BU57" s="523">
        <v>0</v>
      </c>
      <c r="BV57" s="523"/>
      <c r="BW57" s="523"/>
      <c r="BX57" s="523"/>
      <c r="BY57" s="523"/>
      <c r="BZ57" s="523"/>
      <c r="CA57" s="523"/>
      <c r="CB57" s="523"/>
      <c r="CC57" s="523"/>
      <c r="CD57" s="523"/>
      <c r="CE57" s="523"/>
      <c r="CF57" s="523"/>
      <c r="CG57" s="523"/>
      <c r="CH57" s="523"/>
      <c r="CI57" s="523">
        <f t="shared" si="2"/>
        <v>0</v>
      </c>
    </row>
    <row r="58" spans="1:87" x14ac:dyDescent="0.2">
      <c r="A58" s="125" t="s">
        <v>1393</v>
      </c>
      <c r="B58" s="126">
        <v>92510</v>
      </c>
      <c r="C58" s="126" t="s">
        <v>1324</v>
      </c>
      <c r="D58" s="127" t="s">
        <v>1384</v>
      </c>
      <c r="E58" s="128" t="s">
        <v>14</v>
      </c>
      <c r="F58" s="137">
        <v>41.64</v>
      </c>
      <c r="G58" s="130">
        <v>93.42</v>
      </c>
      <c r="H58" s="128">
        <v>111.8</v>
      </c>
      <c r="I58" s="132">
        <f t="shared" si="3"/>
        <v>0</v>
      </c>
      <c r="J58" s="374">
        <f t="shared" si="4"/>
        <v>0</v>
      </c>
      <c r="K58" s="137">
        <f t="shared" ref="K58:K68" si="14">H58-J58</f>
        <v>111.8</v>
      </c>
      <c r="L58" s="131">
        <f t="shared" ref="L58:O61" si="15">ROUND(H58*$G58,2)</f>
        <v>10444.36</v>
      </c>
      <c r="M58" s="131">
        <f t="shared" si="15"/>
        <v>0</v>
      </c>
      <c r="N58" s="131">
        <f t="shared" si="15"/>
        <v>0</v>
      </c>
      <c r="O58" s="131">
        <f t="shared" si="15"/>
        <v>10444.36</v>
      </c>
      <c r="P58" s="136">
        <f t="shared" si="0"/>
        <v>0</v>
      </c>
      <c r="Q58" s="525"/>
      <c r="S58" s="189">
        <v>0</v>
      </c>
      <c r="T58" s="189">
        <v>0</v>
      </c>
      <c r="BT58" s="525"/>
      <c r="BU58" s="523">
        <v>0</v>
      </c>
      <c r="BV58" s="523">
        <v>0</v>
      </c>
      <c r="BW58" s="523">
        <v>0</v>
      </c>
      <c r="BX58" s="523"/>
      <c r="BY58" s="523"/>
      <c r="BZ58" s="523"/>
      <c r="CA58" s="523"/>
      <c r="CB58" s="523"/>
      <c r="CC58" s="523"/>
      <c r="CD58" s="523"/>
      <c r="CE58" s="523"/>
      <c r="CF58" s="523"/>
      <c r="CG58" s="523"/>
      <c r="CH58" s="523"/>
      <c r="CI58" s="523">
        <f t="shared" si="2"/>
        <v>0</v>
      </c>
    </row>
    <row r="59" spans="1:87" ht="25.5" x14ac:dyDescent="0.2">
      <c r="A59" s="125" t="s">
        <v>1394</v>
      </c>
      <c r="B59" s="126">
        <v>92793</v>
      </c>
      <c r="C59" s="126" t="s">
        <v>1324</v>
      </c>
      <c r="D59" s="127" t="s">
        <v>1372</v>
      </c>
      <c r="E59" s="128" t="s">
        <v>35</v>
      </c>
      <c r="F59" s="137">
        <v>7.91</v>
      </c>
      <c r="G59" s="130">
        <v>4.6500000000000004</v>
      </c>
      <c r="H59" s="128">
        <v>135.38999999999999</v>
      </c>
      <c r="I59" s="132">
        <f t="shared" si="3"/>
        <v>0</v>
      </c>
      <c r="J59" s="374">
        <f t="shared" si="4"/>
        <v>0</v>
      </c>
      <c r="K59" s="137">
        <f t="shared" si="14"/>
        <v>135.38999999999999</v>
      </c>
      <c r="L59" s="131">
        <f t="shared" si="15"/>
        <v>629.55999999999995</v>
      </c>
      <c r="M59" s="131">
        <f t="shared" si="15"/>
        <v>0</v>
      </c>
      <c r="N59" s="131">
        <f t="shared" si="15"/>
        <v>0</v>
      </c>
      <c r="O59" s="131">
        <f t="shared" si="15"/>
        <v>629.55999999999995</v>
      </c>
      <c r="P59" s="136">
        <f t="shared" si="0"/>
        <v>0</v>
      </c>
      <c r="Q59" s="525"/>
      <c r="S59" s="189">
        <v>0</v>
      </c>
      <c r="T59" s="189">
        <v>0</v>
      </c>
      <c r="BT59" s="525"/>
      <c r="BU59" s="523">
        <v>0</v>
      </c>
      <c r="BV59" s="523">
        <v>0</v>
      </c>
      <c r="BW59" s="523">
        <v>0</v>
      </c>
      <c r="BX59" s="523"/>
      <c r="BY59" s="523"/>
      <c r="BZ59" s="523"/>
      <c r="CA59" s="523"/>
      <c r="CB59" s="523"/>
      <c r="CC59" s="523"/>
      <c r="CD59" s="523"/>
      <c r="CE59" s="523"/>
      <c r="CF59" s="523"/>
      <c r="CG59" s="523"/>
      <c r="CH59" s="523"/>
      <c r="CI59" s="523">
        <f t="shared" si="2"/>
        <v>0</v>
      </c>
    </row>
    <row r="60" spans="1:87" ht="25.5" x14ac:dyDescent="0.2">
      <c r="A60" s="125" t="s">
        <v>1395</v>
      </c>
      <c r="B60" s="126">
        <v>92791</v>
      </c>
      <c r="C60" s="126" t="s">
        <v>1324</v>
      </c>
      <c r="D60" s="127" t="s">
        <v>1373</v>
      </c>
      <c r="E60" s="128" t="s">
        <v>35</v>
      </c>
      <c r="F60" s="137">
        <v>53.52</v>
      </c>
      <c r="G60" s="130">
        <v>6.11</v>
      </c>
      <c r="H60" s="128">
        <v>95.93</v>
      </c>
      <c r="I60" s="132">
        <f t="shared" si="3"/>
        <v>0</v>
      </c>
      <c r="J60" s="374">
        <f t="shared" si="4"/>
        <v>0</v>
      </c>
      <c r="K60" s="137">
        <f t="shared" si="14"/>
        <v>95.93</v>
      </c>
      <c r="L60" s="131">
        <f t="shared" si="15"/>
        <v>586.13</v>
      </c>
      <c r="M60" s="131">
        <f t="shared" si="15"/>
        <v>0</v>
      </c>
      <c r="N60" s="131">
        <f t="shared" si="15"/>
        <v>0</v>
      </c>
      <c r="O60" s="131">
        <f t="shared" si="15"/>
        <v>586.13</v>
      </c>
      <c r="P60" s="136">
        <f t="shared" si="0"/>
        <v>0</v>
      </c>
      <c r="Q60" s="525"/>
      <c r="S60" s="189">
        <v>0</v>
      </c>
      <c r="T60" s="189">
        <v>0</v>
      </c>
      <c r="BT60" s="525"/>
      <c r="BU60" s="523">
        <v>0</v>
      </c>
      <c r="BV60" s="523">
        <v>0</v>
      </c>
      <c r="BW60" s="523">
        <v>0</v>
      </c>
      <c r="BX60" s="523"/>
      <c r="BY60" s="523"/>
      <c r="BZ60" s="523"/>
      <c r="CA60" s="523"/>
      <c r="CB60" s="523"/>
      <c r="CC60" s="523"/>
      <c r="CD60" s="523"/>
      <c r="CE60" s="523"/>
      <c r="CF60" s="523"/>
      <c r="CG60" s="523"/>
      <c r="CH60" s="523"/>
      <c r="CI60" s="523">
        <f t="shared" si="2"/>
        <v>0</v>
      </c>
    </row>
    <row r="61" spans="1:87" s="514" customFormat="1" x14ac:dyDescent="0.2">
      <c r="A61" s="125" t="s">
        <v>1396</v>
      </c>
      <c r="B61" s="126">
        <v>92720</v>
      </c>
      <c r="C61" s="126" t="s">
        <v>1324</v>
      </c>
      <c r="D61" s="127" t="s">
        <v>1375</v>
      </c>
      <c r="E61" s="128" t="s">
        <v>48</v>
      </c>
      <c r="F61" s="137">
        <v>203.72</v>
      </c>
      <c r="G61" s="130">
        <v>323.87</v>
      </c>
      <c r="H61" s="128">
        <v>6.59</v>
      </c>
      <c r="I61" s="132">
        <f t="shared" si="3"/>
        <v>0</v>
      </c>
      <c r="J61" s="374">
        <f t="shared" si="4"/>
        <v>0</v>
      </c>
      <c r="K61" s="137">
        <f t="shared" si="14"/>
        <v>6.59</v>
      </c>
      <c r="L61" s="131">
        <f t="shared" si="15"/>
        <v>2134.3000000000002</v>
      </c>
      <c r="M61" s="131">
        <f t="shared" si="15"/>
        <v>0</v>
      </c>
      <c r="N61" s="131">
        <f t="shared" si="15"/>
        <v>0</v>
      </c>
      <c r="O61" s="131">
        <f t="shared" si="15"/>
        <v>2134.3000000000002</v>
      </c>
      <c r="P61" s="136">
        <f t="shared" si="0"/>
        <v>0</v>
      </c>
      <c r="Q61" s="525"/>
      <c r="S61" s="190">
        <v>0</v>
      </c>
      <c r="T61" s="190">
        <v>0</v>
      </c>
      <c r="BT61" s="525"/>
      <c r="BU61" s="523">
        <v>0</v>
      </c>
      <c r="BV61" s="523">
        <v>0</v>
      </c>
      <c r="BW61" s="523">
        <v>0</v>
      </c>
      <c r="BX61" s="523"/>
      <c r="BY61" s="523"/>
      <c r="BZ61" s="523"/>
      <c r="CA61" s="523"/>
      <c r="CB61" s="523"/>
      <c r="CC61" s="523"/>
      <c r="CD61" s="523"/>
      <c r="CE61" s="523"/>
      <c r="CF61" s="523"/>
      <c r="CG61" s="523"/>
      <c r="CH61" s="523"/>
      <c r="CI61" s="523">
        <f t="shared" si="2"/>
        <v>0</v>
      </c>
    </row>
    <row r="62" spans="1:87" x14ac:dyDescent="0.2">
      <c r="A62" s="449" t="s">
        <v>1397</v>
      </c>
      <c r="B62" s="450"/>
      <c r="C62" s="450"/>
      <c r="D62" s="451" t="s">
        <v>1398</v>
      </c>
      <c r="E62" s="465"/>
      <c r="F62" s="465"/>
      <c r="G62" s="465"/>
      <c r="H62" s="465"/>
      <c r="I62" s="465"/>
      <c r="J62" s="465"/>
      <c r="K62" s="465"/>
      <c r="L62" s="452">
        <f>SUM(L63:L66)</f>
        <v>23465.25</v>
      </c>
      <c r="M62" s="452">
        <f>SUM(M63:M66)</f>
        <v>0</v>
      </c>
      <c r="N62" s="452">
        <f>SUM(N63:N66)</f>
        <v>0</v>
      </c>
      <c r="O62" s="452">
        <f>SUM(O63:O66)</f>
        <v>23465.25</v>
      </c>
      <c r="P62" s="459">
        <f t="shared" si="0"/>
        <v>0</v>
      </c>
      <c r="Q62" s="525"/>
      <c r="S62" s="189">
        <v>0</v>
      </c>
      <c r="T62" s="189">
        <v>0</v>
      </c>
      <c r="BT62" s="525"/>
      <c r="BU62" s="523">
        <v>0</v>
      </c>
      <c r="BV62" s="523"/>
      <c r="BW62" s="523"/>
      <c r="BX62" s="523"/>
      <c r="BY62" s="523"/>
      <c r="BZ62" s="523"/>
      <c r="CA62" s="523"/>
      <c r="CB62" s="523"/>
      <c r="CC62" s="523"/>
      <c r="CD62" s="523"/>
      <c r="CE62" s="523"/>
      <c r="CF62" s="523"/>
      <c r="CG62" s="523"/>
      <c r="CH62" s="523"/>
      <c r="CI62" s="523">
        <f t="shared" si="2"/>
        <v>0</v>
      </c>
    </row>
    <row r="63" spans="1:87" x14ac:dyDescent="0.2">
      <c r="A63" s="125" t="s">
        <v>1399</v>
      </c>
      <c r="B63" s="126">
        <v>92422</v>
      </c>
      <c r="C63" s="126" t="s">
        <v>1324</v>
      </c>
      <c r="D63" s="127" t="s">
        <v>1384</v>
      </c>
      <c r="E63" s="128" t="s">
        <v>14</v>
      </c>
      <c r="F63" s="137">
        <v>52.6</v>
      </c>
      <c r="G63" s="130">
        <v>93.42</v>
      </c>
      <c r="H63" s="128">
        <v>10.8</v>
      </c>
      <c r="I63" s="132">
        <f t="shared" si="3"/>
        <v>0</v>
      </c>
      <c r="J63" s="374">
        <f t="shared" si="4"/>
        <v>0</v>
      </c>
      <c r="K63" s="137">
        <f t="shared" si="14"/>
        <v>10.8</v>
      </c>
      <c r="L63" s="131">
        <f t="shared" ref="L63:O66" si="16">ROUND(H63*$G63,2)</f>
        <v>1008.94</v>
      </c>
      <c r="M63" s="131">
        <f t="shared" si="16"/>
        <v>0</v>
      </c>
      <c r="N63" s="131">
        <f t="shared" si="16"/>
        <v>0</v>
      </c>
      <c r="O63" s="131">
        <f t="shared" si="16"/>
        <v>1008.94</v>
      </c>
      <c r="P63" s="136">
        <f t="shared" si="0"/>
        <v>0</v>
      </c>
      <c r="Q63" s="525"/>
      <c r="S63" s="189">
        <v>0</v>
      </c>
      <c r="T63" s="189">
        <v>0</v>
      </c>
      <c r="BT63" s="525"/>
      <c r="BU63" s="523">
        <v>0</v>
      </c>
      <c r="BV63" s="523">
        <v>0</v>
      </c>
      <c r="BW63" s="523">
        <v>0</v>
      </c>
      <c r="BX63" s="523"/>
      <c r="BY63" s="523"/>
      <c r="BZ63" s="523"/>
      <c r="CA63" s="523"/>
      <c r="CB63" s="523"/>
      <c r="CC63" s="523"/>
      <c r="CD63" s="523"/>
      <c r="CE63" s="523"/>
      <c r="CF63" s="523"/>
      <c r="CG63" s="523"/>
      <c r="CH63" s="523"/>
      <c r="CI63" s="523">
        <f t="shared" si="2"/>
        <v>0</v>
      </c>
    </row>
    <row r="64" spans="1:87" x14ac:dyDescent="0.2">
      <c r="A64" s="125" t="s">
        <v>1400</v>
      </c>
      <c r="B64" s="126" t="s">
        <v>1401</v>
      </c>
      <c r="C64" s="126" t="s">
        <v>1324</v>
      </c>
      <c r="D64" s="127" t="s">
        <v>1402</v>
      </c>
      <c r="E64" s="128" t="s">
        <v>48</v>
      </c>
      <c r="F64" s="137">
        <v>49.48</v>
      </c>
      <c r="G64" s="130">
        <v>98.55</v>
      </c>
      <c r="H64" s="128">
        <v>33.83</v>
      </c>
      <c r="I64" s="132">
        <f t="shared" si="3"/>
        <v>0</v>
      </c>
      <c r="J64" s="374">
        <f t="shared" si="4"/>
        <v>0</v>
      </c>
      <c r="K64" s="137">
        <f t="shared" si="14"/>
        <v>33.83</v>
      </c>
      <c r="L64" s="131">
        <f t="shared" si="16"/>
        <v>3333.95</v>
      </c>
      <c r="M64" s="131">
        <f t="shared" si="16"/>
        <v>0</v>
      </c>
      <c r="N64" s="131">
        <f t="shared" si="16"/>
        <v>0</v>
      </c>
      <c r="O64" s="131">
        <f t="shared" si="16"/>
        <v>3333.95</v>
      </c>
      <c r="P64" s="136">
        <f t="shared" si="0"/>
        <v>0</v>
      </c>
      <c r="Q64" s="525"/>
      <c r="S64" s="189">
        <v>0</v>
      </c>
      <c r="T64" s="189">
        <v>0</v>
      </c>
      <c r="BT64" s="525"/>
      <c r="BU64" s="523">
        <v>0</v>
      </c>
      <c r="BV64" s="523">
        <v>0</v>
      </c>
      <c r="BW64" s="523">
        <v>0</v>
      </c>
      <c r="BX64" s="523"/>
      <c r="BY64" s="523"/>
      <c r="BZ64" s="523"/>
      <c r="CA64" s="523"/>
      <c r="CB64" s="523"/>
      <c r="CC64" s="523"/>
      <c r="CD64" s="523"/>
      <c r="CE64" s="523"/>
      <c r="CF64" s="523"/>
      <c r="CG64" s="523"/>
      <c r="CH64" s="523"/>
      <c r="CI64" s="523">
        <f t="shared" si="2"/>
        <v>0</v>
      </c>
    </row>
    <row r="65" spans="1:87" x14ac:dyDescent="0.2">
      <c r="A65" s="125" t="s">
        <v>1403</v>
      </c>
      <c r="B65" s="126">
        <v>85662</v>
      </c>
      <c r="C65" s="126" t="s">
        <v>1324</v>
      </c>
      <c r="D65" s="127" t="s">
        <v>1404</v>
      </c>
      <c r="E65" s="128" t="s">
        <v>14</v>
      </c>
      <c r="F65" s="138"/>
      <c r="G65" s="130">
        <v>10.34</v>
      </c>
      <c r="H65" s="128">
        <v>1001.47</v>
      </c>
      <c r="I65" s="132">
        <f t="shared" si="3"/>
        <v>0</v>
      </c>
      <c r="J65" s="374">
        <f t="shared" si="4"/>
        <v>0</v>
      </c>
      <c r="K65" s="137">
        <f t="shared" si="14"/>
        <v>1001.47</v>
      </c>
      <c r="L65" s="131">
        <f t="shared" si="16"/>
        <v>10355.200000000001</v>
      </c>
      <c r="M65" s="131">
        <f t="shared" si="16"/>
        <v>0</v>
      </c>
      <c r="N65" s="131">
        <f t="shared" si="16"/>
        <v>0</v>
      </c>
      <c r="O65" s="131">
        <f t="shared" si="16"/>
        <v>10355.200000000001</v>
      </c>
      <c r="P65" s="136">
        <f t="shared" si="0"/>
        <v>0</v>
      </c>
      <c r="Q65" s="525"/>
      <c r="S65" s="189">
        <v>0</v>
      </c>
      <c r="T65" s="189">
        <v>0</v>
      </c>
      <c r="BT65" s="525"/>
      <c r="BU65" s="523">
        <v>0</v>
      </c>
      <c r="BV65" s="523">
        <v>0</v>
      </c>
      <c r="BW65" s="523">
        <v>0</v>
      </c>
      <c r="BX65" s="523"/>
      <c r="BY65" s="523"/>
      <c r="BZ65" s="523"/>
      <c r="CA65" s="523"/>
      <c r="CB65" s="523"/>
      <c r="CC65" s="523"/>
      <c r="CD65" s="523"/>
      <c r="CE65" s="523"/>
      <c r="CF65" s="523"/>
      <c r="CG65" s="523"/>
      <c r="CH65" s="523"/>
      <c r="CI65" s="523">
        <f t="shared" si="2"/>
        <v>0</v>
      </c>
    </row>
    <row r="66" spans="1:87" s="514" customFormat="1" x14ac:dyDescent="0.2">
      <c r="A66" s="125" t="s">
        <v>1405</v>
      </c>
      <c r="B66" s="126">
        <v>92720</v>
      </c>
      <c r="C66" s="126" t="s">
        <v>1324</v>
      </c>
      <c r="D66" s="127" t="s">
        <v>1375</v>
      </c>
      <c r="E66" s="128" t="s">
        <v>48</v>
      </c>
      <c r="F66" s="129"/>
      <c r="G66" s="130">
        <v>323.87</v>
      </c>
      <c r="H66" s="128">
        <v>27.07</v>
      </c>
      <c r="I66" s="132">
        <f t="shared" si="3"/>
        <v>0</v>
      </c>
      <c r="J66" s="374">
        <f t="shared" si="4"/>
        <v>0</v>
      </c>
      <c r="K66" s="137">
        <f t="shared" si="14"/>
        <v>27.07</v>
      </c>
      <c r="L66" s="131">
        <f t="shared" si="16"/>
        <v>8767.16</v>
      </c>
      <c r="M66" s="131">
        <f t="shared" si="16"/>
        <v>0</v>
      </c>
      <c r="N66" s="131">
        <f t="shared" si="16"/>
        <v>0</v>
      </c>
      <c r="O66" s="131">
        <f t="shared" si="16"/>
        <v>8767.16</v>
      </c>
      <c r="P66" s="136">
        <f t="shared" si="0"/>
        <v>0</v>
      </c>
      <c r="Q66" s="525"/>
      <c r="S66" s="190">
        <v>0</v>
      </c>
      <c r="T66" s="190">
        <v>33.9</v>
      </c>
      <c r="BT66" s="525"/>
      <c r="BU66" s="523">
        <v>0</v>
      </c>
      <c r="BV66" s="523">
        <v>0</v>
      </c>
      <c r="BW66" s="523">
        <v>0</v>
      </c>
      <c r="BX66" s="523"/>
      <c r="BY66" s="523"/>
      <c r="BZ66" s="523"/>
      <c r="CA66" s="523"/>
      <c r="CB66" s="523"/>
      <c r="CC66" s="523"/>
      <c r="CD66" s="523"/>
      <c r="CE66" s="523"/>
      <c r="CF66" s="523"/>
      <c r="CG66" s="523"/>
      <c r="CH66" s="523"/>
      <c r="CI66" s="523">
        <f t="shared" si="2"/>
        <v>0</v>
      </c>
    </row>
    <row r="67" spans="1:87" x14ac:dyDescent="0.2">
      <c r="A67" s="449" t="s">
        <v>1406</v>
      </c>
      <c r="B67" s="450"/>
      <c r="C67" s="450"/>
      <c r="D67" s="451" t="s">
        <v>1407</v>
      </c>
      <c r="E67" s="465"/>
      <c r="F67" s="465"/>
      <c r="G67" s="465"/>
      <c r="H67" s="465"/>
      <c r="I67" s="465"/>
      <c r="J67" s="465"/>
      <c r="K67" s="465"/>
      <c r="L67" s="452">
        <f>L68</f>
        <v>912.59</v>
      </c>
      <c r="M67" s="452">
        <f>M68</f>
        <v>912.59</v>
      </c>
      <c r="N67" s="452">
        <f>N68</f>
        <v>912.59</v>
      </c>
      <c r="O67" s="452">
        <f>O68</f>
        <v>0</v>
      </c>
      <c r="P67" s="459">
        <f t="shared" si="0"/>
        <v>1</v>
      </c>
      <c r="Q67" s="525"/>
      <c r="S67" s="189">
        <v>0</v>
      </c>
      <c r="T67" s="189">
        <v>33.9</v>
      </c>
      <c r="BT67" s="525"/>
      <c r="BU67" s="523">
        <v>33.9</v>
      </c>
      <c r="BV67" s="523"/>
      <c r="BW67" s="523"/>
      <c r="BX67" s="523"/>
      <c r="BY67" s="523"/>
      <c r="BZ67" s="523"/>
      <c r="CA67" s="523"/>
      <c r="CB67" s="523"/>
      <c r="CC67" s="523"/>
      <c r="CD67" s="523"/>
      <c r="CE67" s="523"/>
      <c r="CF67" s="523"/>
      <c r="CG67" s="523"/>
      <c r="CH67" s="523"/>
      <c r="CI67" s="523">
        <f t="shared" si="2"/>
        <v>33.9</v>
      </c>
    </row>
    <row r="68" spans="1:87" s="514" customFormat="1" x14ac:dyDescent="0.2">
      <c r="A68" s="125" t="s">
        <v>1408</v>
      </c>
      <c r="B68" s="126" t="s">
        <v>1409</v>
      </c>
      <c r="C68" s="126" t="s">
        <v>1324</v>
      </c>
      <c r="D68" s="127" t="s">
        <v>1410</v>
      </c>
      <c r="E68" s="128" t="s">
        <v>81</v>
      </c>
      <c r="F68" s="137">
        <v>329.55</v>
      </c>
      <c r="G68" s="130">
        <v>26.92</v>
      </c>
      <c r="H68" s="128">
        <v>33.9</v>
      </c>
      <c r="I68" s="132">
        <f t="shared" si="3"/>
        <v>33.9</v>
      </c>
      <c r="J68" s="374">
        <f t="shared" si="4"/>
        <v>33.9</v>
      </c>
      <c r="K68" s="137">
        <f t="shared" si="14"/>
        <v>0</v>
      </c>
      <c r="L68" s="131">
        <f>ROUND(H68*$G68,2)</f>
        <v>912.59</v>
      </c>
      <c r="M68" s="131">
        <f>ROUND(I68*$G68,2)</f>
        <v>912.59</v>
      </c>
      <c r="N68" s="131">
        <f>ROUND(J68*$G68,2)</f>
        <v>912.59</v>
      </c>
      <c r="O68" s="131">
        <f>ROUND(K68*$G68,2)</f>
        <v>0</v>
      </c>
      <c r="P68" s="136">
        <f t="shared" si="0"/>
        <v>1</v>
      </c>
      <c r="Q68" s="525"/>
      <c r="S68" s="190">
        <v>0</v>
      </c>
      <c r="T68" s="190">
        <v>0</v>
      </c>
      <c r="BT68" s="525"/>
      <c r="BU68" s="523">
        <v>33.9</v>
      </c>
      <c r="BV68" s="523">
        <v>0</v>
      </c>
      <c r="BW68" s="523">
        <v>0</v>
      </c>
      <c r="BX68" s="523"/>
      <c r="BY68" s="523"/>
      <c r="BZ68" s="523"/>
      <c r="CA68" s="523"/>
      <c r="CB68" s="523"/>
      <c r="CC68" s="523"/>
      <c r="CD68" s="523"/>
      <c r="CE68" s="523"/>
      <c r="CF68" s="523"/>
      <c r="CG68" s="523"/>
      <c r="CH68" s="523"/>
      <c r="CI68" s="523">
        <f t="shared" si="2"/>
        <v>33.9</v>
      </c>
    </row>
    <row r="69" spans="1:87" s="514" customFormat="1" x14ac:dyDescent="0.2">
      <c r="A69" s="412">
        <v>5</v>
      </c>
      <c r="B69" s="413"/>
      <c r="C69" s="413"/>
      <c r="D69" s="414" t="s">
        <v>1411</v>
      </c>
      <c r="E69" s="415"/>
      <c r="F69" s="415"/>
      <c r="G69" s="415"/>
      <c r="H69" s="415"/>
      <c r="I69" s="415"/>
      <c r="J69" s="415"/>
      <c r="K69" s="415"/>
      <c r="L69" s="424">
        <f>SUM(L70,L72,L75)</f>
        <v>31428.92</v>
      </c>
      <c r="M69" s="424">
        <f>SUM(M70,M72,M75)</f>
        <v>9890.16</v>
      </c>
      <c r="N69" s="424">
        <f>SUM(N70,N72,N75)</f>
        <v>15726.759999999998</v>
      </c>
      <c r="O69" s="424">
        <f>SUM(O70,O72,O75)</f>
        <v>15702.16</v>
      </c>
      <c r="P69" s="423">
        <f t="shared" si="0"/>
        <v>0.50039135929583323</v>
      </c>
      <c r="Q69" s="525"/>
      <c r="S69" s="190">
        <v>0</v>
      </c>
      <c r="T69" s="190">
        <v>0</v>
      </c>
      <c r="BT69" s="525"/>
      <c r="BU69" s="523">
        <v>0</v>
      </c>
      <c r="BV69" s="523"/>
      <c r="BW69" s="523"/>
      <c r="BX69" s="523"/>
      <c r="BY69" s="523"/>
      <c r="BZ69" s="523"/>
      <c r="CA69" s="523"/>
      <c r="CB69" s="523"/>
      <c r="CC69" s="523"/>
      <c r="CD69" s="523"/>
      <c r="CE69" s="523"/>
      <c r="CF69" s="523"/>
      <c r="CG69" s="523"/>
      <c r="CH69" s="523"/>
      <c r="CI69" s="523">
        <f t="shared" si="2"/>
        <v>0</v>
      </c>
    </row>
    <row r="70" spans="1:87" x14ac:dyDescent="0.2">
      <c r="A70" s="449" t="s">
        <v>98</v>
      </c>
      <c r="B70" s="450"/>
      <c r="C70" s="450"/>
      <c r="D70" s="451" t="s">
        <v>1412</v>
      </c>
      <c r="E70" s="465"/>
      <c r="F70" s="465"/>
      <c r="G70" s="465"/>
      <c r="H70" s="465"/>
      <c r="I70" s="465"/>
      <c r="J70" s="465"/>
      <c r="K70" s="465"/>
      <c r="L70" s="452">
        <f>L71</f>
        <v>7200.78</v>
      </c>
      <c r="M70" s="452">
        <f>M71</f>
        <v>0</v>
      </c>
      <c r="N70" s="452">
        <f>N71</f>
        <v>0</v>
      </c>
      <c r="O70" s="452">
        <f>O71</f>
        <v>7200.78</v>
      </c>
      <c r="P70" s="459">
        <f t="shared" si="0"/>
        <v>0</v>
      </c>
      <c r="Q70" s="525"/>
      <c r="S70" s="189">
        <v>0</v>
      </c>
      <c r="T70" s="189">
        <v>0</v>
      </c>
      <c r="BT70" s="525"/>
      <c r="BU70" s="523">
        <v>0</v>
      </c>
      <c r="BV70" s="523"/>
      <c r="BW70" s="523"/>
      <c r="BX70" s="523"/>
      <c r="BY70" s="523"/>
      <c r="BZ70" s="523"/>
      <c r="CA70" s="523"/>
      <c r="CB70" s="523"/>
      <c r="CC70" s="523"/>
      <c r="CD70" s="523"/>
      <c r="CE70" s="523"/>
      <c r="CF70" s="523"/>
      <c r="CG70" s="523"/>
      <c r="CH70" s="523"/>
      <c r="CI70" s="523">
        <f t="shared" si="2"/>
        <v>0</v>
      </c>
    </row>
    <row r="71" spans="1:87" s="514" customFormat="1" ht="25.5" x14ac:dyDescent="0.2">
      <c r="A71" s="125" t="s">
        <v>100</v>
      </c>
      <c r="B71" s="126" t="s">
        <v>1413</v>
      </c>
      <c r="C71" s="126" t="s">
        <v>1324</v>
      </c>
      <c r="D71" s="127" t="s">
        <v>1414</v>
      </c>
      <c r="E71" s="128" t="s">
        <v>14</v>
      </c>
      <c r="F71" s="137">
        <v>222.6</v>
      </c>
      <c r="G71" s="130">
        <v>53.45</v>
      </c>
      <c r="H71" s="128">
        <v>134.72</v>
      </c>
      <c r="I71" s="132">
        <f t="shared" si="3"/>
        <v>0</v>
      </c>
      <c r="J71" s="374">
        <f t="shared" si="4"/>
        <v>0</v>
      </c>
      <c r="K71" s="137">
        <f>H71-J71</f>
        <v>134.72</v>
      </c>
      <c r="L71" s="131">
        <f>ROUND(H71*$G71,2)</f>
        <v>7200.78</v>
      </c>
      <c r="M71" s="131">
        <f>ROUND(I71*$G71,2)</f>
        <v>0</v>
      </c>
      <c r="N71" s="131">
        <f>ROUND(J71*$G71,2)</f>
        <v>0</v>
      </c>
      <c r="O71" s="131">
        <f>ROUND(K71*$G71,2)</f>
        <v>7200.78</v>
      </c>
      <c r="P71" s="136">
        <f t="shared" si="0"/>
        <v>0</v>
      </c>
      <c r="Q71" s="525"/>
      <c r="S71" s="190">
        <v>0</v>
      </c>
      <c r="T71" s="190">
        <v>328.62</v>
      </c>
      <c r="BT71" s="525"/>
      <c r="BU71" s="523">
        <v>0</v>
      </c>
      <c r="BV71" s="523">
        <v>0</v>
      </c>
      <c r="BW71" s="523">
        <v>0</v>
      </c>
      <c r="BX71" s="523"/>
      <c r="BY71" s="523"/>
      <c r="BZ71" s="523"/>
      <c r="CA71" s="523"/>
      <c r="CB71" s="523"/>
      <c r="CC71" s="523"/>
      <c r="CD71" s="523"/>
      <c r="CE71" s="523"/>
      <c r="CF71" s="523"/>
      <c r="CG71" s="523"/>
      <c r="CH71" s="523"/>
      <c r="CI71" s="523">
        <f t="shared" si="2"/>
        <v>0</v>
      </c>
    </row>
    <row r="72" spans="1:87" x14ac:dyDescent="0.2">
      <c r="A72" s="449" t="s">
        <v>116</v>
      </c>
      <c r="B72" s="450"/>
      <c r="C72" s="450"/>
      <c r="D72" s="451" t="s">
        <v>1415</v>
      </c>
      <c r="E72" s="465"/>
      <c r="F72" s="465"/>
      <c r="G72" s="465"/>
      <c r="H72" s="465"/>
      <c r="I72" s="465"/>
      <c r="J72" s="465"/>
      <c r="K72" s="465"/>
      <c r="L72" s="468">
        <f>SUM(L73:L74)</f>
        <v>15726.869999999999</v>
      </c>
      <c r="M72" s="468">
        <f>SUM(M73:M74)</f>
        <v>9890.16</v>
      </c>
      <c r="N72" s="468">
        <f>SUM(N73:N74)</f>
        <v>15726.759999999998</v>
      </c>
      <c r="O72" s="468">
        <f>SUM(O73:O74)</f>
        <v>0.11</v>
      </c>
      <c r="P72" s="459">
        <f t="shared" si="0"/>
        <v>0.99999300560124171</v>
      </c>
      <c r="Q72" s="525"/>
      <c r="S72" s="189">
        <v>0</v>
      </c>
      <c r="T72" s="189">
        <v>259.22000000000003</v>
      </c>
      <c r="BT72" s="525"/>
      <c r="BU72" s="523">
        <v>224.93</v>
      </c>
      <c r="BV72" s="523"/>
      <c r="BW72" s="523"/>
      <c r="BX72" s="523"/>
      <c r="BY72" s="523"/>
      <c r="BZ72" s="523"/>
      <c r="CA72" s="523"/>
      <c r="CB72" s="523"/>
      <c r="CC72" s="523"/>
      <c r="CD72" s="523"/>
      <c r="CE72" s="523"/>
      <c r="CF72" s="523"/>
      <c r="CG72" s="523"/>
      <c r="CH72" s="523"/>
      <c r="CI72" s="523">
        <f t="shared" si="2"/>
        <v>224.93</v>
      </c>
    </row>
    <row r="73" spans="1:87" ht="25.5" x14ac:dyDescent="0.2">
      <c r="A73" s="125" t="s">
        <v>118</v>
      </c>
      <c r="B73" s="126">
        <v>87519</v>
      </c>
      <c r="C73" s="126" t="s">
        <v>1324</v>
      </c>
      <c r="D73" s="127" t="s">
        <v>1416</v>
      </c>
      <c r="E73" s="128" t="s">
        <v>14</v>
      </c>
      <c r="F73" s="137">
        <v>378.98</v>
      </c>
      <c r="G73" s="130">
        <v>56.29</v>
      </c>
      <c r="H73" s="128">
        <v>259.22000000000003</v>
      </c>
      <c r="I73" s="132">
        <f t="shared" si="3"/>
        <v>155.53</v>
      </c>
      <c r="J73" s="374">
        <f t="shared" si="4"/>
        <v>259.21800000000002</v>
      </c>
      <c r="K73" s="137">
        <f>H73-J73</f>
        <v>2.0000000000095497E-3</v>
      </c>
      <c r="L73" s="131">
        <f t="shared" ref="L73:O74" si="17">ROUND(H73*$G73,2)</f>
        <v>14591.49</v>
      </c>
      <c r="M73" s="131">
        <f t="shared" si="17"/>
        <v>8754.7800000000007</v>
      </c>
      <c r="N73" s="131">
        <f t="shared" si="17"/>
        <v>14591.38</v>
      </c>
      <c r="O73" s="131">
        <f t="shared" si="17"/>
        <v>0.11</v>
      </c>
      <c r="P73" s="136">
        <f t="shared" si="0"/>
        <v>0.99999246135932651</v>
      </c>
      <c r="Q73" s="525"/>
      <c r="S73" s="189">
        <v>0</v>
      </c>
      <c r="T73" s="189">
        <v>69.400000000000006</v>
      </c>
      <c r="BT73" s="525"/>
      <c r="BU73" s="523">
        <v>155.53</v>
      </c>
      <c r="BV73" s="523">
        <v>103.68800000000002</v>
      </c>
      <c r="BW73" s="523">
        <v>0</v>
      </c>
      <c r="BX73" s="523"/>
      <c r="BY73" s="523"/>
      <c r="BZ73" s="523"/>
      <c r="CA73" s="523"/>
      <c r="CB73" s="523"/>
      <c r="CC73" s="523"/>
      <c r="CD73" s="523"/>
      <c r="CE73" s="523"/>
      <c r="CF73" s="523"/>
      <c r="CG73" s="523"/>
      <c r="CH73" s="523"/>
      <c r="CI73" s="523">
        <f t="shared" si="2"/>
        <v>259.21800000000002</v>
      </c>
    </row>
    <row r="74" spans="1:87" s="514" customFormat="1" ht="38.25" x14ac:dyDescent="0.2">
      <c r="A74" s="125" t="s">
        <v>123</v>
      </c>
      <c r="B74" s="126" t="s">
        <v>1417</v>
      </c>
      <c r="C74" s="126" t="s">
        <v>1324</v>
      </c>
      <c r="D74" s="127" t="s">
        <v>1418</v>
      </c>
      <c r="E74" s="128" t="s">
        <v>81</v>
      </c>
      <c r="F74" s="137">
        <v>421.82</v>
      </c>
      <c r="G74" s="130">
        <v>16.36</v>
      </c>
      <c r="H74" s="128">
        <v>69.400000000000006</v>
      </c>
      <c r="I74" s="132">
        <f t="shared" si="3"/>
        <v>69.400000000000006</v>
      </c>
      <c r="J74" s="374">
        <f t="shared" si="4"/>
        <v>69.400000000000006</v>
      </c>
      <c r="K74" s="137">
        <f>H74-J74</f>
        <v>0</v>
      </c>
      <c r="L74" s="131">
        <f t="shared" si="17"/>
        <v>1135.3800000000001</v>
      </c>
      <c r="M74" s="131">
        <f t="shared" si="17"/>
        <v>1135.3800000000001</v>
      </c>
      <c r="N74" s="131">
        <f t="shared" si="17"/>
        <v>1135.3800000000001</v>
      </c>
      <c r="O74" s="131">
        <f t="shared" si="17"/>
        <v>0</v>
      </c>
      <c r="P74" s="136">
        <f t="shared" si="0"/>
        <v>1</v>
      </c>
      <c r="Q74" s="525"/>
      <c r="S74" s="190">
        <v>0</v>
      </c>
      <c r="T74" s="190">
        <v>0</v>
      </c>
      <c r="BT74" s="525"/>
      <c r="BU74" s="523">
        <v>69.400000000000006</v>
      </c>
      <c r="BV74" s="523">
        <v>0</v>
      </c>
      <c r="BW74" s="523">
        <v>0</v>
      </c>
      <c r="BX74" s="523"/>
      <c r="BY74" s="523"/>
      <c r="BZ74" s="523"/>
      <c r="CA74" s="523"/>
      <c r="CB74" s="523"/>
      <c r="CC74" s="523"/>
      <c r="CD74" s="523"/>
      <c r="CE74" s="523"/>
      <c r="CF74" s="523"/>
      <c r="CG74" s="523"/>
      <c r="CH74" s="523"/>
      <c r="CI74" s="523">
        <f t="shared" si="2"/>
        <v>69.400000000000006</v>
      </c>
    </row>
    <row r="75" spans="1:87" x14ac:dyDescent="0.2">
      <c r="A75" s="449" t="s">
        <v>1419</v>
      </c>
      <c r="B75" s="450"/>
      <c r="C75" s="450"/>
      <c r="D75" s="451" t="s">
        <v>1420</v>
      </c>
      <c r="E75" s="465"/>
      <c r="F75" s="465"/>
      <c r="G75" s="465"/>
      <c r="H75" s="465"/>
      <c r="I75" s="465"/>
      <c r="J75" s="465"/>
      <c r="K75" s="465"/>
      <c r="L75" s="468">
        <f>L76</f>
        <v>8501.27</v>
      </c>
      <c r="M75" s="468">
        <f>M76</f>
        <v>0</v>
      </c>
      <c r="N75" s="468">
        <f>N76</f>
        <v>0</v>
      </c>
      <c r="O75" s="468">
        <f>O76</f>
        <v>8501.27</v>
      </c>
      <c r="P75" s="459">
        <f t="shared" si="0"/>
        <v>0</v>
      </c>
      <c r="Q75" s="525"/>
      <c r="S75" s="189">
        <v>0</v>
      </c>
      <c r="T75" s="189">
        <v>0</v>
      </c>
      <c r="BT75" s="525"/>
      <c r="BU75" s="523">
        <v>0</v>
      </c>
      <c r="BV75" s="523"/>
      <c r="BW75" s="523"/>
      <c r="BX75" s="523"/>
      <c r="BY75" s="523"/>
      <c r="BZ75" s="523"/>
      <c r="CA75" s="523"/>
      <c r="CB75" s="523"/>
      <c r="CC75" s="523"/>
      <c r="CD75" s="523"/>
      <c r="CE75" s="523"/>
      <c r="CF75" s="523"/>
      <c r="CG75" s="523"/>
      <c r="CH75" s="523"/>
      <c r="CI75" s="523">
        <f t="shared" si="2"/>
        <v>0</v>
      </c>
    </row>
    <row r="76" spans="1:87" ht="25.5" x14ac:dyDescent="0.2">
      <c r="A76" s="125" t="s">
        <v>1421</v>
      </c>
      <c r="B76" s="126" t="s">
        <v>1422</v>
      </c>
      <c r="C76" s="126" t="s">
        <v>1324</v>
      </c>
      <c r="D76" s="127" t="s">
        <v>1423</v>
      </c>
      <c r="E76" s="128" t="s">
        <v>14</v>
      </c>
      <c r="F76" s="138"/>
      <c r="G76" s="130">
        <v>57.41</v>
      </c>
      <c r="H76" s="128">
        <v>148.08000000000001</v>
      </c>
      <c r="I76" s="132">
        <f t="shared" si="3"/>
        <v>0</v>
      </c>
      <c r="J76" s="374">
        <f t="shared" si="4"/>
        <v>0</v>
      </c>
      <c r="K76" s="137">
        <f>H76-J76</f>
        <v>148.08000000000001</v>
      </c>
      <c r="L76" s="131">
        <f>ROUND(H76*$G76,2)</f>
        <v>8501.27</v>
      </c>
      <c r="M76" s="131">
        <f>ROUND(I76*$G76,2)</f>
        <v>0</v>
      </c>
      <c r="N76" s="131">
        <f>ROUND(J76*$G76,2)</f>
        <v>0</v>
      </c>
      <c r="O76" s="131">
        <f>ROUND(K76*$G76,2)</f>
        <v>8501.27</v>
      </c>
      <c r="P76" s="136">
        <f t="shared" si="0"/>
        <v>0</v>
      </c>
      <c r="Q76" s="525"/>
      <c r="S76" s="189">
        <v>0</v>
      </c>
      <c r="T76" s="189">
        <v>0</v>
      </c>
      <c r="BT76" s="525"/>
      <c r="BU76" s="523">
        <v>0</v>
      </c>
      <c r="BV76" s="523">
        <v>0</v>
      </c>
      <c r="BW76" s="523">
        <v>0</v>
      </c>
      <c r="BX76" s="523"/>
      <c r="BY76" s="523"/>
      <c r="BZ76" s="523"/>
      <c r="CA76" s="523"/>
      <c r="CB76" s="523"/>
      <c r="CC76" s="523"/>
      <c r="CD76" s="523"/>
      <c r="CE76" s="523"/>
      <c r="CF76" s="523"/>
      <c r="CG76" s="523"/>
      <c r="CH76" s="523"/>
      <c r="CI76" s="523">
        <f t="shared" si="2"/>
        <v>0</v>
      </c>
    </row>
    <row r="77" spans="1:87" s="514" customFormat="1" x14ac:dyDescent="0.2">
      <c r="A77" s="412">
        <v>6</v>
      </c>
      <c r="B77" s="413"/>
      <c r="C77" s="413"/>
      <c r="D77" s="414" t="s">
        <v>97</v>
      </c>
      <c r="E77" s="415"/>
      <c r="F77" s="415"/>
      <c r="G77" s="415"/>
      <c r="H77" s="415"/>
      <c r="I77" s="415"/>
      <c r="J77" s="415"/>
      <c r="K77" s="415"/>
      <c r="L77" s="433">
        <f>SUM(L78,L83,L87,L90)</f>
        <v>10373.979999999998</v>
      </c>
      <c r="M77" s="433">
        <f>SUM(M78,M83,M87,M90)</f>
        <v>0</v>
      </c>
      <c r="N77" s="433">
        <f>SUM(N78,N83,N87,N90)</f>
        <v>0</v>
      </c>
      <c r="O77" s="433">
        <f>SUM(O78,O83,O87,O90)</f>
        <v>10373.979999999998</v>
      </c>
      <c r="P77" s="423">
        <f t="shared" si="0"/>
        <v>0</v>
      </c>
      <c r="Q77" s="525"/>
      <c r="S77" s="190">
        <v>0</v>
      </c>
      <c r="T77" s="190">
        <v>0</v>
      </c>
      <c r="BT77" s="525"/>
      <c r="BU77" s="523">
        <v>0</v>
      </c>
      <c r="BV77" s="523"/>
      <c r="BW77" s="523"/>
      <c r="BX77" s="523"/>
      <c r="BY77" s="523"/>
      <c r="BZ77" s="523"/>
      <c r="CA77" s="523"/>
      <c r="CB77" s="523"/>
      <c r="CC77" s="523"/>
      <c r="CD77" s="523"/>
      <c r="CE77" s="523"/>
      <c r="CF77" s="523"/>
      <c r="CG77" s="523"/>
      <c r="CH77" s="523"/>
      <c r="CI77" s="523">
        <f t="shared" si="2"/>
        <v>0</v>
      </c>
    </row>
    <row r="78" spans="1:87" x14ac:dyDescent="0.2">
      <c r="A78" s="449" t="s">
        <v>186</v>
      </c>
      <c r="B78" s="450"/>
      <c r="C78" s="450"/>
      <c r="D78" s="451" t="s">
        <v>1424</v>
      </c>
      <c r="E78" s="465"/>
      <c r="F78" s="465"/>
      <c r="G78" s="465"/>
      <c r="H78" s="465"/>
      <c r="I78" s="465"/>
      <c r="J78" s="465"/>
      <c r="K78" s="465"/>
      <c r="L78" s="468">
        <f>SUM(L79:L82)</f>
        <v>7440.7899999999991</v>
      </c>
      <c r="M78" s="468">
        <f>SUM(M79:M82)</f>
        <v>0</v>
      </c>
      <c r="N78" s="468">
        <f>SUM(N79:N82)</f>
        <v>0</v>
      </c>
      <c r="O78" s="468">
        <f>SUM(O79:O82)</f>
        <v>7440.7899999999991</v>
      </c>
      <c r="P78" s="459">
        <f t="shared" ref="P78:P87" si="18">N78/L78</f>
        <v>0</v>
      </c>
      <c r="Q78" s="525"/>
      <c r="S78" s="189">
        <v>0</v>
      </c>
      <c r="T78" s="189">
        <v>0</v>
      </c>
      <c r="BT78" s="525"/>
      <c r="BU78" s="523">
        <v>0</v>
      </c>
      <c r="BV78" s="523"/>
      <c r="BW78" s="523"/>
      <c r="BX78" s="523"/>
      <c r="BY78" s="523"/>
      <c r="BZ78" s="523"/>
      <c r="CA78" s="523"/>
      <c r="CB78" s="523"/>
      <c r="CC78" s="523"/>
      <c r="CD78" s="523"/>
      <c r="CE78" s="523"/>
      <c r="CF78" s="523"/>
      <c r="CG78" s="523"/>
      <c r="CH78" s="523"/>
      <c r="CI78" s="523">
        <f t="shared" si="2"/>
        <v>0</v>
      </c>
    </row>
    <row r="79" spans="1:87" ht="25.5" x14ac:dyDescent="0.2">
      <c r="A79" s="125" t="s">
        <v>1425</v>
      </c>
      <c r="B79" s="126">
        <v>90843</v>
      </c>
      <c r="C79" s="126" t="s">
        <v>1324</v>
      </c>
      <c r="D79" s="127" t="s">
        <v>1426</v>
      </c>
      <c r="E79" s="128" t="s">
        <v>102</v>
      </c>
      <c r="F79" s="129"/>
      <c r="G79" s="130">
        <v>688.65</v>
      </c>
      <c r="H79" s="128">
        <v>2</v>
      </c>
      <c r="I79" s="132">
        <f t="shared" si="3"/>
        <v>0</v>
      </c>
      <c r="J79" s="374">
        <f t="shared" si="4"/>
        <v>0</v>
      </c>
      <c r="K79" s="137">
        <f>H79-J79</f>
        <v>2</v>
      </c>
      <c r="L79" s="131">
        <f t="shared" ref="L79:O82" si="19">ROUND(H79*$G79,2)</f>
        <v>1377.3</v>
      </c>
      <c r="M79" s="131">
        <f t="shared" si="19"/>
        <v>0</v>
      </c>
      <c r="N79" s="131">
        <f t="shared" si="19"/>
        <v>0</v>
      </c>
      <c r="O79" s="131">
        <f t="shared" si="19"/>
        <v>1377.3</v>
      </c>
      <c r="P79" s="136">
        <f t="shared" si="18"/>
        <v>0</v>
      </c>
      <c r="Q79" s="525"/>
      <c r="S79" s="189">
        <v>0</v>
      </c>
      <c r="T79" s="189">
        <v>0</v>
      </c>
      <c r="BT79" s="525"/>
      <c r="BU79" s="523">
        <v>0</v>
      </c>
      <c r="BV79" s="523">
        <v>0</v>
      </c>
      <c r="BW79" s="523">
        <v>0</v>
      </c>
      <c r="BX79" s="523"/>
      <c r="BY79" s="523"/>
      <c r="BZ79" s="523"/>
      <c r="CA79" s="523"/>
      <c r="CB79" s="523"/>
      <c r="CC79" s="523"/>
      <c r="CD79" s="523"/>
      <c r="CE79" s="523"/>
      <c r="CF79" s="523"/>
      <c r="CG79" s="523"/>
      <c r="CH79" s="523"/>
      <c r="CI79" s="523">
        <f t="shared" ref="CI79:CI142" si="20">SUM(BU79:CH79)</f>
        <v>0</v>
      </c>
    </row>
    <row r="80" spans="1:87" ht="25.5" x14ac:dyDescent="0.2">
      <c r="A80" s="125" t="s">
        <v>1427</v>
      </c>
      <c r="B80" s="126">
        <v>90844</v>
      </c>
      <c r="C80" s="126" t="s">
        <v>1324</v>
      </c>
      <c r="D80" s="127" t="s">
        <v>1428</v>
      </c>
      <c r="E80" s="128" t="s">
        <v>102</v>
      </c>
      <c r="F80" s="137">
        <v>179.33</v>
      </c>
      <c r="G80" s="130">
        <v>926.13</v>
      </c>
      <c r="H80" s="128">
        <v>1</v>
      </c>
      <c r="I80" s="133">
        <f t="shared" ref="I80:I143" si="21">BU80</f>
        <v>0</v>
      </c>
      <c r="J80" s="374">
        <f t="shared" ref="J80:J143" si="22">CI80</f>
        <v>0</v>
      </c>
      <c r="K80" s="137">
        <f>H80-J80</f>
        <v>1</v>
      </c>
      <c r="L80" s="131">
        <f t="shared" si="19"/>
        <v>926.13</v>
      </c>
      <c r="M80" s="131">
        <f t="shared" si="19"/>
        <v>0</v>
      </c>
      <c r="N80" s="131">
        <f t="shared" si="19"/>
        <v>0</v>
      </c>
      <c r="O80" s="131">
        <f t="shared" si="19"/>
        <v>926.13</v>
      </c>
      <c r="P80" s="136">
        <f t="shared" si="18"/>
        <v>0</v>
      </c>
      <c r="Q80" s="525"/>
      <c r="S80" s="189">
        <v>0</v>
      </c>
      <c r="T80" s="189">
        <v>0</v>
      </c>
      <c r="BT80" s="525"/>
      <c r="BU80" s="523">
        <v>0</v>
      </c>
      <c r="BV80" s="523">
        <v>0</v>
      </c>
      <c r="BW80" s="523">
        <v>0</v>
      </c>
      <c r="BX80" s="523"/>
      <c r="BY80" s="523"/>
      <c r="BZ80" s="523"/>
      <c r="CA80" s="523"/>
      <c r="CB80" s="523"/>
      <c r="CC80" s="523"/>
      <c r="CD80" s="523"/>
      <c r="CE80" s="523"/>
      <c r="CF80" s="523"/>
      <c r="CG80" s="523"/>
      <c r="CH80" s="523"/>
      <c r="CI80" s="523">
        <f t="shared" si="20"/>
        <v>0</v>
      </c>
    </row>
    <row r="81" spans="1:87" ht="25.5" x14ac:dyDescent="0.2">
      <c r="A81" s="125" t="s">
        <v>1429</v>
      </c>
      <c r="B81" s="126" t="s">
        <v>1430</v>
      </c>
      <c r="C81" s="126" t="s">
        <v>1324</v>
      </c>
      <c r="D81" s="127" t="s">
        <v>1431</v>
      </c>
      <c r="E81" s="128" t="s">
        <v>102</v>
      </c>
      <c r="F81" s="137">
        <v>268.98</v>
      </c>
      <c r="G81" s="130">
        <v>825.22</v>
      </c>
      <c r="H81" s="128">
        <v>4</v>
      </c>
      <c r="I81" s="133">
        <f t="shared" si="21"/>
        <v>0</v>
      </c>
      <c r="J81" s="374">
        <f t="shared" si="22"/>
        <v>0</v>
      </c>
      <c r="K81" s="137">
        <f>H81-J81</f>
        <v>4</v>
      </c>
      <c r="L81" s="131">
        <f t="shared" si="19"/>
        <v>3300.88</v>
      </c>
      <c r="M81" s="131">
        <f t="shared" si="19"/>
        <v>0</v>
      </c>
      <c r="N81" s="131">
        <f t="shared" si="19"/>
        <v>0</v>
      </c>
      <c r="O81" s="131">
        <f t="shared" si="19"/>
        <v>3300.88</v>
      </c>
      <c r="P81" s="136">
        <f t="shared" si="18"/>
        <v>0</v>
      </c>
      <c r="Q81" s="525"/>
      <c r="S81" s="189">
        <v>0</v>
      </c>
      <c r="T81" s="189">
        <v>0</v>
      </c>
      <c r="BT81" s="525"/>
      <c r="BU81" s="523">
        <v>0</v>
      </c>
      <c r="BV81" s="523">
        <v>0</v>
      </c>
      <c r="BW81" s="523">
        <v>0</v>
      </c>
      <c r="BX81" s="523"/>
      <c r="BY81" s="523"/>
      <c r="BZ81" s="523"/>
      <c r="CA81" s="523"/>
      <c r="CB81" s="523"/>
      <c r="CC81" s="523"/>
      <c r="CD81" s="523"/>
      <c r="CE81" s="523"/>
      <c r="CF81" s="523"/>
      <c r="CG81" s="523"/>
      <c r="CH81" s="523"/>
      <c r="CI81" s="523">
        <f t="shared" si="20"/>
        <v>0</v>
      </c>
    </row>
    <row r="82" spans="1:87" s="514" customFormat="1" ht="25.5" x14ac:dyDescent="0.2">
      <c r="A82" s="125" t="s">
        <v>1432</v>
      </c>
      <c r="B82" s="126" t="s">
        <v>1433</v>
      </c>
      <c r="C82" s="126" t="s">
        <v>1324</v>
      </c>
      <c r="D82" s="127" t="s">
        <v>1434</v>
      </c>
      <c r="E82" s="128" t="s">
        <v>102</v>
      </c>
      <c r="F82" s="137">
        <v>134.49</v>
      </c>
      <c r="G82" s="130">
        <v>918.24</v>
      </c>
      <c r="H82" s="128">
        <v>2</v>
      </c>
      <c r="I82" s="133">
        <f t="shared" si="21"/>
        <v>0</v>
      </c>
      <c r="J82" s="374">
        <f t="shared" si="22"/>
        <v>0</v>
      </c>
      <c r="K82" s="137">
        <f>H82-J82</f>
        <v>2</v>
      </c>
      <c r="L82" s="131">
        <f t="shared" si="19"/>
        <v>1836.48</v>
      </c>
      <c r="M82" s="131">
        <f t="shared" si="19"/>
        <v>0</v>
      </c>
      <c r="N82" s="131">
        <f t="shared" si="19"/>
        <v>0</v>
      </c>
      <c r="O82" s="131">
        <f t="shared" si="19"/>
        <v>1836.48</v>
      </c>
      <c r="P82" s="136">
        <f t="shared" si="18"/>
        <v>0</v>
      </c>
      <c r="Q82" s="525"/>
      <c r="S82" s="190">
        <v>0</v>
      </c>
      <c r="T82" s="190">
        <v>0</v>
      </c>
      <c r="BT82" s="525"/>
      <c r="BU82" s="523">
        <v>0</v>
      </c>
      <c r="BV82" s="523">
        <v>0</v>
      </c>
      <c r="BW82" s="523">
        <v>0</v>
      </c>
      <c r="BX82" s="523"/>
      <c r="BY82" s="523"/>
      <c r="BZ82" s="523"/>
      <c r="CA82" s="523"/>
      <c r="CB82" s="523"/>
      <c r="CC82" s="523"/>
      <c r="CD82" s="523"/>
      <c r="CE82" s="523"/>
      <c r="CF82" s="523"/>
      <c r="CG82" s="523"/>
      <c r="CH82" s="523"/>
      <c r="CI82" s="523">
        <f t="shared" si="20"/>
        <v>0</v>
      </c>
    </row>
    <row r="83" spans="1:87" x14ac:dyDescent="0.2">
      <c r="A83" s="449" t="s">
        <v>188</v>
      </c>
      <c r="B83" s="450"/>
      <c r="C83" s="450"/>
      <c r="D83" s="451" t="s">
        <v>1435</v>
      </c>
      <c r="E83" s="465"/>
      <c r="F83" s="465"/>
      <c r="G83" s="465"/>
      <c r="H83" s="465"/>
      <c r="I83" s="465"/>
      <c r="J83" s="465"/>
      <c r="K83" s="465"/>
      <c r="L83" s="452">
        <f>SUM(L84:L86)</f>
        <v>773.29</v>
      </c>
      <c r="M83" s="452">
        <f>SUM(M84:M86)</f>
        <v>0</v>
      </c>
      <c r="N83" s="452">
        <f>SUM(N84:N86)</f>
        <v>0</v>
      </c>
      <c r="O83" s="452">
        <f>SUM(O84:O86)</f>
        <v>773.29</v>
      </c>
      <c r="P83" s="459">
        <f t="shared" si="18"/>
        <v>0</v>
      </c>
      <c r="Q83" s="525"/>
      <c r="S83" s="189">
        <v>0</v>
      </c>
      <c r="T83" s="189">
        <v>0</v>
      </c>
      <c r="BT83" s="525"/>
      <c r="BU83" s="523">
        <v>0</v>
      </c>
      <c r="BV83" s="523"/>
      <c r="BW83" s="523"/>
      <c r="BX83" s="523"/>
      <c r="BY83" s="523"/>
      <c r="BZ83" s="523"/>
      <c r="CA83" s="523"/>
      <c r="CB83" s="523"/>
      <c r="CC83" s="523"/>
      <c r="CD83" s="523"/>
      <c r="CE83" s="523"/>
      <c r="CF83" s="523"/>
      <c r="CG83" s="523"/>
      <c r="CH83" s="523"/>
      <c r="CI83" s="523">
        <f t="shared" si="20"/>
        <v>0</v>
      </c>
    </row>
    <row r="84" spans="1:87" ht="25.5" x14ac:dyDescent="0.2">
      <c r="A84" s="125" t="s">
        <v>1436</v>
      </c>
      <c r="B84" s="126" t="s">
        <v>2007</v>
      </c>
      <c r="C84" s="126" t="s">
        <v>1339</v>
      </c>
      <c r="D84" s="127" t="s">
        <v>1437</v>
      </c>
      <c r="E84" s="128" t="s">
        <v>81</v>
      </c>
      <c r="F84" s="137">
        <v>627.62</v>
      </c>
      <c r="G84" s="130">
        <v>48.24</v>
      </c>
      <c r="H84" s="128">
        <v>11.6</v>
      </c>
      <c r="I84" s="133">
        <f t="shared" si="21"/>
        <v>0</v>
      </c>
      <c r="J84" s="374">
        <f t="shared" si="22"/>
        <v>0</v>
      </c>
      <c r="K84" s="137">
        <f t="shared" ref="K84:K91" si="23">H84-J84</f>
        <v>11.6</v>
      </c>
      <c r="L84" s="131">
        <f t="shared" ref="L84:O86" si="24">ROUND(H84*$G84,2)</f>
        <v>559.58000000000004</v>
      </c>
      <c r="M84" s="131">
        <f t="shared" si="24"/>
        <v>0</v>
      </c>
      <c r="N84" s="131">
        <f t="shared" si="24"/>
        <v>0</v>
      </c>
      <c r="O84" s="131">
        <f t="shared" si="24"/>
        <v>559.58000000000004</v>
      </c>
      <c r="P84" s="136">
        <f t="shared" si="18"/>
        <v>0</v>
      </c>
      <c r="Q84" s="525"/>
      <c r="S84" s="189">
        <v>0</v>
      </c>
      <c r="T84" s="189">
        <v>0</v>
      </c>
      <c r="BT84" s="525"/>
      <c r="BU84" s="523">
        <v>0</v>
      </c>
      <c r="BV84" s="523">
        <v>0</v>
      </c>
      <c r="BW84" s="523">
        <v>0</v>
      </c>
      <c r="BX84" s="523"/>
      <c r="BY84" s="523"/>
      <c r="BZ84" s="523"/>
      <c r="CA84" s="523"/>
      <c r="CB84" s="523"/>
      <c r="CC84" s="523"/>
      <c r="CD84" s="523"/>
      <c r="CE84" s="523"/>
      <c r="CF84" s="523"/>
      <c r="CG84" s="523"/>
      <c r="CH84" s="523"/>
      <c r="CI84" s="523">
        <f t="shared" si="20"/>
        <v>0</v>
      </c>
    </row>
    <row r="85" spans="1:87" ht="25.5" x14ac:dyDescent="0.2">
      <c r="A85" s="125" t="s">
        <v>1438</v>
      </c>
      <c r="B85" s="126" t="s">
        <v>2007</v>
      </c>
      <c r="C85" s="126" t="s">
        <v>1339</v>
      </c>
      <c r="D85" s="127" t="s">
        <v>1439</v>
      </c>
      <c r="E85" s="128" t="s">
        <v>14</v>
      </c>
      <c r="F85" s="137">
        <v>358.64</v>
      </c>
      <c r="G85" s="130">
        <v>5.44</v>
      </c>
      <c r="H85" s="128">
        <v>4.3</v>
      </c>
      <c r="I85" s="133">
        <f t="shared" si="21"/>
        <v>0</v>
      </c>
      <c r="J85" s="374">
        <f t="shared" si="22"/>
        <v>0</v>
      </c>
      <c r="K85" s="137">
        <f t="shared" si="23"/>
        <v>4.3</v>
      </c>
      <c r="L85" s="131">
        <f t="shared" si="24"/>
        <v>23.39</v>
      </c>
      <c r="M85" s="131">
        <f t="shared" si="24"/>
        <v>0</v>
      </c>
      <c r="N85" s="131">
        <f t="shared" si="24"/>
        <v>0</v>
      </c>
      <c r="O85" s="131">
        <f t="shared" si="24"/>
        <v>23.39</v>
      </c>
      <c r="P85" s="136">
        <f t="shared" si="18"/>
        <v>0</v>
      </c>
      <c r="Q85" s="525"/>
      <c r="S85" s="189">
        <v>0</v>
      </c>
      <c r="T85" s="189">
        <v>0</v>
      </c>
      <c r="BT85" s="525"/>
      <c r="BU85" s="523">
        <v>0</v>
      </c>
      <c r="BV85" s="523">
        <v>0</v>
      </c>
      <c r="BW85" s="523">
        <v>0</v>
      </c>
      <c r="BX85" s="523"/>
      <c r="BY85" s="523"/>
      <c r="BZ85" s="523"/>
      <c r="CA85" s="523"/>
      <c r="CB85" s="523"/>
      <c r="CC85" s="523"/>
      <c r="CD85" s="523"/>
      <c r="CE85" s="523"/>
      <c r="CF85" s="523"/>
      <c r="CG85" s="523"/>
      <c r="CH85" s="523"/>
      <c r="CI85" s="523">
        <f t="shared" si="20"/>
        <v>0</v>
      </c>
    </row>
    <row r="86" spans="1:87" s="514" customFormat="1" x14ac:dyDescent="0.2">
      <c r="A86" s="125" t="s">
        <v>1440</v>
      </c>
      <c r="B86" s="126" t="s">
        <v>1441</v>
      </c>
      <c r="C86" s="126" t="s">
        <v>1324</v>
      </c>
      <c r="D86" s="127" t="s">
        <v>1442</v>
      </c>
      <c r="E86" s="128" t="s">
        <v>102</v>
      </c>
      <c r="F86" s="137">
        <v>448.3</v>
      </c>
      <c r="G86" s="130">
        <v>31.72</v>
      </c>
      <c r="H86" s="128">
        <v>6</v>
      </c>
      <c r="I86" s="133">
        <f t="shared" si="21"/>
        <v>0</v>
      </c>
      <c r="J86" s="374">
        <f t="shared" si="22"/>
        <v>0</v>
      </c>
      <c r="K86" s="137">
        <f t="shared" si="23"/>
        <v>6</v>
      </c>
      <c r="L86" s="131">
        <f t="shared" si="24"/>
        <v>190.32</v>
      </c>
      <c r="M86" s="131">
        <f t="shared" si="24"/>
        <v>0</v>
      </c>
      <c r="N86" s="131">
        <f t="shared" si="24"/>
        <v>0</v>
      </c>
      <c r="O86" s="131">
        <f t="shared" si="24"/>
        <v>190.32</v>
      </c>
      <c r="P86" s="136">
        <f t="shared" si="18"/>
        <v>0</v>
      </c>
      <c r="Q86" s="525"/>
      <c r="S86" s="190">
        <v>0</v>
      </c>
      <c r="T86" s="190">
        <v>0</v>
      </c>
      <c r="BT86" s="525"/>
      <c r="BU86" s="523">
        <v>0</v>
      </c>
      <c r="BV86" s="523">
        <v>0</v>
      </c>
      <c r="BW86" s="523">
        <v>0</v>
      </c>
      <c r="BX86" s="523"/>
      <c r="BY86" s="523"/>
      <c r="BZ86" s="523"/>
      <c r="CA86" s="523"/>
      <c r="CB86" s="523"/>
      <c r="CC86" s="523"/>
      <c r="CD86" s="523"/>
      <c r="CE86" s="523"/>
      <c r="CF86" s="523"/>
      <c r="CG86" s="523"/>
      <c r="CH86" s="523"/>
      <c r="CI86" s="523">
        <f t="shared" si="20"/>
        <v>0</v>
      </c>
    </row>
    <row r="87" spans="1:87" x14ac:dyDescent="0.2">
      <c r="A87" s="449" t="s">
        <v>1443</v>
      </c>
      <c r="B87" s="450"/>
      <c r="C87" s="450"/>
      <c r="D87" s="451" t="s">
        <v>1444</v>
      </c>
      <c r="E87" s="465"/>
      <c r="F87" s="465"/>
      <c r="G87" s="465"/>
      <c r="H87" s="465"/>
      <c r="I87" s="465"/>
      <c r="J87" s="465"/>
      <c r="K87" s="465"/>
      <c r="L87" s="460">
        <f>L89</f>
        <v>331.68</v>
      </c>
      <c r="M87" s="460">
        <f>M89</f>
        <v>0</v>
      </c>
      <c r="N87" s="460">
        <f>N89</f>
        <v>0</v>
      </c>
      <c r="O87" s="460">
        <f>O89</f>
        <v>331.68</v>
      </c>
      <c r="P87" s="459">
        <f t="shared" si="18"/>
        <v>0</v>
      </c>
      <c r="Q87" s="525"/>
      <c r="S87" s="189">
        <v>0</v>
      </c>
      <c r="T87" s="189">
        <v>0</v>
      </c>
      <c r="BT87" s="525"/>
      <c r="BU87" s="523">
        <v>0</v>
      </c>
      <c r="BV87" s="523"/>
      <c r="BW87" s="523"/>
      <c r="BX87" s="523"/>
      <c r="BY87" s="523"/>
      <c r="BZ87" s="523"/>
      <c r="CA87" s="523"/>
      <c r="CB87" s="523"/>
      <c r="CC87" s="523"/>
      <c r="CD87" s="523"/>
      <c r="CE87" s="523"/>
      <c r="CF87" s="523"/>
      <c r="CG87" s="523"/>
      <c r="CH87" s="523"/>
      <c r="CI87" s="523">
        <f t="shared" si="20"/>
        <v>0</v>
      </c>
    </row>
    <row r="88" spans="1:87" x14ac:dyDescent="0.2">
      <c r="A88" s="125" t="s">
        <v>1445</v>
      </c>
      <c r="B88" s="126">
        <v>68052</v>
      </c>
      <c r="C88" s="126" t="s">
        <v>1324</v>
      </c>
      <c r="D88" s="397" t="s">
        <v>1446</v>
      </c>
      <c r="E88" s="128" t="s">
        <v>14</v>
      </c>
      <c r="F88" s="137">
        <v>390.13</v>
      </c>
      <c r="G88" s="130">
        <v>0</v>
      </c>
      <c r="H88" s="128">
        <v>10.8</v>
      </c>
      <c r="I88" s="133">
        <f t="shared" si="21"/>
        <v>0</v>
      </c>
      <c r="J88" s="374">
        <f t="shared" si="22"/>
        <v>0</v>
      </c>
      <c r="K88" s="137">
        <f t="shared" si="23"/>
        <v>10.8</v>
      </c>
      <c r="L88" s="131">
        <f t="shared" ref="L88:O89" si="25">ROUND(H88*$G88,2)</f>
        <v>0</v>
      </c>
      <c r="M88" s="131">
        <f t="shared" si="25"/>
        <v>0</v>
      </c>
      <c r="N88" s="131">
        <f t="shared" si="25"/>
        <v>0</v>
      </c>
      <c r="O88" s="131">
        <f t="shared" si="25"/>
        <v>0</v>
      </c>
      <c r="P88" s="136">
        <v>1</v>
      </c>
      <c r="Q88" s="525"/>
      <c r="S88" s="189">
        <v>0</v>
      </c>
      <c r="T88" s="189">
        <v>0</v>
      </c>
      <c r="BT88" s="525"/>
      <c r="BU88" s="523">
        <v>0</v>
      </c>
      <c r="BV88" s="523">
        <v>0</v>
      </c>
      <c r="BW88" s="523">
        <v>0</v>
      </c>
      <c r="BX88" s="523"/>
      <c r="BY88" s="523"/>
      <c r="BZ88" s="523"/>
      <c r="CA88" s="523"/>
      <c r="CB88" s="523"/>
      <c r="CC88" s="523"/>
      <c r="CD88" s="523"/>
      <c r="CE88" s="523"/>
      <c r="CF88" s="523"/>
      <c r="CG88" s="523"/>
      <c r="CH88" s="523"/>
      <c r="CI88" s="523">
        <f t="shared" si="20"/>
        <v>0</v>
      </c>
    </row>
    <row r="89" spans="1:87" s="514" customFormat="1" ht="25.5" x14ac:dyDescent="0.2">
      <c r="A89" s="125" t="s">
        <v>1447</v>
      </c>
      <c r="B89" s="126">
        <v>85010</v>
      </c>
      <c r="C89" s="126" t="s">
        <v>1324</v>
      </c>
      <c r="D89" s="127" t="s">
        <v>1448</v>
      </c>
      <c r="E89" s="128" t="s">
        <v>14</v>
      </c>
      <c r="F89" s="137">
        <v>975.33</v>
      </c>
      <c r="G89" s="130">
        <v>159.46</v>
      </c>
      <c r="H89" s="128">
        <v>2.08</v>
      </c>
      <c r="I89" s="133">
        <f t="shared" si="21"/>
        <v>0</v>
      </c>
      <c r="J89" s="374">
        <f t="shared" si="22"/>
        <v>0</v>
      </c>
      <c r="K89" s="137">
        <f t="shared" si="23"/>
        <v>2.08</v>
      </c>
      <c r="L89" s="131">
        <f t="shared" si="25"/>
        <v>331.68</v>
      </c>
      <c r="M89" s="131">
        <f t="shared" si="25"/>
        <v>0</v>
      </c>
      <c r="N89" s="131">
        <f t="shared" si="25"/>
        <v>0</v>
      </c>
      <c r="O89" s="131">
        <f t="shared" si="25"/>
        <v>331.68</v>
      </c>
      <c r="P89" s="136">
        <f t="shared" ref="P89:P139" si="26">N89/L89</f>
        <v>0</v>
      </c>
      <c r="Q89" s="525"/>
      <c r="S89" s="190">
        <v>0</v>
      </c>
      <c r="T89" s="190">
        <v>0</v>
      </c>
      <c r="BT89" s="525"/>
      <c r="BU89" s="523">
        <v>0</v>
      </c>
      <c r="BV89" s="523">
        <v>0</v>
      </c>
      <c r="BW89" s="523">
        <v>0</v>
      </c>
      <c r="BX89" s="523"/>
      <c r="BY89" s="523"/>
      <c r="BZ89" s="523"/>
      <c r="CA89" s="523"/>
      <c r="CB89" s="523"/>
      <c r="CC89" s="523"/>
      <c r="CD89" s="523"/>
      <c r="CE89" s="523"/>
      <c r="CF89" s="523"/>
      <c r="CG89" s="523"/>
      <c r="CH89" s="523"/>
      <c r="CI89" s="523">
        <f t="shared" si="20"/>
        <v>0</v>
      </c>
    </row>
    <row r="90" spans="1:87" x14ac:dyDescent="0.2">
      <c r="A90" s="449" t="s">
        <v>1449</v>
      </c>
      <c r="B90" s="450"/>
      <c r="C90" s="450"/>
      <c r="D90" s="451" t="s">
        <v>184</v>
      </c>
      <c r="E90" s="465"/>
      <c r="F90" s="465"/>
      <c r="G90" s="465"/>
      <c r="H90" s="465"/>
      <c r="I90" s="465"/>
      <c r="J90" s="465"/>
      <c r="K90" s="465"/>
      <c r="L90" s="460">
        <f>L91</f>
        <v>1828.22</v>
      </c>
      <c r="M90" s="460">
        <f>M91</f>
        <v>0</v>
      </c>
      <c r="N90" s="460">
        <f>N91</f>
        <v>0</v>
      </c>
      <c r="O90" s="460">
        <f>O91</f>
        <v>1828.22</v>
      </c>
      <c r="P90" s="459">
        <f t="shared" si="26"/>
        <v>0</v>
      </c>
      <c r="Q90" s="525"/>
      <c r="S90" s="189">
        <v>0</v>
      </c>
      <c r="T90" s="189">
        <v>0</v>
      </c>
      <c r="BT90" s="525"/>
      <c r="BU90" s="523">
        <v>0</v>
      </c>
      <c r="BV90" s="523"/>
      <c r="BW90" s="523"/>
      <c r="BX90" s="523"/>
      <c r="BY90" s="523"/>
      <c r="BZ90" s="523"/>
      <c r="CA90" s="523"/>
      <c r="CB90" s="523"/>
      <c r="CC90" s="523"/>
      <c r="CD90" s="523"/>
      <c r="CE90" s="523"/>
      <c r="CF90" s="523"/>
      <c r="CG90" s="523"/>
      <c r="CH90" s="523"/>
      <c r="CI90" s="523">
        <f t="shared" si="20"/>
        <v>0</v>
      </c>
    </row>
    <row r="91" spans="1:87" ht="25.5" x14ac:dyDescent="0.2">
      <c r="A91" s="125" t="s">
        <v>1450</v>
      </c>
      <c r="B91" s="126" t="s">
        <v>1451</v>
      </c>
      <c r="C91" s="126" t="s">
        <v>1324</v>
      </c>
      <c r="D91" s="127" t="s">
        <v>1452</v>
      </c>
      <c r="E91" s="128" t="s">
        <v>14</v>
      </c>
      <c r="F91" s="137">
        <v>877.8</v>
      </c>
      <c r="G91" s="130">
        <v>423.2</v>
      </c>
      <c r="H91" s="128">
        <v>4.32</v>
      </c>
      <c r="I91" s="133">
        <f t="shared" si="21"/>
        <v>0</v>
      </c>
      <c r="J91" s="374">
        <f t="shared" si="22"/>
        <v>0</v>
      </c>
      <c r="K91" s="137">
        <f t="shared" si="23"/>
        <v>4.32</v>
      </c>
      <c r="L91" s="131">
        <f>ROUND(H91*$G91,2)</f>
        <v>1828.22</v>
      </c>
      <c r="M91" s="131">
        <f>ROUND(I91*$G91,2)</f>
        <v>0</v>
      </c>
      <c r="N91" s="131">
        <f>ROUND(J91*$G91,2)</f>
        <v>0</v>
      </c>
      <c r="O91" s="131">
        <f>ROUND(K91*$G91,2)</f>
        <v>1828.22</v>
      </c>
      <c r="P91" s="136">
        <f t="shared" si="26"/>
        <v>0</v>
      </c>
      <c r="Q91" s="525"/>
      <c r="S91" s="189">
        <v>0</v>
      </c>
      <c r="T91" s="189">
        <v>0</v>
      </c>
      <c r="BT91" s="525"/>
      <c r="BU91" s="523">
        <v>0</v>
      </c>
      <c r="BV91" s="523">
        <v>0</v>
      </c>
      <c r="BW91" s="523">
        <v>0</v>
      </c>
      <c r="BX91" s="523"/>
      <c r="BY91" s="523"/>
      <c r="BZ91" s="523"/>
      <c r="CA91" s="523"/>
      <c r="CB91" s="523"/>
      <c r="CC91" s="523"/>
      <c r="CD91" s="523"/>
      <c r="CE91" s="523"/>
      <c r="CF91" s="523"/>
      <c r="CG91" s="523"/>
      <c r="CH91" s="523"/>
      <c r="CI91" s="523">
        <f t="shared" si="20"/>
        <v>0</v>
      </c>
    </row>
    <row r="92" spans="1:87" x14ac:dyDescent="0.2">
      <c r="A92" s="412">
        <v>7</v>
      </c>
      <c r="B92" s="413"/>
      <c r="C92" s="413"/>
      <c r="D92" s="414" t="s">
        <v>1453</v>
      </c>
      <c r="E92" s="415"/>
      <c r="F92" s="415"/>
      <c r="G92" s="415"/>
      <c r="H92" s="415"/>
      <c r="I92" s="415"/>
      <c r="J92" s="415"/>
      <c r="K92" s="415"/>
      <c r="L92" s="433">
        <f>SUM(L93:L94)</f>
        <v>173274.06</v>
      </c>
      <c r="M92" s="433">
        <f>SUM(M93:M94)</f>
        <v>0</v>
      </c>
      <c r="N92" s="433">
        <f>SUM(N93:N94)</f>
        <v>0</v>
      </c>
      <c r="O92" s="433">
        <f>SUM(O93:O94)</f>
        <v>173274.06</v>
      </c>
      <c r="P92" s="423">
        <f t="shared" si="26"/>
        <v>0</v>
      </c>
      <c r="Q92" s="525"/>
      <c r="S92" s="189">
        <v>0</v>
      </c>
      <c r="T92" s="189">
        <v>0</v>
      </c>
      <c r="BT92" s="525"/>
      <c r="BU92" s="523">
        <v>0</v>
      </c>
      <c r="BV92" s="523"/>
      <c r="BW92" s="523"/>
      <c r="BX92" s="523"/>
      <c r="BY92" s="523"/>
      <c r="BZ92" s="523"/>
      <c r="CA92" s="523"/>
      <c r="CB92" s="523"/>
      <c r="CC92" s="523"/>
      <c r="CD92" s="523"/>
      <c r="CE92" s="523"/>
      <c r="CF92" s="523"/>
      <c r="CG92" s="523"/>
      <c r="CH92" s="523"/>
      <c r="CI92" s="523">
        <f t="shared" si="20"/>
        <v>0</v>
      </c>
    </row>
    <row r="93" spans="1:87" ht="25.5" x14ac:dyDescent="0.2">
      <c r="A93" s="125" t="s">
        <v>193</v>
      </c>
      <c r="B93" s="126" t="s">
        <v>1454</v>
      </c>
      <c r="C93" s="126" t="s">
        <v>1324</v>
      </c>
      <c r="D93" s="127" t="s">
        <v>1455</v>
      </c>
      <c r="E93" s="128" t="s">
        <v>14</v>
      </c>
      <c r="F93" s="144">
        <v>1560.54</v>
      </c>
      <c r="G93" s="130">
        <v>51.14</v>
      </c>
      <c r="H93" s="128">
        <v>1030.4000000000001</v>
      </c>
      <c r="I93" s="133">
        <f t="shared" si="21"/>
        <v>0</v>
      </c>
      <c r="J93" s="374">
        <f t="shared" si="22"/>
        <v>0</v>
      </c>
      <c r="K93" s="137">
        <f>H93-J93</f>
        <v>1030.4000000000001</v>
      </c>
      <c r="L93" s="131">
        <f t="shared" ref="L93:O94" si="27">ROUND(H93*$G93,2)</f>
        <v>52694.66</v>
      </c>
      <c r="M93" s="131">
        <f t="shared" si="27"/>
        <v>0</v>
      </c>
      <c r="N93" s="131">
        <f t="shared" si="27"/>
        <v>0</v>
      </c>
      <c r="O93" s="131">
        <f t="shared" si="27"/>
        <v>52694.66</v>
      </c>
      <c r="P93" s="136">
        <f t="shared" si="26"/>
        <v>0</v>
      </c>
      <c r="Q93" s="525"/>
      <c r="S93" s="189">
        <v>0</v>
      </c>
      <c r="T93" s="189">
        <v>0</v>
      </c>
      <c r="BT93" s="525"/>
      <c r="BU93" s="523">
        <v>0</v>
      </c>
      <c r="BV93" s="523">
        <v>0</v>
      </c>
      <c r="BW93" s="523">
        <v>0</v>
      </c>
      <c r="BX93" s="523"/>
      <c r="BY93" s="523"/>
      <c r="BZ93" s="523"/>
      <c r="CA93" s="523"/>
      <c r="CB93" s="523"/>
      <c r="CC93" s="523"/>
      <c r="CD93" s="523"/>
      <c r="CE93" s="523"/>
      <c r="CF93" s="523"/>
      <c r="CG93" s="523"/>
      <c r="CH93" s="523"/>
      <c r="CI93" s="523">
        <f t="shared" si="20"/>
        <v>0</v>
      </c>
    </row>
    <row r="94" spans="1:87" s="110" customFormat="1" x14ac:dyDescent="0.2">
      <c r="A94" s="125" t="s">
        <v>195</v>
      </c>
      <c r="B94" s="126">
        <v>72112</v>
      </c>
      <c r="C94" s="126" t="s">
        <v>1324</v>
      </c>
      <c r="D94" s="127" t="s">
        <v>1456</v>
      </c>
      <c r="E94" s="128" t="s">
        <v>14</v>
      </c>
      <c r="F94" s="144">
        <v>1950.67</v>
      </c>
      <c r="G94" s="130">
        <v>122.99</v>
      </c>
      <c r="H94" s="128">
        <v>980.4</v>
      </c>
      <c r="I94" s="133">
        <f t="shared" si="21"/>
        <v>0</v>
      </c>
      <c r="J94" s="374">
        <f t="shared" si="22"/>
        <v>0</v>
      </c>
      <c r="K94" s="137">
        <f>H94-J94</f>
        <v>980.4</v>
      </c>
      <c r="L94" s="131">
        <f t="shared" si="27"/>
        <v>120579.4</v>
      </c>
      <c r="M94" s="131">
        <f t="shared" si="27"/>
        <v>0</v>
      </c>
      <c r="N94" s="131">
        <f t="shared" si="27"/>
        <v>0</v>
      </c>
      <c r="O94" s="131">
        <f t="shared" si="27"/>
        <v>120579.4</v>
      </c>
      <c r="P94" s="136">
        <f t="shared" si="26"/>
        <v>0</v>
      </c>
      <c r="Q94" s="525"/>
      <c r="S94" s="192">
        <v>0</v>
      </c>
      <c r="T94" s="192">
        <v>0</v>
      </c>
      <c r="BT94" s="525"/>
      <c r="BU94" s="523">
        <v>0</v>
      </c>
      <c r="BV94" s="523">
        <v>0</v>
      </c>
      <c r="BW94" s="523">
        <v>0</v>
      </c>
      <c r="BX94" s="523"/>
      <c r="BY94" s="523"/>
      <c r="BZ94" s="523"/>
      <c r="CA94" s="523"/>
      <c r="CB94" s="523"/>
      <c r="CC94" s="523"/>
      <c r="CD94" s="523"/>
      <c r="CE94" s="523"/>
      <c r="CF94" s="523"/>
      <c r="CG94" s="523"/>
      <c r="CH94" s="523"/>
      <c r="CI94" s="523">
        <f t="shared" si="20"/>
        <v>0</v>
      </c>
    </row>
    <row r="95" spans="1:87" s="110" customFormat="1" x14ac:dyDescent="0.2">
      <c r="A95" s="425">
        <v>8</v>
      </c>
      <c r="B95" s="426"/>
      <c r="C95" s="426"/>
      <c r="D95" s="427" t="s">
        <v>208</v>
      </c>
      <c r="E95" s="415"/>
      <c r="F95" s="415"/>
      <c r="G95" s="415"/>
      <c r="H95" s="415"/>
      <c r="I95" s="415"/>
      <c r="J95" s="415"/>
      <c r="K95" s="415"/>
      <c r="L95" s="428">
        <f>SUM(L96:L97)</f>
        <v>5634.27</v>
      </c>
      <c r="M95" s="429">
        <f>SUM(M96:M97)</f>
        <v>0</v>
      </c>
      <c r="N95" s="432">
        <f>SUM(N96:N97)</f>
        <v>0</v>
      </c>
      <c r="O95" s="430">
        <f>SUM(O96:O97)</f>
        <v>5634.27</v>
      </c>
      <c r="P95" s="431">
        <f t="shared" si="26"/>
        <v>0</v>
      </c>
      <c r="Q95" s="525"/>
      <c r="S95" s="192">
        <v>265.61</v>
      </c>
      <c r="T95" s="192">
        <v>265.61</v>
      </c>
      <c r="BT95" s="525"/>
      <c r="BU95" s="523">
        <v>0</v>
      </c>
      <c r="BV95" s="523"/>
      <c r="BW95" s="523"/>
      <c r="BX95" s="523"/>
      <c r="BY95" s="523"/>
      <c r="BZ95" s="523"/>
      <c r="CA95" s="523"/>
      <c r="CB95" s="523"/>
      <c r="CC95" s="523"/>
      <c r="CD95" s="523"/>
      <c r="CE95" s="523"/>
      <c r="CF95" s="523"/>
      <c r="CG95" s="523"/>
      <c r="CH95" s="523"/>
      <c r="CI95" s="523">
        <f t="shared" si="20"/>
        <v>0</v>
      </c>
    </row>
    <row r="96" spans="1:87" x14ac:dyDescent="0.2">
      <c r="A96" s="379" t="s">
        <v>210</v>
      </c>
      <c r="B96" s="380" t="s">
        <v>1457</v>
      </c>
      <c r="C96" s="380" t="s">
        <v>1324</v>
      </c>
      <c r="D96" s="381" t="s">
        <v>1458</v>
      </c>
      <c r="E96" s="382" t="s">
        <v>14</v>
      </c>
      <c r="F96" s="144">
        <v>3121.08</v>
      </c>
      <c r="G96" s="383">
        <v>8.5</v>
      </c>
      <c r="H96" s="382">
        <v>265.61</v>
      </c>
      <c r="I96" s="385">
        <f t="shared" si="21"/>
        <v>0</v>
      </c>
      <c r="J96" s="374">
        <f t="shared" si="22"/>
        <v>0</v>
      </c>
      <c r="K96" s="137">
        <f>H96-J96</f>
        <v>265.61</v>
      </c>
      <c r="L96" s="131">
        <f t="shared" ref="L96:O97" si="28">ROUND(H96*$G96,2)</f>
        <v>2257.69</v>
      </c>
      <c r="M96" s="131">
        <f t="shared" si="28"/>
        <v>0</v>
      </c>
      <c r="N96" s="131">
        <f t="shared" si="28"/>
        <v>0</v>
      </c>
      <c r="O96" s="131">
        <f t="shared" si="28"/>
        <v>2257.69</v>
      </c>
      <c r="P96" s="388">
        <f t="shared" si="26"/>
        <v>0</v>
      </c>
      <c r="Q96" s="525"/>
      <c r="S96" s="189">
        <v>0</v>
      </c>
      <c r="T96" s="189">
        <v>0</v>
      </c>
      <c r="BT96" s="525"/>
      <c r="BU96" s="523">
        <v>0</v>
      </c>
      <c r="BV96" s="523">
        <v>0</v>
      </c>
      <c r="BW96" s="523">
        <v>0</v>
      </c>
      <c r="BX96" s="523"/>
      <c r="BY96" s="523"/>
      <c r="BZ96" s="523"/>
      <c r="CA96" s="523"/>
      <c r="CB96" s="523"/>
      <c r="CC96" s="523"/>
      <c r="CD96" s="523"/>
      <c r="CE96" s="523"/>
      <c r="CF96" s="523"/>
      <c r="CG96" s="523"/>
      <c r="CH96" s="523"/>
      <c r="CI96" s="523">
        <f t="shared" si="20"/>
        <v>0</v>
      </c>
    </row>
    <row r="97" spans="1:87" s="517" customFormat="1" ht="25.5" x14ac:dyDescent="0.2">
      <c r="A97" s="125" t="s">
        <v>213</v>
      </c>
      <c r="B97" s="126">
        <v>68053</v>
      </c>
      <c r="C97" s="126" t="s">
        <v>1324</v>
      </c>
      <c r="D97" s="127" t="s">
        <v>1459</v>
      </c>
      <c r="E97" s="128" t="s">
        <v>14</v>
      </c>
      <c r="F97" s="144">
        <v>1137.9000000000001</v>
      </c>
      <c r="G97" s="130">
        <v>4.99</v>
      </c>
      <c r="H97" s="128">
        <v>676.67</v>
      </c>
      <c r="I97" s="133">
        <f t="shared" si="21"/>
        <v>0</v>
      </c>
      <c r="J97" s="374">
        <f t="shared" si="22"/>
        <v>0</v>
      </c>
      <c r="K97" s="137">
        <f>H97-J97</f>
        <v>676.67</v>
      </c>
      <c r="L97" s="131">
        <f t="shared" si="28"/>
        <v>3376.58</v>
      </c>
      <c r="M97" s="131">
        <f t="shared" si="28"/>
        <v>0</v>
      </c>
      <c r="N97" s="131">
        <f t="shared" si="28"/>
        <v>0</v>
      </c>
      <c r="O97" s="131">
        <f t="shared" si="28"/>
        <v>3376.58</v>
      </c>
      <c r="P97" s="136">
        <f t="shared" si="26"/>
        <v>0</v>
      </c>
      <c r="Q97" s="525"/>
      <c r="S97" s="191">
        <v>0</v>
      </c>
      <c r="T97" s="191">
        <v>0</v>
      </c>
      <c r="BT97" s="525"/>
      <c r="BU97" s="523">
        <v>0</v>
      </c>
      <c r="BV97" s="523">
        <v>0</v>
      </c>
      <c r="BW97" s="523">
        <v>0</v>
      </c>
      <c r="BX97" s="523"/>
      <c r="BY97" s="523"/>
      <c r="BZ97" s="523"/>
      <c r="CA97" s="523"/>
      <c r="CB97" s="523"/>
      <c r="CC97" s="523"/>
      <c r="CD97" s="523"/>
      <c r="CE97" s="523"/>
      <c r="CF97" s="523"/>
      <c r="CG97" s="523"/>
      <c r="CH97" s="523"/>
      <c r="CI97" s="523">
        <f t="shared" si="20"/>
        <v>0</v>
      </c>
    </row>
    <row r="98" spans="1:87" x14ac:dyDescent="0.2">
      <c r="A98" s="425">
        <v>9</v>
      </c>
      <c r="B98" s="426"/>
      <c r="C98" s="426"/>
      <c r="D98" s="427" t="s">
        <v>1460</v>
      </c>
      <c r="E98" s="415"/>
      <c r="F98" s="415"/>
      <c r="G98" s="415"/>
      <c r="H98" s="415"/>
      <c r="I98" s="415"/>
      <c r="J98" s="415"/>
      <c r="K98" s="415"/>
      <c r="L98" s="428">
        <f>SUM(L99:L108)</f>
        <v>51794.2</v>
      </c>
      <c r="M98" s="428">
        <f>SUM(M99:M108)</f>
        <v>4906.88</v>
      </c>
      <c r="N98" s="428">
        <f>SUM(N99:N108)</f>
        <v>4906.88</v>
      </c>
      <c r="O98" s="428">
        <f>SUM(O99:O108)</f>
        <v>46887.32</v>
      </c>
      <c r="P98" s="431">
        <f t="shared" si="26"/>
        <v>9.4738020859478481E-2</v>
      </c>
      <c r="Q98" s="525"/>
      <c r="S98" s="189">
        <v>0</v>
      </c>
      <c r="T98" s="189">
        <v>803.09</v>
      </c>
      <c r="BT98" s="525"/>
      <c r="BU98" s="523">
        <v>803.09</v>
      </c>
      <c r="BV98" s="523"/>
      <c r="BW98" s="523"/>
      <c r="BX98" s="523"/>
      <c r="BY98" s="523"/>
      <c r="BZ98" s="523"/>
      <c r="CA98" s="523"/>
      <c r="CB98" s="523"/>
      <c r="CC98" s="523"/>
      <c r="CD98" s="523"/>
      <c r="CE98" s="523"/>
      <c r="CF98" s="523"/>
      <c r="CG98" s="523"/>
      <c r="CH98" s="523"/>
      <c r="CI98" s="523">
        <f t="shared" si="20"/>
        <v>803.09</v>
      </c>
    </row>
    <row r="99" spans="1:87" x14ac:dyDescent="0.2">
      <c r="A99" s="125" t="s">
        <v>223</v>
      </c>
      <c r="B99" s="126">
        <v>87905</v>
      </c>
      <c r="C99" s="126" t="s">
        <v>1324</v>
      </c>
      <c r="D99" s="127" t="s">
        <v>1461</v>
      </c>
      <c r="E99" s="128" t="s">
        <v>14</v>
      </c>
      <c r="F99" s="137">
        <v>582.46</v>
      </c>
      <c r="G99" s="130">
        <v>6.11</v>
      </c>
      <c r="H99" s="128">
        <v>803.09</v>
      </c>
      <c r="I99" s="133">
        <f t="shared" si="21"/>
        <v>803.09</v>
      </c>
      <c r="J99" s="374">
        <f t="shared" si="22"/>
        <v>803.09</v>
      </c>
      <c r="K99" s="137">
        <f>H99-J99</f>
        <v>0</v>
      </c>
      <c r="L99" s="131">
        <f t="shared" ref="L99:O108" si="29">ROUND(H99*$G99,2)</f>
        <v>4906.88</v>
      </c>
      <c r="M99" s="131">
        <f t="shared" si="29"/>
        <v>4906.88</v>
      </c>
      <c r="N99" s="131">
        <f t="shared" si="29"/>
        <v>4906.88</v>
      </c>
      <c r="O99" s="131">
        <f t="shared" si="29"/>
        <v>0</v>
      </c>
      <c r="P99" s="136">
        <f t="shared" si="26"/>
        <v>1</v>
      </c>
      <c r="Q99" s="525"/>
      <c r="S99" s="189">
        <v>0</v>
      </c>
      <c r="T99" s="189">
        <v>0</v>
      </c>
      <c r="BT99" s="525"/>
      <c r="BU99" s="523">
        <v>803.09</v>
      </c>
      <c r="BV99" s="523">
        <v>0</v>
      </c>
      <c r="BW99" s="523">
        <v>0</v>
      </c>
      <c r="BX99" s="523"/>
      <c r="BY99" s="523"/>
      <c r="BZ99" s="523"/>
      <c r="CA99" s="523"/>
      <c r="CB99" s="523"/>
      <c r="CC99" s="523"/>
      <c r="CD99" s="523"/>
      <c r="CE99" s="523"/>
      <c r="CF99" s="523"/>
      <c r="CG99" s="523"/>
      <c r="CH99" s="523"/>
      <c r="CI99" s="523">
        <f t="shared" si="20"/>
        <v>803.09</v>
      </c>
    </row>
    <row r="100" spans="1:87" s="110" customFormat="1" x14ac:dyDescent="0.2">
      <c r="A100" s="125" t="s">
        <v>239</v>
      </c>
      <c r="B100" s="126">
        <v>87882</v>
      </c>
      <c r="C100" s="126" t="s">
        <v>1324</v>
      </c>
      <c r="D100" s="127" t="s">
        <v>1462</v>
      </c>
      <c r="E100" s="128" t="s">
        <v>14</v>
      </c>
      <c r="F100" s="129"/>
      <c r="G100" s="130">
        <v>4.03</v>
      </c>
      <c r="H100" s="128">
        <v>84.33</v>
      </c>
      <c r="I100" s="133">
        <f t="shared" si="21"/>
        <v>0</v>
      </c>
      <c r="J100" s="374">
        <f t="shared" si="22"/>
        <v>0</v>
      </c>
      <c r="K100" s="137">
        <f t="shared" ref="K100:K108" si="30">H100-J100</f>
        <v>84.33</v>
      </c>
      <c r="L100" s="131">
        <f t="shared" si="29"/>
        <v>339.85</v>
      </c>
      <c r="M100" s="131">
        <f t="shared" si="29"/>
        <v>0</v>
      </c>
      <c r="N100" s="131">
        <f t="shared" si="29"/>
        <v>0</v>
      </c>
      <c r="O100" s="131">
        <f t="shared" si="29"/>
        <v>339.85</v>
      </c>
      <c r="P100" s="136">
        <f t="shared" si="26"/>
        <v>0</v>
      </c>
      <c r="Q100" s="525"/>
      <c r="S100" s="192">
        <v>600</v>
      </c>
      <c r="T100" s="192">
        <v>600</v>
      </c>
      <c r="BT100" s="525"/>
      <c r="BU100" s="523">
        <v>0</v>
      </c>
      <c r="BV100" s="523">
        <v>0</v>
      </c>
      <c r="BW100" s="523">
        <v>0</v>
      </c>
      <c r="BX100" s="523"/>
      <c r="BY100" s="523"/>
      <c r="BZ100" s="523"/>
      <c r="CA100" s="523"/>
      <c r="CB100" s="523"/>
      <c r="CC100" s="523"/>
      <c r="CD100" s="523"/>
      <c r="CE100" s="523"/>
      <c r="CF100" s="523"/>
      <c r="CG100" s="523"/>
      <c r="CH100" s="523"/>
      <c r="CI100" s="523">
        <f t="shared" si="20"/>
        <v>0</v>
      </c>
    </row>
    <row r="101" spans="1:87" s="110" customFormat="1" ht="25.5" x14ac:dyDescent="0.2">
      <c r="A101" s="379" t="s">
        <v>1463</v>
      </c>
      <c r="B101" s="380">
        <v>87531</v>
      </c>
      <c r="C101" s="380" t="s">
        <v>1324</v>
      </c>
      <c r="D101" s="381" t="s">
        <v>1464</v>
      </c>
      <c r="E101" s="382" t="s">
        <v>14</v>
      </c>
      <c r="F101" s="137">
        <v>180.11</v>
      </c>
      <c r="G101" s="383">
        <v>26.27</v>
      </c>
      <c r="H101" s="382">
        <v>743.93</v>
      </c>
      <c r="I101" s="385">
        <f t="shared" si="21"/>
        <v>0</v>
      </c>
      <c r="J101" s="374">
        <f t="shared" si="22"/>
        <v>0</v>
      </c>
      <c r="K101" s="137">
        <f t="shared" si="30"/>
        <v>743.93</v>
      </c>
      <c r="L101" s="131">
        <f t="shared" si="29"/>
        <v>19543.04</v>
      </c>
      <c r="M101" s="131">
        <f t="shared" si="29"/>
        <v>0</v>
      </c>
      <c r="N101" s="131">
        <f t="shared" si="29"/>
        <v>0</v>
      </c>
      <c r="O101" s="131">
        <f t="shared" si="29"/>
        <v>19543.04</v>
      </c>
      <c r="P101" s="388">
        <f t="shared" si="26"/>
        <v>0</v>
      </c>
      <c r="Q101" s="525"/>
      <c r="S101" s="192">
        <v>358.92</v>
      </c>
      <c r="T101" s="192">
        <v>358.92</v>
      </c>
      <c r="BT101" s="525"/>
      <c r="BU101" s="523">
        <v>0</v>
      </c>
      <c r="BV101" s="523">
        <v>0</v>
      </c>
      <c r="BW101" s="523">
        <v>0</v>
      </c>
      <c r="BX101" s="523"/>
      <c r="BY101" s="523"/>
      <c r="BZ101" s="523"/>
      <c r="CA101" s="523"/>
      <c r="CB101" s="523"/>
      <c r="CC101" s="523"/>
      <c r="CD101" s="523"/>
      <c r="CE101" s="523"/>
      <c r="CF101" s="523"/>
      <c r="CG101" s="523"/>
      <c r="CH101" s="523"/>
      <c r="CI101" s="523">
        <f t="shared" si="20"/>
        <v>0</v>
      </c>
    </row>
    <row r="102" spans="1:87" x14ac:dyDescent="0.2">
      <c r="A102" s="379" t="s">
        <v>1465</v>
      </c>
      <c r="B102" s="380" t="s">
        <v>1466</v>
      </c>
      <c r="C102" s="380" t="s">
        <v>1324</v>
      </c>
      <c r="D102" s="381" t="s">
        <v>1467</v>
      </c>
      <c r="E102" s="382" t="s">
        <v>14</v>
      </c>
      <c r="F102" s="137">
        <v>327.47000000000003</v>
      </c>
      <c r="G102" s="383">
        <v>12.12</v>
      </c>
      <c r="H102" s="382">
        <v>445.04</v>
      </c>
      <c r="I102" s="385">
        <f t="shared" si="21"/>
        <v>0</v>
      </c>
      <c r="J102" s="374">
        <f t="shared" si="22"/>
        <v>0</v>
      </c>
      <c r="K102" s="137">
        <f t="shared" si="30"/>
        <v>445.04</v>
      </c>
      <c r="L102" s="131">
        <f t="shared" si="29"/>
        <v>5393.88</v>
      </c>
      <c r="M102" s="131">
        <f t="shared" si="29"/>
        <v>0</v>
      </c>
      <c r="N102" s="131">
        <f t="shared" si="29"/>
        <v>0</v>
      </c>
      <c r="O102" s="131">
        <f t="shared" si="29"/>
        <v>5393.88</v>
      </c>
      <c r="P102" s="388">
        <f t="shared" si="26"/>
        <v>0</v>
      </c>
      <c r="Q102" s="525"/>
      <c r="S102" s="189">
        <v>0</v>
      </c>
      <c r="T102" s="189">
        <v>0</v>
      </c>
      <c r="BT102" s="525"/>
      <c r="BU102" s="523">
        <v>0</v>
      </c>
      <c r="BV102" s="523">
        <v>0</v>
      </c>
      <c r="BW102" s="523">
        <v>0</v>
      </c>
      <c r="BX102" s="523"/>
      <c r="BY102" s="523"/>
      <c r="BZ102" s="523"/>
      <c r="CA102" s="523"/>
      <c r="CB102" s="523"/>
      <c r="CC102" s="523"/>
      <c r="CD102" s="523"/>
      <c r="CE102" s="523"/>
      <c r="CF102" s="523"/>
      <c r="CG102" s="523"/>
      <c r="CH102" s="523"/>
      <c r="CI102" s="523">
        <f t="shared" si="20"/>
        <v>0</v>
      </c>
    </row>
    <row r="103" spans="1:87" x14ac:dyDescent="0.2">
      <c r="A103" s="125" t="s">
        <v>1468</v>
      </c>
      <c r="B103" s="126" t="s">
        <v>1466</v>
      </c>
      <c r="C103" s="126" t="s">
        <v>1324</v>
      </c>
      <c r="D103" s="127" t="s">
        <v>1469</v>
      </c>
      <c r="E103" s="128" t="s">
        <v>14</v>
      </c>
      <c r="F103" s="137">
        <v>381.87</v>
      </c>
      <c r="G103" s="130">
        <v>14.08</v>
      </c>
      <c r="H103" s="128">
        <v>84.33</v>
      </c>
      <c r="I103" s="133">
        <f t="shared" si="21"/>
        <v>0</v>
      </c>
      <c r="J103" s="374">
        <f t="shared" si="22"/>
        <v>0</v>
      </c>
      <c r="K103" s="137">
        <f t="shared" si="30"/>
        <v>84.33</v>
      </c>
      <c r="L103" s="131">
        <f t="shared" si="29"/>
        <v>1187.3699999999999</v>
      </c>
      <c r="M103" s="131">
        <f t="shared" si="29"/>
        <v>0</v>
      </c>
      <c r="N103" s="131">
        <f t="shared" si="29"/>
        <v>0</v>
      </c>
      <c r="O103" s="131">
        <f t="shared" si="29"/>
        <v>1187.3699999999999</v>
      </c>
      <c r="P103" s="136">
        <f t="shared" si="26"/>
        <v>0</v>
      </c>
      <c r="Q103" s="525"/>
      <c r="S103" s="189">
        <v>0</v>
      </c>
      <c r="T103" s="189">
        <v>0</v>
      </c>
      <c r="BT103" s="525"/>
      <c r="BU103" s="523">
        <v>0</v>
      </c>
      <c r="BV103" s="523">
        <v>0</v>
      </c>
      <c r="BW103" s="523">
        <v>0</v>
      </c>
      <c r="BX103" s="523"/>
      <c r="BY103" s="523"/>
      <c r="BZ103" s="523"/>
      <c r="CA103" s="523"/>
      <c r="CB103" s="523"/>
      <c r="CC103" s="523"/>
      <c r="CD103" s="523"/>
      <c r="CE103" s="523"/>
      <c r="CF103" s="523"/>
      <c r="CG103" s="523"/>
      <c r="CH103" s="523"/>
      <c r="CI103" s="523">
        <f t="shared" si="20"/>
        <v>0</v>
      </c>
    </row>
    <row r="104" spans="1:87" x14ac:dyDescent="0.2">
      <c r="A104" s="125" t="s">
        <v>1470</v>
      </c>
      <c r="B104" s="126">
        <v>87905</v>
      </c>
      <c r="C104" s="126" t="s">
        <v>1324</v>
      </c>
      <c r="D104" s="127" t="s">
        <v>1471</v>
      </c>
      <c r="E104" s="128" t="s">
        <v>14</v>
      </c>
      <c r="F104" s="138"/>
      <c r="G104" s="130">
        <v>6.11</v>
      </c>
      <c r="H104" s="128">
        <v>140.33000000000001</v>
      </c>
      <c r="I104" s="133">
        <f t="shared" si="21"/>
        <v>0</v>
      </c>
      <c r="J104" s="374">
        <f t="shared" si="22"/>
        <v>0</v>
      </c>
      <c r="K104" s="137">
        <f t="shared" si="30"/>
        <v>140.33000000000001</v>
      </c>
      <c r="L104" s="131">
        <f t="shared" si="29"/>
        <v>857.42</v>
      </c>
      <c r="M104" s="131">
        <f t="shared" si="29"/>
        <v>0</v>
      </c>
      <c r="N104" s="131">
        <f t="shared" si="29"/>
        <v>0</v>
      </c>
      <c r="O104" s="131">
        <f t="shared" si="29"/>
        <v>857.42</v>
      </c>
      <c r="P104" s="136">
        <f t="shared" si="26"/>
        <v>0</v>
      </c>
      <c r="Q104" s="525"/>
      <c r="S104" s="189">
        <v>0</v>
      </c>
      <c r="T104" s="189">
        <v>0</v>
      </c>
      <c r="BT104" s="525"/>
      <c r="BU104" s="523">
        <v>0</v>
      </c>
      <c r="BV104" s="523">
        <v>0</v>
      </c>
      <c r="BW104" s="523">
        <v>0</v>
      </c>
      <c r="BX104" s="523"/>
      <c r="BY104" s="523"/>
      <c r="BZ104" s="523"/>
      <c r="CA104" s="523"/>
      <c r="CB104" s="523"/>
      <c r="CC104" s="523"/>
      <c r="CD104" s="523"/>
      <c r="CE104" s="523"/>
      <c r="CF104" s="523"/>
      <c r="CG104" s="523"/>
      <c r="CH104" s="523"/>
      <c r="CI104" s="523">
        <f t="shared" si="20"/>
        <v>0</v>
      </c>
    </row>
    <row r="105" spans="1:87" x14ac:dyDescent="0.2">
      <c r="A105" s="125" t="s">
        <v>1472</v>
      </c>
      <c r="B105" s="126">
        <v>87531</v>
      </c>
      <c r="C105" s="126" t="s">
        <v>1324</v>
      </c>
      <c r="D105" s="127" t="s">
        <v>1473</v>
      </c>
      <c r="E105" s="128" t="s">
        <v>14</v>
      </c>
      <c r="F105" s="138"/>
      <c r="G105" s="130">
        <v>26.27</v>
      </c>
      <c r="H105" s="128">
        <v>140.33000000000001</v>
      </c>
      <c r="I105" s="133">
        <f t="shared" si="21"/>
        <v>0</v>
      </c>
      <c r="J105" s="374">
        <f t="shared" si="22"/>
        <v>0</v>
      </c>
      <c r="K105" s="137">
        <f t="shared" si="30"/>
        <v>140.33000000000001</v>
      </c>
      <c r="L105" s="131">
        <f t="shared" si="29"/>
        <v>3686.47</v>
      </c>
      <c r="M105" s="131">
        <f t="shared" si="29"/>
        <v>0</v>
      </c>
      <c r="N105" s="131">
        <f t="shared" si="29"/>
        <v>0</v>
      </c>
      <c r="O105" s="131">
        <f t="shared" si="29"/>
        <v>3686.47</v>
      </c>
      <c r="P105" s="136">
        <f t="shared" si="26"/>
        <v>0</v>
      </c>
      <c r="Q105" s="525"/>
      <c r="S105" s="189">
        <v>0</v>
      </c>
      <c r="T105" s="189">
        <v>0</v>
      </c>
      <c r="BT105" s="525"/>
      <c r="BU105" s="523">
        <v>0</v>
      </c>
      <c r="BV105" s="523">
        <v>0</v>
      </c>
      <c r="BW105" s="523">
        <v>0</v>
      </c>
      <c r="BX105" s="523"/>
      <c r="BY105" s="523"/>
      <c r="BZ105" s="523"/>
      <c r="CA105" s="523"/>
      <c r="CB105" s="523"/>
      <c r="CC105" s="523"/>
      <c r="CD105" s="523"/>
      <c r="CE105" s="523"/>
      <c r="CF105" s="523"/>
      <c r="CG105" s="523"/>
      <c r="CH105" s="523"/>
      <c r="CI105" s="523">
        <f t="shared" si="20"/>
        <v>0</v>
      </c>
    </row>
    <row r="106" spans="1:87" ht="25.5" x14ac:dyDescent="0.2">
      <c r="A106" s="125" t="s">
        <v>1474</v>
      </c>
      <c r="B106" s="126" t="s">
        <v>1466</v>
      </c>
      <c r="C106" s="126" t="s">
        <v>1324</v>
      </c>
      <c r="D106" s="127" t="s">
        <v>1475</v>
      </c>
      <c r="E106" s="128" t="s">
        <v>14</v>
      </c>
      <c r="F106" s="138"/>
      <c r="G106" s="130">
        <v>16.23</v>
      </c>
      <c r="H106" s="128">
        <v>140.33000000000001</v>
      </c>
      <c r="I106" s="133">
        <f t="shared" si="21"/>
        <v>0</v>
      </c>
      <c r="J106" s="374">
        <f t="shared" si="22"/>
        <v>0</v>
      </c>
      <c r="K106" s="137">
        <f t="shared" si="30"/>
        <v>140.33000000000001</v>
      </c>
      <c r="L106" s="131">
        <f t="shared" si="29"/>
        <v>2277.56</v>
      </c>
      <c r="M106" s="131">
        <f t="shared" si="29"/>
        <v>0</v>
      </c>
      <c r="N106" s="131">
        <f t="shared" si="29"/>
        <v>0</v>
      </c>
      <c r="O106" s="131">
        <f t="shared" si="29"/>
        <v>2277.56</v>
      </c>
      <c r="P106" s="136">
        <f t="shared" si="26"/>
        <v>0</v>
      </c>
      <c r="Q106" s="525"/>
      <c r="S106" s="189">
        <v>0</v>
      </c>
      <c r="T106" s="189">
        <v>0</v>
      </c>
      <c r="BT106" s="525"/>
      <c r="BU106" s="523">
        <v>0</v>
      </c>
      <c r="BV106" s="523">
        <v>0</v>
      </c>
      <c r="BW106" s="523">
        <v>0</v>
      </c>
      <c r="BX106" s="523"/>
      <c r="BY106" s="523"/>
      <c r="BZ106" s="523"/>
      <c r="CA106" s="523"/>
      <c r="CB106" s="523"/>
      <c r="CC106" s="523"/>
      <c r="CD106" s="523"/>
      <c r="CE106" s="523"/>
      <c r="CF106" s="523"/>
      <c r="CG106" s="523"/>
      <c r="CH106" s="523"/>
      <c r="CI106" s="523">
        <f t="shared" si="20"/>
        <v>0</v>
      </c>
    </row>
    <row r="107" spans="1:87" ht="25.5" x14ac:dyDescent="0.2">
      <c r="A107" s="125" t="s">
        <v>1476</v>
      </c>
      <c r="B107" s="126">
        <v>87272</v>
      </c>
      <c r="C107" s="126" t="s">
        <v>1324</v>
      </c>
      <c r="D107" s="127" t="s">
        <v>1477</v>
      </c>
      <c r="E107" s="128" t="s">
        <v>14</v>
      </c>
      <c r="F107" s="137">
        <v>319.5</v>
      </c>
      <c r="G107" s="130">
        <v>45.67</v>
      </c>
      <c r="H107" s="128">
        <v>210.5</v>
      </c>
      <c r="I107" s="133">
        <f t="shared" si="21"/>
        <v>0</v>
      </c>
      <c r="J107" s="374">
        <f t="shared" si="22"/>
        <v>0</v>
      </c>
      <c r="K107" s="137">
        <f t="shared" si="30"/>
        <v>210.5</v>
      </c>
      <c r="L107" s="131">
        <f t="shared" si="29"/>
        <v>9613.5400000000009</v>
      </c>
      <c r="M107" s="131">
        <f t="shared" si="29"/>
        <v>0</v>
      </c>
      <c r="N107" s="131">
        <f t="shared" si="29"/>
        <v>0</v>
      </c>
      <c r="O107" s="131">
        <f t="shared" si="29"/>
        <v>9613.5400000000009</v>
      </c>
      <c r="P107" s="136">
        <f t="shared" si="26"/>
        <v>0</v>
      </c>
      <c r="Q107" s="525"/>
      <c r="S107" s="189">
        <v>0</v>
      </c>
      <c r="T107" s="189">
        <v>0</v>
      </c>
      <c r="BT107" s="525"/>
      <c r="BU107" s="523">
        <v>0</v>
      </c>
      <c r="BV107" s="523">
        <v>0</v>
      </c>
      <c r="BW107" s="523">
        <v>0</v>
      </c>
      <c r="BX107" s="523"/>
      <c r="BY107" s="523"/>
      <c r="BZ107" s="523"/>
      <c r="CA107" s="523"/>
      <c r="CB107" s="523"/>
      <c r="CC107" s="523"/>
      <c r="CD107" s="523"/>
      <c r="CE107" s="523"/>
      <c r="CF107" s="523"/>
      <c r="CG107" s="523"/>
      <c r="CH107" s="523"/>
      <c r="CI107" s="523">
        <f t="shared" si="20"/>
        <v>0</v>
      </c>
    </row>
    <row r="108" spans="1:87" ht="25.5" x14ac:dyDescent="0.2">
      <c r="A108" s="125" t="s">
        <v>1478</v>
      </c>
      <c r="B108" s="126">
        <v>87267</v>
      </c>
      <c r="C108" s="126" t="s">
        <v>1324</v>
      </c>
      <c r="D108" s="127" t="s">
        <v>1479</v>
      </c>
      <c r="E108" s="128" t="s">
        <v>14</v>
      </c>
      <c r="F108" s="137">
        <v>347.14</v>
      </c>
      <c r="G108" s="130">
        <v>46.64</v>
      </c>
      <c r="H108" s="128">
        <v>85.51</v>
      </c>
      <c r="I108" s="133">
        <f t="shared" si="21"/>
        <v>0</v>
      </c>
      <c r="J108" s="374">
        <f t="shared" si="22"/>
        <v>0</v>
      </c>
      <c r="K108" s="137">
        <f t="shared" si="30"/>
        <v>85.51</v>
      </c>
      <c r="L108" s="131">
        <f t="shared" si="29"/>
        <v>3988.19</v>
      </c>
      <c r="M108" s="131">
        <f t="shared" si="29"/>
        <v>0</v>
      </c>
      <c r="N108" s="131">
        <f t="shared" si="29"/>
        <v>0</v>
      </c>
      <c r="O108" s="131">
        <f t="shared" si="29"/>
        <v>3988.19</v>
      </c>
      <c r="P108" s="136">
        <f t="shared" si="26"/>
        <v>0</v>
      </c>
      <c r="Q108" s="525"/>
      <c r="S108" s="189">
        <v>0</v>
      </c>
      <c r="T108" s="189">
        <v>0</v>
      </c>
      <c r="BT108" s="525"/>
      <c r="BU108" s="523">
        <v>0</v>
      </c>
      <c r="BV108" s="523">
        <v>0</v>
      </c>
      <c r="BW108" s="523">
        <v>0</v>
      </c>
      <c r="BX108" s="523"/>
      <c r="BY108" s="523"/>
      <c r="BZ108" s="523"/>
      <c r="CA108" s="523"/>
      <c r="CB108" s="523"/>
      <c r="CC108" s="523"/>
      <c r="CD108" s="523"/>
      <c r="CE108" s="523"/>
      <c r="CF108" s="523"/>
      <c r="CG108" s="523"/>
      <c r="CH108" s="523"/>
      <c r="CI108" s="523">
        <f t="shared" si="20"/>
        <v>0</v>
      </c>
    </row>
    <row r="109" spans="1:87" s="514" customFormat="1" x14ac:dyDescent="0.2">
      <c r="A109" s="412">
        <v>10</v>
      </c>
      <c r="B109" s="413"/>
      <c r="C109" s="413"/>
      <c r="D109" s="414" t="s">
        <v>1480</v>
      </c>
      <c r="E109" s="415"/>
      <c r="F109" s="415"/>
      <c r="G109" s="415"/>
      <c r="H109" s="415"/>
      <c r="I109" s="415"/>
      <c r="J109" s="415"/>
      <c r="K109" s="415"/>
      <c r="L109" s="416">
        <f>SUM(L110,L116)</f>
        <v>60566.09</v>
      </c>
      <c r="M109" s="416">
        <f>SUM(M110,M116)</f>
        <v>0</v>
      </c>
      <c r="N109" s="416">
        <f>SUM(N110,N116)</f>
        <v>0</v>
      </c>
      <c r="O109" s="416">
        <f>SUM(O110,O116)</f>
        <v>60566.09</v>
      </c>
      <c r="P109" s="423">
        <f t="shared" si="26"/>
        <v>0</v>
      </c>
      <c r="Q109" s="525"/>
      <c r="S109" s="190">
        <v>0</v>
      </c>
      <c r="T109" s="190">
        <v>0</v>
      </c>
      <c r="BT109" s="525"/>
      <c r="BU109" s="523">
        <v>0</v>
      </c>
      <c r="BV109" s="523"/>
      <c r="BW109" s="523"/>
      <c r="BX109" s="523"/>
      <c r="BY109" s="523"/>
      <c r="BZ109" s="523"/>
      <c r="CA109" s="523"/>
      <c r="CB109" s="523"/>
      <c r="CC109" s="523"/>
      <c r="CD109" s="523"/>
      <c r="CE109" s="523"/>
      <c r="CF109" s="523"/>
      <c r="CG109" s="523"/>
      <c r="CH109" s="523"/>
      <c r="CI109" s="523">
        <f t="shared" si="20"/>
        <v>0</v>
      </c>
    </row>
    <row r="110" spans="1:87" x14ac:dyDescent="0.2">
      <c r="A110" s="449" t="s">
        <v>254</v>
      </c>
      <c r="B110" s="450"/>
      <c r="C110" s="450"/>
      <c r="D110" s="451" t="s">
        <v>1481</v>
      </c>
      <c r="E110" s="465"/>
      <c r="F110" s="465"/>
      <c r="G110" s="465"/>
      <c r="H110" s="465"/>
      <c r="I110" s="465"/>
      <c r="J110" s="465"/>
      <c r="K110" s="465"/>
      <c r="L110" s="452">
        <f>SUM(L111:L115)</f>
        <v>54520.32</v>
      </c>
      <c r="M110" s="452">
        <f>SUM(M111:M115)</f>
        <v>0</v>
      </c>
      <c r="N110" s="452">
        <f>SUM(N111:N115)</f>
        <v>0</v>
      </c>
      <c r="O110" s="452">
        <f>SUM(O111:O115)</f>
        <v>54520.32</v>
      </c>
      <c r="P110" s="459">
        <f t="shared" si="26"/>
        <v>0</v>
      </c>
      <c r="Q110" s="525"/>
      <c r="S110" s="189">
        <v>0</v>
      </c>
      <c r="T110" s="189">
        <v>0</v>
      </c>
      <c r="BT110" s="525"/>
      <c r="BU110" s="523">
        <v>0</v>
      </c>
      <c r="BV110" s="523"/>
      <c r="BW110" s="523"/>
      <c r="BX110" s="523"/>
      <c r="BY110" s="523"/>
      <c r="BZ110" s="523"/>
      <c r="CA110" s="523"/>
      <c r="CB110" s="523"/>
      <c r="CC110" s="523"/>
      <c r="CD110" s="523"/>
      <c r="CE110" s="523"/>
      <c r="CF110" s="523"/>
      <c r="CG110" s="523"/>
      <c r="CH110" s="523"/>
      <c r="CI110" s="523">
        <f t="shared" si="20"/>
        <v>0</v>
      </c>
    </row>
    <row r="111" spans="1:87" x14ac:dyDescent="0.2">
      <c r="A111" s="125" t="s">
        <v>1482</v>
      </c>
      <c r="B111" s="126" t="s">
        <v>2007</v>
      </c>
      <c r="C111" s="126" t="s">
        <v>1339</v>
      </c>
      <c r="D111" s="127" t="s">
        <v>1483</v>
      </c>
      <c r="E111" s="128" t="s">
        <v>14</v>
      </c>
      <c r="F111" s="137">
        <v>52.1</v>
      </c>
      <c r="G111" s="130">
        <v>30.94</v>
      </c>
      <c r="H111" s="128">
        <v>64.91</v>
      </c>
      <c r="I111" s="133">
        <f t="shared" si="21"/>
        <v>0</v>
      </c>
      <c r="J111" s="374">
        <f t="shared" si="22"/>
        <v>0</v>
      </c>
      <c r="K111" s="137">
        <f>H111-J111</f>
        <v>64.91</v>
      </c>
      <c r="L111" s="131">
        <f t="shared" ref="L111:O115" si="31">ROUND(H111*$G111,2)</f>
        <v>2008.32</v>
      </c>
      <c r="M111" s="131">
        <f t="shared" si="31"/>
        <v>0</v>
      </c>
      <c r="N111" s="131">
        <f t="shared" si="31"/>
        <v>0</v>
      </c>
      <c r="O111" s="131">
        <f t="shared" si="31"/>
        <v>2008.32</v>
      </c>
      <c r="P111" s="136">
        <f t="shared" si="26"/>
        <v>0</v>
      </c>
      <c r="Q111" s="525"/>
      <c r="S111" s="189">
        <v>0</v>
      </c>
      <c r="T111" s="189">
        <v>0</v>
      </c>
      <c r="BT111" s="525"/>
      <c r="BU111" s="523">
        <v>0</v>
      </c>
      <c r="BV111" s="523">
        <v>0</v>
      </c>
      <c r="BW111" s="523">
        <v>0</v>
      </c>
      <c r="BX111" s="523"/>
      <c r="BY111" s="523"/>
      <c r="BZ111" s="523"/>
      <c r="CA111" s="523"/>
      <c r="CB111" s="523"/>
      <c r="CC111" s="523"/>
      <c r="CD111" s="523"/>
      <c r="CE111" s="523"/>
      <c r="CF111" s="523"/>
      <c r="CG111" s="523"/>
      <c r="CH111" s="523"/>
      <c r="CI111" s="523">
        <f t="shared" si="20"/>
        <v>0</v>
      </c>
    </row>
    <row r="112" spans="1:87" x14ac:dyDescent="0.2">
      <c r="A112" s="125" t="s">
        <v>1484</v>
      </c>
      <c r="B112" s="126">
        <v>87630</v>
      </c>
      <c r="C112" s="126" t="s">
        <v>1324</v>
      </c>
      <c r="D112" s="127" t="s">
        <v>1485</v>
      </c>
      <c r="E112" s="128" t="s">
        <v>14</v>
      </c>
      <c r="F112" s="137">
        <v>15.24</v>
      </c>
      <c r="G112" s="130">
        <v>30.71</v>
      </c>
      <c r="H112" s="128">
        <v>64.91</v>
      </c>
      <c r="I112" s="133">
        <f t="shared" si="21"/>
        <v>0</v>
      </c>
      <c r="J112" s="374">
        <f t="shared" si="22"/>
        <v>0</v>
      </c>
      <c r="K112" s="137">
        <f>H112-J112</f>
        <v>64.91</v>
      </c>
      <c r="L112" s="131">
        <f t="shared" si="31"/>
        <v>1993.39</v>
      </c>
      <c r="M112" s="131">
        <f t="shared" si="31"/>
        <v>0</v>
      </c>
      <c r="N112" s="131">
        <f t="shared" si="31"/>
        <v>0</v>
      </c>
      <c r="O112" s="131">
        <f t="shared" si="31"/>
        <v>1993.39</v>
      </c>
      <c r="P112" s="136">
        <f t="shared" si="26"/>
        <v>0</v>
      </c>
      <c r="Q112" s="525"/>
      <c r="S112" s="189">
        <v>0</v>
      </c>
      <c r="T112" s="189">
        <v>0</v>
      </c>
      <c r="BT112" s="525"/>
      <c r="BU112" s="523">
        <v>0</v>
      </c>
      <c r="BV112" s="523">
        <v>0</v>
      </c>
      <c r="BW112" s="523">
        <v>0</v>
      </c>
      <c r="BX112" s="523"/>
      <c r="BY112" s="523"/>
      <c r="BZ112" s="523"/>
      <c r="CA112" s="523"/>
      <c r="CB112" s="523"/>
      <c r="CC112" s="523"/>
      <c r="CD112" s="523"/>
      <c r="CE112" s="523"/>
      <c r="CF112" s="523"/>
      <c r="CG112" s="523"/>
      <c r="CH112" s="523"/>
      <c r="CI112" s="523">
        <f t="shared" si="20"/>
        <v>0</v>
      </c>
    </row>
    <row r="113" spans="1:87" ht="25.5" x14ac:dyDescent="0.2">
      <c r="A113" s="125" t="s">
        <v>1486</v>
      </c>
      <c r="B113" s="126">
        <v>72136</v>
      </c>
      <c r="C113" s="126" t="s">
        <v>1324</v>
      </c>
      <c r="D113" s="127" t="s">
        <v>1487</v>
      </c>
      <c r="E113" s="128" t="s">
        <v>14</v>
      </c>
      <c r="F113" s="137">
        <v>584.54999999999995</v>
      </c>
      <c r="G113" s="130">
        <v>71.489999999999995</v>
      </c>
      <c r="H113" s="128">
        <v>676.67</v>
      </c>
      <c r="I113" s="133">
        <f t="shared" si="21"/>
        <v>0</v>
      </c>
      <c r="J113" s="374">
        <f t="shared" si="22"/>
        <v>0</v>
      </c>
      <c r="K113" s="137">
        <f>H113-J113</f>
        <v>676.67</v>
      </c>
      <c r="L113" s="131">
        <f t="shared" si="31"/>
        <v>48375.14</v>
      </c>
      <c r="M113" s="131">
        <f t="shared" si="31"/>
        <v>0</v>
      </c>
      <c r="N113" s="131">
        <f t="shared" si="31"/>
        <v>0</v>
      </c>
      <c r="O113" s="131">
        <f t="shared" si="31"/>
        <v>48375.14</v>
      </c>
      <c r="P113" s="136">
        <f t="shared" si="26"/>
        <v>0</v>
      </c>
      <c r="Q113" s="525"/>
      <c r="S113" s="189">
        <v>0</v>
      </c>
      <c r="T113" s="189">
        <v>0</v>
      </c>
      <c r="BT113" s="525"/>
      <c r="BU113" s="523">
        <v>0</v>
      </c>
      <c r="BV113" s="523">
        <v>0</v>
      </c>
      <c r="BW113" s="523">
        <v>0</v>
      </c>
      <c r="BX113" s="523"/>
      <c r="BY113" s="523"/>
      <c r="BZ113" s="523"/>
      <c r="CA113" s="523"/>
      <c r="CB113" s="523"/>
      <c r="CC113" s="523"/>
      <c r="CD113" s="523"/>
      <c r="CE113" s="523"/>
      <c r="CF113" s="523"/>
      <c r="CG113" s="523"/>
      <c r="CH113" s="523"/>
      <c r="CI113" s="523">
        <f t="shared" si="20"/>
        <v>0</v>
      </c>
    </row>
    <row r="114" spans="1:87" ht="25.5" x14ac:dyDescent="0.2">
      <c r="A114" s="125" t="s">
        <v>1488</v>
      </c>
      <c r="B114" s="126">
        <v>87251</v>
      </c>
      <c r="C114" s="126" t="s">
        <v>1324</v>
      </c>
      <c r="D114" s="127" t="s">
        <v>1489</v>
      </c>
      <c r="E114" s="128" t="s">
        <v>14</v>
      </c>
      <c r="F114" s="137">
        <v>18.86</v>
      </c>
      <c r="G114" s="130">
        <v>31.13</v>
      </c>
      <c r="H114" s="128">
        <v>64.91</v>
      </c>
      <c r="I114" s="133">
        <f t="shared" si="21"/>
        <v>0</v>
      </c>
      <c r="J114" s="374">
        <f t="shared" si="22"/>
        <v>0</v>
      </c>
      <c r="K114" s="137">
        <f>H114-J114</f>
        <v>64.91</v>
      </c>
      <c r="L114" s="131">
        <f t="shared" si="31"/>
        <v>2020.65</v>
      </c>
      <c r="M114" s="131">
        <f t="shared" si="31"/>
        <v>0</v>
      </c>
      <c r="N114" s="131">
        <f t="shared" si="31"/>
        <v>0</v>
      </c>
      <c r="O114" s="131">
        <f t="shared" si="31"/>
        <v>2020.65</v>
      </c>
      <c r="P114" s="136">
        <f t="shared" si="26"/>
        <v>0</v>
      </c>
      <c r="Q114" s="525"/>
      <c r="S114" s="189">
        <v>0</v>
      </c>
      <c r="T114" s="189">
        <v>0</v>
      </c>
      <c r="BT114" s="525"/>
      <c r="BU114" s="523">
        <v>0</v>
      </c>
      <c r="BV114" s="523">
        <v>0</v>
      </c>
      <c r="BW114" s="523">
        <v>0</v>
      </c>
      <c r="BX114" s="523"/>
      <c r="BY114" s="523"/>
      <c r="BZ114" s="523"/>
      <c r="CA114" s="523"/>
      <c r="CB114" s="523"/>
      <c r="CC114" s="523"/>
      <c r="CD114" s="523"/>
      <c r="CE114" s="523"/>
      <c r="CF114" s="523"/>
      <c r="CG114" s="523"/>
      <c r="CH114" s="523"/>
      <c r="CI114" s="523">
        <f t="shared" si="20"/>
        <v>0</v>
      </c>
    </row>
    <row r="115" spans="1:87" s="514" customFormat="1" x14ac:dyDescent="0.2">
      <c r="A115" s="125" t="s">
        <v>1490</v>
      </c>
      <c r="B115" s="126" t="s">
        <v>2007</v>
      </c>
      <c r="C115" s="126" t="s">
        <v>1339</v>
      </c>
      <c r="D115" s="127" t="s">
        <v>1491</v>
      </c>
      <c r="E115" s="128" t="s">
        <v>81</v>
      </c>
      <c r="F115" s="137">
        <v>42.78</v>
      </c>
      <c r="G115" s="130">
        <v>45.49</v>
      </c>
      <c r="H115" s="128">
        <v>2.7</v>
      </c>
      <c r="I115" s="133">
        <f t="shared" si="21"/>
        <v>0</v>
      </c>
      <c r="J115" s="374">
        <f t="shared" si="22"/>
        <v>0</v>
      </c>
      <c r="K115" s="137">
        <f>H115-J115</f>
        <v>2.7</v>
      </c>
      <c r="L115" s="131">
        <f t="shared" si="31"/>
        <v>122.82</v>
      </c>
      <c r="M115" s="131">
        <f t="shared" si="31"/>
        <v>0</v>
      </c>
      <c r="N115" s="131">
        <f t="shared" si="31"/>
        <v>0</v>
      </c>
      <c r="O115" s="131">
        <f t="shared" si="31"/>
        <v>122.82</v>
      </c>
      <c r="P115" s="136">
        <f t="shared" si="26"/>
        <v>0</v>
      </c>
      <c r="Q115" s="525"/>
      <c r="S115" s="190">
        <v>0</v>
      </c>
      <c r="T115" s="190">
        <v>0</v>
      </c>
      <c r="BT115" s="525"/>
      <c r="BU115" s="523">
        <v>0</v>
      </c>
      <c r="BV115" s="523">
        <v>0</v>
      </c>
      <c r="BW115" s="523">
        <v>0</v>
      </c>
      <c r="BX115" s="523"/>
      <c r="BY115" s="523"/>
      <c r="BZ115" s="523"/>
      <c r="CA115" s="523"/>
      <c r="CB115" s="523"/>
      <c r="CC115" s="523"/>
      <c r="CD115" s="523"/>
      <c r="CE115" s="523"/>
      <c r="CF115" s="523"/>
      <c r="CG115" s="523"/>
      <c r="CH115" s="523"/>
      <c r="CI115" s="523">
        <f t="shared" si="20"/>
        <v>0</v>
      </c>
    </row>
    <row r="116" spans="1:87" x14ac:dyDescent="0.2">
      <c r="A116" s="449" t="s">
        <v>256</v>
      </c>
      <c r="B116" s="450"/>
      <c r="C116" s="450"/>
      <c r="D116" s="451" t="s">
        <v>1256</v>
      </c>
      <c r="E116" s="465"/>
      <c r="F116" s="465"/>
      <c r="G116" s="465"/>
      <c r="H116" s="465"/>
      <c r="I116" s="465"/>
      <c r="J116" s="465"/>
      <c r="K116" s="465"/>
      <c r="L116" s="452">
        <f>SUM(L117:L119)</f>
        <v>6045.77</v>
      </c>
      <c r="M116" s="452">
        <f>SUM(M117:M119)</f>
        <v>0</v>
      </c>
      <c r="N116" s="452">
        <f>SUM(N117:N119)</f>
        <v>0</v>
      </c>
      <c r="O116" s="452">
        <f>SUM(O117:O119)</f>
        <v>6045.77</v>
      </c>
      <c r="P116" s="459">
        <f t="shared" si="26"/>
        <v>0</v>
      </c>
      <c r="Q116" s="525"/>
      <c r="S116" s="189">
        <v>0</v>
      </c>
      <c r="T116" s="189">
        <v>0</v>
      </c>
      <c r="BT116" s="525"/>
      <c r="BU116" s="523">
        <v>0</v>
      </c>
      <c r="BV116" s="523"/>
      <c r="BW116" s="523"/>
      <c r="BX116" s="523"/>
      <c r="BY116" s="523"/>
      <c r="BZ116" s="523"/>
      <c r="CA116" s="523"/>
      <c r="CB116" s="523"/>
      <c r="CC116" s="523"/>
      <c r="CD116" s="523"/>
      <c r="CE116" s="523"/>
      <c r="CF116" s="523"/>
      <c r="CG116" s="523"/>
      <c r="CH116" s="523"/>
      <c r="CI116" s="523">
        <f t="shared" si="20"/>
        <v>0</v>
      </c>
    </row>
    <row r="117" spans="1:87" x14ac:dyDescent="0.2">
      <c r="A117" s="125" t="s">
        <v>1492</v>
      </c>
      <c r="B117" s="126">
        <v>85181</v>
      </c>
      <c r="C117" s="126" t="s">
        <v>1324</v>
      </c>
      <c r="D117" s="127" t="s">
        <v>1493</v>
      </c>
      <c r="E117" s="128" t="s">
        <v>14</v>
      </c>
      <c r="F117" s="172"/>
      <c r="G117" s="130">
        <v>523.70000000000005</v>
      </c>
      <c r="H117" s="128">
        <v>9.7899999999999991</v>
      </c>
      <c r="I117" s="133">
        <f t="shared" si="21"/>
        <v>0</v>
      </c>
      <c r="J117" s="374">
        <f t="shared" si="22"/>
        <v>0</v>
      </c>
      <c r="K117" s="137">
        <f>H117-J117</f>
        <v>9.7899999999999991</v>
      </c>
      <c r="L117" s="131">
        <f t="shared" ref="L117:O119" si="32">ROUND(H117*$G117,2)</f>
        <v>5127.0200000000004</v>
      </c>
      <c r="M117" s="131">
        <f t="shared" si="32"/>
        <v>0</v>
      </c>
      <c r="N117" s="131">
        <f t="shared" si="32"/>
        <v>0</v>
      </c>
      <c r="O117" s="131">
        <f t="shared" si="32"/>
        <v>5127.0200000000004</v>
      </c>
      <c r="P117" s="136">
        <f t="shared" si="26"/>
        <v>0</v>
      </c>
      <c r="Q117" s="525"/>
      <c r="S117" s="189">
        <v>0</v>
      </c>
      <c r="T117" s="189">
        <v>0</v>
      </c>
      <c r="BT117" s="525"/>
      <c r="BU117" s="523">
        <v>0</v>
      </c>
      <c r="BV117" s="523">
        <v>0</v>
      </c>
      <c r="BW117" s="523">
        <v>0</v>
      </c>
      <c r="BX117" s="523"/>
      <c r="BY117" s="523"/>
      <c r="BZ117" s="523"/>
      <c r="CA117" s="523"/>
      <c r="CB117" s="523"/>
      <c r="CC117" s="523"/>
      <c r="CD117" s="523"/>
      <c r="CE117" s="523"/>
      <c r="CF117" s="523"/>
      <c r="CG117" s="523"/>
      <c r="CH117" s="523"/>
      <c r="CI117" s="523">
        <f t="shared" si="20"/>
        <v>0</v>
      </c>
    </row>
    <row r="118" spans="1:87" x14ac:dyDescent="0.2">
      <c r="A118" s="125" t="s">
        <v>1494</v>
      </c>
      <c r="B118" s="126">
        <v>5652</v>
      </c>
      <c r="C118" s="126" t="s">
        <v>1324</v>
      </c>
      <c r="D118" s="127" t="s">
        <v>1495</v>
      </c>
      <c r="E118" s="128" t="s">
        <v>48</v>
      </c>
      <c r="F118" s="172"/>
      <c r="G118" s="130">
        <v>276.27</v>
      </c>
      <c r="H118" s="128">
        <v>1.82</v>
      </c>
      <c r="I118" s="133">
        <f t="shared" si="21"/>
        <v>0</v>
      </c>
      <c r="J118" s="374">
        <f t="shared" si="22"/>
        <v>0</v>
      </c>
      <c r="K118" s="137">
        <f>H118-J118</f>
        <v>1.82</v>
      </c>
      <c r="L118" s="131">
        <f t="shared" si="32"/>
        <v>502.81</v>
      </c>
      <c r="M118" s="131">
        <f t="shared" si="32"/>
        <v>0</v>
      </c>
      <c r="N118" s="131">
        <f t="shared" si="32"/>
        <v>0</v>
      </c>
      <c r="O118" s="131">
        <f t="shared" si="32"/>
        <v>502.81</v>
      </c>
      <c r="P118" s="136">
        <f t="shared" si="26"/>
        <v>0</v>
      </c>
      <c r="Q118" s="525"/>
      <c r="S118" s="189">
        <v>0</v>
      </c>
      <c r="T118" s="189">
        <v>0</v>
      </c>
      <c r="BT118" s="525"/>
      <c r="BU118" s="523">
        <v>0</v>
      </c>
      <c r="BV118" s="523">
        <v>0</v>
      </c>
      <c r="BW118" s="523">
        <v>0</v>
      </c>
      <c r="BX118" s="523"/>
      <c r="BY118" s="523"/>
      <c r="BZ118" s="523"/>
      <c r="CA118" s="523"/>
      <c r="CB118" s="523"/>
      <c r="CC118" s="523"/>
      <c r="CD118" s="523"/>
      <c r="CE118" s="523"/>
      <c r="CF118" s="523"/>
      <c r="CG118" s="523"/>
      <c r="CH118" s="523"/>
      <c r="CI118" s="523">
        <f t="shared" si="20"/>
        <v>0</v>
      </c>
    </row>
    <row r="119" spans="1:87" s="514" customFormat="1" ht="25.5" x14ac:dyDescent="0.2">
      <c r="A119" s="125" t="s">
        <v>1496</v>
      </c>
      <c r="B119" s="126" t="s">
        <v>2007</v>
      </c>
      <c r="C119" s="126" t="s">
        <v>1339</v>
      </c>
      <c r="D119" s="127" t="s">
        <v>1497</v>
      </c>
      <c r="E119" s="128" t="s">
        <v>14</v>
      </c>
      <c r="F119" s="137">
        <v>7.73</v>
      </c>
      <c r="G119" s="130">
        <v>71.099999999999994</v>
      </c>
      <c r="H119" s="128">
        <v>5.85</v>
      </c>
      <c r="I119" s="133">
        <f t="shared" si="21"/>
        <v>0</v>
      </c>
      <c r="J119" s="374">
        <f t="shared" si="22"/>
        <v>0</v>
      </c>
      <c r="K119" s="137">
        <f>H119-J119</f>
        <v>5.85</v>
      </c>
      <c r="L119" s="131">
        <f t="shared" si="32"/>
        <v>415.94</v>
      </c>
      <c r="M119" s="131">
        <f t="shared" si="32"/>
        <v>0</v>
      </c>
      <c r="N119" s="131">
        <f t="shared" si="32"/>
        <v>0</v>
      </c>
      <c r="O119" s="131">
        <f t="shared" si="32"/>
        <v>415.94</v>
      </c>
      <c r="P119" s="136">
        <f t="shared" si="26"/>
        <v>0</v>
      </c>
      <c r="Q119" s="525"/>
      <c r="S119" s="190">
        <v>0</v>
      </c>
      <c r="T119" s="190">
        <v>0</v>
      </c>
      <c r="BT119" s="525"/>
      <c r="BU119" s="523">
        <v>0</v>
      </c>
      <c r="BV119" s="523">
        <v>0</v>
      </c>
      <c r="BW119" s="523">
        <v>0</v>
      </c>
      <c r="BX119" s="523"/>
      <c r="BY119" s="523"/>
      <c r="BZ119" s="523"/>
      <c r="CA119" s="523"/>
      <c r="CB119" s="523"/>
      <c r="CC119" s="523"/>
      <c r="CD119" s="523"/>
      <c r="CE119" s="523"/>
      <c r="CF119" s="523"/>
      <c r="CG119" s="523"/>
      <c r="CH119" s="523"/>
      <c r="CI119" s="523">
        <f t="shared" si="20"/>
        <v>0</v>
      </c>
    </row>
    <row r="120" spans="1:87" x14ac:dyDescent="0.2">
      <c r="A120" s="412">
        <v>11</v>
      </c>
      <c r="B120" s="413"/>
      <c r="C120" s="413"/>
      <c r="D120" s="414" t="s">
        <v>1498</v>
      </c>
      <c r="E120" s="415"/>
      <c r="F120" s="415"/>
      <c r="G120" s="415"/>
      <c r="H120" s="415"/>
      <c r="I120" s="415"/>
      <c r="J120" s="415"/>
      <c r="K120" s="415"/>
      <c r="L120" s="433">
        <f>SUM(L121:L128)</f>
        <v>62088.5</v>
      </c>
      <c r="M120" s="433">
        <f>SUM(M121:M128)</f>
        <v>0</v>
      </c>
      <c r="N120" s="433">
        <f>SUM(N121:N128)</f>
        <v>0</v>
      </c>
      <c r="O120" s="433">
        <f>SUM(O121:O128)</f>
        <v>62088.5</v>
      </c>
      <c r="P120" s="423">
        <f t="shared" si="26"/>
        <v>0</v>
      </c>
      <c r="Q120" s="525"/>
      <c r="S120" s="189">
        <v>0</v>
      </c>
      <c r="T120" s="189">
        <v>0</v>
      </c>
      <c r="BT120" s="525"/>
      <c r="BU120" s="523">
        <v>0</v>
      </c>
      <c r="BV120" s="523"/>
      <c r="BW120" s="523"/>
      <c r="BX120" s="523"/>
      <c r="BY120" s="523"/>
      <c r="BZ120" s="523"/>
      <c r="CA120" s="523"/>
      <c r="CB120" s="523"/>
      <c r="CC120" s="523"/>
      <c r="CD120" s="523"/>
      <c r="CE120" s="523"/>
      <c r="CF120" s="523"/>
      <c r="CG120" s="523"/>
      <c r="CH120" s="523"/>
      <c r="CI120" s="523">
        <f t="shared" si="20"/>
        <v>0</v>
      </c>
    </row>
    <row r="121" spans="1:87" x14ac:dyDescent="0.2">
      <c r="A121" s="125" t="s">
        <v>274</v>
      </c>
      <c r="B121" s="126" t="s">
        <v>2007</v>
      </c>
      <c r="C121" s="126" t="s">
        <v>1339</v>
      </c>
      <c r="D121" s="127" t="s">
        <v>1499</v>
      </c>
      <c r="E121" s="128" t="s">
        <v>14</v>
      </c>
      <c r="F121" s="137">
        <v>14.07</v>
      </c>
      <c r="G121" s="130">
        <v>7.03</v>
      </c>
      <c r="H121" s="128">
        <v>529.37</v>
      </c>
      <c r="I121" s="133">
        <f t="shared" si="21"/>
        <v>0</v>
      </c>
      <c r="J121" s="374">
        <f t="shared" si="22"/>
        <v>0</v>
      </c>
      <c r="K121" s="137">
        <f t="shared" ref="K121:K128" si="33">H121-J121</f>
        <v>529.37</v>
      </c>
      <c r="L121" s="131">
        <f t="shared" ref="L121:O128" si="34">ROUND(H121*$G121,2)</f>
        <v>3721.47</v>
      </c>
      <c r="M121" s="131">
        <f t="shared" si="34"/>
        <v>0</v>
      </c>
      <c r="N121" s="131">
        <f t="shared" si="34"/>
        <v>0</v>
      </c>
      <c r="O121" s="131">
        <f t="shared" si="34"/>
        <v>3721.47</v>
      </c>
      <c r="P121" s="136">
        <f t="shared" si="26"/>
        <v>0</v>
      </c>
      <c r="Q121" s="525"/>
      <c r="S121" s="189">
        <v>0</v>
      </c>
      <c r="T121" s="189">
        <v>0</v>
      </c>
      <c r="BT121" s="525"/>
      <c r="BU121" s="523">
        <v>0</v>
      </c>
      <c r="BV121" s="523">
        <v>0</v>
      </c>
      <c r="BW121" s="523">
        <v>0</v>
      </c>
      <c r="BX121" s="523"/>
      <c r="BY121" s="523"/>
      <c r="BZ121" s="523"/>
      <c r="CA121" s="523"/>
      <c r="CB121" s="523"/>
      <c r="CC121" s="523"/>
      <c r="CD121" s="523"/>
      <c r="CE121" s="523"/>
      <c r="CF121" s="523"/>
      <c r="CG121" s="523"/>
      <c r="CH121" s="523"/>
      <c r="CI121" s="523">
        <f t="shared" si="20"/>
        <v>0</v>
      </c>
    </row>
    <row r="122" spans="1:87" x14ac:dyDescent="0.2">
      <c r="A122" s="125" t="s">
        <v>276</v>
      </c>
      <c r="B122" s="126">
        <v>88489</v>
      </c>
      <c r="C122" s="126" t="s">
        <v>1324</v>
      </c>
      <c r="D122" s="127" t="s">
        <v>1500</v>
      </c>
      <c r="E122" s="128" t="s">
        <v>14</v>
      </c>
      <c r="F122" s="137">
        <v>14.07</v>
      </c>
      <c r="G122" s="130">
        <v>9.48</v>
      </c>
      <c r="H122" s="128">
        <v>445.04</v>
      </c>
      <c r="I122" s="133">
        <f t="shared" si="21"/>
        <v>0</v>
      </c>
      <c r="J122" s="374">
        <f t="shared" si="22"/>
        <v>0</v>
      </c>
      <c r="K122" s="137">
        <f t="shared" si="33"/>
        <v>445.04</v>
      </c>
      <c r="L122" s="131">
        <f t="shared" si="34"/>
        <v>4218.9799999999996</v>
      </c>
      <c r="M122" s="131">
        <f t="shared" si="34"/>
        <v>0</v>
      </c>
      <c r="N122" s="131">
        <f t="shared" si="34"/>
        <v>0</v>
      </c>
      <c r="O122" s="131">
        <f t="shared" si="34"/>
        <v>4218.9799999999996</v>
      </c>
      <c r="P122" s="136">
        <f t="shared" si="26"/>
        <v>0</v>
      </c>
      <c r="Q122" s="525"/>
      <c r="S122" s="189">
        <v>0</v>
      </c>
      <c r="T122" s="189">
        <v>0</v>
      </c>
      <c r="BT122" s="525"/>
      <c r="BU122" s="523">
        <v>0</v>
      </c>
      <c r="BV122" s="523">
        <v>0</v>
      </c>
      <c r="BW122" s="523">
        <v>0</v>
      </c>
      <c r="BX122" s="523"/>
      <c r="BY122" s="523"/>
      <c r="BZ122" s="523"/>
      <c r="CA122" s="523"/>
      <c r="CB122" s="523"/>
      <c r="CC122" s="523"/>
      <c r="CD122" s="523"/>
      <c r="CE122" s="523"/>
      <c r="CF122" s="523"/>
      <c r="CG122" s="523"/>
      <c r="CH122" s="523"/>
      <c r="CI122" s="523">
        <f t="shared" si="20"/>
        <v>0</v>
      </c>
    </row>
    <row r="123" spans="1:87" x14ac:dyDescent="0.2">
      <c r="A123" s="125" t="s">
        <v>278</v>
      </c>
      <c r="B123" s="126">
        <v>88486</v>
      </c>
      <c r="C123" s="126" t="s">
        <v>1324</v>
      </c>
      <c r="D123" s="127" t="s">
        <v>1501</v>
      </c>
      <c r="E123" s="128" t="s">
        <v>14</v>
      </c>
      <c r="F123" s="138"/>
      <c r="G123" s="130">
        <v>8.2899999999999991</v>
      </c>
      <c r="H123" s="128">
        <v>84.33</v>
      </c>
      <c r="I123" s="133">
        <f t="shared" si="21"/>
        <v>0</v>
      </c>
      <c r="J123" s="374">
        <f t="shared" si="22"/>
        <v>0</v>
      </c>
      <c r="K123" s="137">
        <f t="shared" si="33"/>
        <v>84.33</v>
      </c>
      <c r="L123" s="131">
        <f t="shared" si="34"/>
        <v>699.1</v>
      </c>
      <c r="M123" s="131">
        <f t="shared" si="34"/>
        <v>0</v>
      </c>
      <c r="N123" s="131">
        <f t="shared" si="34"/>
        <v>0</v>
      </c>
      <c r="O123" s="131">
        <f t="shared" si="34"/>
        <v>699.1</v>
      </c>
      <c r="P123" s="136">
        <f t="shared" si="26"/>
        <v>0</v>
      </c>
      <c r="Q123" s="525"/>
      <c r="S123" s="189">
        <v>0</v>
      </c>
      <c r="T123" s="189">
        <v>0</v>
      </c>
      <c r="BT123" s="525"/>
      <c r="BU123" s="523">
        <v>0</v>
      </c>
      <c r="BV123" s="523">
        <v>0</v>
      </c>
      <c r="BW123" s="523">
        <v>0</v>
      </c>
      <c r="BX123" s="523"/>
      <c r="BY123" s="523"/>
      <c r="BZ123" s="523"/>
      <c r="CA123" s="523"/>
      <c r="CB123" s="523"/>
      <c r="CC123" s="523"/>
      <c r="CD123" s="523"/>
      <c r="CE123" s="523"/>
      <c r="CF123" s="523"/>
      <c r="CG123" s="523"/>
      <c r="CH123" s="523"/>
      <c r="CI123" s="523">
        <f t="shared" si="20"/>
        <v>0</v>
      </c>
    </row>
    <row r="124" spans="1:87" x14ac:dyDescent="0.2">
      <c r="A124" s="125" t="s">
        <v>281</v>
      </c>
      <c r="B124" s="126">
        <v>72815</v>
      </c>
      <c r="C124" s="126" t="s">
        <v>1324</v>
      </c>
      <c r="D124" s="127" t="s">
        <v>1502</v>
      </c>
      <c r="E124" s="128" t="s">
        <v>14</v>
      </c>
      <c r="F124" s="138"/>
      <c r="G124" s="130">
        <v>43.08</v>
      </c>
      <c r="H124" s="128">
        <v>483.8</v>
      </c>
      <c r="I124" s="133">
        <f t="shared" si="21"/>
        <v>0</v>
      </c>
      <c r="J124" s="374">
        <f t="shared" si="22"/>
        <v>0</v>
      </c>
      <c r="K124" s="137">
        <f t="shared" si="33"/>
        <v>483.8</v>
      </c>
      <c r="L124" s="131">
        <f t="shared" si="34"/>
        <v>20842.099999999999</v>
      </c>
      <c r="M124" s="131">
        <f t="shared" si="34"/>
        <v>0</v>
      </c>
      <c r="N124" s="131">
        <f t="shared" si="34"/>
        <v>0</v>
      </c>
      <c r="O124" s="131">
        <f t="shared" si="34"/>
        <v>20842.099999999999</v>
      </c>
      <c r="P124" s="136">
        <f t="shared" si="26"/>
        <v>0</v>
      </c>
      <c r="Q124" s="525"/>
      <c r="S124" s="189">
        <v>0</v>
      </c>
      <c r="T124" s="189">
        <v>0</v>
      </c>
      <c r="BT124" s="525"/>
      <c r="BU124" s="523">
        <v>0</v>
      </c>
      <c r="BV124" s="523">
        <v>0</v>
      </c>
      <c r="BW124" s="523">
        <v>0</v>
      </c>
      <c r="BX124" s="523"/>
      <c r="BY124" s="523"/>
      <c r="BZ124" s="523"/>
      <c r="CA124" s="523"/>
      <c r="CB124" s="523"/>
      <c r="CC124" s="523"/>
      <c r="CD124" s="523"/>
      <c r="CE124" s="523"/>
      <c r="CF124" s="523"/>
      <c r="CG124" s="523"/>
      <c r="CH124" s="523"/>
      <c r="CI124" s="523">
        <f t="shared" si="20"/>
        <v>0</v>
      </c>
    </row>
    <row r="125" spans="1:87" x14ac:dyDescent="0.2">
      <c r="A125" s="125" t="s">
        <v>1503</v>
      </c>
      <c r="B125" s="126">
        <v>41595</v>
      </c>
      <c r="C125" s="126" t="s">
        <v>1324</v>
      </c>
      <c r="D125" s="127" t="s">
        <v>1504</v>
      </c>
      <c r="E125" s="128" t="s">
        <v>81</v>
      </c>
      <c r="F125" s="138"/>
      <c r="G125" s="130">
        <v>8.86</v>
      </c>
      <c r="H125" s="128">
        <v>275.60000000000002</v>
      </c>
      <c r="I125" s="133">
        <f t="shared" si="21"/>
        <v>0</v>
      </c>
      <c r="J125" s="374">
        <f t="shared" si="22"/>
        <v>0</v>
      </c>
      <c r="K125" s="137">
        <f t="shared" si="33"/>
        <v>275.60000000000002</v>
      </c>
      <c r="L125" s="131">
        <f t="shared" si="34"/>
        <v>2441.8200000000002</v>
      </c>
      <c r="M125" s="131">
        <f t="shared" si="34"/>
        <v>0</v>
      </c>
      <c r="N125" s="131">
        <f t="shared" si="34"/>
        <v>0</v>
      </c>
      <c r="O125" s="131">
        <f t="shared" si="34"/>
        <v>2441.8200000000002</v>
      </c>
      <c r="P125" s="136">
        <f t="shared" si="26"/>
        <v>0</v>
      </c>
      <c r="Q125" s="525"/>
      <c r="S125" s="189">
        <v>0</v>
      </c>
      <c r="T125" s="189">
        <v>0</v>
      </c>
      <c r="BT125" s="525"/>
      <c r="BU125" s="523">
        <v>0</v>
      </c>
      <c r="BV125" s="523">
        <v>0</v>
      </c>
      <c r="BW125" s="523">
        <v>0</v>
      </c>
      <c r="BX125" s="523"/>
      <c r="BY125" s="523"/>
      <c r="BZ125" s="523"/>
      <c r="CA125" s="523"/>
      <c r="CB125" s="523"/>
      <c r="CC125" s="523"/>
      <c r="CD125" s="523"/>
      <c r="CE125" s="523"/>
      <c r="CF125" s="523"/>
      <c r="CG125" s="523"/>
      <c r="CH125" s="523"/>
      <c r="CI125" s="523">
        <f t="shared" si="20"/>
        <v>0</v>
      </c>
    </row>
    <row r="126" spans="1:87" x14ac:dyDescent="0.2">
      <c r="A126" s="125" t="s">
        <v>1505</v>
      </c>
      <c r="B126" s="126" t="s">
        <v>1506</v>
      </c>
      <c r="C126" s="126" t="s">
        <v>1324</v>
      </c>
      <c r="D126" s="127" t="s">
        <v>1507</v>
      </c>
      <c r="E126" s="128" t="s">
        <v>14</v>
      </c>
      <c r="F126" s="129"/>
      <c r="G126" s="130">
        <v>7.25</v>
      </c>
      <c r="H126" s="128">
        <v>366.82</v>
      </c>
      <c r="I126" s="133">
        <f t="shared" si="21"/>
        <v>0</v>
      </c>
      <c r="J126" s="374">
        <f t="shared" si="22"/>
        <v>0</v>
      </c>
      <c r="K126" s="137">
        <f t="shared" si="33"/>
        <v>366.82</v>
      </c>
      <c r="L126" s="131">
        <f t="shared" si="34"/>
        <v>2659.45</v>
      </c>
      <c r="M126" s="131">
        <f t="shared" si="34"/>
        <v>0</v>
      </c>
      <c r="N126" s="131">
        <f t="shared" si="34"/>
        <v>0</v>
      </c>
      <c r="O126" s="131">
        <f t="shared" si="34"/>
        <v>2659.45</v>
      </c>
      <c r="P126" s="136">
        <f t="shared" si="26"/>
        <v>0</v>
      </c>
      <c r="Q126" s="525"/>
      <c r="S126" s="189">
        <v>0</v>
      </c>
      <c r="T126" s="189">
        <v>0</v>
      </c>
      <c r="BT126" s="525"/>
      <c r="BU126" s="523">
        <v>0</v>
      </c>
      <c r="BV126" s="523">
        <v>0</v>
      </c>
      <c r="BW126" s="523">
        <v>0</v>
      </c>
      <c r="BX126" s="523"/>
      <c r="BY126" s="523"/>
      <c r="BZ126" s="523"/>
      <c r="CA126" s="523"/>
      <c r="CB126" s="523"/>
      <c r="CC126" s="523"/>
      <c r="CD126" s="523"/>
      <c r="CE126" s="523"/>
      <c r="CF126" s="523"/>
      <c r="CG126" s="523"/>
      <c r="CH126" s="523"/>
      <c r="CI126" s="523">
        <f t="shared" si="20"/>
        <v>0</v>
      </c>
    </row>
    <row r="127" spans="1:87" x14ac:dyDescent="0.2">
      <c r="A127" s="125" t="s">
        <v>1508</v>
      </c>
      <c r="B127" s="126" t="s">
        <v>1509</v>
      </c>
      <c r="C127" s="126" t="s">
        <v>1324</v>
      </c>
      <c r="D127" s="127" t="s">
        <v>1510</v>
      </c>
      <c r="E127" s="128" t="s">
        <v>14</v>
      </c>
      <c r="F127" s="137">
        <v>37.78</v>
      </c>
      <c r="G127" s="130">
        <v>21.62</v>
      </c>
      <c r="H127" s="128">
        <v>567.82000000000005</v>
      </c>
      <c r="I127" s="133">
        <f t="shared" si="21"/>
        <v>0</v>
      </c>
      <c r="J127" s="374">
        <f t="shared" si="22"/>
        <v>0</v>
      </c>
      <c r="K127" s="137">
        <f t="shared" si="33"/>
        <v>567.82000000000005</v>
      </c>
      <c r="L127" s="131">
        <f t="shared" si="34"/>
        <v>12276.27</v>
      </c>
      <c r="M127" s="131">
        <f t="shared" si="34"/>
        <v>0</v>
      </c>
      <c r="N127" s="131">
        <f t="shared" si="34"/>
        <v>0</v>
      </c>
      <c r="O127" s="131">
        <f t="shared" si="34"/>
        <v>12276.27</v>
      </c>
      <c r="P127" s="136">
        <f t="shared" si="26"/>
        <v>0</v>
      </c>
      <c r="Q127" s="525"/>
      <c r="S127" s="189">
        <v>0</v>
      </c>
      <c r="T127" s="189">
        <v>0</v>
      </c>
      <c r="BT127" s="525"/>
      <c r="BU127" s="523">
        <v>0</v>
      </c>
      <c r="BV127" s="523">
        <v>0</v>
      </c>
      <c r="BW127" s="523">
        <v>0</v>
      </c>
      <c r="BX127" s="523"/>
      <c r="BY127" s="523"/>
      <c r="BZ127" s="523"/>
      <c r="CA127" s="523"/>
      <c r="CB127" s="523"/>
      <c r="CC127" s="523"/>
      <c r="CD127" s="523"/>
      <c r="CE127" s="523"/>
      <c r="CF127" s="523"/>
      <c r="CG127" s="523"/>
      <c r="CH127" s="523"/>
      <c r="CI127" s="523">
        <f t="shared" si="20"/>
        <v>0</v>
      </c>
    </row>
    <row r="128" spans="1:87" x14ac:dyDescent="0.2">
      <c r="A128" s="125" t="s">
        <v>1511</v>
      </c>
      <c r="B128" s="126" t="s">
        <v>1512</v>
      </c>
      <c r="C128" s="126" t="s">
        <v>1324</v>
      </c>
      <c r="D128" s="127" t="s">
        <v>1513</v>
      </c>
      <c r="E128" s="128" t="s">
        <v>14</v>
      </c>
      <c r="F128" s="137">
        <v>21.63</v>
      </c>
      <c r="G128" s="130">
        <v>14.78</v>
      </c>
      <c r="H128" s="128">
        <v>1030.4000000000001</v>
      </c>
      <c r="I128" s="133">
        <f t="shared" si="21"/>
        <v>0</v>
      </c>
      <c r="J128" s="374">
        <f t="shared" si="22"/>
        <v>0</v>
      </c>
      <c r="K128" s="137">
        <f t="shared" si="33"/>
        <v>1030.4000000000001</v>
      </c>
      <c r="L128" s="131">
        <f t="shared" si="34"/>
        <v>15229.31</v>
      </c>
      <c r="M128" s="131">
        <f t="shared" si="34"/>
        <v>0</v>
      </c>
      <c r="N128" s="131">
        <f t="shared" si="34"/>
        <v>0</v>
      </c>
      <c r="O128" s="131">
        <f t="shared" si="34"/>
        <v>15229.31</v>
      </c>
      <c r="P128" s="136">
        <f t="shared" si="26"/>
        <v>0</v>
      </c>
      <c r="Q128" s="525"/>
      <c r="S128" s="189">
        <v>0</v>
      </c>
      <c r="T128" s="189">
        <v>271</v>
      </c>
      <c r="BT128" s="525"/>
      <c r="BU128" s="523">
        <v>0</v>
      </c>
      <c r="BV128" s="523">
        <v>0</v>
      </c>
      <c r="BW128" s="523">
        <v>0</v>
      </c>
      <c r="BX128" s="523"/>
      <c r="BY128" s="523"/>
      <c r="BZ128" s="523"/>
      <c r="CA128" s="523"/>
      <c r="CB128" s="523"/>
      <c r="CC128" s="523"/>
      <c r="CD128" s="523"/>
      <c r="CE128" s="523"/>
      <c r="CF128" s="523"/>
      <c r="CG128" s="523"/>
      <c r="CH128" s="523"/>
      <c r="CI128" s="523">
        <f t="shared" si="20"/>
        <v>0</v>
      </c>
    </row>
    <row r="129" spans="1:87" s="514" customFormat="1" x14ac:dyDescent="0.2">
      <c r="A129" s="412">
        <v>12</v>
      </c>
      <c r="B129" s="413"/>
      <c r="C129" s="413"/>
      <c r="D129" s="414" t="s">
        <v>1514</v>
      </c>
      <c r="E129" s="415"/>
      <c r="F129" s="415"/>
      <c r="G129" s="415"/>
      <c r="H129" s="415"/>
      <c r="I129" s="415"/>
      <c r="J129" s="415"/>
      <c r="K129" s="415"/>
      <c r="L129" s="416">
        <f>SUM(L130,L152)</f>
        <v>4556.04</v>
      </c>
      <c r="M129" s="416">
        <f>SUM(M130,M152)</f>
        <v>1885.7800000000002</v>
      </c>
      <c r="N129" s="416">
        <f>SUM(N130,N152)</f>
        <v>1885.7800000000002</v>
      </c>
      <c r="O129" s="416">
        <f>SUM(O130,O152)</f>
        <v>2670.26</v>
      </c>
      <c r="P129" s="423">
        <f t="shared" si="26"/>
        <v>0.4139076917674121</v>
      </c>
      <c r="Q129" s="525"/>
      <c r="S129" s="190">
        <v>0</v>
      </c>
      <c r="T129" s="190">
        <v>237</v>
      </c>
      <c r="BT129" s="525"/>
      <c r="BU129" s="523">
        <v>271</v>
      </c>
      <c r="BV129" s="523"/>
      <c r="BW129" s="523"/>
      <c r="BX129" s="523"/>
      <c r="BY129" s="523"/>
      <c r="BZ129" s="523"/>
      <c r="CA129" s="523"/>
      <c r="CB129" s="523"/>
      <c r="CC129" s="523"/>
      <c r="CD129" s="523"/>
      <c r="CE129" s="523"/>
      <c r="CF129" s="523"/>
      <c r="CG129" s="523"/>
      <c r="CH129" s="523"/>
      <c r="CI129" s="523">
        <f t="shared" si="20"/>
        <v>271</v>
      </c>
    </row>
    <row r="130" spans="1:87" x14ac:dyDescent="0.2">
      <c r="A130" s="449" t="s">
        <v>1515</v>
      </c>
      <c r="B130" s="450"/>
      <c r="C130" s="450"/>
      <c r="D130" s="451" t="s">
        <v>1516</v>
      </c>
      <c r="E130" s="465"/>
      <c r="F130" s="465"/>
      <c r="G130" s="465"/>
      <c r="H130" s="465"/>
      <c r="I130" s="465"/>
      <c r="J130" s="465"/>
      <c r="K130" s="465"/>
      <c r="L130" s="452">
        <f>SUM(L131:L151)</f>
        <v>1719.64</v>
      </c>
      <c r="M130" s="452">
        <f>SUM(M131:M151)</f>
        <v>1719.64</v>
      </c>
      <c r="N130" s="452">
        <f>SUM(N131:N151)</f>
        <v>1719.64</v>
      </c>
      <c r="O130" s="452">
        <f>SUM(O131:O151)</f>
        <v>0</v>
      </c>
      <c r="P130" s="459">
        <f t="shared" si="26"/>
        <v>1</v>
      </c>
      <c r="Q130" s="525"/>
      <c r="S130" s="189">
        <v>0</v>
      </c>
      <c r="T130" s="189">
        <v>12</v>
      </c>
      <c r="BT130" s="525"/>
      <c r="BU130" s="523">
        <v>237</v>
      </c>
      <c r="BV130" s="523"/>
      <c r="BW130" s="523"/>
      <c r="BX130" s="523"/>
      <c r="BY130" s="523"/>
      <c r="BZ130" s="523"/>
      <c r="CA130" s="523"/>
      <c r="CB130" s="523"/>
      <c r="CC130" s="523"/>
      <c r="CD130" s="523"/>
      <c r="CE130" s="523"/>
      <c r="CF130" s="523"/>
      <c r="CG130" s="523"/>
      <c r="CH130" s="523"/>
      <c r="CI130" s="523">
        <f t="shared" si="20"/>
        <v>237</v>
      </c>
    </row>
    <row r="131" spans="1:87" x14ac:dyDescent="0.2">
      <c r="A131" s="125" t="s">
        <v>1517</v>
      </c>
      <c r="B131" s="126">
        <v>89401</v>
      </c>
      <c r="C131" s="126" t="s">
        <v>1324</v>
      </c>
      <c r="D131" s="127" t="s">
        <v>1518</v>
      </c>
      <c r="E131" s="128" t="s">
        <v>81</v>
      </c>
      <c r="F131" s="137">
        <v>22.03</v>
      </c>
      <c r="G131" s="130">
        <v>5.29</v>
      </c>
      <c r="H131" s="128">
        <v>12</v>
      </c>
      <c r="I131" s="133">
        <f t="shared" si="21"/>
        <v>12</v>
      </c>
      <c r="J131" s="374">
        <f t="shared" si="22"/>
        <v>12</v>
      </c>
      <c r="K131" s="137">
        <f t="shared" ref="K131:K193" si="35">H131-J131</f>
        <v>0</v>
      </c>
      <c r="L131" s="131">
        <f t="shared" ref="L131:O151" si="36">ROUND(H131*$G131,2)</f>
        <v>63.48</v>
      </c>
      <c r="M131" s="131">
        <f t="shared" si="36"/>
        <v>63.48</v>
      </c>
      <c r="N131" s="131">
        <f t="shared" si="36"/>
        <v>63.48</v>
      </c>
      <c r="O131" s="131">
        <f t="shared" si="36"/>
        <v>0</v>
      </c>
      <c r="P131" s="136">
        <f t="shared" si="26"/>
        <v>1</v>
      </c>
      <c r="Q131" s="525"/>
      <c r="S131" s="189">
        <v>0</v>
      </c>
      <c r="T131" s="189">
        <v>42</v>
      </c>
      <c r="BT131" s="525"/>
      <c r="BU131" s="523">
        <v>12</v>
      </c>
      <c r="BV131" s="523">
        <v>0</v>
      </c>
      <c r="BW131" s="523">
        <v>0</v>
      </c>
      <c r="BX131" s="523"/>
      <c r="BY131" s="523"/>
      <c r="BZ131" s="523"/>
      <c r="CA131" s="523"/>
      <c r="CB131" s="523"/>
      <c r="CC131" s="523"/>
      <c r="CD131" s="523"/>
      <c r="CE131" s="523"/>
      <c r="CF131" s="523"/>
      <c r="CG131" s="523"/>
      <c r="CH131" s="523"/>
      <c r="CI131" s="523">
        <f t="shared" si="20"/>
        <v>12</v>
      </c>
    </row>
    <row r="132" spans="1:87" x14ac:dyDescent="0.2">
      <c r="A132" s="125" t="s">
        <v>1519</v>
      </c>
      <c r="B132" s="126">
        <v>89446</v>
      </c>
      <c r="C132" s="126" t="s">
        <v>1324</v>
      </c>
      <c r="D132" s="127" t="s">
        <v>1520</v>
      </c>
      <c r="E132" s="128" t="s">
        <v>81</v>
      </c>
      <c r="F132" s="138"/>
      <c r="G132" s="130">
        <v>3.19</v>
      </c>
      <c r="H132" s="128">
        <v>42</v>
      </c>
      <c r="I132" s="133">
        <f t="shared" si="21"/>
        <v>42</v>
      </c>
      <c r="J132" s="374">
        <f t="shared" si="22"/>
        <v>42</v>
      </c>
      <c r="K132" s="128">
        <f t="shared" si="35"/>
        <v>0</v>
      </c>
      <c r="L132" s="131">
        <f t="shared" si="36"/>
        <v>133.97999999999999</v>
      </c>
      <c r="M132" s="131">
        <f t="shared" si="36"/>
        <v>133.97999999999999</v>
      </c>
      <c r="N132" s="131">
        <f t="shared" si="36"/>
        <v>133.97999999999999</v>
      </c>
      <c r="O132" s="131">
        <f t="shared" si="36"/>
        <v>0</v>
      </c>
      <c r="P132" s="136">
        <f t="shared" si="26"/>
        <v>1</v>
      </c>
      <c r="Q132" s="525"/>
      <c r="S132" s="189">
        <v>0</v>
      </c>
      <c r="T132" s="189">
        <v>28</v>
      </c>
      <c r="BT132" s="525"/>
      <c r="BU132" s="523">
        <v>42</v>
      </c>
      <c r="BV132" s="523">
        <v>0</v>
      </c>
      <c r="BW132" s="523">
        <v>0</v>
      </c>
      <c r="BX132" s="523"/>
      <c r="BY132" s="523"/>
      <c r="BZ132" s="523"/>
      <c r="CA132" s="523"/>
      <c r="CB132" s="523"/>
      <c r="CC132" s="523"/>
      <c r="CD132" s="523"/>
      <c r="CE132" s="523"/>
      <c r="CF132" s="523"/>
      <c r="CG132" s="523"/>
      <c r="CH132" s="523"/>
      <c r="CI132" s="523">
        <f t="shared" si="20"/>
        <v>42</v>
      </c>
    </row>
    <row r="133" spans="1:87" x14ac:dyDescent="0.2">
      <c r="A133" s="125" t="s">
        <v>1521</v>
      </c>
      <c r="B133" s="126">
        <v>89447</v>
      </c>
      <c r="C133" s="126" t="s">
        <v>1324</v>
      </c>
      <c r="D133" s="127" t="s">
        <v>1522</v>
      </c>
      <c r="E133" s="128" t="s">
        <v>81</v>
      </c>
      <c r="F133" s="138"/>
      <c r="G133" s="130">
        <v>6.33</v>
      </c>
      <c r="H133" s="128">
        <v>28</v>
      </c>
      <c r="I133" s="133">
        <f t="shared" si="21"/>
        <v>28</v>
      </c>
      <c r="J133" s="374">
        <f t="shared" si="22"/>
        <v>28</v>
      </c>
      <c r="K133" s="128">
        <f t="shared" si="35"/>
        <v>0</v>
      </c>
      <c r="L133" s="131">
        <f t="shared" si="36"/>
        <v>177.24</v>
      </c>
      <c r="M133" s="131">
        <f t="shared" si="36"/>
        <v>177.24</v>
      </c>
      <c r="N133" s="131">
        <f t="shared" si="36"/>
        <v>177.24</v>
      </c>
      <c r="O133" s="131">
        <f t="shared" si="36"/>
        <v>0</v>
      </c>
      <c r="P133" s="136">
        <f t="shared" si="26"/>
        <v>1</v>
      </c>
      <c r="Q133" s="525"/>
      <c r="S133" s="189">
        <v>0</v>
      </c>
      <c r="T133" s="189">
        <v>30</v>
      </c>
      <c r="BT133" s="525"/>
      <c r="BU133" s="523">
        <v>28</v>
      </c>
      <c r="BV133" s="523">
        <v>0</v>
      </c>
      <c r="BW133" s="523">
        <v>0</v>
      </c>
      <c r="BX133" s="523"/>
      <c r="BY133" s="523"/>
      <c r="BZ133" s="523"/>
      <c r="CA133" s="523"/>
      <c r="CB133" s="523"/>
      <c r="CC133" s="523"/>
      <c r="CD133" s="523"/>
      <c r="CE133" s="523"/>
      <c r="CF133" s="523"/>
      <c r="CG133" s="523"/>
      <c r="CH133" s="523"/>
      <c r="CI133" s="523">
        <f t="shared" si="20"/>
        <v>28</v>
      </c>
    </row>
    <row r="134" spans="1:87" x14ac:dyDescent="0.2">
      <c r="A134" s="125" t="s">
        <v>1523</v>
      </c>
      <c r="B134" s="126">
        <v>89448</v>
      </c>
      <c r="C134" s="126" t="s">
        <v>1324</v>
      </c>
      <c r="D134" s="127" t="s">
        <v>1524</v>
      </c>
      <c r="E134" s="128" t="s">
        <v>81</v>
      </c>
      <c r="F134" s="129"/>
      <c r="G134" s="130">
        <v>10.15</v>
      </c>
      <c r="H134" s="128">
        <v>30</v>
      </c>
      <c r="I134" s="133">
        <f t="shared" si="21"/>
        <v>30</v>
      </c>
      <c r="J134" s="374">
        <f t="shared" si="22"/>
        <v>30</v>
      </c>
      <c r="K134" s="128">
        <f t="shared" si="35"/>
        <v>0</v>
      </c>
      <c r="L134" s="131">
        <f t="shared" si="36"/>
        <v>304.5</v>
      </c>
      <c r="M134" s="131">
        <f t="shared" si="36"/>
        <v>304.5</v>
      </c>
      <c r="N134" s="131">
        <f t="shared" si="36"/>
        <v>304.5</v>
      </c>
      <c r="O134" s="131">
        <f t="shared" si="36"/>
        <v>0</v>
      </c>
      <c r="P134" s="136">
        <f t="shared" si="26"/>
        <v>1</v>
      </c>
      <c r="Q134" s="525"/>
      <c r="S134" s="189">
        <v>0</v>
      </c>
      <c r="T134" s="189">
        <v>36</v>
      </c>
      <c r="BT134" s="525"/>
      <c r="BU134" s="523">
        <v>30</v>
      </c>
      <c r="BV134" s="523">
        <v>0</v>
      </c>
      <c r="BW134" s="523">
        <v>0</v>
      </c>
      <c r="BX134" s="523"/>
      <c r="BY134" s="523"/>
      <c r="BZ134" s="523"/>
      <c r="CA134" s="523"/>
      <c r="CB134" s="523"/>
      <c r="CC134" s="523"/>
      <c r="CD134" s="523"/>
      <c r="CE134" s="523"/>
      <c r="CF134" s="523"/>
      <c r="CG134" s="523"/>
      <c r="CH134" s="523"/>
      <c r="CI134" s="523">
        <f t="shared" si="20"/>
        <v>30</v>
      </c>
    </row>
    <row r="135" spans="1:87" x14ac:dyDescent="0.2">
      <c r="A135" s="125" t="s">
        <v>1525</v>
      </c>
      <c r="B135" s="126">
        <v>89449</v>
      </c>
      <c r="C135" s="126" t="s">
        <v>1324</v>
      </c>
      <c r="D135" s="127" t="s">
        <v>1526</v>
      </c>
      <c r="E135" s="128" t="s">
        <v>81</v>
      </c>
      <c r="F135" s="137">
        <v>5.81</v>
      </c>
      <c r="G135" s="130">
        <v>11.27</v>
      </c>
      <c r="H135" s="128">
        <v>36</v>
      </c>
      <c r="I135" s="133">
        <f t="shared" si="21"/>
        <v>36</v>
      </c>
      <c r="J135" s="374">
        <f t="shared" si="22"/>
        <v>36</v>
      </c>
      <c r="K135" s="128">
        <f t="shared" si="35"/>
        <v>0</v>
      </c>
      <c r="L135" s="131">
        <f t="shared" si="36"/>
        <v>405.72</v>
      </c>
      <c r="M135" s="131">
        <f t="shared" si="36"/>
        <v>405.72</v>
      </c>
      <c r="N135" s="131">
        <f t="shared" si="36"/>
        <v>405.72</v>
      </c>
      <c r="O135" s="131">
        <f t="shared" si="36"/>
        <v>0</v>
      </c>
      <c r="P135" s="136">
        <f t="shared" si="26"/>
        <v>1</v>
      </c>
      <c r="Q135" s="525"/>
      <c r="S135" s="189">
        <v>0</v>
      </c>
      <c r="T135" s="189">
        <v>15</v>
      </c>
      <c r="BT135" s="525"/>
      <c r="BU135" s="523">
        <v>36</v>
      </c>
      <c r="BV135" s="523">
        <v>0</v>
      </c>
      <c r="BW135" s="523">
        <v>0</v>
      </c>
      <c r="BX135" s="523"/>
      <c r="BY135" s="523"/>
      <c r="BZ135" s="523"/>
      <c r="CA135" s="523"/>
      <c r="CB135" s="523"/>
      <c r="CC135" s="523"/>
      <c r="CD135" s="523"/>
      <c r="CE135" s="523"/>
      <c r="CF135" s="523"/>
      <c r="CG135" s="523"/>
      <c r="CH135" s="523"/>
      <c r="CI135" s="523">
        <f t="shared" si="20"/>
        <v>36</v>
      </c>
    </row>
    <row r="136" spans="1:87" x14ac:dyDescent="0.2">
      <c r="A136" s="125" t="s">
        <v>1527</v>
      </c>
      <c r="B136" s="126">
        <v>89408</v>
      </c>
      <c r="C136" s="126" t="s">
        <v>1324</v>
      </c>
      <c r="D136" s="127" t="s">
        <v>1528</v>
      </c>
      <c r="E136" s="128" t="s">
        <v>102</v>
      </c>
      <c r="F136" s="137">
        <v>37.78</v>
      </c>
      <c r="G136" s="130">
        <v>4.28</v>
      </c>
      <c r="H136" s="128">
        <v>15</v>
      </c>
      <c r="I136" s="133">
        <f t="shared" si="21"/>
        <v>15</v>
      </c>
      <c r="J136" s="374">
        <f t="shared" si="22"/>
        <v>15</v>
      </c>
      <c r="K136" s="128">
        <f t="shared" si="35"/>
        <v>0</v>
      </c>
      <c r="L136" s="131">
        <f t="shared" si="36"/>
        <v>64.2</v>
      </c>
      <c r="M136" s="131">
        <f t="shared" si="36"/>
        <v>64.2</v>
      </c>
      <c r="N136" s="131">
        <f t="shared" si="36"/>
        <v>64.2</v>
      </c>
      <c r="O136" s="131">
        <f t="shared" si="36"/>
        <v>0</v>
      </c>
      <c r="P136" s="136">
        <f t="shared" si="26"/>
        <v>1</v>
      </c>
      <c r="Q136" s="525"/>
      <c r="S136" s="189">
        <v>0</v>
      </c>
      <c r="T136" s="189">
        <v>8</v>
      </c>
      <c r="BT136" s="525"/>
      <c r="BU136" s="523">
        <v>15</v>
      </c>
      <c r="BV136" s="523">
        <v>0</v>
      </c>
      <c r="BW136" s="523">
        <v>0</v>
      </c>
      <c r="BX136" s="523"/>
      <c r="BY136" s="523"/>
      <c r="BZ136" s="523"/>
      <c r="CA136" s="523"/>
      <c r="CB136" s="523"/>
      <c r="CC136" s="523"/>
      <c r="CD136" s="523"/>
      <c r="CE136" s="523"/>
      <c r="CF136" s="523"/>
      <c r="CG136" s="523"/>
      <c r="CH136" s="523"/>
      <c r="CI136" s="523">
        <f t="shared" si="20"/>
        <v>15</v>
      </c>
    </row>
    <row r="137" spans="1:87" x14ac:dyDescent="0.2">
      <c r="A137" s="395" t="s">
        <v>1529</v>
      </c>
      <c r="B137" s="396">
        <v>89492</v>
      </c>
      <c r="C137" s="396" t="s">
        <v>1324</v>
      </c>
      <c r="D137" s="397" t="s">
        <v>1530</v>
      </c>
      <c r="E137" s="398" t="s">
        <v>102</v>
      </c>
      <c r="F137" s="399">
        <v>21.63</v>
      </c>
      <c r="G137" s="400">
        <v>4.79</v>
      </c>
      <c r="H137" s="398">
        <v>8</v>
      </c>
      <c r="I137" s="402">
        <f t="shared" si="21"/>
        <v>8</v>
      </c>
      <c r="J137" s="403">
        <f t="shared" si="22"/>
        <v>8</v>
      </c>
      <c r="K137" s="398">
        <f t="shared" si="35"/>
        <v>0</v>
      </c>
      <c r="L137" s="131">
        <f t="shared" si="36"/>
        <v>38.32</v>
      </c>
      <c r="M137" s="131">
        <f t="shared" si="36"/>
        <v>38.32</v>
      </c>
      <c r="N137" s="131">
        <f t="shared" si="36"/>
        <v>38.32</v>
      </c>
      <c r="O137" s="131">
        <f t="shared" si="36"/>
        <v>0</v>
      </c>
      <c r="P137" s="407">
        <f t="shared" si="26"/>
        <v>1</v>
      </c>
      <c r="Q137" s="525"/>
      <c r="S137" s="189">
        <v>0</v>
      </c>
      <c r="T137" s="189">
        <v>6</v>
      </c>
      <c r="BT137" s="525"/>
      <c r="BU137" s="523">
        <v>8</v>
      </c>
      <c r="BV137" s="523">
        <v>0</v>
      </c>
      <c r="BW137" s="523">
        <v>0</v>
      </c>
      <c r="BX137" s="523"/>
      <c r="BY137" s="523"/>
      <c r="BZ137" s="523"/>
      <c r="CA137" s="523"/>
      <c r="CB137" s="523"/>
      <c r="CC137" s="523"/>
      <c r="CD137" s="523"/>
      <c r="CE137" s="523"/>
      <c r="CF137" s="523"/>
      <c r="CG137" s="523"/>
      <c r="CH137" s="523"/>
      <c r="CI137" s="523">
        <f t="shared" si="20"/>
        <v>8</v>
      </c>
    </row>
    <row r="138" spans="1:87" x14ac:dyDescent="0.2">
      <c r="A138" s="395" t="s">
        <v>1531</v>
      </c>
      <c r="B138" s="396">
        <v>89501</v>
      </c>
      <c r="C138" s="396" t="s">
        <v>1324</v>
      </c>
      <c r="D138" s="397" t="s">
        <v>1532</v>
      </c>
      <c r="E138" s="398" t="s">
        <v>102</v>
      </c>
      <c r="F138" s="399">
        <v>38.770000000000003</v>
      </c>
      <c r="G138" s="400">
        <v>9.3800000000000008</v>
      </c>
      <c r="H138" s="398">
        <v>6</v>
      </c>
      <c r="I138" s="402">
        <f t="shared" si="21"/>
        <v>6</v>
      </c>
      <c r="J138" s="403">
        <f t="shared" si="22"/>
        <v>6</v>
      </c>
      <c r="K138" s="398">
        <f t="shared" si="35"/>
        <v>0</v>
      </c>
      <c r="L138" s="131">
        <f t="shared" si="36"/>
        <v>56.28</v>
      </c>
      <c r="M138" s="131">
        <f t="shared" si="36"/>
        <v>56.28</v>
      </c>
      <c r="N138" s="131">
        <f t="shared" si="36"/>
        <v>56.28</v>
      </c>
      <c r="O138" s="131">
        <f t="shared" si="36"/>
        <v>0</v>
      </c>
      <c r="P138" s="407">
        <f t="shared" si="26"/>
        <v>1</v>
      </c>
      <c r="Q138" s="525"/>
      <c r="S138" s="189">
        <v>0</v>
      </c>
      <c r="T138" s="189">
        <v>2</v>
      </c>
      <c r="BT138" s="525"/>
      <c r="BU138" s="523">
        <v>6</v>
      </c>
      <c r="BV138" s="523">
        <v>0</v>
      </c>
      <c r="BW138" s="523">
        <v>0</v>
      </c>
      <c r="BX138" s="523"/>
      <c r="BY138" s="523"/>
      <c r="BZ138" s="523"/>
      <c r="CA138" s="523"/>
      <c r="CB138" s="523"/>
      <c r="CC138" s="523"/>
      <c r="CD138" s="523"/>
      <c r="CE138" s="523"/>
      <c r="CF138" s="523"/>
      <c r="CG138" s="523"/>
      <c r="CH138" s="523"/>
      <c r="CI138" s="523">
        <f t="shared" si="20"/>
        <v>6</v>
      </c>
    </row>
    <row r="139" spans="1:87" ht="25.5" x14ac:dyDescent="0.2">
      <c r="A139" s="395" t="s">
        <v>1533</v>
      </c>
      <c r="B139" s="396">
        <v>90373</v>
      </c>
      <c r="C139" s="396" t="s">
        <v>1324</v>
      </c>
      <c r="D139" s="397" t="s">
        <v>1534</v>
      </c>
      <c r="E139" s="398" t="s">
        <v>102</v>
      </c>
      <c r="F139" s="138"/>
      <c r="G139" s="400">
        <v>10.06</v>
      </c>
      <c r="H139" s="398">
        <v>2</v>
      </c>
      <c r="I139" s="402">
        <f t="shared" si="21"/>
        <v>2</v>
      </c>
      <c r="J139" s="403">
        <f t="shared" si="22"/>
        <v>2</v>
      </c>
      <c r="K139" s="398">
        <f t="shared" si="35"/>
        <v>0</v>
      </c>
      <c r="L139" s="131">
        <f t="shared" si="36"/>
        <v>20.12</v>
      </c>
      <c r="M139" s="131">
        <f t="shared" si="36"/>
        <v>20.12</v>
      </c>
      <c r="N139" s="131">
        <f t="shared" si="36"/>
        <v>20.12</v>
      </c>
      <c r="O139" s="131">
        <f t="shared" si="36"/>
        <v>0</v>
      </c>
      <c r="P139" s="407">
        <f t="shared" si="26"/>
        <v>1</v>
      </c>
      <c r="Q139" s="525"/>
      <c r="S139" s="189">
        <v>0</v>
      </c>
      <c r="T139" s="189">
        <v>4</v>
      </c>
      <c r="BT139" s="525"/>
      <c r="BU139" s="523">
        <v>2</v>
      </c>
      <c r="BV139" s="523">
        <v>0</v>
      </c>
      <c r="BW139" s="523">
        <v>0</v>
      </c>
      <c r="BX139" s="523"/>
      <c r="BY139" s="523"/>
      <c r="BZ139" s="523"/>
      <c r="CA139" s="523"/>
      <c r="CB139" s="523"/>
      <c r="CC139" s="523"/>
      <c r="CD139" s="523"/>
      <c r="CE139" s="523"/>
      <c r="CF139" s="523"/>
      <c r="CG139" s="523"/>
      <c r="CH139" s="523"/>
      <c r="CI139" s="523">
        <f t="shared" si="20"/>
        <v>2</v>
      </c>
    </row>
    <row r="140" spans="1:87" x14ac:dyDescent="0.2">
      <c r="A140" s="395" t="s">
        <v>1535</v>
      </c>
      <c r="B140" s="396" t="s">
        <v>2007</v>
      </c>
      <c r="C140" s="396" t="s">
        <v>1339</v>
      </c>
      <c r="D140" s="397" t="s">
        <v>1536</v>
      </c>
      <c r="E140" s="398" t="s">
        <v>102</v>
      </c>
      <c r="F140" s="138"/>
      <c r="G140" s="400">
        <v>0</v>
      </c>
      <c r="H140" s="398">
        <v>4</v>
      </c>
      <c r="I140" s="402">
        <f t="shared" si="21"/>
        <v>4</v>
      </c>
      <c r="J140" s="403">
        <f t="shared" si="22"/>
        <v>4</v>
      </c>
      <c r="K140" s="398">
        <f t="shared" si="35"/>
        <v>0</v>
      </c>
      <c r="L140" s="131">
        <f t="shared" si="36"/>
        <v>0</v>
      </c>
      <c r="M140" s="131">
        <f t="shared" si="36"/>
        <v>0</v>
      </c>
      <c r="N140" s="131">
        <f t="shared" si="36"/>
        <v>0</v>
      </c>
      <c r="O140" s="131">
        <f t="shared" si="36"/>
        <v>0</v>
      </c>
      <c r="P140" s="407">
        <v>0</v>
      </c>
      <c r="Q140" s="525"/>
      <c r="S140" s="189">
        <v>0</v>
      </c>
      <c r="T140" s="189">
        <v>16</v>
      </c>
      <c r="BT140" s="525"/>
      <c r="BU140" s="523">
        <v>4</v>
      </c>
      <c r="BV140" s="523">
        <v>0</v>
      </c>
      <c r="BW140" s="523">
        <v>0</v>
      </c>
      <c r="BX140" s="523"/>
      <c r="BY140" s="523"/>
      <c r="BZ140" s="523"/>
      <c r="CA140" s="523"/>
      <c r="CB140" s="523"/>
      <c r="CC140" s="523"/>
      <c r="CD140" s="523"/>
      <c r="CE140" s="523"/>
      <c r="CF140" s="523"/>
      <c r="CG140" s="523"/>
      <c r="CH140" s="523"/>
      <c r="CI140" s="523">
        <f t="shared" si="20"/>
        <v>4</v>
      </c>
    </row>
    <row r="141" spans="1:87" ht="25.5" x14ac:dyDescent="0.2">
      <c r="A141" s="395" t="s">
        <v>1537</v>
      </c>
      <c r="B141" s="396">
        <v>90373</v>
      </c>
      <c r="C141" s="396" t="s">
        <v>1324</v>
      </c>
      <c r="D141" s="397" t="s">
        <v>1538</v>
      </c>
      <c r="E141" s="398" t="s">
        <v>102</v>
      </c>
      <c r="F141" s="138"/>
      <c r="G141" s="400">
        <v>10.06</v>
      </c>
      <c r="H141" s="398">
        <v>16</v>
      </c>
      <c r="I141" s="402">
        <f t="shared" si="21"/>
        <v>16</v>
      </c>
      <c r="J141" s="403">
        <f t="shared" si="22"/>
        <v>16</v>
      </c>
      <c r="K141" s="398">
        <f t="shared" si="35"/>
        <v>0</v>
      </c>
      <c r="L141" s="131">
        <f t="shared" si="36"/>
        <v>160.96</v>
      </c>
      <c r="M141" s="131">
        <f t="shared" si="36"/>
        <v>160.96</v>
      </c>
      <c r="N141" s="131">
        <f t="shared" si="36"/>
        <v>160.96</v>
      </c>
      <c r="O141" s="131">
        <f t="shared" si="36"/>
        <v>0</v>
      </c>
      <c r="P141" s="407">
        <f t="shared" ref="P141:P204" si="37">N141/L141</f>
        <v>1</v>
      </c>
      <c r="Q141" s="525"/>
      <c r="S141" s="189">
        <v>0</v>
      </c>
      <c r="T141" s="189">
        <v>4</v>
      </c>
      <c r="BT141" s="525"/>
      <c r="BU141" s="523">
        <v>16</v>
      </c>
      <c r="BV141" s="523">
        <v>0</v>
      </c>
      <c r="BW141" s="523">
        <v>0</v>
      </c>
      <c r="BX141" s="523"/>
      <c r="BY141" s="523"/>
      <c r="BZ141" s="523"/>
      <c r="CA141" s="523"/>
      <c r="CB141" s="523"/>
      <c r="CC141" s="523"/>
      <c r="CD141" s="523"/>
      <c r="CE141" s="523"/>
      <c r="CF141" s="523"/>
      <c r="CG141" s="523"/>
      <c r="CH141" s="523"/>
      <c r="CI141" s="523">
        <f t="shared" si="20"/>
        <v>16</v>
      </c>
    </row>
    <row r="142" spans="1:87" x14ac:dyDescent="0.2">
      <c r="A142" s="395" t="s">
        <v>1539</v>
      </c>
      <c r="B142" s="396">
        <v>89622</v>
      </c>
      <c r="C142" s="396" t="s">
        <v>1324</v>
      </c>
      <c r="D142" s="397" t="s">
        <v>1540</v>
      </c>
      <c r="E142" s="398" t="s">
        <v>102</v>
      </c>
      <c r="F142" s="399">
        <v>29.86</v>
      </c>
      <c r="G142" s="400">
        <v>9.23</v>
      </c>
      <c r="H142" s="398">
        <v>4</v>
      </c>
      <c r="I142" s="402">
        <f t="shared" si="21"/>
        <v>4</v>
      </c>
      <c r="J142" s="403">
        <f t="shared" si="22"/>
        <v>4</v>
      </c>
      <c r="K142" s="398">
        <f t="shared" si="35"/>
        <v>0</v>
      </c>
      <c r="L142" s="131">
        <f t="shared" si="36"/>
        <v>36.92</v>
      </c>
      <c r="M142" s="131">
        <f t="shared" si="36"/>
        <v>36.92</v>
      </c>
      <c r="N142" s="131">
        <f t="shared" si="36"/>
        <v>36.92</v>
      </c>
      <c r="O142" s="131">
        <f t="shared" si="36"/>
        <v>0</v>
      </c>
      <c r="P142" s="407">
        <f t="shared" si="37"/>
        <v>1</v>
      </c>
      <c r="Q142" s="525"/>
      <c r="S142" s="189">
        <v>0</v>
      </c>
      <c r="T142" s="189">
        <v>2</v>
      </c>
      <c r="BT142" s="525"/>
      <c r="BU142" s="523">
        <v>4</v>
      </c>
      <c r="BV142" s="523">
        <v>0</v>
      </c>
      <c r="BW142" s="523">
        <v>0</v>
      </c>
      <c r="BX142" s="523"/>
      <c r="BY142" s="523"/>
      <c r="BZ142" s="523"/>
      <c r="CA142" s="523"/>
      <c r="CB142" s="523"/>
      <c r="CC142" s="523"/>
      <c r="CD142" s="523"/>
      <c r="CE142" s="523"/>
      <c r="CF142" s="523"/>
      <c r="CG142" s="523"/>
      <c r="CH142" s="523"/>
      <c r="CI142" s="523">
        <f t="shared" si="20"/>
        <v>4</v>
      </c>
    </row>
    <row r="143" spans="1:87" x14ac:dyDescent="0.2">
      <c r="A143" s="395" t="s">
        <v>1541</v>
      </c>
      <c r="B143" s="396">
        <v>89626</v>
      </c>
      <c r="C143" s="396" t="s">
        <v>1324</v>
      </c>
      <c r="D143" s="397" t="s">
        <v>1542</v>
      </c>
      <c r="E143" s="398" t="s">
        <v>102</v>
      </c>
      <c r="F143" s="399">
        <v>32.090000000000003</v>
      </c>
      <c r="G143" s="400">
        <v>17.79</v>
      </c>
      <c r="H143" s="398">
        <v>2</v>
      </c>
      <c r="I143" s="402">
        <f t="shared" si="21"/>
        <v>2</v>
      </c>
      <c r="J143" s="403">
        <f t="shared" si="22"/>
        <v>2</v>
      </c>
      <c r="K143" s="398">
        <f t="shared" si="35"/>
        <v>0</v>
      </c>
      <c r="L143" s="131">
        <f t="shared" si="36"/>
        <v>35.58</v>
      </c>
      <c r="M143" s="131">
        <f t="shared" si="36"/>
        <v>35.58</v>
      </c>
      <c r="N143" s="131">
        <f t="shared" si="36"/>
        <v>35.58</v>
      </c>
      <c r="O143" s="131">
        <f t="shared" si="36"/>
        <v>0</v>
      </c>
      <c r="P143" s="407">
        <f t="shared" si="37"/>
        <v>1</v>
      </c>
      <c r="Q143" s="525"/>
      <c r="S143" s="189">
        <v>0</v>
      </c>
      <c r="T143" s="189">
        <v>8</v>
      </c>
      <c r="BT143" s="525"/>
      <c r="BU143" s="523">
        <v>2</v>
      </c>
      <c r="BV143" s="523">
        <v>0</v>
      </c>
      <c r="BW143" s="523">
        <v>0</v>
      </c>
      <c r="BX143" s="523"/>
      <c r="BY143" s="523"/>
      <c r="BZ143" s="523"/>
      <c r="CA143" s="523"/>
      <c r="CB143" s="523"/>
      <c r="CC143" s="523"/>
      <c r="CD143" s="523"/>
      <c r="CE143" s="523"/>
      <c r="CF143" s="523"/>
      <c r="CG143" s="523"/>
      <c r="CH143" s="523"/>
      <c r="CI143" s="523">
        <f t="shared" ref="CI143:CI206" si="38">SUM(BU143:CH143)</f>
        <v>2</v>
      </c>
    </row>
    <row r="144" spans="1:87" x14ac:dyDescent="0.2">
      <c r="A144" s="395" t="s">
        <v>1543</v>
      </c>
      <c r="B144" s="396">
        <v>89534</v>
      </c>
      <c r="C144" s="396" t="s">
        <v>1324</v>
      </c>
      <c r="D144" s="397" t="s">
        <v>1544</v>
      </c>
      <c r="E144" s="398" t="s">
        <v>102</v>
      </c>
      <c r="F144" s="399">
        <v>46.88</v>
      </c>
      <c r="G144" s="400">
        <v>2.9</v>
      </c>
      <c r="H144" s="398">
        <v>8</v>
      </c>
      <c r="I144" s="402">
        <f t="shared" ref="I144:I207" si="39">BU144</f>
        <v>8</v>
      </c>
      <c r="J144" s="403">
        <f t="shared" ref="J144:J207" si="40">CI144</f>
        <v>8</v>
      </c>
      <c r="K144" s="398">
        <f t="shared" si="35"/>
        <v>0</v>
      </c>
      <c r="L144" s="131">
        <f t="shared" si="36"/>
        <v>23.2</v>
      </c>
      <c r="M144" s="131">
        <f t="shared" si="36"/>
        <v>23.2</v>
      </c>
      <c r="N144" s="131">
        <f t="shared" si="36"/>
        <v>23.2</v>
      </c>
      <c r="O144" s="131">
        <f t="shared" si="36"/>
        <v>0</v>
      </c>
      <c r="P144" s="407">
        <f t="shared" si="37"/>
        <v>1</v>
      </c>
      <c r="Q144" s="525"/>
      <c r="S144" s="189">
        <v>0</v>
      </c>
      <c r="T144" s="189">
        <v>4</v>
      </c>
      <c r="BT144" s="525"/>
      <c r="BU144" s="523">
        <v>8</v>
      </c>
      <c r="BV144" s="523">
        <v>0</v>
      </c>
      <c r="BW144" s="523">
        <v>0</v>
      </c>
      <c r="BX144" s="523"/>
      <c r="BY144" s="523"/>
      <c r="BZ144" s="523"/>
      <c r="CA144" s="523"/>
      <c r="CB144" s="523"/>
      <c r="CC144" s="523"/>
      <c r="CD144" s="523"/>
      <c r="CE144" s="523"/>
      <c r="CF144" s="523"/>
      <c r="CG144" s="523"/>
      <c r="CH144" s="523"/>
      <c r="CI144" s="523">
        <f t="shared" si="38"/>
        <v>8</v>
      </c>
    </row>
    <row r="145" spans="1:87" x14ac:dyDescent="0.2">
      <c r="A145" s="395" t="s">
        <v>1545</v>
      </c>
      <c r="B145" s="396">
        <v>89386</v>
      </c>
      <c r="C145" s="396" t="s">
        <v>1324</v>
      </c>
      <c r="D145" s="397" t="s">
        <v>1546</v>
      </c>
      <c r="E145" s="398" t="s">
        <v>102</v>
      </c>
      <c r="F145" s="399">
        <v>31.2</v>
      </c>
      <c r="G145" s="400">
        <v>6</v>
      </c>
      <c r="H145" s="398">
        <v>4</v>
      </c>
      <c r="I145" s="402">
        <f t="shared" si="39"/>
        <v>4</v>
      </c>
      <c r="J145" s="403">
        <f t="shared" si="40"/>
        <v>4</v>
      </c>
      <c r="K145" s="398">
        <f t="shared" si="35"/>
        <v>0</v>
      </c>
      <c r="L145" s="131">
        <f t="shared" si="36"/>
        <v>24</v>
      </c>
      <c r="M145" s="131">
        <f t="shared" si="36"/>
        <v>24</v>
      </c>
      <c r="N145" s="131">
        <f t="shared" si="36"/>
        <v>24</v>
      </c>
      <c r="O145" s="131">
        <f t="shared" si="36"/>
        <v>0</v>
      </c>
      <c r="P145" s="407">
        <f t="shared" si="37"/>
        <v>1</v>
      </c>
      <c r="Q145" s="525"/>
      <c r="S145" s="189">
        <v>0</v>
      </c>
      <c r="T145" s="189">
        <v>4</v>
      </c>
      <c r="BT145" s="525"/>
      <c r="BU145" s="523">
        <v>4</v>
      </c>
      <c r="BV145" s="523">
        <v>0</v>
      </c>
      <c r="BW145" s="523">
        <v>0</v>
      </c>
      <c r="BX145" s="523"/>
      <c r="BY145" s="523"/>
      <c r="BZ145" s="523"/>
      <c r="CA145" s="523"/>
      <c r="CB145" s="523"/>
      <c r="CC145" s="523"/>
      <c r="CD145" s="523"/>
      <c r="CE145" s="523"/>
      <c r="CF145" s="523"/>
      <c r="CG145" s="523"/>
      <c r="CH145" s="523"/>
      <c r="CI145" s="523">
        <f t="shared" si="38"/>
        <v>4</v>
      </c>
    </row>
    <row r="146" spans="1:87" x14ac:dyDescent="0.2">
      <c r="A146" s="395" t="s">
        <v>1547</v>
      </c>
      <c r="B146" s="396">
        <v>89433</v>
      </c>
      <c r="C146" s="396" t="s">
        <v>1324</v>
      </c>
      <c r="D146" s="397" t="s">
        <v>1548</v>
      </c>
      <c r="E146" s="398" t="s">
        <v>102</v>
      </c>
      <c r="F146" s="399">
        <v>19.170000000000002</v>
      </c>
      <c r="G146" s="400">
        <v>5.63</v>
      </c>
      <c r="H146" s="398">
        <v>4</v>
      </c>
      <c r="I146" s="402">
        <f t="shared" si="39"/>
        <v>4</v>
      </c>
      <c r="J146" s="403">
        <f t="shared" si="40"/>
        <v>4</v>
      </c>
      <c r="K146" s="398">
        <f t="shared" si="35"/>
        <v>0</v>
      </c>
      <c r="L146" s="131">
        <f t="shared" si="36"/>
        <v>22.52</v>
      </c>
      <c r="M146" s="131">
        <f t="shared" si="36"/>
        <v>22.52</v>
      </c>
      <c r="N146" s="131">
        <f t="shared" si="36"/>
        <v>22.52</v>
      </c>
      <c r="O146" s="131">
        <f t="shared" si="36"/>
        <v>0</v>
      </c>
      <c r="P146" s="407">
        <f t="shared" si="37"/>
        <v>1</v>
      </c>
      <c r="Q146" s="525"/>
      <c r="S146" s="189">
        <v>0</v>
      </c>
      <c r="T146" s="189">
        <v>2</v>
      </c>
      <c r="BT146" s="525"/>
      <c r="BU146" s="523">
        <v>4</v>
      </c>
      <c r="BV146" s="523">
        <v>0</v>
      </c>
      <c r="BW146" s="523">
        <v>0</v>
      </c>
      <c r="BX146" s="523"/>
      <c r="BY146" s="523"/>
      <c r="BZ146" s="523"/>
      <c r="CA146" s="523"/>
      <c r="CB146" s="523"/>
      <c r="CC146" s="523"/>
      <c r="CD146" s="523"/>
      <c r="CE146" s="523"/>
      <c r="CF146" s="523"/>
      <c r="CG146" s="523"/>
      <c r="CH146" s="523"/>
      <c r="CI146" s="523">
        <f t="shared" si="38"/>
        <v>4</v>
      </c>
    </row>
    <row r="147" spans="1:87" x14ac:dyDescent="0.2">
      <c r="A147" s="125" t="s">
        <v>1549</v>
      </c>
      <c r="B147" s="126">
        <v>89605</v>
      </c>
      <c r="C147" s="126" t="s">
        <v>1324</v>
      </c>
      <c r="D147" s="127" t="s">
        <v>1550</v>
      </c>
      <c r="E147" s="128" t="s">
        <v>102</v>
      </c>
      <c r="F147" s="137">
        <v>98.11</v>
      </c>
      <c r="G147" s="130">
        <v>11.65</v>
      </c>
      <c r="H147" s="128">
        <v>2</v>
      </c>
      <c r="I147" s="133">
        <f t="shared" si="39"/>
        <v>2</v>
      </c>
      <c r="J147" s="374">
        <f t="shared" si="40"/>
        <v>2</v>
      </c>
      <c r="K147" s="128">
        <f t="shared" si="35"/>
        <v>0</v>
      </c>
      <c r="L147" s="131">
        <f t="shared" si="36"/>
        <v>23.3</v>
      </c>
      <c r="M147" s="131">
        <f t="shared" si="36"/>
        <v>23.3</v>
      </c>
      <c r="N147" s="131">
        <f t="shared" si="36"/>
        <v>23.3</v>
      </c>
      <c r="O147" s="131">
        <f t="shared" si="36"/>
        <v>0</v>
      </c>
      <c r="P147" s="136">
        <f t="shared" si="37"/>
        <v>1</v>
      </c>
      <c r="Q147" s="525"/>
      <c r="S147" s="189">
        <v>0</v>
      </c>
      <c r="T147" s="189">
        <v>2</v>
      </c>
      <c r="BT147" s="525"/>
      <c r="BU147" s="523">
        <v>2</v>
      </c>
      <c r="BV147" s="523">
        <v>0</v>
      </c>
      <c r="BW147" s="523">
        <v>0</v>
      </c>
      <c r="BX147" s="523"/>
      <c r="BY147" s="523"/>
      <c r="BZ147" s="523"/>
      <c r="CA147" s="523"/>
      <c r="CB147" s="523"/>
      <c r="CC147" s="523"/>
      <c r="CD147" s="523"/>
      <c r="CE147" s="523"/>
      <c r="CF147" s="523"/>
      <c r="CG147" s="523"/>
      <c r="CH147" s="523"/>
      <c r="CI147" s="523">
        <f t="shared" si="38"/>
        <v>2</v>
      </c>
    </row>
    <row r="148" spans="1:87" x14ac:dyDescent="0.2">
      <c r="A148" s="125" t="s">
        <v>1551</v>
      </c>
      <c r="B148" s="126">
        <v>90375</v>
      </c>
      <c r="C148" s="126" t="s">
        <v>1324</v>
      </c>
      <c r="D148" s="127" t="s">
        <v>1552</v>
      </c>
      <c r="E148" s="128" t="s">
        <v>102</v>
      </c>
      <c r="F148" s="137">
        <v>174.65</v>
      </c>
      <c r="G148" s="130">
        <v>6.61</v>
      </c>
      <c r="H148" s="128">
        <v>2</v>
      </c>
      <c r="I148" s="133">
        <f t="shared" si="39"/>
        <v>2</v>
      </c>
      <c r="J148" s="374">
        <f t="shared" si="40"/>
        <v>2</v>
      </c>
      <c r="K148" s="128">
        <f t="shared" si="35"/>
        <v>0</v>
      </c>
      <c r="L148" s="131">
        <f t="shared" si="36"/>
        <v>13.22</v>
      </c>
      <c r="M148" s="131">
        <f t="shared" si="36"/>
        <v>13.22</v>
      </c>
      <c r="N148" s="131">
        <f t="shared" si="36"/>
        <v>13.22</v>
      </c>
      <c r="O148" s="131">
        <f t="shared" si="36"/>
        <v>0</v>
      </c>
      <c r="P148" s="136">
        <f t="shared" si="37"/>
        <v>1</v>
      </c>
      <c r="Q148" s="525"/>
      <c r="S148" s="189">
        <v>0</v>
      </c>
      <c r="T148" s="189">
        <v>4</v>
      </c>
      <c r="BT148" s="525"/>
      <c r="BU148" s="523">
        <v>2</v>
      </c>
      <c r="BV148" s="523">
        <v>0</v>
      </c>
      <c r="BW148" s="523">
        <v>0</v>
      </c>
      <c r="BX148" s="523"/>
      <c r="BY148" s="523"/>
      <c r="BZ148" s="523"/>
      <c r="CA148" s="523"/>
      <c r="CB148" s="523"/>
      <c r="CC148" s="523"/>
      <c r="CD148" s="523"/>
      <c r="CE148" s="523"/>
      <c r="CF148" s="523"/>
      <c r="CG148" s="523"/>
      <c r="CH148" s="523"/>
      <c r="CI148" s="523">
        <f t="shared" si="38"/>
        <v>2</v>
      </c>
    </row>
    <row r="149" spans="1:87" x14ac:dyDescent="0.2">
      <c r="A149" s="125" t="s">
        <v>1553</v>
      </c>
      <c r="B149" s="126">
        <v>90375</v>
      </c>
      <c r="C149" s="126" t="s">
        <v>1324</v>
      </c>
      <c r="D149" s="127" t="s">
        <v>1554</v>
      </c>
      <c r="E149" s="128" t="s">
        <v>102</v>
      </c>
      <c r="F149" s="138"/>
      <c r="G149" s="130">
        <v>6.61</v>
      </c>
      <c r="H149" s="128">
        <v>4</v>
      </c>
      <c r="I149" s="133">
        <f t="shared" si="39"/>
        <v>4</v>
      </c>
      <c r="J149" s="374">
        <f t="shared" si="40"/>
        <v>4</v>
      </c>
      <c r="K149" s="128">
        <f t="shared" si="35"/>
        <v>0</v>
      </c>
      <c r="L149" s="131">
        <f t="shared" si="36"/>
        <v>26.44</v>
      </c>
      <c r="M149" s="131">
        <f t="shared" si="36"/>
        <v>26.44</v>
      </c>
      <c r="N149" s="131">
        <f t="shared" si="36"/>
        <v>26.44</v>
      </c>
      <c r="O149" s="131">
        <f t="shared" si="36"/>
        <v>0</v>
      </c>
      <c r="P149" s="136">
        <f t="shared" si="37"/>
        <v>1</v>
      </c>
      <c r="Q149" s="525"/>
      <c r="S149" s="189">
        <v>0</v>
      </c>
      <c r="T149" s="189">
        <v>6</v>
      </c>
      <c r="BT149" s="525"/>
      <c r="BU149" s="523">
        <v>4</v>
      </c>
      <c r="BV149" s="523">
        <v>0</v>
      </c>
      <c r="BW149" s="523">
        <v>0</v>
      </c>
      <c r="BX149" s="523"/>
      <c r="BY149" s="523"/>
      <c r="BZ149" s="523"/>
      <c r="CA149" s="523"/>
      <c r="CB149" s="523"/>
      <c r="CC149" s="523"/>
      <c r="CD149" s="523"/>
      <c r="CE149" s="523"/>
      <c r="CF149" s="523"/>
      <c r="CG149" s="523"/>
      <c r="CH149" s="523"/>
      <c r="CI149" s="523">
        <f t="shared" si="38"/>
        <v>4</v>
      </c>
    </row>
    <row r="150" spans="1:87" x14ac:dyDescent="0.2">
      <c r="A150" s="125" t="s">
        <v>1555</v>
      </c>
      <c r="B150" s="126">
        <v>89375</v>
      </c>
      <c r="C150" s="126" t="s">
        <v>1324</v>
      </c>
      <c r="D150" s="127" t="s">
        <v>1556</v>
      </c>
      <c r="E150" s="128" t="s">
        <v>102</v>
      </c>
      <c r="F150" s="138"/>
      <c r="G150" s="130">
        <v>7.45</v>
      </c>
      <c r="H150" s="128">
        <v>6</v>
      </c>
      <c r="I150" s="133">
        <f t="shared" si="39"/>
        <v>6</v>
      </c>
      <c r="J150" s="374">
        <f t="shared" si="40"/>
        <v>6</v>
      </c>
      <c r="K150" s="128">
        <f t="shared" si="35"/>
        <v>0</v>
      </c>
      <c r="L150" s="131">
        <f t="shared" si="36"/>
        <v>44.7</v>
      </c>
      <c r="M150" s="131">
        <f t="shared" si="36"/>
        <v>44.7</v>
      </c>
      <c r="N150" s="131">
        <f t="shared" si="36"/>
        <v>44.7</v>
      </c>
      <c r="O150" s="131">
        <f t="shared" si="36"/>
        <v>0</v>
      </c>
      <c r="P150" s="136">
        <f t="shared" si="37"/>
        <v>1</v>
      </c>
      <c r="Q150" s="525"/>
      <c r="S150" s="189">
        <v>0</v>
      </c>
      <c r="T150" s="189">
        <v>2</v>
      </c>
      <c r="BT150" s="525"/>
      <c r="BU150" s="523">
        <v>6</v>
      </c>
      <c r="BV150" s="523">
        <v>0</v>
      </c>
      <c r="BW150" s="523">
        <v>0</v>
      </c>
      <c r="BX150" s="523"/>
      <c r="BY150" s="523"/>
      <c r="BZ150" s="523"/>
      <c r="CA150" s="523"/>
      <c r="CB150" s="523"/>
      <c r="CC150" s="523"/>
      <c r="CD150" s="523"/>
      <c r="CE150" s="523"/>
      <c r="CF150" s="523"/>
      <c r="CG150" s="523"/>
      <c r="CH150" s="523"/>
      <c r="CI150" s="523">
        <f t="shared" si="38"/>
        <v>6</v>
      </c>
    </row>
    <row r="151" spans="1:87" s="514" customFormat="1" x14ac:dyDescent="0.2">
      <c r="A151" s="125" t="s">
        <v>1557</v>
      </c>
      <c r="B151" s="126">
        <v>89594</v>
      </c>
      <c r="C151" s="126" t="s">
        <v>1324</v>
      </c>
      <c r="D151" s="127" t="s">
        <v>1558</v>
      </c>
      <c r="E151" s="128" t="s">
        <v>102</v>
      </c>
      <c r="F151" s="137">
        <v>33.909999999999997</v>
      </c>
      <c r="G151" s="130">
        <v>22.48</v>
      </c>
      <c r="H151" s="128">
        <v>2</v>
      </c>
      <c r="I151" s="133">
        <f t="shared" si="39"/>
        <v>2</v>
      </c>
      <c r="J151" s="374">
        <f t="shared" si="40"/>
        <v>2</v>
      </c>
      <c r="K151" s="128">
        <f t="shared" si="35"/>
        <v>0</v>
      </c>
      <c r="L151" s="131">
        <f t="shared" si="36"/>
        <v>44.96</v>
      </c>
      <c r="M151" s="131">
        <f t="shared" si="36"/>
        <v>44.96</v>
      </c>
      <c r="N151" s="131">
        <f t="shared" si="36"/>
        <v>44.96</v>
      </c>
      <c r="O151" s="131">
        <f t="shared" si="36"/>
        <v>0</v>
      </c>
      <c r="P151" s="136">
        <f t="shared" si="37"/>
        <v>1</v>
      </c>
      <c r="Q151" s="525"/>
      <c r="S151" s="190">
        <v>0</v>
      </c>
      <c r="T151" s="190">
        <v>34</v>
      </c>
      <c r="BT151" s="525"/>
      <c r="BU151" s="523">
        <v>2</v>
      </c>
      <c r="BV151" s="523">
        <v>0</v>
      </c>
      <c r="BW151" s="523">
        <v>0</v>
      </c>
      <c r="BX151" s="523"/>
      <c r="BY151" s="523"/>
      <c r="BZ151" s="523"/>
      <c r="CA151" s="523"/>
      <c r="CB151" s="523"/>
      <c r="CC151" s="523"/>
      <c r="CD151" s="523"/>
      <c r="CE151" s="523"/>
      <c r="CF151" s="523"/>
      <c r="CG151" s="523"/>
      <c r="CH151" s="523"/>
      <c r="CI151" s="523">
        <f t="shared" si="38"/>
        <v>2</v>
      </c>
    </row>
    <row r="152" spans="1:87" x14ac:dyDescent="0.2">
      <c r="A152" s="449" t="s">
        <v>290</v>
      </c>
      <c r="B152" s="450"/>
      <c r="C152" s="450"/>
      <c r="D152" s="451" t="s">
        <v>1559</v>
      </c>
      <c r="E152" s="465"/>
      <c r="F152" s="468"/>
      <c r="G152" s="465"/>
      <c r="H152" s="465"/>
      <c r="I152" s="465"/>
      <c r="J152" s="465"/>
      <c r="K152" s="465"/>
      <c r="L152" s="452">
        <f>SUM(L153:L167)</f>
        <v>2836.4</v>
      </c>
      <c r="M152" s="452">
        <f>SUM(M153:M167)</f>
        <v>166.14000000000001</v>
      </c>
      <c r="N152" s="452">
        <f>SUM(N153:N167)</f>
        <v>166.14000000000001</v>
      </c>
      <c r="O152" s="452">
        <f>SUM(O153:O167)</f>
        <v>2670.26</v>
      </c>
      <c r="P152" s="459">
        <f t="shared" si="37"/>
        <v>5.8574249048089132E-2</v>
      </c>
      <c r="Q152" s="525"/>
      <c r="S152" s="189">
        <v>0</v>
      </c>
      <c r="T152" s="189">
        <v>0</v>
      </c>
      <c r="BT152" s="525"/>
      <c r="BU152" s="523">
        <v>34</v>
      </c>
      <c r="BV152" s="523"/>
      <c r="BW152" s="523"/>
      <c r="BX152" s="523"/>
      <c r="BY152" s="523"/>
      <c r="BZ152" s="523"/>
      <c r="CA152" s="523"/>
      <c r="CB152" s="523"/>
      <c r="CC152" s="523"/>
      <c r="CD152" s="523"/>
      <c r="CE152" s="523"/>
      <c r="CF152" s="523"/>
      <c r="CG152" s="523"/>
      <c r="CH152" s="523"/>
      <c r="CI152" s="523">
        <f t="shared" si="38"/>
        <v>34</v>
      </c>
    </row>
    <row r="153" spans="1:87" x14ac:dyDescent="0.2">
      <c r="A153" s="125" t="s">
        <v>1560</v>
      </c>
      <c r="B153" s="126">
        <v>89353</v>
      </c>
      <c r="C153" s="126" t="s">
        <v>1324</v>
      </c>
      <c r="D153" s="127" t="s">
        <v>1561</v>
      </c>
      <c r="E153" s="128" t="s">
        <v>102</v>
      </c>
      <c r="F153" s="137">
        <v>9.81</v>
      </c>
      <c r="G153" s="130">
        <v>30.67</v>
      </c>
      <c r="H153" s="128">
        <v>1</v>
      </c>
      <c r="I153" s="133">
        <f t="shared" si="39"/>
        <v>0</v>
      </c>
      <c r="J153" s="374">
        <f t="shared" si="40"/>
        <v>0</v>
      </c>
      <c r="K153" s="128">
        <f t="shared" si="35"/>
        <v>1</v>
      </c>
      <c r="L153" s="131">
        <f t="shared" ref="L153:O167" si="41">ROUND(H153*$G153,2)</f>
        <v>30.67</v>
      </c>
      <c r="M153" s="131">
        <f t="shared" si="41"/>
        <v>0</v>
      </c>
      <c r="N153" s="131">
        <f t="shared" si="41"/>
        <v>0</v>
      </c>
      <c r="O153" s="131">
        <f t="shared" si="41"/>
        <v>30.67</v>
      </c>
      <c r="P153" s="136">
        <f t="shared" si="37"/>
        <v>0</v>
      </c>
      <c r="Q153" s="525"/>
      <c r="S153" s="189">
        <v>0</v>
      </c>
      <c r="T153" s="189">
        <v>0</v>
      </c>
      <c r="BT153" s="525"/>
      <c r="BU153" s="523">
        <v>0</v>
      </c>
      <c r="BV153" s="523">
        <v>0</v>
      </c>
      <c r="BW153" s="523">
        <v>0</v>
      </c>
      <c r="BX153" s="523"/>
      <c r="BY153" s="523"/>
      <c r="BZ153" s="523"/>
      <c r="CA153" s="523"/>
      <c r="CB153" s="523"/>
      <c r="CC153" s="523"/>
      <c r="CD153" s="523"/>
      <c r="CE153" s="523"/>
      <c r="CF153" s="523"/>
      <c r="CG153" s="523"/>
      <c r="CH153" s="523"/>
      <c r="CI153" s="523">
        <f t="shared" si="38"/>
        <v>0</v>
      </c>
    </row>
    <row r="154" spans="1:87" x14ac:dyDescent="0.2">
      <c r="A154" s="125" t="s">
        <v>1562</v>
      </c>
      <c r="B154" s="126" t="s">
        <v>1563</v>
      </c>
      <c r="C154" s="126" t="s">
        <v>1324</v>
      </c>
      <c r="D154" s="127" t="s">
        <v>1564</v>
      </c>
      <c r="E154" s="128" t="s">
        <v>102</v>
      </c>
      <c r="F154" s="137">
        <v>12.72</v>
      </c>
      <c r="G154" s="130">
        <v>86.64</v>
      </c>
      <c r="H154" s="128">
        <v>2</v>
      </c>
      <c r="I154" s="133">
        <f t="shared" si="39"/>
        <v>0</v>
      </c>
      <c r="J154" s="374">
        <f t="shared" si="40"/>
        <v>0</v>
      </c>
      <c r="K154" s="128">
        <f t="shared" si="35"/>
        <v>2</v>
      </c>
      <c r="L154" s="131">
        <f t="shared" si="41"/>
        <v>173.28</v>
      </c>
      <c r="M154" s="131">
        <f t="shared" si="41"/>
        <v>0</v>
      </c>
      <c r="N154" s="131">
        <f t="shared" si="41"/>
        <v>0</v>
      </c>
      <c r="O154" s="131">
        <f t="shared" si="41"/>
        <v>173.28</v>
      </c>
      <c r="P154" s="136">
        <f t="shared" si="37"/>
        <v>0</v>
      </c>
      <c r="Q154" s="525"/>
      <c r="S154" s="189">
        <v>0</v>
      </c>
      <c r="T154" s="189">
        <v>0</v>
      </c>
      <c r="BT154" s="525"/>
      <c r="BU154" s="523">
        <v>0</v>
      </c>
      <c r="BV154" s="523">
        <v>0</v>
      </c>
      <c r="BW154" s="523">
        <v>0</v>
      </c>
      <c r="BX154" s="523"/>
      <c r="BY154" s="523"/>
      <c r="BZ154" s="523"/>
      <c r="CA154" s="523"/>
      <c r="CB154" s="523"/>
      <c r="CC154" s="523"/>
      <c r="CD154" s="523"/>
      <c r="CE154" s="523"/>
      <c r="CF154" s="523"/>
      <c r="CG154" s="523"/>
      <c r="CH154" s="523"/>
      <c r="CI154" s="523">
        <f t="shared" si="38"/>
        <v>0</v>
      </c>
    </row>
    <row r="155" spans="1:87" x14ac:dyDescent="0.2">
      <c r="A155" s="125" t="s">
        <v>1565</v>
      </c>
      <c r="B155" s="126" t="s">
        <v>1566</v>
      </c>
      <c r="C155" s="126" t="s">
        <v>1324</v>
      </c>
      <c r="D155" s="127" t="s">
        <v>1567</v>
      </c>
      <c r="E155" s="128" t="s">
        <v>102</v>
      </c>
      <c r="F155" s="138"/>
      <c r="G155" s="130">
        <v>52.59</v>
      </c>
      <c r="H155" s="128">
        <v>2</v>
      </c>
      <c r="I155" s="133">
        <f t="shared" si="39"/>
        <v>0</v>
      </c>
      <c r="J155" s="374">
        <f t="shared" si="40"/>
        <v>0</v>
      </c>
      <c r="K155" s="128">
        <f t="shared" si="35"/>
        <v>2</v>
      </c>
      <c r="L155" s="131">
        <f t="shared" si="41"/>
        <v>105.18</v>
      </c>
      <c r="M155" s="131">
        <f t="shared" si="41"/>
        <v>0</v>
      </c>
      <c r="N155" s="131">
        <f t="shared" si="41"/>
        <v>0</v>
      </c>
      <c r="O155" s="131">
        <f t="shared" si="41"/>
        <v>105.18</v>
      </c>
      <c r="P155" s="136">
        <f t="shared" si="37"/>
        <v>0</v>
      </c>
      <c r="Q155" s="525"/>
      <c r="S155" s="189">
        <v>0</v>
      </c>
      <c r="T155" s="189">
        <v>0</v>
      </c>
      <c r="BT155" s="525"/>
      <c r="BU155" s="523">
        <v>0</v>
      </c>
      <c r="BV155" s="523">
        <v>0</v>
      </c>
      <c r="BW155" s="523">
        <v>0</v>
      </c>
      <c r="BX155" s="523"/>
      <c r="BY155" s="523"/>
      <c r="BZ155" s="523"/>
      <c r="CA155" s="523"/>
      <c r="CB155" s="523"/>
      <c r="CC155" s="523"/>
      <c r="CD155" s="523"/>
      <c r="CE155" s="523"/>
      <c r="CF155" s="523"/>
      <c r="CG155" s="523"/>
      <c r="CH155" s="523"/>
      <c r="CI155" s="523">
        <f t="shared" si="38"/>
        <v>0</v>
      </c>
    </row>
    <row r="156" spans="1:87" x14ac:dyDescent="0.2">
      <c r="A156" s="125" t="s">
        <v>1568</v>
      </c>
      <c r="B156" s="126" t="s">
        <v>1569</v>
      </c>
      <c r="C156" s="126" t="s">
        <v>1324</v>
      </c>
      <c r="D156" s="127" t="s">
        <v>1570</v>
      </c>
      <c r="E156" s="128" t="s">
        <v>102</v>
      </c>
      <c r="F156" s="138"/>
      <c r="G156" s="130">
        <v>120.21</v>
      </c>
      <c r="H156" s="128">
        <v>2</v>
      </c>
      <c r="I156" s="133">
        <f t="shared" si="39"/>
        <v>0</v>
      </c>
      <c r="J156" s="374">
        <f t="shared" si="40"/>
        <v>0</v>
      </c>
      <c r="K156" s="128">
        <f t="shared" si="35"/>
        <v>2</v>
      </c>
      <c r="L156" s="131">
        <f t="shared" si="41"/>
        <v>240.42</v>
      </c>
      <c r="M156" s="131">
        <f t="shared" si="41"/>
        <v>0</v>
      </c>
      <c r="N156" s="131">
        <f t="shared" si="41"/>
        <v>0</v>
      </c>
      <c r="O156" s="131">
        <f t="shared" si="41"/>
        <v>240.42</v>
      </c>
      <c r="P156" s="136">
        <f t="shared" si="37"/>
        <v>0</v>
      </c>
      <c r="Q156" s="525"/>
      <c r="S156" s="189">
        <v>0</v>
      </c>
      <c r="T156" s="189">
        <v>0</v>
      </c>
      <c r="BT156" s="525"/>
      <c r="BU156" s="523">
        <v>0</v>
      </c>
      <c r="BV156" s="523">
        <v>0</v>
      </c>
      <c r="BW156" s="523">
        <v>0</v>
      </c>
      <c r="BX156" s="523"/>
      <c r="BY156" s="523"/>
      <c r="BZ156" s="523"/>
      <c r="CA156" s="523"/>
      <c r="CB156" s="523"/>
      <c r="CC156" s="523"/>
      <c r="CD156" s="523"/>
      <c r="CE156" s="523"/>
      <c r="CF156" s="523"/>
      <c r="CG156" s="523"/>
      <c r="CH156" s="523"/>
      <c r="CI156" s="523">
        <f t="shared" si="38"/>
        <v>0</v>
      </c>
    </row>
    <row r="157" spans="1:87" x14ac:dyDescent="0.2">
      <c r="A157" s="125" t="s">
        <v>1571</v>
      </c>
      <c r="B157" s="126" t="s">
        <v>1572</v>
      </c>
      <c r="C157" s="126" t="s">
        <v>1324</v>
      </c>
      <c r="D157" s="127" t="s">
        <v>1573</v>
      </c>
      <c r="E157" s="128" t="s">
        <v>102</v>
      </c>
      <c r="F157" s="129"/>
      <c r="G157" s="130">
        <v>67.349999999999994</v>
      </c>
      <c r="H157" s="128">
        <v>2</v>
      </c>
      <c r="I157" s="133">
        <f t="shared" si="39"/>
        <v>0</v>
      </c>
      <c r="J157" s="374">
        <f t="shared" si="40"/>
        <v>0</v>
      </c>
      <c r="K157" s="128">
        <f t="shared" si="35"/>
        <v>2</v>
      </c>
      <c r="L157" s="131">
        <f t="shared" si="41"/>
        <v>134.69999999999999</v>
      </c>
      <c r="M157" s="131">
        <f t="shared" si="41"/>
        <v>0</v>
      </c>
      <c r="N157" s="131">
        <f t="shared" si="41"/>
        <v>0</v>
      </c>
      <c r="O157" s="131">
        <f t="shared" si="41"/>
        <v>134.69999999999999</v>
      </c>
      <c r="P157" s="136">
        <f t="shared" si="37"/>
        <v>0</v>
      </c>
      <c r="Q157" s="525"/>
      <c r="S157" s="189">
        <v>0</v>
      </c>
      <c r="T157" s="189">
        <v>0</v>
      </c>
      <c r="BT157" s="525"/>
      <c r="BU157" s="523">
        <v>0</v>
      </c>
      <c r="BV157" s="523">
        <v>0</v>
      </c>
      <c r="BW157" s="523">
        <v>0</v>
      </c>
      <c r="BX157" s="523"/>
      <c r="BY157" s="523"/>
      <c r="BZ157" s="523"/>
      <c r="CA157" s="523"/>
      <c r="CB157" s="523"/>
      <c r="CC157" s="523"/>
      <c r="CD157" s="523"/>
      <c r="CE157" s="523"/>
      <c r="CF157" s="523"/>
      <c r="CG157" s="523"/>
      <c r="CH157" s="523"/>
      <c r="CI157" s="523">
        <f t="shared" si="38"/>
        <v>0</v>
      </c>
    </row>
    <row r="158" spans="1:87" x14ac:dyDescent="0.2">
      <c r="A158" s="125" t="s">
        <v>1574</v>
      </c>
      <c r="B158" s="126">
        <v>89987</v>
      </c>
      <c r="C158" s="126" t="s">
        <v>1324</v>
      </c>
      <c r="D158" s="127" t="s">
        <v>1575</v>
      </c>
      <c r="E158" s="128" t="s">
        <v>102</v>
      </c>
      <c r="F158" s="137">
        <v>8.41</v>
      </c>
      <c r="G158" s="130">
        <v>35.92</v>
      </c>
      <c r="H158" s="128">
        <v>2</v>
      </c>
      <c r="I158" s="133">
        <f t="shared" si="39"/>
        <v>0</v>
      </c>
      <c r="J158" s="374">
        <f t="shared" si="40"/>
        <v>0</v>
      </c>
      <c r="K158" s="128">
        <f t="shared" si="35"/>
        <v>2</v>
      </c>
      <c r="L158" s="131">
        <f t="shared" si="41"/>
        <v>71.84</v>
      </c>
      <c r="M158" s="131">
        <f t="shared" si="41"/>
        <v>0</v>
      </c>
      <c r="N158" s="131">
        <f t="shared" si="41"/>
        <v>0</v>
      </c>
      <c r="O158" s="131">
        <f t="shared" si="41"/>
        <v>71.84</v>
      </c>
      <c r="P158" s="136">
        <f t="shared" si="37"/>
        <v>0</v>
      </c>
      <c r="Q158" s="525"/>
      <c r="S158" s="189">
        <v>0</v>
      </c>
      <c r="T158" s="189">
        <v>0</v>
      </c>
      <c r="BT158" s="525"/>
      <c r="BU158" s="523">
        <v>0</v>
      </c>
      <c r="BV158" s="523">
        <v>0</v>
      </c>
      <c r="BW158" s="523">
        <v>0</v>
      </c>
      <c r="BX158" s="523"/>
      <c r="BY158" s="523"/>
      <c r="BZ158" s="523"/>
      <c r="CA158" s="523"/>
      <c r="CB158" s="523"/>
      <c r="CC158" s="523"/>
      <c r="CD158" s="523"/>
      <c r="CE158" s="523"/>
      <c r="CF158" s="523"/>
      <c r="CG158" s="523"/>
      <c r="CH158" s="523"/>
      <c r="CI158" s="523">
        <f t="shared" si="38"/>
        <v>0</v>
      </c>
    </row>
    <row r="159" spans="1:87" x14ac:dyDescent="0.2">
      <c r="A159" s="125" t="s">
        <v>1576</v>
      </c>
      <c r="B159" s="126">
        <v>89985</v>
      </c>
      <c r="C159" s="126" t="s">
        <v>1324</v>
      </c>
      <c r="D159" s="127" t="s">
        <v>1577</v>
      </c>
      <c r="E159" s="128" t="s">
        <v>102</v>
      </c>
      <c r="F159" s="137">
        <v>9.49</v>
      </c>
      <c r="G159" s="130">
        <v>64.02</v>
      </c>
      <c r="H159" s="128">
        <v>8</v>
      </c>
      <c r="I159" s="133">
        <f t="shared" si="39"/>
        <v>0</v>
      </c>
      <c r="J159" s="374">
        <f t="shared" si="40"/>
        <v>0</v>
      </c>
      <c r="K159" s="128">
        <f t="shared" si="35"/>
        <v>8</v>
      </c>
      <c r="L159" s="131">
        <f t="shared" si="41"/>
        <v>512.16</v>
      </c>
      <c r="M159" s="131">
        <f t="shared" si="41"/>
        <v>0</v>
      </c>
      <c r="N159" s="131">
        <f t="shared" si="41"/>
        <v>0</v>
      </c>
      <c r="O159" s="131">
        <f t="shared" si="41"/>
        <v>512.16</v>
      </c>
      <c r="P159" s="136">
        <f t="shared" si="37"/>
        <v>0</v>
      </c>
      <c r="Q159" s="525"/>
      <c r="S159" s="189">
        <v>0</v>
      </c>
      <c r="T159" s="189">
        <v>12</v>
      </c>
      <c r="BT159" s="525"/>
      <c r="BU159" s="523">
        <v>0</v>
      </c>
      <c r="BV159" s="523">
        <v>0</v>
      </c>
      <c r="BW159" s="523">
        <v>0</v>
      </c>
      <c r="BX159" s="523"/>
      <c r="BY159" s="523"/>
      <c r="BZ159" s="523"/>
      <c r="CA159" s="523"/>
      <c r="CB159" s="523"/>
      <c r="CC159" s="523"/>
      <c r="CD159" s="523"/>
      <c r="CE159" s="523"/>
      <c r="CF159" s="523"/>
      <c r="CG159" s="523"/>
      <c r="CH159" s="523"/>
      <c r="CI159" s="523">
        <f t="shared" si="38"/>
        <v>0</v>
      </c>
    </row>
    <row r="160" spans="1:87" x14ac:dyDescent="0.2">
      <c r="A160" s="125" t="s">
        <v>1578</v>
      </c>
      <c r="B160" s="126">
        <v>89538</v>
      </c>
      <c r="C160" s="126" t="s">
        <v>1324</v>
      </c>
      <c r="D160" s="127" t="s">
        <v>1579</v>
      </c>
      <c r="E160" s="128" t="s">
        <v>102</v>
      </c>
      <c r="F160" s="137">
        <v>6.56</v>
      </c>
      <c r="G160" s="130">
        <v>2.75</v>
      </c>
      <c r="H160" s="128">
        <v>12</v>
      </c>
      <c r="I160" s="133">
        <f t="shared" si="39"/>
        <v>12</v>
      </c>
      <c r="J160" s="374">
        <f t="shared" si="40"/>
        <v>12</v>
      </c>
      <c r="K160" s="128">
        <f t="shared" si="35"/>
        <v>0</v>
      </c>
      <c r="L160" s="131">
        <f t="shared" si="41"/>
        <v>33</v>
      </c>
      <c r="M160" s="131">
        <f t="shared" si="41"/>
        <v>33</v>
      </c>
      <c r="N160" s="131">
        <f t="shared" si="41"/>
        <v>33</v>
      </c>
      <c r="O160" s="131">
        <f t="shared" si="41"/>
        <v>0</v>
      </c>
      <c r="P160" s="136">
        <f t="shared" si="37"/>
        <v>1</v>
      </c>
      <c r="Q160" s="525"/>
      <c r="S160" s="189">
        <v>0</v>
      </c>
      <c r="T160" s="189">
        <v>4</v>
      </c>
      <c r="BT160" s="525"/>
      <c r="BU160" s="523">
        <v>12</v>
      </c>
      <c r="BV160" s="523">
        <v>0</v>
      </c>
      <c r="BW160" s="523">
        <v>0</v>
      </c>
      <c r="BX160" s="523"/>
      <c r="BY160" s="523"/>
      <c r="BZ160" s="523"/>
      <c r="CA160" s="523"/>
      <c r="CB160" s="523"/>
      <c r="CC160" s="523"/>
      <c r="CD160" s="523"/>
      <c r="CE160" s="523"/>
      <c r="CF160" s="523"/>
      <c r="CG160" s="523"/>
      <c r="CH160" s="523"/>
      <c r="CI160" s="523">
        <f t="shared" si="38"/>
        <v>12</v>
      </c>
    </row>
    <row r="161" spans="1:87" x14ac:dyDescent="0.2">
      <c r="A161" s="125" t="s">
        <v>1580</v>
      </c>
      <c r="B161" s="126">
        <v>89553</v>
      </c>
      <c r="C161" s="126" t="s">
        <v>1324</v>
      </c>
      <c r="D161" s="127" t="s">
        <v>1581</v>
      </c>
      <c r="E161" s="128" t="s">
        <v>102</v>
      </c>
      <c r="F161" s="138"/>
      <c r="G161" s="130">
        <v>4.01</v>
      </c>
      <c r="H161" s="128">
        <v>4</v>
      </c>
      <c r="I161" s="133">
        <f t="shared" si="39"/>
        <v>4</v>
      </c>
      <c r="J161" s="374">
        <f t="shared" si="40"/>
        <v>4</v>
      </c>
      <c r="K161" s="128">
        <f t="shared" si="35"/>
        <v>0</v>
      </c>
      <c r="L161" s="131">
        <f t="shared" si="41"/>
        <v>16.04</v>
      </c>
      <c r="M161" s="131">
        <f t="shared" si="41"/>
        <v>16.04</v>
      </c>
      <c r="N161" s="131">
        <f t="shared" si="41"/>
        <v>16.04</v>
      </c>
      <c r="O161" s="131">
        <f t="shared" si="41"/>
        <v>0</v>
      </c>
      <c r="P161" s="136">
        <f t="shared" si="37"/>
        <v>1</v>
      </c>
      <c r="Q161" s="525"/>
      <c r="S161" s="189">
        <v>0</v>
      </c>
      <c r="T161" s="189">
        <v>4</v>
      </c>
      <c r="BT161" s="525"/>
      <c r="BU161" s="523">
        <v>4</v>
      </c>
      <c r="BV161" s="523">
        <v>0</v>
      </c>
      <c r="BW161" s="523">
        <v>0</v>
      </c>
      <c r="BX161" s="523"/>
      <c r="BY161" s="523"/>
      <c r="BZ161" s="523"/>
      <c r="CA161" s="523"/>
      <c r="CB161" s="523"/>
      <c r="CC161" s="523"/>
      <c r="CD161" s="523"/>
      <c r="CE161" s="523"/>
      <c r="CF161" s="523"/>
      <c r="CG161" s="523"/>
      <c r="CH161" s="523"/>
      <c r="CI161" s="523">
        <f t="shared" si="38"/>
        <v>4</v>
      </c>
    </row>
    <row r="162" spans="1:87" x14ac:dyDescent="0.2">
      <c r="A162" s="125" t="s">
        <v>1582</v>
      </c>
      <c r="B162" s="126">
        <v>89570</v>
      </c>
      <c r="C162" s="126" t="s">
        <v>1324</v>
      </c>
      <c r="D162" s="127" t="s">
        <v>1583</v>
      </c>
      <c r="E162" s="128" t="s">
        <v>102</v>
      </c>
      <c r="F162" s="137">
        <v>8.41</v>
      </c>
      <c r="G162" s="130">
        <v>6.66</v>
      </c>
      <c r="H162" s="128">
        <v>4</v>
      </c>
      <c r="I162" s="133">
        <f t="shared" si="39"/>
        <v>4</v>
      </c>
      <c r="J162" s="374">
        <f t="shared" si="40"/>
        <v>4</v>
      </c>
      <c r="K162" s="128">
        <f t="shared" si="35"/>
        <v>0</v>
      </c>
      <c r="L162" s="131">
        <f t="shared" si="41"/>
        <v>26.64</v>
      </c>
      <c r="M162" s="131">
        <f t="shared" si="41"/>
        <v>26.64</v>
      </c>
      <c r="N162" s="131">
        <f t="shared" si="41"/>
        <v>26.64</v>
      </c>
      <c r="O162" s="131">
        <f t="shared" si="41"/>
        <v>0</v>
      </c>
      <c r="P162" s="136">
        <f t="shared" si="37"/>
        <v>1</v>
      </c>
      <c r="Q162" s="525"/>
      <c r="S162" s="189">
        <v>0</v>
      </c>
      <c r="T162" s="189">
        <v>4</v>
      </c>
      <c r="BT162" s="525"/>
      <c r="BU162" s="523">
        <v>4</v>
      </c>
      <c r="BV162" s="523">
        <v>0</v>
      </c>
      <c r="BW162" s="523">
        <v>0</v>
      </c>
      <c r="BX162" s="523"/>
      <c r="BY162" s="523"/>
      <c r="BZ162" s="523"/>
      <c r="CA162" s="523"/>
      <c r="CB162" s="523"/>
      <c r="CC162" s="523"/>
      <c r="CD162" s="523"/>
      <c r="CE162" s="523"/>
      <c r="CF162" s="523"/>
      <c r="CG162" s="523"/>
      <c r="CH162" s="523"/>
      <c r="CI162" s="523">
        <f t="shared" si="38"/>
        <v>4</v>
      </c>
    </row>
    <row r="163" spans="1:87" x14ac:dyDescent="0.2">
      <c r="A163" s="125" t="s">
        <v>1584</v>
      </c>
      <c r="B163" s="126">
        <v>89596</v>
      </c>
      <c r="C163" s="126" t="s">
        <v>1324</v>
      </c>
      <c r="D163" s="127" t="s">
        <v>1585</v>
      </c>
      <c r="E163" s="128" t="s">
        <v>102</v>
      </c>
      <c r="F163" s="138"/>
      <c r="G163" s="130">
        <v>7.49</v>
      </c>
      <c r="H163" s="128">
        <v>4</v>
      </c>
      <c r="I163" s="133">
        <f t="shared" si="39"/>
        <v>4</v>
      </c>
      <c r="J163" s="374">
        <f t="shared" si="40"/>
        <v>4</v>
      </c>
      <c r="K163" s="128">
        <f t="shared" si="35"/>
        <v>0</v>
      </c>
      <c r="L163" s="131">
        <f t="shared" si="41"/>
        <v>29.96</v>
      </c>
      <c r="M163" s="131">
        <f t="shared" si="41"/>
        <v>29.96</v>
      </c>
      <c r="N163" s="131">
        <f t="shared" si="41"/>
        <v>29.96</v>
      </c>
      <c r="O163" s="131">
        <f t="shared" si="41"/>
        <v>0</v>
      </c>
      <c r="P163" s="136">
        <f t="shared" si="37"/>
        <v>1</v>
      </c>
      <c r="Q163" s="525"/>
      <c r="S163" s="189">
        <v>0</v>
      </c>
      <c r="T163" s="189">
        <v>10</v>
      </c>
      <c r="BT163" s="525"/>
      <c r="BU163" s="523">
        <v>4</v>
      </c>
      <c r="BV163" s="523">
        <v>0</v>
      </c>
      <c r="BW163" s="523">
        <v>0</v>
      </c>
      <c r="BX163" s="523"/>
      <c r="BY163" s="523"/>
      <c r="BZ163" s="523"/>
      <c r="CA163" s="523"/>
      <c r="CB163" s="523"/>
      <c r="CC163" s="523"/>
      <c r="CD163" s="523"/>
      <c r="CE163" s="523"/>
      <c r="CF163" s="523"/>
      <c r="CG163" s="523"/>
      <c r="CH163" s="523"/>
      <c r="CI163" s="523">
        <f t="shared" si="38"/>
        <v>4</v>
      </c>
    </row>
    <row r="164" spans="1:87" x14ac:dyDescent="0.2">
      <c r="A164" s="125" t="s">
        <v>1586</v>
      </c>
      <c r="B164" s="126">
        <v>86884</v>
      </c>
      <c r="C164" s="126" t="s">
        <v>1324</v>
      </c>
      <c r="D164" s="127" t="s">
        <v>1587</v>
      </c>
      <c r="E164" s="128" t="s">
        <v>102</v>
      </c>
      <c r="F164" s="137">
        <v>6.56</v>
      </c>
      <c r="G164" s="130">
        <v>6.05</v>
      </c>
      <c r="H164" s="128">
        <v>10</v>
      </c>
      <c r="I164" s="133">
        <f t="shared" si="39"/>
        <v>10</v>
      </c>
      <c r="J164" s="374">
        <f t="shared" si="40"/>
        <v>10</v>
      </c>
      <c r="K164" s="128">
        <f t="shared" si="35"/>
        <v>0</v>
      </c>
      <c r="L164" s="131">
        <f t="shared" si="41"/>
        <v>60.5</v>
      </c>
      <c r="M164" s="131">
        <f t="shared" si="41"/>
        <v>60.5</v>
      </c>
      <c r="N164" s="131">
        <f t="shared" si="41"/>
        <v>60.5</v>
      </c>
      <c r="O164" s="131">
        <f t="shared" si="41"/>
        <v>0</v>
      </c>
      <c r="P164" s="136">
        <f t="shared" si="37"/>
        <v>1</v>
      </c>
      <c r="Q164" s="525"/>
      <c r="S164" s="189">
        <v>0</v>
      </c>
      <c r="T164" s="189">
        <v>0</v>
      </c>
      <c r="BT164" s="525"/>
      <c r="BU164" s="523">
        <v>10</v>
      </c>
      <c r="BV164" s="523">
        <v>0</v>
      </c>
      <c r="BW164" s="523">
        <v>0</v>
      </c>
      <c r="BX164" s="523"/>
      <c r="BY164" s="523"/>
      <c r="BZ164" s="523"/>
      <c r="CA164" s="523"/>
      <c r="CB164" s="523"/>
      <c r="CC164" s="523"/>
      <c r="CD164" s="523"/>
      <c r="CE164" s="523"/>
      <c r="CF164" s="523"/>
      <c r="CG164" s="523"/>
      <c r="CH164" s="523"/>
      <c r="CI164" s="523">
        <f t="shared" si="38"/>
        <v>10</v>
      </c>
    </row>
    <row r="165" spans="1:87" x14ac:dyDescent="0.2">
      <c r="A165" s="125" t="s">
        <v>1588</v>
      </c>
      <c r="B165" s="126">
        <v>72789</v>
      </c>
      <c r="C165" s="126" t="s">
        <v>1324</v>
      </c>
      <c r="D165" s="127" t="s">
        <v>1589</v>
      </c>
      <c r="E165" s="128" t="s">
        <v>102</v>
      </c>
      <c r="F165" s="137">
        <v>9.49</v>
      </c>
      <c r="G165" s="130">
        <v>16.59</v>
      </c>
      <c r="H165" s="128">
        <v>3</v>
      </c>
      <c r="I165" s="133">
        <f t="shared" si="39"/>
        <v>0</v>
      </c>
      <c r="J165" s="374">
        <f t="shared" si="40"/>
        <v>0</v>
      </c>
      <c r="K165" s="128">
        <f t="shared" si="35"/>
        <v>3</v>
      </c>
      <c r="L165" s="131">
        <f t="shared" si="41"/>
        <v>49.77</v>
      </c>
      <c r="M165" s="131">
        <f t="shared" si="41"/>
        <v>0</v>
      </c>
      <c r="N165" s="131">
        <f t="shared" si="41"/>
        <v>0</v>
      </c>
      <c r="O165" s="131">
        <f t="shared" si="41"/>
        <v>49.77</v>
      </c>
      <c r="P165" s="136">
        <f t="shared" si="37"/>
        <v>0</v>
      </c>
      <c r="Q165" s="525"/>
      <c r="S165" s="189">
        <v>0</v>
      </c>
      <c r="T165" s="189">
        <v>0</v>
      </c>
      <c r="BT165" s="525"/>
      <c r="BU165" s="523">
        <v>0</v>
      </c>
      <c r="BV165" s="523">
        <v>0</v>
      </c>
      <c r="BW165" s="523">
        <v>0</v>
      </c>
      <c r="BX165" s="523"/>
      <c r="BY165" s="523"/>
      <c r="BZ165" s="523"/>
      <c r="CA165" s="523"/>
      <c r="CB165" s="523"/>
      <c r="CC165" s="523"/>
      <c r="CD165" s="523"/>
      <c r="CE165" s="523"/>
      <c r="CF165" s="523"/>
      <c r="CG165" s="523"/>
      <c r="CH165" s="523"/>
      <c r="CI165" s="523">
        <f t="shared" si="38"/>
        <v>0</v>
      </c>
    </row>
    <row r="166" spans="1:87" x14ac:dyDescent="0.2">
      <c r="A166" s="125" t="s">
        <v>1590</v>
      </c>
      <c r="B166" s="126">
        <v>72792</v>
      </c>
      <c r="C166" s="126" t="s">
        <v>1324</v>
      </c>
      <c r="D166" s="127" t="s">
        <v>1591</v>
      </c>
      <c r="E166" s="128" t="s">
        <v>102</v>
      </c>
      <c r="F166" s="138"/>
      <c r="G166" s="130">
        <v>32.79</v>
      </c>
      <c r="H166" s="128">
        <v>2</v>
      </c>
      <c r="I166" s="133">
        <f t="shared" si="39"/>
        <v>0</v>
      </c>
      <c r="J166" s="374">
        <f t="shared" si="40"/>
        <v>0</v>
      </c>
      <c r="K166" s="128">
        <f t="shared" si="35"/>
        <v>2</v>
      </c>
      <c r="L166" s="131">
        <f t="shared" si="41"/>
        <v>65.58</v>
      </c>
      <c r="M166" s="131">
        <f t="shared" si="41"/>
        <v>0</v>
      </c>
      <c r="N166" s="131">
        <f t="shared" si="41"/>
        <v>0</v>
      </c>
      <c r="O166" s="131">
        <f t="shared" si="41"/>
        <v>65.58</v>
      </c>
      <c r="P166" s="136">
        <f t="shared" si="37"/>
        <v>0</v>
      </c>
      <c r="Q166" s="525"/>
      <c r="S166" s="189">
        <v>0</v>
      </c>
      <c r="T166" s="189">
        <v>0</v>
      </c>
      <c r="BT166" s="525"/>
      <c r="BU166" s="523">
        <v>0</v>
      </c>
      <c r="BV166" s="523">
        <v>0</v>
      </c>
      <c r="BW166" s="523">
        <v>0</v>
      </c>
      <c r="BX166" s="523"/>
      <c r="BY166" s="523"/>
      <c r="BZ166" s="523"/>
      <c r="CA166" s="523"/>
      <c r="CB166" s="523"/>
      <c r="CC166" s="523"/>
      <c r="CD166" s="523"/>
      <c r="CE166" s="523"/>
      <c r="CF166" s="523"/>
      <c r="CG166" s="523"/>
      <c r="CH166" s="523"/>
      <c r="CI166" s="523">
        <f t="shared" si="38"/>
        <v>0</v>
      </c>
    </row>
    <row r="167" spans="1:87" x14ac:dyDescent="0.2">
      <c r="A167" s="125" t="s">
        <v>1592</v>
      </c>
      <c r="B167" s="126" t="s">
        <v>2007</v>
      </c>
      <c r="C167" s="126" t="s">
        <v>1339</v>
      </c>
      <c r="D167" s="127" t="s">
        <v>1593</v>
      </c>
      <c r="E167" s="128" t="s">
        <v>102</v>
      </c>
      <c r="F167" s="137">
        <v>13.87</v>
      </c>
      <c r="G167" s="130">
        <v>1286.6600000000001</v>
      </c>
      <c r="H167" s="128">
        <v>1</v>
      </c>
      <c r="I167" s="133">
        <f t="shared" si="39"/>
        <v>0</v>
      </c>
      <c r="J167" s="374">
        <f t="shared" si="40"/>
        <v>0</v>
      </c>
      <c r="K167" s="128">
        <f t="shared" si="35"/>
        <v>1</v>
      </c>
      <c r="L167" s="131">
        <f t="shared" si="41"/>
        <v>1286.6600000000001</v>
      </c>
      <c r="M167" s="131">
        <f t="shared" si="41"/>
        <v>0</v>
      </c>
      <c r="N167" s="131">
        <f t="shared" si="41"/>
        <v>0</v>
      </c>
      <c r="O167" s="131">
        <f t="shared" si="41"/>
        <v>1286.6600000000001</v>
      </c>
      <c r="P167" s="136">
        <f t="shared" si="37"/>
        <v>0</v>
      </c>
      <c r="Q167" s="525"/>
      <c r="S167" s="189">
        <v>0</v>
      </c>
      <c r="T167" s="189">
        <v>0</v>
      </c>
      <c r="BT167" s="525"/>
      <c r="BU167" s="523">
        <v>0</v>
      </c>
      <c r="BV167" s="523">
        <v>0</v>
      </c>
      <c r="BW167" s="523">
        <v>0</v>
      </c>
      <c r="BX167" s="523"/>
      <c r="BY167" s="523"/>
      <c r="BZ167" s="523"/>
      <c r="CA167" s="523"/>
      <c r="CB167" s="523"/>
      <c r="CC167" s="523"/>
      <c r="CD167" s="523"/>
      <c r="CE167" s="523"/>
      <c r="CF167" s="523"/>
      <c r="CG167" s="523"/>
      <c r="CH167" s="523"/>
      <c r="CI167" s="523">
        <f t="shared" si="38"/>
        <v>0</v>
      </c>
    </row>
    <row r="168" spans="1:87" s="514" customFormat="1" x14ac:dyDescent="0.2">
      <c r="A168" s="412">
        <v>13</v>
      </c>
      <c r="B168" s="413"/>
      <c r="C168" s="413"/>
      <c r="D168" s="414" t="s">
        <v>1594</v>
      </c>
      <c r="E168" s="415"/>
      <c r="F168" s="415"/>
      <c r="G168" s="415"/>
      <c r="H168" s="415"/>
      <c r="I168" s="415"/>
      <c r="J168" s="415"/>
      <c r="K168" s="415"/>
      <c r="L168" s="416">
        <f>SUM(L169,L181)</f>
        <v>16232.49</v>
      </c>
      <c r="M168" s="416">
        <f>SUM(M169,M181)</f>
        <v>3052.9100000000003</v>
      </c>
      <c r="N168" s="416">
        <f>SUM(N169,N181)</f>
        <v>3052.9100000000003</v>
      </c>
      <c r="O168" s="416">
        <f>SUM(O169,O181)</f>
        <v>13179.58</v>
      </c>
      <c r="P168" s="423">
        <f t="shared" si="37"/>
        <v>0.18807404162885671</v>
      </c>
      <c r="Q168" s="525"/>
      <c r="S168" s="190">
        <v>0</v>
      </c>
      <c r="T168" s="190">
        <v>0</v>
      </c>
      <c r="BT168" s="525"/>
      <c r="BU168" s="523">
        <v>161</v>
      </c>
      <c r="BV168" s="523"/>
      <c r="BW168" s="523"/>
      <c r="BX168" s="523"/>
      <c r="BY168" s="523"/>
      <c r="BZ168" s="523"/>
      <c r="CA168" s="523"/>
      <c r="CB168" s="523"/>
      <c r="CC168" s="523"/>
      <c r="CD168" s="523"/>
      <c r="CE168" s="523"/>
      <c r="CF168" s="523"/>
      <c r="CG168" s="523"/>
      <c r="CH168" s="523"/>
      <c r="CI168" s="523">
        <f t="shared" si="38"/>
        <v>161</v>
      </c>
    </row>
    <row r="169" spans="1:87" x14ac:dyDescent="0.2">
      <c r="A169" s="449" t="s">
        <v>306</v>
      </c>
      <c r="B169" s="450"/>
      <c r="C169" s="450"/>
      <c r="D169" s="451" t="s">
        <v>1516</v>
      </c>
      <c r="E169" s="452"/>
      <c r="F169" s="452"/>
      <c r="G169" s="452"/>
      <c r="H169" s="452"/>
      <c r="I169" s="452"/>
      <c r="J169" s="452"/>
      <c r="K169" s="452"/>
      <c r="L169" s="470">
        <f>SUM(L170:L180)</f>
        <v>2433.5100000000002</v>
      </c>
      <c r="M169" s="470">
        <f t="shared" ref="M169:O169" si="42">SUM(M170:M180)</f>
        <v>3052.9100000000003</v>
      </c>
      <c r="N169" s="470">
        <f t="shared" si="42"/>
        <v>3052.9100000000003</v>
      </c>
      <c r="O169" s="470">
        <f t="shared" si="42"/>
        <v>-619.4</v>
      </c>
      <c r="P169" s="459">
        <f t="shared" si="37"/>
        <v>1.254529465668931</v>
      </c>
      <c r="Q169" s="525"/>
      <c r="S169" s="189">
        <v>0</v>
      </c>
      <c r="T169" s="189">
        <v>47.5</v>
      </c>
      <c r="BT169" s="525"/>
      <c r="BU169" s="523">
        <v>161</v>
      </c>
      <c r="BV169" s="523"/>
      <c r="BW169" s="523"/>
      <c r="BX169" s="523"/>
      <c r="BY169" s="523"/>
      <c r="BZ169" s="523"/>
      <c r="CA169" s="523"/>
      <c r="CB169" s="523"/>
      <c r="CC169" s="523"/>
      <c r="CD169" s="523"/>
      <c r="CE169" s="523"/>
      <c r="CF169" s="523"/>
      <c r="CG169" s="523"/>
      <c r="CH169" s="523"/>
      <c r="CI169" s="523">
        <f t="shared" si="38"/>
        <v>161</v>
      </c>
    </row>
    <row r="170" spans="1:87" x14ac:dyDescent="0.2">
      <c r="A170" s="125" t="s">
        <v>1595</v>
      </c>
      <c r="B170" s="126">
        <v>89711</v>
      </c>
      <c r="C170" s="126" t="s">
        <v>1324</v>
      </c>
      <c r="D170" s="127" t="s">
        <v>1596</v>
      </c>
      <c r="E170" s="128" t="s">
        <v>81</v>
      </c>
      <c r="F170" s="138"/>
      <c r="G170" s="130">
        <v>13.04</v>
      </c>
      <c r="H170" s="128">
        <v>0</v>
      </c>
      <c r="I170" s="133">
        <f t="shared" si="39"/>
        <v>47.5</v>
      </c>
      <c r="J170" s="374">
        <f t="shared" si="40"/>
        <v>47.5</v>
      </c>
      <c r="K170" s="128">
        <f t="shared" si="35"/>
        <v>-47.5</v>
      </c>
      <c r="L170" s="131">
        <f>ROUND(H170*$G170,2)</f>
        <v>0</v>
      </c>
      <c r="M170" s="131">
        <f t="shared" ref="L170:O180" si="43">ROUND(I170*$G170,2)</f>
        <v>619.4</v>
      </c>
      <c r="N170" s="131">
        <f t="shared" si="43"/>
        <v>619.4</v>
      </c>
      <c r="O170" s="131">
        <f t="shared" si="43"/>
        <v>-619.4</v>
      </c>
      <c r="P170" s="136"/>
      <c r="Q170" s="525">
        <v>619.4</v>
      </c>
      <c r="S170" s="189">
        <v>0</v>
      </c>
      <c r="T170" s="189">
        <v>21.5</v>
      </c>
      <c r="BT170" s="525">
        <f>Q170-L170</f>
        <v>619.4</v>
      </c>
      <c r="BU170" s="523">
        <v>47.5</v>
      </c>
      <c r="BV170" s="523">
        <v>0</v>
      </c>
      <c r="BW170" s="523">
        <v>0</v>
      </c>
      <c r="BX170" s="523"/>
      <c r="BY170" s="523"/>
      <c r="BZ170" s="523"/>
      <c r="CA170" s="523"/>
      <c r="CB170" s="523"/>
      <c r="CC170" s="523"/>
      <c r="CD170" s="523"/>
      <c r="CE170" s="523"/>
      <c r="CF170" s="523"/>
      <c r="CG170" s="523"/>
      <c r="CH170" s="523"/>
      <c r="CI170" s="523">
        <f t="shared" si="38"/>
        <v>47.5</v>
      </c>
    </row>
    <row r="171" spans="1:87" x14ac:dyDescent="0.2">
      <c r="A171" s="125" t="s">
        <v>1597</v>
      </c>
      <c r="B171" s="126">
        <v>89712</v>
      </c>
      <c r="C171" s="126" t="s">
        <v>1324</v>
      </c>
      <c r="D171" s="127" t="s">
        <v>1598</v>
      </c>
      <c r="E171" s="128" t="s">
        <v>81</v>
      </c>
      <c r="F171" s="138"/>
      <c r="G171" s="130">
        <v>18.98</v>
      </c>
      <c r="H171" s="128">
        <v>21.5</v>
      </c>
      <c r="I171" s="133">
        <f t="shared" si="39"/>
        <v>21.5</v>
      </c>
      <c r="J171" s="374">
        <f t="shared" si="40"/>
        <v>21.5</v>
      </c>
      <c r="K171" s="128">
        <f t="shared" si="35"/>
        <v>0</v>
      </c>
      <c r="L171" s="131">
        <f t="shared" si="43"/>
        <v>408.07</v>
      </c>
      <c r="M171" s="131">
        <f t="shared" si="43"/>
        <v>408.07</v>
      </c>
      <c r="N171" s="131">
        <f t="shared" si="43"/>
        <v>408.07</v>
      </c>
      <c r="O171" s="131">
        <f t="shared" si="43"/>
        <v>0</v>
      </c>
      <c r="P171" s="136">
        <f t="shared" si="37"/>
        <v>1</v>
      </c>
      <c r="Q171" s="525">
        <v>408.07</v>
      </c>
      <c r="S171" s="189">
        <v>0</v>
      </c>
      <c r="T171" s="189">
        <v>36</v>
      </c>
      <c r="BT171" s="525">
        <f t="shared" ref="BT171:BT180" si="44">Q171-L171</f>
        <v>0</v>
      </c>
      <c r="BU171" s="523">
        <v>21.5</v>
      </c>
      <c r="BV171" s="523">
        <v>0</v>
      </c>
      <c r="BW171" s="523">
        <v>0</v>
      </c>
      <c r="BX171" s="523"/>
      <c r="BY171" s="523"/>
      <c r="BZ171" s="523"/>
      <c r="CA171" s="523"/>
      <c r="CB171" s="523"/>
      <c r="CC171" s="523"/>
      <c r="CD171" s="523"/>
      <c r="CE171" s="523"/>
      <c r="CF171" s="523"/>
      <c r="CG171" s="523"/>
      <c r="CH171" s="523"/>
      <c r="CI171" s="523">
        <f t="shared" si="38"/>
        <v>21.5</v>
      </c>
    </row>
    <row r="172" spans="1:87" x14ac:dyDescent="0.2">
      <c r="A172" s="125" t="s">
        <v>1599</v>
      </c>
      <c r="B172" s="126">
        <v>89714</v>
      </c>
      <c r="C172" s="126" t="s">
        <v>1324</v>
      </c>
      <c r="D172" s="127" t="s">
        <v>1600</v>
      </c>
      <c r="E172" s="128" t="s">
        <v>81</v>
      </c>
      <c r="F172" s="137">
        <v>224.11</v>
      </c>
      <c r="G172" s="130">
        <v>36.869999999999997</v>
      </c>
      <c r="H172" s="128">
        <v>36</v>
      </c>
      <c r="I172" s="133">
        <f t="shared" si="39"/>
        <v>36</v>
      </c>
      <c r="J172" s="374">
        <f t="shared" si="40"/>
        <v>36</v>
      </c>
      <c r="K172" s="128">
        <f t="shared" si="35"/>
        <v>0</v>
      </c>
      <c r="L172" s="131">
        <f t="shared" si="43"/>
        <v>1327.32</v>
      </c>
      <c r="M172" s="131">
        <f t="shared" si="43"/>
        <v>1327.32</v>
      </c>
      <c r="N172" s="131">
        <f t="shared" si="43"/>
        <v>1327.32</v>
      </c>
      <c r="O172" s="131">
        <f t="shared" si="43"/>
        <v>0</v>
      </c>
      <c r="P172" s="136">
        <f t="shared" si="37"/>
        <v>1</v>
      </c>
      <c r="Q172" s="525">
        <v>1327.32</v>
      </c>
      <c r="S172" s="189">
        <v>0</v>
      </c>
      <c r="T172" s="189">
        <v>7</v>
      </c>
      <c r="BT172" s="525">
        <f t="shared" si="44"/>
        <v>0</v>
      </c>
      <c r="BU172" s="523">
        <v>36</v>
      </c>
      <c r="BV172" s="523">
        <v>0</v>
      </c>
      <c r="BW172" s="523">
        <v>0</v>
      </c>
      <c r="BX172" s="523"/>
      <c r="BY172" s="523"/>
      <c r="BZ172" s="523"/>
      <c r="CA172" s="523"/>
      <c r="CB172" s="523"/>
      <c r="CC172" s="523"/>
      <c r="CD172" s="523"/>
      <c r="CE172" s="523"/>
      <c r="CF172" s="523"/>
      <c r="CG172" s="523"/>
      <c r="CH172" s="523"/>
      <c r="CI172" s="523">
        <f t="shared" si="38"/>
        <v>36</v>
      </c>
    </row>
    <row r="173" spans="1:87" x14ac:dyDescent="0.2">
      <c r="A173" s="125" t="s">
        <v>1601</v>
      </c>
      <c r="B173" s="126">
        <v>89726</v>
      </c>
      <c r="C173" s="126" t="s">
        <v>1324</v>
      </c>
      <c r="D173" s="127" t="s">
        <v>1602</v>
      </c>
      <c r="E173" s="128" t="s">
        <v>102</v>
      </c>
      <c r="F173" s="137">
        <v>312.5</v>
      </c>
      <c r="G173" s="130">
        <v>6.33</v>
      </c>
      <c r="H173" s="128">
        <v>7</v>
      </c>
      <c r="I173" s="133">
        <f t="shared" si="39"/>
        <v>7</v>
      </c>
      <c r="J173" s="374">
        <f t="shared" si="40"/>
        <v>7</v>
      </c>
      <c r="K173" s="128">
        <f t="shared" si="35"/>
        <v>0</v>
      </c>
      <c r="L173" s="131">
        <f t="shared" si="43"/>
        <v>44.31</v>
      </c>
      <c r="M173" s="131">
        <f t="shared" si="43"/>
        <v>44.31</v>
      </c>
      <c r="N173" s="131">
        <f t="shared" si="43"/>
        <v>44.31</v>
      </c>
      <c r="O173" s="131">
        <f t="shared" si="43"/>
        <v>0</v>
      </c>
      <c r="P173" s="136">
        <f t="shared" si="37"/>
        <v>1</v>
      </c>
      <c r="Q173" s="525">
        <v>44.31</v>
      </c>
      <c r="S173" s="189">
        <v>0</v>
      </c>
      <c r="T173" s="189">
        <v>6</v>
      </c>
      <c r="BT173" s="525">
        <f t="shared" si="44"/>
        <v>0</v>
      </c>
      <c r="BU173" s="523">
        <v>7</v>
      </c>
      <c r="BV173" s="523">
        <v>0</v>
      </c>
      <c r="BW173" s="523">
        <v>0</v>
      </c>
      <c r="BX173" s="523"/>
      <c r="BY173" s="523"/>
      <c r="BZ173" s="523"/>
      <c r="CA173" s="523"/>
      <c r="CB173" s="523"/>
      <c r="CC173" s="523"/>
      <c r="CD173" s="523"/>
      <c r="CE173" s="523"/>
      <c r="CF173" s="523"/>
      <c r="CG173" s="523"/>
      <c r="CH173" s="523"/>
      <c r="CI173" s="523">
        <f t="shared" si="38"/>
        <v>7</v>
      </c>
    </row>
    <row r="174" spans="1:87" x14ac:dyDescent="0.2">
      <c r="A174" s="125" t="s">
        <v>1603</v>
      </c>
      <c r="B174" s="126">
        <v>89744</v>
      </c>
      <c r="C174" s="126" t="s">
        <v>1324</v>
      </c>
      <c r="D174" s="127" t="s">
        <v>1604</v>
      </c>
      <c r="E174" s="128" t="s">
        <v>102</v>
      </c>
      <c r="F174" s="137">
        <v>323.14</v>
      </c>
      <c r="G174" s="130">
        <v>16.600000000000001</v>
      </c>
      <c r="H174" s="128">
        <v>6</v>
      </c>
      <c r="I174" s="133">
        <f t="shared" si="39"/>
        <v>6</v>
      </c>
      <c r="J174" s="374">
        <f t="shared" si="40"/>
        <v>6</v>
      </c>
      <c r="K174" s="128">
        <f t="shared" si="35"/>
        <v>0</v>
      </c>
      <c r="L174" s="131">
        <f t="shared" si="43"/>
        <v>99.6</v>
      </c>
      <c r="M174" s="131">
        <f t="shared" si="43"/>
        <v>99.6</v>
      </c>
      <c r="N174" s="131">
        <f t="shared" si="43"/>
        <v>99.6</v>
      </c>
      <c r="O174" s="131">
        <f t="shared" si="43"/>
        <v>0</v>
      </c>
      <c r="P174" s="136">
        <f t="shared" si="37"/>
        <v>1</v>
      </c>
      <c r="Q174" s="525">
        <v>99.600000000000009</v>
      </c>
      <c r="S174" s="189">
        <v>0</v>
      </c>
      <c r="T174" s="189">
        <v>10</v>
      </c>
      <c r="BT174" s="525">
        <f t="shared" si="44"/>
        <v>0</v>
      </c>
      <c r="BU174" s="523">
        <v>6</v>
      </c>
      <c r="BV174" s="523">
        <v>0</v>
      </c>
      <c r="BW174" s="523">
        <v>0</v>
      </c>
      <c r="BX174" s="523"/>
      <c r="BY174" s="523"/>
      <c r="BZ174" s="523"/>
      <c r="CA174" s="523"/>
      <c r="CB174" s="523"/>
      <c r="CC174" s="523"/>
      <c r="CD174" s="523"/>
      <c r="CE174" s="523"/>
      <c r="CF174" s="523"/>
      <c r="CG174" s="523"/>
      <c r="CH174" s="523"/>
      <c r="CI174" s="523">
        <f t="shared" si="38"/>
        <v>6</v>
      </c>
    </row>
    <row r="175" spans="1:87" x14ac:dyDescent="0.2">
      <c r="A175" s="125" t="s">
        <v>1605</v>
      </c>
      <c r="B175" s="126">
        <v>89724</v>
      </c>
      <c r="C175" s="126" t="s">
        <v>1324</v>
      </c>
      <c r="D175" s="127" t="s">
        <v>1606</v>
      </c>
      <c r="E175" s="128" t="s">
        <v>102</v>
      </c>
      <c r="F175" s="137">
        <v>224.11</v>
      </c>
      <c r="G175" s="130">
        <v>5.6</v>
      </c>
      <c r="H175" s="128">
        <v>10</v>
      </c>
      <c r="I175" s="133">
        <f t="shared" si="39"/>
        <v>10</v>
      </c>
      <c r="J175" s="374">
        <f t="shared" si="40"/>
        <v>10</v>
      </c>
      <c r="K175" s="128">
        <f t="shared" si="35"/>
        <v>0</v>
      </c>
      <c r="L175" s="131">
        <f t="shared" si="43"/>
        <v>56</v>
      </c>
      <c r="M175" s="131">
        <f t="shared" si="43"/>
        <v>56</v>
      </c>
      <c r="N175" s="131">
        <f t="shared" si="43"/>
        <v>56</v>
      </c>
      <c r="O175" s="131">
        <f t="shared" si="43"/>
        <v>0</v>
      </c>
      <c r="P175" s="136">
        <f t="shared" si="37"/>
        <v>1</v>
      </c>
      <c r="Q175" s="525">
        <v>56</v>
      </c>
      <c r="S175" s="189">
        <v>0</v>
      </c>
      <c r="T175" s="189">
        <v>6</v>
      </c>
      <c r="BT175" s="525">
        <f t="shared" si="44"/>
        <v>0</v>
      </c>
      <c r="BU175" s="523">
        <v>10</v>
      </c>
      <c r="BV175" s="523">
        <v>0</v>
      </c>
      <c r="BW175" s="523">
        <v>0</v>
      </c>
      <c r="BX175" s="523"/>
      <c r="BY175" s="523"/>
      <c r="BZ175" s="523"/>
      <c r="CA175" s="523"/>
      <c r="CB175" s="523"/>
      <c r="CC175" s="523"/>
      <c r="CD175" s="523"/>
      <c r="CE175" s="523"/>
      <c r="CF175" s="523"/>
      <c r="CG175" s="523"/>
      <c r="CH175" s="523"/>
      <c r="CI175" s="523">
        <f t="shared" si="38"/>
        <v>10</v>
      </c>
    </row>
    <row r="176" spans="1:87" x14ac:dyDescent="0.2">
      <c r="A176" s="125" t="s">
        <v>1607</v>
      </c>
      <c r="B176" s="126">
        <v>89827</v>
      </c>
      <c r="C176" s="126" t="s">
        <v>1324</v>
      </c>
      <c r="D176" s="127" t="s">
        <v>1608</v>
      </c>
      <c r="E176" s="128" t="s">
        <v>102</v>
      </c>
      <c r="F176" s="137">
        <v>33.93</v>
      </c>
      <c r="G176" s="130">
        <v>10.23</v>
      </c>
      <c r="H176" s="128">
        <v>6</v>
      </c>
      <c r="I176" s="133">
        <f t="shared" si="39"/>
        <v>6</v>
      </c>
      <c r="J176" s="374">
        <f t="shared" si="40"/>
        <v>6</v>
      </c>
      <c r="K176" s="128">
        <f t="shared" si="35"/>
        <v>0</v>
      </c>
      <c r="L176" s="131">
        <f t="shared" si="43"/>
        <v>61.38</v>
      </c>
      <c r="M176" s="131">
        <f t="shared" si="43"/>
        <v>61.38</v>
      </c>
      <c r="N176" s="131">
        <f t="shared" si="43"/>
        <v>61.38</v>
      </c>
      <c r="O176" s="131">
        <f t="shared" si="43"/>
        <v>0</v>
      </c>
      <c r="P176" s="136">
        <f t="shared" si="37"/>
        <v>1</v>
      </c>
      <c r="Q176" s="525">
        <v>61.38</v>
      </c>
      <c r="S176" s="189">
        <v>0</v>
      </c>
      <c r="T176" s="189">
        <v>5</v>
      </c>
      <c r="BT176" s="525">
        <f t="shared" si="44"/>
        <v>0</v>
      </c>
      <c r="BU176" s="523">
        <v>6</v>
      </c>
      <c r="BV176" s="523">
        <v>0</v>
      </c>
      <c r="BW176" s="523">
        <v>0</v>
      </c>
      <c r="BX176" s="523"/>
      <c r="BY176" s="523"/>
      <c r="BZ176" s="523"/>
      <c r="CA176" s="523"/>
      <c r="CB176" s="523"/>
      <c r="CC176" s="523"/>
      <c r="CD176" s="523"/>
      <c r="CE176" s="523"/>
      <c r="CF176" s="523"/>
      <c r="CG176" s="523"/>
      <c r="CH176" s="523"/>
      <c r="CI176" s="523">
        <f t="shared" si="38"/>
        <v>6</v>
      </c>
    </row>
    <row r="177" spans="1:87" x14ac:dyDescent="0.2">
      <c r="A177" s="125" t="s">
        <v>1609</v>
      </c>
      <c r="B177" s="126">
        <v>89834</v>
      </c>
      <c r="C177" s="126" t="s">
        <v>1324</v>
      </c>
      <c r="D177" s="127" t="s">
        <v>1610</v>
      </c>
      <c r="E177" s="128" t="s">
        <v>102</v>
      </c>
      <c r="F177" s="137">
        <v>33.93</v>
      </c>
      <c r="G177" s="130">
        <v>25.46</v>
      </c>
      <c r="H177" s="128">
        <v>5</v>
      </c>
      <c r="I177" s="133">
        <f t="shared" si="39"/>
        <v>5</v>
      </c>
      <c r="J177" s="374">
        <f t="shared" si="40"/>
        <v>5</v>
      </c>
      <c r="K177" s="128">
        <f t="shared" si="35"/>
        <v>0</v>
      </c>
      <c r="L177" s="131">
        <f t="shared" si="43"/>
        <v>127.3</v>
      </c>
      <c r="M177" s="131">
        <f t="shared" si="43"/>
        <v>127.3</v>
      </c>
      <c r="N177" s="131">
        <f t="shared" si="43"/>
        <v>127.3</v>
      </c>
      <c r="O177" s="131">
        <f t="shared" si="43"/>
        <v>0</v>
      </c>
      <c r="P177" s="136">
        <f t="shared" si="37"/>
        <v>1</v>
      </c>
      <c r="Q177" s="525">
        <v>127.30000000000001</v>
      </c>
      <c r="S177" s="189">
        <v>0</v>
      </c>
      <c r="T177" s="189">
        <v>5</v>
      </c>
      <c r="BT177" s="525">
        <f t="shared" si="44"/>
        <v>0</v>
      </c>
      <c r="BU177" s="523">
        <v>5</v>
      </c>
      <c r="BV177" s="523">
        <v>0</v>
      </c>
      <c r="BW177" s="523">
        <v>0</v>
      </c>
      <c r="BX177" s="523"/>
      <c r="BY177" s="523"/>
      <c r="BZ177" s="523"/>
      <c r="CA177" s="523"/>
      <c r="CB177" s="523"/>
      <c r="CC177" s="523"/>
      <c r="CD177" s="523"/>
      <c r="CE177" s="523"/>
      <c r="CF177" s="523"/>
      <c r="CG177" s="523"/>
      <c r="CH177" s="523"/>
      <c r="CI177" s="523">
        <f t="shared" si="38"/>
        <v>5</v>
      </c>
    </row>
    <row r="178" spans="1:87" x14ac:dyDescent="0.2">
      <c r="A178" s="125" t="s">
        <v>1611</v>
      </c>
      <c r="B178" s="126">
        <v>89797</v>
      </c>
      <c r="C178" s="126" t="s">
        <v>1324</v>
      </c>
      <c r="D178" s="127" t="s">
        <v>1612</v>
      </c>
      <c r="E178" s="128" t="s">
        <v>102</v>
      </c>
      <c r="F178" s="137">
        <v>33.93</v>
      </c>
      <c r="G178" s="130">
        <v>31.16</v>
      </c>
      <c r="H178" s="128">
        <v>5</v>
      </c>
      <c r="I178" s="133">
        <f t="shared" si="39"/>
        <v>5</v>
      </c>
      <c r="J178" s="374">
        <f t="shared" si="40"/>
        <v>5</v>
      </c>
      <c r="K178" s="128">
        <f t="shared" si="35"/>
        <v>0</v>
      </c>
      <c r="L178" s="131">
        <f t="shared" si="43"/>
        <v>155.80000000000001</v>
      </c>
      <c r="M178" s="131">
        <f t="shared" si="43"/>
        <v>155.80000000000001</v>
      </c>
      <c r="N178" s="131">
        <f t="shared" si="43"/>
        <v>155.80000000000001</v>
      </c>
      <c r="O178" s="131">
        <f t="shared" si="43"/>
        <v>0</v>
      </c>
      <c r="P178" s="136">
        <f t="shared" si="37"/>
        <v>1</v>
      </c>
      <c r="Q178" s="525">
        <v>155.80000000000001</v>
      </c>
      <c r="S178" s="189">
        <v>0</v>
      </c>
      <c r="T178" s="189">
        <v>1</v>
      </c>
      <c r="BT178" s="525">
        <f t="shared" si="44"/>
        <v>0</v>
      </c>
      <c r="BU178" s="523">
        <v>5</v>
      </c>
      <c r="BV178" s="523">
        <v>0</v>
      </c>
      <c r="BW178" s="523">
        <v>0</v>
      </c>
      <c r="BX178" s="523"/>
      <c r="BY178" s="523"/>
      <c r="BZ178" s="523"/>
      <c r="CA178" s="523"/>
      <c r="CB178" s="523"/>
      <c r="CC178" s="523"/>
      <c r="CD178" s="523"/>
      <c r="CE178" s="523"/>
      <c r="CF178" s="523"/>
      <c r="CG178" s="523"/>
      <c r="CH178" s="523"/>
      <c r="CI178" s="523">
        <f t="shared" si="38"/>
        <v>5</v>
      </c>
    </row>
    <row r="179" spans="1:87" x14ac:dyDescent="0.2">
      <c r="A179" s="125" t="s">
        <v>1613</v>
      </c>
      <c r="B179" s="126">
        <v>89852</v>
      </c>
      <c r="C179" s="126" t="s">
        <v>1324</v>
      </c>
      <c r="D179" s="127" t="s">
        <v>1614</v>
      </c>
      <c r="E179" s="128" t="s">
        <v>102</v>
      </c>
      <c r="F179" s="137">
        <v>33.93</v>
      </c>
      <c r="G179" s="130">
        <v>27.17</v>
      </c>
      <c r="H179" s="128">
        <v>1</v>
      </c>
      <c r="I179" s="133">
        <f t="shared" si="39"/>
        <v>1</v>
      </c>
      <c r="J179" s="374">
        <f t="shared" si="40"/>
        <v>1</v>
      </c>
      <c r="K179" s="128">
        <f t="shared" si="35"/>
        <v>0</v>
      </c>
      <c r="L179" s="131">
        <f t="shared" si="43"/>
        <v>27.17</v>
      </c>
      <c r="M179" s="131">
        <f t="shared" si="43"/>
        <v>27.17</v>
      </c>
      <c r="N179" s="131">
        <f t="shared" si="43"/>
        <v>27.17</v>
      </c>
      <c r="O179" s="131">
        <f t="shared" si="43"/>
        <v>0</v>
      </c>
      <c r="P179" s="136">
        <f t="shared" si="37"/>
        <v>1</v>
      </c>
      <c r="Q179" s="525">
        <v>27.17</v>
      </c>
      <c r="S179" s="189">
        <v>0</v>
      </c>
      <c r="T179" s="189">
        <v>16</v>
      </c>
      <c r="BT179" s="525">
        <f t="shared" si="44"/>
        <v>0</v>
      </c>
      <c r="BU179" s="523">
        <v>1</v>
      </c>
      <c r="BV179" s="523">
        <v>0</v>
      </c>
      <c r="BW179" s="523">
        <v>0</v>
      </c>
      <c r="BX179" s="523"/>
      <c r="BY179" s="523"/>
      <c r="BZ179" s="523"/>
      <c r="CA179" s="523"/>
      <c r="CB179" s="523"/>
      <c r="CC179" s="523"/>
      <c r="CD179" s="523"/>
      <c r="CE179" s="523"/>
      <c r="CF179" s="523"/>
      <c r="CG179" s="523"/>
      <c r="CH179" s="523"/>
      <c r="CI179" s="523">
        <f t="shared" si="38"/>
        <v>1</v>
      </c>
    </row>
    <row r="180" spans="1:87" s="514" customFormat="1" x14ac:dyDescent="0.2">
      <c r="A180" s="125" t="s">
        <v>1615</v>
      </c>
      <c r="B180" s="126">
        <v>89728</v>
      </c>
      <c r="C180" s="126" t="s">
        <v>1324</v>
      </c>
      <c r="D180" s="127" t="s">
        <v>1616</v>
      </c>
      <c r="E180" s="128" t="s">
        <v>102</v>
      </c>
      <c r="F180" s="137">
        <v>33.93</v>
      </c>
      <c r="G180" s="130">
        <v>7.91</v>
      </c>
      <c r="H180" s="128">
        <v>16</v>
      </c>
      <c r="I180" s="133">
        <f t="shared" si="39"/>
        <v>16</v>
      </c>
      <c r="J180" s="374">
        <f t="shared" si="40"/>
        <v>16</v>
      </c>
      <c r="K180" s="128">
        <f t="shared" si="35"/>
        <v>0</v>
      </c>
      <c r="L180" s="131">
        <f t="shared" si="43"/>
        <v>126.56</v>
      </c>
      <c r="M180" s="131">
        <f t="shared" si="43"/>
        <v>126.56</v>
      </c>
      <c r="N180" s="131">
        <f t="shared" si="43"/>
        <v>126.56</v>
      </c>
      <c r="O180" s="131">
        <f t="shared" si="43"/>
        <v>0</v>
      </c>
      <c r="P180" s="136">
        <f t="shared" si="37"/>
        <v>1</v>
      </c>
      <c r="Q180" s="525">
        <v>126.56</v>
      </c>
      <c r="S180" s="190">
        <v>0</v>
      </c>
      <c r="T180" s="190">
        <v>0</v>
      </c>
      <c r="BT180" s="525">
        <f t="shared" si="44"/>
        <v>0</v>
      </c>
      <c r="BU180" s="523">
        <v>16</v>
      </c>
      <c r="BV180" s="523">
        <v>0</v>
      </c>
      <c r="BW180" s="523">
        <v>0</v>
      </c>
      <c r="BX180" s="523"/>
      <c r="BY180" s="523"/>
      <c r="BZ180" s="523"/>
      <c r="CA180" s="523"/>
      <c r="CB180" s="523"/>
      <c r="CC180" s="523"/>
      <c r="CD180" s="523"/>
      <c r="CE180" s="523"/>
      <c r="CF180" s="523"/>
      <c r="CG180" s="523"/>
      <c r="CH180" s="523"/>
      <c r="CI180" s="523">
        <f t="shared" si="38"/>
        <v>16</v>
      </c>
    </row>
    <row r="181" spans="1:87" x14ac:dyDescent="0.2">
      <c r="A181" s="449" t="s">
        <v>309</v>
      </c>
      <c r="B181" s="450"/>
      <c r="C181" s="450"/>
      <c r="D181" s="451" t="s">
        <v>1617</v>
      </c>
      <c r="E181" s="465"/>
      <c r="F181" s="465"/>
      <c r="G181" s="465"/>
      <c r="H181" s="465"/>
      <c r="I181" s="465"/>
      <c r="J181" s="465"/>
      <c r="K181" s="465"/>
      <c r="L181" s="452">
        <f>SUM(L182:L189)</f>
        <v>13798.98</v>
      </c>
      <c r="M181" s="452">
        <f>SUM(M182:M189)</f>
        <v>0</v>
      </c>
      <c r="N181" s="452">
        <f>SUM(N182:N189)</f>
        <v>0</v>
      </c>
      <c r="O181" s="452">
        <f>SUM(O182:O189)</f>
        <v>13798.98</v>
      </c>
      <c r="P181" s="459">
        <f t="shared" si="37"/>
        <v>0</v>
      </c>
      <c r="Q181" s="525"/>
      <c r="S181" s="189">
        <v>0</v>
      </c>
      <c r="T181" s="189">
        <v>0</v>
      </c>
      <c r="BT181" s="525"/>
      <c r="BU181" s="523">
        <v>0</v>
      </c>
      <c r="BV181" s="523"/>
      <c r="BW181" s="523"/>
      <c r="BX181" s="523"/>
      <c r="BY181" s="523"/>
      <c r="BZ181" s="523"/>
      <c r="CA181" s="523"/>
      <c r="CB181" s="523"/>
      <c r="CC181" s="523"/>
      <c r="CD181" s="523"/>
      <c r="CE181" s="523"/>
      <c r="CF181" s="523"/>
      <c r="CG181" s="523"/>
      <c r="CH181" s="523"/>
      <c r="CI181" s="523">
        <f t="shared" si="38"/>
        <v>0</v>
      </c>
    </row>
    <row r="182" spans="1:87" x14ac:dyDescent="0.2">
      <c r="A182" s="125" t="s">
        <v>1618</v>
      </c>
      <c r="B182" s="126" t="s">
        <v>2007</v>
      </c>
      <c r="C182" s="126" t="s">
        <v>1339</v>
      </c>
      <c r="D182" s="127" t="s">
        <v>1619</v>
      </c>
      <c r="E182" s="128" t="s">
        <v>102</v>
      </c>
      <c r="F182" s="137">
        <v>190.09</v>
      </c>
      <c r="G182" s="130">
        <v>46.81</v>
      </c>
      <c r="H182" s="128">
        <v>6</v>
      </c>
      <c r="I182" s="116">
        <f t="shared" si="39"/>
        <v>0</v>
      </c>
      <c r="J182" s="374">
        <f t="shared" si="40"/>
        <v>0</v>
      </c>
      <c r="K182" s="137">
        <f t="shared" si="35"/>
        <v>6</v>
      </c>
      <c r="L182" s="131">
        <f t="shared" ref="L182:O189" si="45">ROUND(H182*$G182,2)</f>
        <v>280.86</v>
      </c>
      <c r="M182" s="131">
        <f t="shared" si="45"/>
        <v>0</v>
      </c>
      <c r="N182" s="131">
        <f t="shared" si="45"/>
        <v>0</v>
      </c>
      <c r="O182" s="131">
        <f t="shared" si="45"/>
        <v>280.86</v>
      </c>
      <c r="P182" s="136">
        <f t="shared" si="37"/>
        <v>0</v>
      </c>
      <c r="Q182" s="525"/>
      <c r="S182" s="189">
        <v>0</v>
      </c>
      <c r="T182" s="189">
        <v>0</v>
      </c>
      <c r="BT182" s="525"/>
      <c r="BU182" s="523">
        <v>0</v>
      </c>
      <c r="BV182" s="523">
        <v>0</v>
      </c>
      <c r="BW182" s="523">
        <v>0</v>
      </c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523">
        <f t="shared" si="38"/>
        <v>0</v>
      </c>
    </row>
    <row r="183" spans="1:87" x14ac:dyDescent="0.2">
      <c r="A183" s="125" t="s">
        <v>1620</v>
      </c>
      <c r="B183" s="126" t="s">
        <v>1621</v>
      </c>
      <c r="C183" s="126" t="s">
        <v>1324</v>
      </c>
      <c r="D183" s="127" t="s">
        <v>1622</v>
      </c>
      <c r="E183" s="128" t="s">
        <v>102</v>
      </c>
      <c r="F183" s="137">
        <v>222.14</v>
      </c>
      <c r="G183" s="130">
        <v>367.21</v>
      </c>
      <c r="H183" s="128">
        <v>2</v>
      </c>
      <c r="I183" s="116">
        <f t="shared" si="39"/>
        <v>0</v>
      </c>
      <c r="J183" s="374">
        <f t="shared" si="40"/>
        <v>0</v>
      </c>
      <c r="K183" s="137">
        <f t="shared" si="35"/>
        <v>2</v>
      </c>
      <c r="L183" s="131">
        <f t="shared" si="45"/>
        <v>734.42</v>
      </c>
      <c r="M183" s="131">
        <f t="shared" si="45"/>
        <v>0</v>
      </c>
      <c r="N183" s="131">
        <f t="shared" si="45"/>
        <v>0</v>
      </c>
      <c r="O183" s="131">
        <f t="shared" si="45"/>
        <v>734.42</v>
      </c>
      <c r="P183" s="136">
        <f t="shared" si="37"/>
        <v>0</v>
      </c>
      <c r="Q183" s="525"/>
      <c r="S183" s="189">
        <v>0</v>
      </c>
      <c r="T183" s="189">
        <v>0</v>
      </c>
      <c r="BT183" s="525"/>
      <c r="BU183" s="523">
        <v>0</v>
      </c>
      <c r="BV183" s="523">
        <v>0</v>
      </c>
      <c r="BW183" s="523">
        <v>0</v>
      </c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523">
        <f t="shared" si="38"/>
        <v>0</v>
      </c>
    </row>
    <row r="184" spans="1:87" x14ac:dyDescent="0.2">
      <c r="A184" s="125" t="s">
        <v>1623</v>
      </c>
      <c r="B184" s="126">
        <v>89710</v>
      </c>
      <c r="C184" s="126" t="s">
        <v>1324</v>
      </c>
      <c r="D184" s="127" t="s">
        <v>1624</v>
      </c>
      <c r="E184" s="128" t="s">
        <v>102</v>
      </c>
      <c r="F184" s="137">
        <v>474.97</v>
      </c>
      <c r="G184" s="130">
        <v>7.75</v>
      </c>
      <c r="H184" s="128">
        <v>6</v>
      </c>
      <c r="I184" s="116">
        <f t="shared" si="39"/>
        <v>0</v>
      </c>
      <c r="J184" s="374">
        <f t="shared" si="40"/>
        <v>0</v>
      </c>
      <c r="K184" s="137">
        <f t="shared" si="35"/>
        <v>6</v>
      </c>
      <c r="L184" s="131">
        <f t="shared" si="45"/>
        <v>46.5</v>
      </c>
      <c r="M184" s="131">
        <f t="shared" si="45"/>
        <v>0</v>
      </c>
      <c r="N184" s="131">
        <f t="shared" si="45"/>
        <v>0</v>
      </c>
      <c r="O184" s="131">
        <f t="shared" si="45"/>
        <v>46.5</v>
      </c>
      <c r="P184" s="136">
        <f t="shared" si="37"/>
        <v>0</v>
      </c>
      <c r="Q184" s="525"/>
      <c r="S184" s="189">
        <v>0</v>
      </c>
      <c r="T184" s="189">
        <v>0</v>
      </c>
      <c r="BT184" s="525"/>
      <c r="BU184" s="523">
        <v>0</v>
      </c>
      <c r="BV184" s="523">
        <v>0</v>
      </c>
      <c r="BW184" s="523">
        <v>0</v>
      </c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523">
        <f t="shared" si="38"/>
        <v>0</v>
      </c>
    </row>
    <row r="185" spans="1:87" x14ac:dyDescent="0.2">
      <c r="A185" s="125" t="s">
        <v>1625</v>
      </c>
      <c r="B185" s="126">
        <v>89798</v>
      </c>
      <c r="C185" s="126" t="s">
        <v>1324</v>
      </c>
      <c r="D185" s="127" t="s">
        <v>1626</v>
      </c>
      <c r="E185" s="128" t="s">
        <v>81</v>
      </c>
      <c r="F185" s="137">
        <v>891.52</v>
      </c>
      <c r="G185" s="130">
        <v>6.93</v>
      </c>
      <c r="H185" s="128">
        <v>8</v>
      </c>
      <c r="I185" s="116">
        <f t="shared" si="39"/>
        <v>0</v>
      </c>
      <c r="J185" s="374">
        <f t="shared" si="40"/>
        <v>0</v>
      </c>
      <c r="K185" s="137">
        <f t="shared" si="35"/>
        <v>8</v>
      </c>
      <c r="L185" s="131">
        <f t="shared" si="45"/>
        <v>55.44</v>
      </c>
      <c r="M185" s="131">
        <f t="shared" si="45"/>
        <v>0</v>
      </c>
      <c r="N185" s="131">
        <f t="shared" si="45"/>
        <v>0</v>
      </c>
      <c r="O185" s="131">
        <f t="shared" si="45"/>
        <v>55.44</v>
      </c>
      <c r="P185" s="136">
        <f t="shared" si="37"/>
        <v>0</v>
      </c>
      <c r="Q185" s="525"/>
      <c r="S185" s="189">
        <v>0</v>
      </c>
      <c r="T185" s="189">
        <v>0</v>
      </c>
      <c r="BT185" s="525"/>
      <c r="BU185" s="523">
        <v>0</v>
      </c>
      <c r="BV185" s="523">
        <v>0</v>
      </c>
      <c r="BW185" s="523">
        <v>0</v>
      </c>
      <c r="BX185" s="523"/>
      <c r="BY185" s="523"/>
      <c r="BZ185" s="523"/>
      <c r="CA185" s="523"/>
      <c r="CB185" s="523"/>
      <c r="CC185" s="523"/>
      <c r="CD185" s="523"/>
      <c r="CE185" s="523"/>
      <c r="CF185" s="523"/>
      <c r="CG185" s="523"/>
      <c r="CH185" s="523"/>
      <c r="CI185" s="523">
        <f t="shared" si="38"/>
        <v>0</v>
      </c>
    </row>
    <row r="186" spans="1:87" x14ac:dyDescent="0.2">
      <c r="A186" s="125" t="s">
        <v>1627</v>
      </c>
      <c r="B186" s="126">
        <v>86882</v>
      </c>
      <c r="C186" s="126" t="s">
        <v>1324</v>
      </c>
      <c r="D186" s="127" t="s">
        <v>1628</v>
      </c>
      <c r="E186" s="128" t="s">
        <v>102</v>
      </c>
      <c r="F186" s="137">
        <v>179</v>
      </c>
      <c r="G186" s="130">
        <v>13.42</v>
      </c>
      <c r="H186" s="128">
        <v>8</v>
      </c>
      <c r="I186" s="116">
        <f t="shared" si="39"/>
        <v>0</v>
      </c>
      <c r="J186" s="374">
        <f t="shared" si="40"/>
        <v>0</v>
      </c>
      <c r="K186" s="137">
        <f t="shared" si="35"/>
        <v>8</v>
      </c>
      <c r="L186" s="131">
        <f t="shared" si="45"/>
        <v>107.36</v>
      </c>
      <c r="M186" s="131">
        <f t="shared" si="45"/>
        <v>0</v>
      </c>
      <c r="N186" s="131">
        <f t="shared" si="45"/>
        <v>0</v>
      </c>
      <c r="O186" s="131">
        <f t="shared" si="45"/>
        <v>107.36</v>
      </c>
      <c r="P186" s="136">
        <f t="shared" si="37"/>
        <v>0</v>
      </c>
      <c r="Q186" s="525"/>
      <c r="S186" s="189">
        <v>0</v>
      </c>
      <c r="T186" s="189">
        <v>0</v>
      </c>
      <c r="BT186" s="525"/>
      <c r="BU186" s="523">
        <v>0</v>
      </c>
      <c r="BV186" s="523">
        <v>0</v>
      </c>
      <c r="BW186" s="523">
        <v>0</v>
      </c>
      <c r="BX186" s="523"/>
      <c r="BY186" s="523"/>
      <c r="BZ186" s="523"/>
      <c r="CA186" s="523"/>
      <c r="CB186" s="523"/>
      <c r="CC186" s="523"/>
      <c r="CD186" s="523"/>
      <c r="CE186" s="523"/>
      <c r="CF186" s="523"/>
      <c r="CG186" s="523"/>
      <c r="CH186" s="523"/>
      <c r="CI186" s="523">
        <f t="shared" si="38"/>
        <v>0</v>
      </c>
    </row>
    <row r="187" spans="1:87" x14ac:dyDescent="0.2">
      <c r="A187" s="125" t="s">
        <v>1629</v>
      </c>
      <c r="B187" s="126" t="s">
        <v>1630</v>
      </c>
      <c r="C187" s="126" t="s">
        <v>1324</v>
      </c>
      <c r="D187" s="127" t="s">
        <v>1631</v>
      </c>
      <c r="E187" s="128" t="s">
        <v>102</v>
      </c>
      <c r="F187" s="137">
        <v>144</v>
      </c>
      <c r="G187" s="130">
        <v>57.87</v>
      </c>
      <c r="H187" s="128">
        <v>8</v>
      </c>
      <c r="I187" s="116">
        <f t="shared" si="39"/>
        <v>0</v>
      </c>
      <c r="J187" s="374">
        <f t="shared" si="40"/>
        <v>0</v>
      </c>
      <c r="K187" s="137">
        <f t="shared" si="35"/>
        <v>8</v>
      </c>
      <c r="L187" s="131">
        <f t="shared" si="45"/>
        <v>462.96</v>
      </c>
      <c r="M187" s="131">
        <f t="shared" si="45"/>
        <v>0</v>
      </c>
      <c r="N187" s="131">
        <f t="shared" si="45"/>
        <v>0</v>
      </c>
      <c r="O187" s="131">
        <f t="shared" si="45"/>
        <v>462.96</v>
      </c>
      <c r="P187" s="136">
        <f t="shared" si="37"/>
        <v>0</v>
      </c>
      <c r="Q187" s="525"/>
      <c r="S187" s="189">
        <v>0</v>
      </c>
      <c r="T187" s="189">
        <v>0</v>
      </c>
      <c r="BT187" s="525"/>
      <c r="BU187" s="523">
        <v>0</v>
      </c>
      <c r="BV187" s="523">
        <v>0</v>
      </c>
      <c r="BW187" s="523">
        <v>0</v>
      </c>
      <c r="BX187" s="523"/>
      <c r="BY187" s="523"/>
      <c r="BZ187" s="523"/>
      <c r="CA187" s="523"/>
      <c r="CB187" s="523"/>
      <c r="CC187" s="523"/>
      <c r="CD187" s="523"/>
      <c r="CE187" s="523"/>
      <c r="CF187" s="523"/>
      <c r="CG187" s="523"/>
      <c r="CH187" s="523"/>
      <c r="CI187" s="523">
        <f t="shared" si="38"/>
        <v>0</v>
      </c>
    </row>
    <row r="188" spans="1:87" x14ac:dyDescent="0.2">
      <c r="A188" s="125" t="s">
        <v>1632</v>
      </c>
      <c r="B188" s="126" t="s">
        <v>1633</v>
      </c>
      <c r="C188" s="126" t="s">
        <v>1324</v>
      </c>
      <c r="D188" s="127" t="s">
        <v>1634</v>
      </c>
      <c r="E188" s="128" t="s">
        <v>102</v>
      </c>
      <c r="F188" s="137">
        <v>201.25</v>
      </c>
      <c r="G188" s="130">
        <v>3019.34</v>
      </c>
      <c r="H188" s="128">
        <v>1</v>
      </c>
      <c r="I188" s="116">
        <f t="shared" si="39"/>
        <v>0</v>
      </c>
      <c r="J188" s="374">
        <f t="shared" si="40"/>
        <v>0</v>
      </c>
      <c r="K188" s="137">
        <f t="shared" si="35"/>
        <v>1</v>
      </c>
      <c r="L188" s="131">
        <f t="shared" si="45"/>
        <v>3019.34</v>
      </c>
      <c r="M188" s="131">
        <f t="shared" si="45"/>
        <v>0</v>
      </c>
      <c r="N188" s="131">
        <f t="shared" si="45"/>
        <v>0</v>
      </c>
      <c r="O188" s="131">
        <f t="shared" si="45"/>
        <v>3019.34</v>
      </c>
      <c r="P188" s="136">
        <f t="shared" si="37"/>
        <v>0</v>
      </c>
      <c r="Q188" s="525"/>
      <c r="S188" s="189">
        <v>0</v>
      </c>
      <c r="T188" s="189">
        <v>0</v>
      </c>
      <c r="BT188" s="525"/>
      <c r="BU188" s="523">
        <v>0</v>
      </c>
      <c r="BV188" s="523">
        <v>0</v>
      </c>
      <c r="BW188" s="523">
        <v>0</v>
      </c>
      <c r="BX188" s="523"/>
      <c r="BY188" s="523"/>
      <c r="BZ188" s="523"/>
      <c r="CA188" s="523"/>
      <c r="CB188" s="523"/>
      <c r="CC188" s="523"/>
      <c r="CD188" s="523"/>
      <c r="CE188" s="523"/>
      <c r="CF188" s="523"/>
      <c r="CG188" s="523"/>
      <c r="CH188" s="523"/>
      <c r="CI188" s="523">
        <f t="shared" si="38"/>
        <v>0</v>
      </c>
    </row>
    <row r="189" spans="1:87" s="514" customFormat="1" x14ac:dyDescent="0.2">
      <c r="A189" s="125" t="s">
        <v>1635</v>
      </c>
      <c r="B189" s="126" t="s">
        <v>1636</v>
      </c>
      <c r="C189" s="126" t="s">
        <v>1324</v>
      </c>
      <c r="D189" s="127" t="s">
        <v>1637</v>
      </c>
      <c r="E189" s="128" t="s">
        <v>102</v>
      </c>
      <c r="F189" s="137">
        <v>356.72</v>
      </c>
      <c r="G189" s="130">
        <v>9092.1</v>
      </c>
      <c r="H189" s="128">
        <v>1</v>
      </c>
      <c r="I189" s="116">
        <f t="shared" si="39"/>
        <v>0</v>
      </c>
      <c r="J189" s="374">
        <f t="shared" si="40"/>
        <v>0</v>
      </c>
      <c r="K189" s="137">
        <f t="shared" si="35"/>
        <v>1</v>
      </c>
      <c r="L189" s="131">
        <f t="shared" si="45"/>
        <v>9092.1</v>
      </c>
      <c r="M189" s="131">
        <f t="shared" si="45"/>
        <v>0</v>
      </c>
      <c r="N189" s="131">
        <f t="shared" si="45"/>
        <v>0</v>
      </c>
      <c r="O189" s="131">
        <f t="shared" si="45"/>
        <v>9092.1</v>
      </c>
      <c r="P189" s="136">
        <f t="shared" si="37"/>
        <v>0</v>
      </c>
      <c r="Q189" s="525"/>
      <c r="S189" s="190">
        <v>0</v>
      </c>
      <c r="T189" s="190">
        <v>0</v>
      </c>
      <c r="BT189" s="525"/>
      <c r="BU189" s="523">
        <v>0</v>
      </c>
      <c r="BV189" s="523">
        <v>0</v>
      </c>
      <c r="BW189" s="523">
        <v>0</v>
      </c>
      <c r="BX189" s="523"/>
      <c r="BY189" s="523"/>
      <c r="BZ189" s="523"/>
      <c r="CA189" s="523"/>
      <c r="CB189" s="523"/>
      <c r="CC189" s="523"/>
      <c r="CD189" s="523"/>
      <c r="CE189" s="523"/>
      <c r="CF189" s="523"/>
      <c r="CG189" s="523"/>
      <c r="CH189" s="523"/>
      <c r="CI189" s="523">
        <f t="shared" si="38"/>
        <v>0</v>
      </c>
    </row>
    <row r="190" spans="1:87" x14ac:dyDescent="0.2">
      <c r="A190" s="412">
        <v>14</v>
      </c>
      <c r="B190" s="413"/>
      <c r="C190" s="413"/>
      <c r="D190" s="414" t="s">
        <v>656</v>
      </c>
      <c r="E190" s="415"/>
      <c r="F190" s="415"/>
      <c r="G190" s="415"/>
      <c r="H190" s="415"/>
      <c r="I190" s="415"/>
      <c r="J190" s="415"/>
      <c r="K190" s="415"/>
      <c r="L190" s="416">
        <f>SUM(L191:L193)</f>
        <v>11646.28</v>
      </c>
      <c r="M190" s="416">
        <f>SUM(M191:M193)</f>
        <v>0</v>
      </c>
      <c r="N190" s="416">
        <f>SUM(N191:N193)</f>
        <v>0</v>
      </c>
      <c r="O190" s="416">
        <f>SUM(O191:O193)</f>
        <v>11646.28</v>
      </c>
      <c r="P190" s="423">
        <f t="shared" si="37"/>
        <v>0</v>
      </c>
      <c r="Q190" s="525"/>
      <c r="S190" s="189">
        <v>0</v>
      </c>
      <c r="T190" s="189">
        <v>0</v>
      </c>
      <c r="BT190" s="525"/>
      <c r="BU190" s="523">
        <v>0</v>
      </c>
      <c r="BV190" s="523"/>
      <c r="BW190" s="523"/>
      <c r="BX190" s="523"/>
      <c r="BY190" s="523"/>
      <c r="BZ190" s="523"/>
      <c r="CA190" s="523"/>
      <c r="CB190" s="523"/>
      <c r="CC190" s="523"/>
      <c r="CD190" s="523"/>
      <c r="CE190" s="523"/>
      <c r="CF190" s="523"/>
      <c r="CG190" s="523"/>
      <c r="CH190" s="523"/>
      <c r="CI190" s="523">
        <f t="shared" si="38"/>
        <v>0</v>
      </c>
    </row>
    <row r="191" spans="1:87" x14ac:dyDescent="0.2">
      <c r="A191" s="125" t="s">
        <v>355</v>
      </c>
      <c r="B191" s="126">
        <v>83688</v>
      </c>
      <c r="C191" s="126" t="s">
        <v>1324</v>
      </c>
      <c r="D191" s="127" t="s">
        <v>1638</v>
      </c>
      <c r="E191" s="128" t="s">
        <v>81</v>
      </c>
      <c r="F191" s="137">
        <v>415</v>
      </c>
      <c r="G191" s="130">
        <v>141.97999999999999</v>
      </c>
      <c r="H191" s="128">
        <v>76.400000000000006</v>
      </c>
      <c r="I191" s="116">
        <f t="shared" si="39"/>
        <v>0</v>
      </c>
      <c r="J191" s="374">
        <f t="shared" si="40"/>
        <v>0</v>
      </c>
      <c r="K191" s="137">
        <f t="shared" si="35"/>
        <v>76.400000000000006</v>
      </c>
      <c r="L191" s="131">
        <f t="shared" ref="L191:O193" si="46">ROUND(H191*$G191,2)</f>
        <v>10847.27</v>
      </c>
      <c r="M191" s="131">
        <f t="shared" si="46"/>
        <v>0</v>
      </c>
      <c r="N191" s="131">
        <f t="shared" si="46"/>
        <v>0</v>
      </c>
      <c r="O191" s="131">
        <f t="shared" si="46"/>
        <v>10847.27</v>
      </c>
      <c r="P191" s="136">
        <f t="shared" si="37"/>
        <v>0</v>
      </c>
      <c r="Q191" s="525"/>
      <c r="S191" s="189">
        <v>0</v>
      </c>
      <c r="T191" s="189">
        <v>0</v>
      </c>
      <c r="BT191" s="525"/>
      <c r="BU191" s="523">
        <v>0</v>
      </c>
      <c r="BV191" s="523">
        <v>0</v>
      </c>
      <c r="BW191" s="523">
        <v>0</v>
      </c>
      <c r="BX191" s="523"/>
      <c r="BY191" s="523"/>
      <c r="BZ191" s="523"/>
      <c r="CA191" s="523"/>
      <c r="CB191" s="523"/>
      <c r="CC191" s="523"/>
      <c r="CD191" s="523"/>
      <c r="CE191" s="523"/>
      <c r="CF191" s="523"/>
      <c r="CG191" s="523"/>
      <c r="CH191" s="523"/>
      <c r="CI191" s="523">
        <f t="shared" si="38"/>
        <v>0</v>
      </c>
    </row>
    <row r="192" spans="1:87" x14ac:dyDescent="0.2">
      <c r="A192" s="125" t="s">
        <v>1639</v>
      </c>
      <c r="B192" s="126" t="s">
        <v>2007</v>
      </c>
      <c r="C192" s="126" t="s">
        <v>1339</v>
      </c>
      <c r="D192" s="127" t="s">
        <v>1640</v>
      </c>
      <c r="E192" s="128" t="s">
        <v>102</v>
      </c>
      <c r="F192" s="137">
        <v>63.04</v>
      </c>
      <c r="G192" s="130">
        <v>76.84</v>
      </c>
      <c r="H192" s="128">
        <v>8</v>
      </c>
      <c r="I192" s="116">
        <f t="shared" si="39"/>
        <v>0</v>
      </c>
      <c r="J192" s="374">
        <f t="shared" si="40"/>
        <v>0</v>
      </c>
      <c r="K192" s="137">
        <f t="shared" si="35"/>
        <v>8</v>
      </c>
      <c r="L192" s="131">
        <f t="shared" si="46"/>
        <v>614.72</v>
      </c>
      <c r="M192" s="131">
        <f t="shared" si="46"/>
        <v>0</v>
      </c>
      <c r="N192" s="131">
        <f t="shared" si="46"/>
        <v>0</v>
      </c>
      <c r="O192" s="131">
        <f t="shared" si="46"/>
        <v>614.72</v>
      </c>
      <c r="P192" s="136">
        <f t="shared" si="37"/>
        <v>0</v>
      </c>
      <c r="Q192" s="525"/>
      <c r="S192" s="189">
        <v>0</v>
      </c>
      <c r="T192" s="189">
        <v>0</v>
      </c>
      <c r="BT192" s="525"/>
      <c r="BU192" s="523">
        <v>0</v>
      </c>
      <c r="BV192" s="523">
        <v>0</v>
      </c>
      <c r="BW192" s="523">
        <v>0</v>
      </c>
      <c r="BX192" s="523"/>
      <c r="BY192" s="523"/>
      <c r="BZ192" s="523"/>
      <c r="CA192" s="523"/>
      <c r="CB192" s="523"/>
      <c r="CC192" s="523"/>
      <c r="CD192" s="523"/>
      <c r="CE192" s="523"/>
      <c r="CF192" s="523"/>
      <c r="CG192" s="523"/>
      <c r="CH192" s="523"/>
      <c r="CI192" s="523">
        <f t="shared" si="38"/>
        <v>0</v>
      </c>
    </row>
    <row r="193" spans="1:87" s="514" customFormat="1" x14ac:dyDescent="0.2">
      <c r="A193" s="125" t="s">
        <v>1641</v>
      </c>
      <c r="B193" s="126">
        <v>88549</v>
      </c>
      <c r="C193" s="126" t="s">
        <v>1324</v>
      </c>
      <c r="D193" s="127" t="s">
        <v>1642</v>
      </c>
      <c r="E193" s="128" t="s">
        <v>48</v>
      </c>
      <c r="F193" s="172"/>
      <c r="G193" s="130">
        <v>98.55</v>
      </c>
      <c r="H193" s="128">
        <v>1.87</v>
      </c>
      <c r="I193" s="116">
        <f t="shared" si="39"/>
        <v>0</v>
      </c>
      <c r="J193" s="374">
        <f t="shared" si="40"/>
        <v>0</v>
      </c>
      <c r="K193" s="137">
        <f t="shared" si="35"/>
        <v>1.87</v>
      </c>
      <c r="L193" s="131">
        <f t="shared" si="46"/>
        <v>184.29</v>
      </c>
      <c r="M193" s="131">
        <f t="shared" si="46"/>
        <v>0</v>
      </c>
      <c r="N193" s="131">
        <f t="shared" si="46"/>
        <v>0</v>
      </c>
      <c r="O193" s="131">
        <f t="shared" si="46"/>
        <v>184.29</v>
      </c>
      <c r="P193" s="136">
        <f t="shared" si="37"/>
        <v>0</v>
      </c>
      <c r="Q193" s="525"/>
      <c r="S193" s="190">
        <v>0</v>
      </c>
      <c r="T193" s="190">
        <v>0</v>
      </c>
      <c r="BT193" s="525"/>
      <c r="BU193" s="523">
        <v>0</v>
      </c>
      <c r="BV193" s="523">
        <v>0</v>
      </c>
      <c r="BW193" s="523">
        <v>0</v>
      </c>
      <c r="BX193" s="523"/>
      <c r="BY193" s="523"/>
      <c r="BZ193" s="523"/>
      <c r="CA193" s="523"/>
      <c r="CB193" s="523"/>
      <c r="CC193" s="523"/>
      <c r="CD193" s="523"/>
      <c r="CE193" s="523"/>
      <c r="CF193" s="523"/>
      <c r="CG193" s="523"/>
      <c r="CH193" s="523"/>
      <c r="CI193" s="523">
        <f t="shared" si="38"/>
        <v>0</v>
      </c>
    </row>
    <row r="194" spans="1:87" x14ac:dyDescent="0.2">
      <c r="A194" s="412">
        <v>15</v>
      </c>
      <c r="B194" s="413"/>
      <c r="C194" s="413"/>
      <c r="D194" s="414" t="s">
        <v>1643</v>
      </c>
      <c r="E194" s="415"/>
      <c r="F194" s="415"/>
      <c r="G194" s="415"/>
      <c r="H194" s="415"/>
      <c r="I194" s="415"/>
      <c r="J194" s="415"/>
      <c r="K194" s="415"/>
      <c r="L194" s="416">
        <f>SUM(L195:L207)</f>
        <v>7636.1200000000017</v>
      </c>
      <c r="M194" s="416">
        <f>SUM(M195:M207)</f>
        <v>0</v>
      </c>
      <c r="N194" s="416">
        <f>SUM(N195:N207)</f>
        <v>0</v>
      </c>
      <c r="O194" s="416">
        <f>SUM(O195:O207)</f>
        <v>7636.1200000000017</v>
      </c>
      <c r="P194" s="423">
        <f t="shared" si="37"/>
        <v>0</v>
      </c>
      <c r="Q194" s="525"/>
      <c r="S194" s="189">
        <v>0</v>
      </c>
      <c r="T194" s="189">
        <v>0</v>
      </c>
      <c r="BT194" s="525"/>
      <c r="BU194" s="523">
        <v>0</v>
      </c>
      <c r="BV194" s="523"/>
      <c r="BW194" s="523"/>
      <c r="BX194" s="523"/>
      <c r="BY194" s="523"/>
      <c r="BZ194" s="523"/>
      <c r="CA194" s="523"/>
      <c r="CB194" s="523"/>
      <c r="CC194" s="523"/>
      <c r="CD194" s="523"/>
      <c r="CE194" s="523"/>
      <c r="CF194" s="523"/>
      <c r="CG194" s="523"/>
      <c r="CH194" s="523"/>
      <c r="CI194" s="523">
        <f t="shared" si="38"/>
        <v>0</v>
      </c>
    </row>
    <row r="195" spans="1:87" x14ac:dyDescent="0.2">
      <c r="A195" s="125" t="s">
        <v>494</v>
      </c>
      <c r="B195" s="126">
        <v>6021</v>
      </c>
      <c r="C195" s="126" t="s">
        <v>1324</v>
      </c>
      <c r="D195" s="127" t="s">
        <v>1644</v>
      </c>
      <c r="E195" s="128" t="s">
        <v>102</v>
      </c>
      <c r="F195" s="129"/>
      <c r="G195" s="130">
        <v>330.33</v>
      </c>
      <c r="H195" s="128">
        <v>6</v>
      </c>
      <c r="I195" s="116">
        <f t="shared" si="39"/>
        <v>0</v>
      </c>
      <c r="J195" s="374">
        <f t="shared" si="40"/>
        <v>0</v>
      </c>
      <c r="K195" s="137">
        <f t="shared" ref="K195:K258" si="47">H195-J195</f>
        <v>6</v>
      </c>
      <c r="L195" s="131">
        <f t="shared" ref="L195:O207" si="48">ROUND(H195*$G195,2)</f>
        <v>1981.98</v>
      </c>
      <c r="M195" s="131">
        <f t="shared" si="48"/>
        <v>0</v>
      </c>
      <c r="N195" s="131">
        <f t="shared" si="48"/>
        <v>0</v>
      </c>
      <c r="O195" s="131">
        <f t="shared" si="48"/>
        <v>1981.98</v>
      </c>
      <c r="P195" s="136">
        <f t="shared" si="37"/>
        <v>0</v>
      </c>
      <c r="Q195" s="525"/>
      <c r="S195" s="189">
        <v>0</v>
      </c>
      <c r="T195" s="189">
        <v>0</v>
      </c>
      <c r="BT195" s="525"/>
      <c r="BU195" s="523">
        <v>0</v>
      </c>
      <c r="BV195" s="523">
        <v>0</v>
      </c>
      <c r="BW195" s="523">
        <v>0</v>
      </c>
      <c r="BX195" s="523"/>
      <c r="BY195" s="523"/>
      <c r="BZ195" s="523"/>
      <c r="CA195" s="523"/>
      <c r="CB195" s="523"/>
      <c r="CC195" s="523"/>
      <c r="CD195" s="523"/>
      <c r="CE195" s="523"/>
      <c r="CF195" s="523"/>
      <c r="CG195" s="523"/>
      <c r="CH195" s="523"/>
      <c r="CI195" s="523">
        <f t="shared" si="38"/>
        <v>0</v>
      </c>
    </row>
    <row r="196" spans="1:87" ht="25.5" x14ac:dyDescent="0.2">
      <c r="A196" s="125" t="s">
        <v>496</v>
      </c>
      <c r="B196" s="126">
        <v>40729</v>
      </c>
      <c r="C196" s="126" t="s">
        <v>1324</v>
      </c>
      <c r="D196" s="127" t="s">
        <v>1645</v>
      </c>
      <c r="E196" s="128" t="s">
        <v>102</v>
      </c>
      <c r="F196" s="129"/>
      <c r="G196" s="130">
        <v>204.63</v>
      </c>
      <c r="H196" s="128">
        <v>6</v>
      </c>
      <c r="I196" s="116">
        <f t="shared" si="39"/>
        <v>0</v>
      </c>
      <c r="J196" s="374">
        <f t="shared" si="40"/>
        <v>0</v>
      </c>
      <c r="K196" s="137">
        <f t="shared" si="47"/>
        <v>6</v>
      </c>
      <c r="L196" s="131">
        <f t="shared" si="48"/>
        <v>1227.78</v>
      </c>
      <c r="M196" s="131">
        <f t="shared" si="48"/>
        <v>0</v>
      </c>
      <c r="N196" s="131">
        <f t="shared" si="48"/>
        <v>0</v>
      </c>
      <c r="O196" s="131">
        <f t="shared" si="48"/>
        <v>1227.78</v>
      </c>
      <c r="P196" s="136">
        <f t="shared" si="37"/>
        <v>0</v>
      </c>
      <c r="Q196" s="525"/>
      <c r="S196" s="189">
        <v>0</v>
      </c>
      <c r="T196" s="189">
        <v>0</v>
      </c>
      <c r="BT196" s="525"/>
      <c r="BU196" s="523">
        <v>0</v>
      </c>
      <c r="BV196" s="523">
        <v>0</v>
      </c>
      <c r="BW196" s="523">
        <v>0</v>
      </c>
      <c r="BX196" s="523"/>
      <c r="BY196" s="523"/>
      <c r="BZ196" s="523"/>
      <c r="CA196" s="523"/>
      <c r="CB196" s="523"/>
      <c r="CC196" s="523"/>
      <c r="CD196" s="523"/>
      <c r="CE196" s="523"/>
      <c r="CF196" s="523"/>
      <c r="CG196" s="523"/>
      <c r="CH196" s="523"/>
      <c r="CI196" s="523">
        <f t="shared" si="38"/>
        <v>0</v>
      </c>
    </row>
    <row r="197" spans="1:87" x14ac:dyDescent="0.2">
      <c r="A197" s="125" t="s">
        <v>498</v>
      </c>
      <c r="B197" s="126">
        <v>86901</v>
      </c>
      <c r="C197" s="126" t="s">
        <v>1324</v>
      </c>
      <c r="D197" s="127" t="s">
        <v>1646</v>
      </c>
      <c r="E197" s="128" t="s">
        <v>102</v>
      </c>
      <c r="F197" s="137">
        <v>11.27</v>
      </c>
      <c r="G197" s="130">
        <v>102.4</v>
      </c>
      <c r="H197" s="128">
        <v>6</v>
      </c>
      <c r="I197" s="116">
        <f t="shared" si="39"/>
        <v>0</v>
      </c>
      <c r="J197" s="374">
        <f t="shared" si="40"/>
        <v>0</v>
      </c>
      <c r="K197" s="137">
        <f t="shared" si="47"/>
        <v>6</v>
      </c>
      <c r="L197" s="131">
        <f t="shared" si="48"/>
        <v>614.4</v>
      </c>
      <c r="M197" s="131">
        <f t="shared" si="48"/>
        <v>0</v>
      </c>
      <c r="N197" s="131">
        <f t="shared" si="48"/>
        <v>0</v>
      </c>
      <c r="O197" s="131">
        <f t="shared" si="48"/>
        <v>614.4</v>
      </c>
      <c r="P197" s="136">
        <f t="shared" si="37"/>
        <v>0</v>
      </c>
      <c r="Q197" s="525"/>
      <c r="S197" s="189">
        <v>0</v>
      </c>
      <c r="T197" s="189">
        <v>0</v>
      </c>
      <c r="BT197" s="525"/>
      <c r="BU197" s="523">
        <v>0</v>
      </c>
      <c r="BV197" s="523">
        <v>0</v>
      </c>
      <c r="BW197" s="523">
        <v>0</v>
      </c>
      <c r="BX197" s="523"/>
      <c r="BY197" s="523"/>
      <c r="BZ197" s="523"/>
      <c r="CA197" s="523"/>
      <c r="CB197" s="523"/>
      <c r="CC197" s="523"/>
      <c r="CD197" s="523"/>
      <c r="CE197" s="523"/>
      <c r="CF197" s="523"/>
      <c r="CG197" s="523"/>
      <c r="CH197" s="523"/>
      <c r="CI197" s="523">
        <f t="shared" si="38"/>
        <v>0</v>
      </c>
    </row>
    <row r="198" spans="1:87" ht="25.5" x14ac:dyDescent="0.2">
      <c r="A198" s="125" t="s">
        <v>500</v>
      </c>
      <c r="B198" s="126">
        <v>86942</v>
      </c>
      <c r="C198" s="126" t="s">
        <v>1324</v>
      </c>
      <c r="D198" s="127" t="s">
        <v>1647</v>
      </c>
      <c r="E198" s="128" t="s">
        <v>102</v>
      </c>
      <c r="F198" s="137">
        <v>11.89</v>
      </c>
      <c r="G198" s="130">
        <v>160.06</v>
      </c>
      <c r="H198" s="128">
        <v>2</v>
      </c>
      <c r="I198" s="116">
        <f t="shared" si="39"/>
        <v>0</v>
      </c>
      <c r="J198" s="374">
        <f t="shared" si="40"/>
        <v>0</v>
      </c>
      <c r="K198" s="137">
        <f t="shared" si="47"/>
        <v>2</v>
      </c>
      <c r="L198" s="131">
        <f t="shared" si="48"/>
        <v>320.12</v>
      </c>
      <c r="M198" s="131">
        <f t="shared" si="48"/>
        <v>0</v>
      </c>
      <c r="N198" s="131">
        <f t="shared" si="48"/>
        <v>0</v>
      </c>
      <c r="O198" s="131">
        <f t="shared" si="48"/>
        <v>320.12</v>
      </c>
      <c r="P198" s="136">
        <f t="shared" si="37"/>
        <v>0</v>
      </c>
      <c r="Q198" s="525"/>
      <c r="S198" s="189">
        <v>0</v>
      </c>
      <c r="T198" s="189">
        <v>0</v>
      </c>
      <c r="BT198" s="525"/>
      <c r="BU198" s="523">
        <v>0</v>
      </c>
      <c r="BV198" s="523">
        <v>0</v>
      </c>
      <c r="BW198" s="523">
        <v>0</v>
      </c>
      <c r="BX198" s="523"/>
      <c r="BY198" s="523"/>
      <c r="BZ198" s="523"/>
      <c r="CA198" s="523"/>
      <c r="CB198" s="523"/>
      <c r="CC198" s="523"/>
      <c r="CD198" s="523"/>
      <c r="CE198" s="523"/>
      <c r="CF198" s="523"/>
      <c r="CG198" s="523"/>
      <c r="CH198" s="523"/>
      <c r="CI198" s="523">
        <f t="shared" si="38"/>
        <v>0</v>
      </c>
    </row>
    <row r="199" spans="1:87" ht="25.5" x14ac:dyDescent="0.2">
      <c r="A199" s="125" t="s">
        <v>502</v>
      </c>
      <c r="B199" s="126" t="s">
        <v>2007</v>
      </c>
      <c r="C199" s="126" t="s">
        <v>1339</v>
      </c>
      <c r="D199" s="127" t="s">
        <v>1648</v>
      </c>
      <c r="E199" s="128" t="s">
        <v>102</v>
      </c>
      <c r="F199" s="137">
        <v>28.56</v>
      </c>
      <c r="G199" s="130">
        <v>223.26</v>
      </c>
      <c r="H199" s="128">
        <v>2</v>
      </c>
      <c r="I199" s="116">
        <f t="shared" si="39"/>
        <v>0</v>
      </c>
      <c r="J199" s="374">
        <f t="shared" si="40"/>
        <v>0</v>
      </c>
      <c r="K199" s="137">
        <f t="shared" si="47"/>
        <v>2</v>
      </c>
      <c r="L199" s="131">
        <f t="shared" si="48"/>
        <v>446.52</v>
      </c>
      <c r="M199" s="131">
        <f t="shared" si="48"/>
        <v>0</v>
      </c>
      <c r="N199" s="131">
        <f t="shared" si="48"/>
        <v>0</v>
      </c>
      <c r="O199" s="131">
        <f t="shared" si="48"/>
        <v>446.52</v>
      </c>
      <c r="P199" s="136">
        <f t="shared" si="37"/>
        <v>0</v>
      </c>
      <c r="Q199" s="525"/>
      <c r="S199" s="189">
        <v>0</v>
      </c>
      <c r="T199" s="189">
        <v>0</v>
      </c>
      <c r="BT199" s="525"/>
      <c r="BU199" s="523">
        <v>0</v>
      </c>
      <c r="BV199" s="523">
        <v>0</v>
      </c>
      <c r="BW199" s="523">
        <v>0</v>
      </c>
      <c r="BX199" s="523"/>
      <c r="BY199" s="523"/>
      <c r="BZ199" s="523"/>
      <c r="CA199" s="523"/>
      <c r="CB199" s="523"/>
      <c r="CC199" s="523"/>
      <c r="CD199" s="523"/>
      <c r="CE199" s="523"/>
      <c r="CF199" s="523"/>
      <c r="CG199" s="523"/>
      <c r="CH199" s="523"/>
      <c r="CI199" s="523">
        <f t="shared" si="38"/>
        <v>0</v>
      </c>
    </row>
    <row r="200" spans="1:87" ht="25.5" x14ac:dyDescent="0.2">
      <c r="A200" s="125" t="s">
        <v>504</v>
      </c>
      <c r="B200" s="126">
        <v>86906</v>
      </c>
      <c r="C200" s="126" t="s">
        <v>1324</v>
      </c>
      <c r="D200" s="127" t="s">
        <v>1649</v>
      </c>
      <c r="E200" s="128" t="s">
        <v>102</v>
      </c>
      <c r="F200" s="137">
        <v>35.53</v>
      </c>
      <c r="G200" s="130">
        <v>39.97</v>
      </c>
      <c r="H200" s="128">
        <v>8</v>
      </c>
      <c r="I200" s="116">
        <f t="shared" si="39"/>
        <v>0</v>
      </c>
      <c r="J200" s="374">
        <f t="shared" si="40"/>
        <v>0</v>
      </c>
      <c r="K200" s="137">
        <f t="shared" si="47"/>
        <v>8</v>
      </c>
      <c r="L200" s="131">
        <f t="shared" si="48"/>
        <v>319.76</v>
      </c>
      <c r="M200" s="131">
        <f t="shared" si="48"/>
        <v>0</v>
      </c>
      <c r="N200" s="131">
        <f t="shared" si="48"/>
        <v>0</v>
      </c>
      <c r="O200" s="131">
        <f t="shared" si="48"/>
        <v>319.76</v>
      </c>
      <c r="P200" s="136">
        <f t="shared" si="37"/>
        <v>0</v>
      </c>
      <c r="Q200" s="525"/>
      <c r="S200" s="189">
        <v>0</v>
      </c>
      <c r="T200" s="189">
        <v>0</v>
      </c>
      <c r="BT200" s="525"/>
      <c r="BU200" s="523">
        <v>0</v>
      </c>
      <c r="BV200" s="523">
        <v>0</v>
      </c>
      <c r="BW200" s="523">
        <v>0</v>
      </c>
      <c r="BX200" s="523"/>
      <c r="BY200" s="523"/>
      <c r="BZ200" s="523"/>
      <c r="CA200" s="523"/>
      <c r="CB200" s="523"/>
      <c r="CC200" s="523"/>
      <c r="CD200" s="523"/>
      <c r="CE200" s="523"/>
      <c r="CF200" s="523"/>
      <c r="CG200" s="523"/>
      <c r="CH200" s="523"/>
      <c r="CI200" s="523">
        <f t="shared" si="38"/>
        <v>0</v>
      </c>
    </row>
    <row r="201" spans="1:87" x14ac:dyDescent="0.2">
      <c r="A201" s="125" t="s">
        <v>506</v>
      </c>
      <c r="B201" s="126">
        <v>86914</v>
      </c>
      <c r="C201" s="126" t="s">
        <v>1324</v>
      </c>
      <c r="D201" s="127" t="s">
        <v>1650</v>
      </c>
      <c r="E201" s="128" t="s">
        <v>102</v>
      </c>
      <c r="F201" s="137">
        <v>47.11</v>
      </c>
      <c r="G201" s="130">
        <v>31.02</v>
      </c>
      <c r="H201" s="128">
        <v>2</v>
      </c>
      <c r="I201" s="116">
        <f t="shared" si="39"/>
        <v>0</v>
      </c>
      <c r="J201" s="374">
        <f t="shared" si="40"/>
        <v>0</v>
      </c>
      <c r="K201" s="137">
        <f t="shared" si="47"/>
        <v>2</v>
      </c>
      <c r="L201" s="131">
        <f t="shared" si="48"/>
        <v>62.04</v>
      </c>
      <c r="M201" s="131">
        <f t="shared" si="48"/>
        <v>0</v>
      </c>
      <c r="N201" s="131">
        <f t="shared" si="48"/>
        <v>0</v>
      </c>
      <c r="O201" s="131">
        <f t="shared" si="48"/>
        <v>62.04</v>
      </c>
      <c r="P201" s="136">
        <f t="shared" si="37"/>
        <v>0</v>
      </c>
      <c r="Q201" s="525"/>
      <c r="S201" s="189">
        <v>0</v>
      </c>
      <c r="T201" s="189">
        <v>0</v>
      </c>
      <c r="BT201" s="525"/>
      <c r="BU201" s="523">
        <v>0</v>
      </c>
      <c r="BV201" s="523">
        <v>0</v>
      </c>
      <c r="BW201" s="523">
        <v>0</v>
      </c>
      <c r="BX201" s="523"/>
      <c r="BY201" s="523"/>
      <c r="BZ201" s="523"/>
      <c r="CA201" s="523"/>
      <c r="CB201" s="523"/>
      <c r="CC201" s="523"/>
      <c r="CD201" s="523"/>
      <c r="CE201" s="523"/>
      <c r="CF201" s="523"/>
      <c r="CG201" s="523"/>
      <c r="CH201" s="523"/>
      <c r="CI201" s="523">
        <f t="shared" si="38"/>
        <v>0</v>
      </c>
    </row>
    <row r="202" spans="1:87" ht="25.5" x14ac:dyDescent="0.2">
      <c r="A202" s="125" t="s">
        <v>508</v>
      </c>
      <c r="B202" s="126">
        <v>9535</v>
      </c>
      <c r="C202" s="126" t="s">
        <v>1324</v>
      </c>
      <c r="D202" s="127" t="s">
        <v>1651</v>
      </c>
      <c r="E202" s="128" t="s">
        <v>102</v>
      </c>
      <c r="F202" s="129"/>
      <c r="G202" s="130">
        <v>30.06</v>
      </c>
      <c r="H202" s="128">
        <v>6</v>
      </c>
      <c r="I202" s="116">
        <f t="shared" si="39"/>
        <v>0</v>
      </c>
      <c r="J202" s="374">
        <f t="shared" si="40"/>
        <v>0</v>
      </c>
      <c r="K202" s="137">
        <f t="shared" si="47"/>
        <v>6</v>
      </c>
      <c r="L202" s="131">
        <f t="shared" si="48"/>
        <v>180.36</v>
      </c>
      <c r="M202" s="131">
        <f t="shared" si="48"/>
        <v>0</v>
      </c>
      <c r="N202" s="131">
        <f t="shared" si="48"/>
        <v>0</v>
      </c>
      <c r="O202" s="131">
        <f t="shared" si="48"/>
        <v>180.36</v>
      </c>
      <c r="P202" s="136">
        <f t="shared" si="37"/>
        <v>0</v>
      </c>
      <c r="Q202" s="525"/>
      <c r="S202" s="189">
        <v>0</v>
      </c>
      <c r="T202" s="189">
        <v>0</v>
      </c>
      <c r="BT202" s="525"/>
      <c r="BU202" s="523">
        <v>0</v>
      </c>
      <c r="BV202" s="523">
        <v>0</v>
      </c>
      <c r="BW202" s="523">
        <v>0</v>
      </c>
      <c r="BX202" s="523"/>
      <c r="BY202" s="523"/>
      <c r="BZ202" s="523"/>
      <c r="CA202" s="523"/>
      <c r="CB202" s="523"/>
      <c r="CC202" s="523"/>
      <c r="CD202" s="523"/>
      <c r="CE202" s="523"/>
      <c r="CF202" s="523"/>
      <c r="CG202" s="523"/>
      <c r="CH202" s="523"/>
      <c r="CI202" s="523">
        <f t="shared" si="38"/>
        <v>0</v>
      </c>
    </row>
    <row r="203" spans="1:87" ht="25.5" x14ac:dyDescent="0.2">
      <c r="A203" s="125" t="s">
        <v>511</v>
      </c>
      <c r="B203" s="126" t="s">
        <v>2007</v>
      </c>
      <c r="C203" s="126" t="s">
        <v>1339</v>
      </c>
      <c r="D203" s="127" t="s">
        <v>1652</v>
      </c>
      <c r="E203" s="128" t="s">
        <v>102</v>
      </c>
      <c r="F203" s="137">
        <v>5.09</v>
      </c>
      <c r="G203" s="130">
        <v>141.72</v>
      </c>
      <c r="H203" s="128">
        <v>6</v>
      </c>
      <c r="I203" s="116">
        <f t="shared" si="39"/>
        <v>0</v>
      </c>
      <c r="J203" s="374">
        <f t="shared" si="40"/>
        <v>0</v>
      </c>
      <c r="K203" s="137">
        <f t="shared" si="47"/>
        <v>6</v>
      </c>
      <c r="L203" s="131">
        <f t="shared" si="48"/>
        <v>850.32</v>
      </c>
      <c r="M203" s="131">
        <f t="shared" si="48"/>
        <v>0</v>
      </c>
      <c r="N203" s="131">
        <f t="shared" si="48"/>
        <v>0</v>
      </c>
      <c r="O203" s="131">
        <f t="shared" si="48"/>
        <v>850.32</v>
      </c>
      <c r="P203" s="136">
        <f t="shared" si="37"/>
        <v>0</v>
      </c>
      <c r="Q203" s="525"/>
      <c r="S203" s="189">
        <v>0</v>
      </c>
      <c r="T203" s="189">
        <v>0</v>
      </c>
      <c r="BT203" s="525"/>
      <c r="BU203" s="523">
        <v>0</v>
      </c>
      <c r="BV203" s="523">
        <v>0</v>
      </c>
      <c r="BW203" s="523">
        <v>0</v>
      </c>
      <c r="BX203" s="523"/>
      <c r="BY203" s="523"/>
      <c r="BZ203" s="523"/>
      <c r="CA203" s="523"/>
      <c r="CB203" s="523"/>
      <c r="CC203" s="523"/>
      <c r="CD203" s="523"/>
      <c r="CE203" s="523"/>
      <c r="CF203" s="523"/>
      <c r="CG203" s="523"/>
      <c r="CH203" s="523"/>
      <c r="CI203" s="523">
        <f t="shared" si="38"/>
        <v>0</v>
      </c>
    </row>
    <row r="204" spans="1:87" x14ac:dyDescent="0.2">
      <c r="A204" s="125" t="s">
        <v>513</v>
      </c>
      <c r="B204" s="126" t="s">
        <v>2007</v>
      </c>
      <c r="C204" s="126" t="s">
        <v>1339</v>
      </c>
      <c r="D204" s="127" t="s">
        <v>1653</v>
      </c>
      <c r="E204" s="128" t="s">
        <v>102</v>
      </c>
      <c r="F204" s="137">
        <v>6.77</v>
      </c>
      <c r="G204" s="130">
        <v>39.700000000000003</v>
      </c>
      <c r="H204" s="128">
        <v>4</v>
      </c>
      <c r="I204" s="116">
        <f t="shared" si="39"/>
        <v>0</v>
      </c>
      <c r="J204" s="374">
        <f t="shared" si="40"/>
        <v>0</v>
      </c>
      <c r="K204" s="137">
        <f t="shared" si="47"/>
        <v>4</v>
      </c>
      <c r="L204" s="131">
        <f t="shared" si="48"/>
        <v>158.80000000000001</v>
      </c>
      <c r="M204" s="131">
        <f t="shared" si="48"/>
        <v>0</v>
      </c>
      <c r="N204" s="131">
        <f t="shared" si="48"/>
        <v>0</v>
      </c>
      <c r="O204" s="131">
        <f t="shared" si="48"/>
        <v>158.80000000000001</v>
      </c>
      <c r="P204" s="136">
        <f t="shared" si="37"/>
        <v>0</v>
      </c>
      <c r="Q204" s="525"/>
      <c r="S204" s="189">
        <v>0</v>
      </c>
      <c r="T204" s="189">
        <v>0</v>
      </c>
      <c r="BT204" s="525"/>
      <c r="BU204" s="523">
        <v>0</v>
      </c>
      <c r="BV204" s="523">
        <v>0</v>
      </c>
      <c r="BW204" s="523">
        <v>0</v>
      </c>
      <c r="BX204" s="523"/>
      <c r="BY204" s="523"/>
      <c r="BZ204" s="523"/>
      <c r="CA204" s="523"/>
      <c r="CB204" s="523"/>
      <c r="CC204" s="523"/>
      <c r="CD204" s="523"/>
      <c r="CE204" s="523"/>
      <c r="CF204" s="523"/>
      <c r="CG204" s="523"/>
      <c r="CH204" s="523"/>
      <c r="CI204" s="523">
        <f t="shared" si="38"/>
        <v>0</v>
      </c>
    </row>
    <row r="205" spans="1:87" x14ac:dyDescent="0.2">
      <c r="A205" s="125" t="s">
        <v>515</v>
      </c>
      <c r="B205" s="126" t="s">
        <v>2007</v>
      </c>
      <c r="C205" s="126" t="s">
        <v>1339</v>
      </c>
      <c r="D205" s="127" t="s">
        <v>1654</v>
      </c>
      <c r="E205" s="128" t="s">
        <v>102</v>
      </c>
      <c r="F205" s="137">
        <v>10.76</v>
      </c>
      <c r="G205" s="130">
        <v>30.45</v>
      </c>
      <c r="H205" s="128">
        <v>4</v>
      </c>
      <c r="I205" s="116">
        <f t="shared" si="39"/>
        <v>0</v>
      </c>
      <c r="J205" s="374">
        <f t="shared" si="40"/>
        <v>0</v>
      </c>
      <c r="K205" s="137">
        <f t="shared" si="47"/>
        <v>4</v>
      </c>
      <c r="L205" s="131">
        <f t="shared" si="48"/>
        <v>121.8</v>
      </c>
      <c r="M205" s="131">
        <f t="shared" si="48"/>
        <v>0</v>
      </c>
      <c r="N205" s="131">
        <f t="shared" si="48"/>
        <v>0</v>
      </c>
      <c r="O205" s="131">
        <f t="shared" si="48"/>
        <v>121.8</v>
      </c>
      <c r="P205" s="136">
        <f t="shared" ref="P205:P268" si="49">N205/L205</f>
        <v>0</v>
      </c>
      <c r="Q205" s="525"/>
      <c r="S205" s="189">
        <v>0</v>
      </c>
      <c r="T205" s="189">
        <v>0</v>
      </c>
      <c r="BT205" s="525"/>
      <c r="BU205" s="523">
        <v>0</v>
      </c>
      <c r="BV205" s="523">
        <v>0</v>
      </c>
      <c r="BW205" s="523">
        <v>0</v>
      </c>
      <c r="BX205" s="523"/>
      <c r="BY205" s="523"/>
      <c r="BZ205" s="523"/>
      <c r="CA205" s="523"/>
      <c r="CB205" s="523"/>
      <c r="CC205" s="523"/>
      <c r="CD205" s="523"/>
      <c r="CE205" s="523"/>
      <c r="CF205" s="523"/>
      <c r="CG205" s="523"/>
      <c r="CH205" s="523"/>
      <c r="CI205" s="523">
        <f t="shared" si="38"/>
        <v>0</v>
      </c>
    </row>
    <row r="206" spans="1:87" ht="25.5" x14ac:dyDescent="0.2">
      <c r="A206" s="125" t="s">
        <v>517</v>
      </c>
      <c r="B206" s="126" t="s">
        <v>2007</v>
      </c>
      <c r="C206" s="126" t="s">
        <v>1339</v>
      </c>
      <c r="D206" s="127" t="s">
        <v>1655</v>
      </c>
      <c r="E206" s="128" t="s">
        <v>102</v>
      </c>
      <c r="F206" s="137">
        <v>42.01</v>
      </c>
      <c r="G206" s="130">
        <v>32.1</v>
      </c>
      <c r="H206" s="128">
        <v>6</v>
      </c>
      <c r="I206" s="116">
        <f t="shared" si="39"/>
        <v>0</v>
      </c>
      <c r="J206" s="374">
        <f t="shared" si="40"/>
        <v>0</v>
      </c>
      <c r="K206" s="137">
        <f t="shared" si="47"/>
        <v>6</v>
      </c>
      <c r="L206" s="131">
        <f t="shared" si="48"/>
        <v>192.6</v>
      </c>
      <c r="M206" s="131">
        <f t="shared" si="48"/>
        <v>0</v>
      </c>
      <c r="N206" s="131">
        <f t="shared" si="48"/>
        <v>0</v>
      </c>
      <c r="O206" s="131">
        <f t="shared" si="48"/>
        <v>192.6</v>
      </c>
      <c r="P206" s="136">
        <f t="shared" si="49"/>
        <v>0</v>
      </c>
      <c r="Q206" s="525"/>
      <c r="S206" s="189">
        <v>0</v>
      </c>
      <c r="T206" s="189">
        <v>0</v>
      </c>
      <c r="BT206" s="525"/>
      <c r="BU206" s="523">
        <v>0</v>
      </c>
      <c r="BV206" s="523">
        <v>0</v>
      </c>
      <c r="BW206" s="523">
        <v>0</v>
      </c>
      <c r="BX206" s="523"/>
      <c r="BY206" s="523"/>
      <c r="BZ206" s="523"/>
      <c r="CA206" s="523"/>
      <c r="CB206" s="523"/>
      <c r="CC206" s="523"/>
      <c r="CD206" s="523"/>
      <c r="CE206" s="523"/>
      <c r="CF206" s="523"/>
      <c r="CG206" s="523"/>
      <c r="CH206" s="523"/>
      <c r="CI206" s="523">
        <f t="shared" si="38"/>
        <v>0</v>
      </c>
    </row>
    <row r="207" spans="1:87" s="514" customFormat="1" x14ac:dyDescent="0.2">
      <c r="A207" s="125" t="s">
        <v>519</v>
      </c>
      <c r="B207" s="126" t="s">
        <v>2007</v>
      </c>
      <c r="C207" s="126" t="s">
        <v>1339</v>
      </c>
      <c r="D207" s="127" t="s">
        <v>1656</v>
      </c>
      <c r="E207" s="128" t="s">
        <v>102</v>
      </c>
      <c r="F207" s="137">
        <v>19.79</v>
      </c>
      <c r="G207" s="130">
        <v>579.82000000000005</v>
      </c>
      <c r="H207" s="128">
        <v>2</v>
      </c>
      <c r="I207" s="116">
        <f t="shared" si="39"/>
        <v>0</v>
      </c>
      <c r="J207" s="374">
        <f t="shared" si="40"/>
        <v>0</v>
      </c>
      <c r="K207" s="137">
        <f t="shared" si="47"/>
        <v>2</v>
      </c>
      <c r="L207" s="131">
        <f t="shared" si="48"/>
        <v>1159.6400000000001</v>
      </c>
      <c r="M207" s="131">
        <f t="shared" si="48"/>
        <v>0</v>
      </c>
      <c r="N207" s="131">
        <f t="shared" si="48"/>
        <v>0</v>
      </c>
      <c r="O207" s="131">
        <f t="shared" si="48"/>
        <v>1159.6400000000001</v>
      </c>
      <c r="P207" s="136">
        <f t="shared" si="49"/>
        <v>0</v>
      </c>
      <c r="Q207" s="525"/>
      <c r="S207" s="190">
        <v>0</v>
      </c>
      <c r="T207" s="190">
        <v>0</v>
      </c>
      <c r="BT207" s="525"/>
      <c r="BU207" s="523">
        <v>0</v>
      </c>
      <c r="BV207" s="523">
        <v>0</v>
      </c>
      <c r="BW207" s="523">
        <v>0</v>
      </c>
      <c r="BX207" s="523"/>
      <c r="BY207" s="523"/>
      <c r="BZ207" s="523"/>
      <c r="CA207" s="523"/>
      <c r="CB207" s="523"/>
      <c r="CC207" s="523"/>
      <c r="CD207" s="523"/>
      <c r="CE207" s="523"/>
      <c r="CF207" s="523"/>
      <c r="CG207" s="523"/>
      <c r="CH207" s="523"/>
      <c r="CI207" s="523">
        <f t="shared" ref="CI207:CI270" si="50">SUM(BU207:CH207)</f>
        <v>0</v>
      </c>
    </row>
    <row r="208" spans="1:87" x14ac:dyDescent="0.2">
      <c r="A208" s="412">
        <v>16</v>
      </c>
      <c r="B208" s="413"/>
      <c r="C208" s="413"/>
      <c r="D208" s="414" t="s">
        <v>1657</v>
      </c>
      <c r="E208" s="415"/>
      <c r="F208" s="415"/>
      <c r="G208" s="415"/>
      <c r="H208" s="415"/>
      <c r="I208" s="415"/>
      <c r="J208" s="415"/>
      <c r="K208" s="415"/>
      <c r="L208" s="416">
        <f>SUM(L209:L213)</f>
        <v>792.22</v>
      </c>
      <c r="M208" s="416">
        <f>SUM(M209:M213)</f>
        <v>0</v>
      </c>
      <c r="N208" s="416">
        <f>SUM(N209:N213)</f>
        <v>0</v>
      </c>
      <c r="O208" s="416">
        <f>SUM(O209:O213)</f>
        <v>792.22</v>
      </c>
      <c r="P208" s="423">
        <f t="shared" si="49"/>
        <v>0</v>
      </c>
      <c r="Q208" s="525"/>
      <c r="S208" s="189">
        <v>0</v>
      </c>
      <c r="T208" s="189">
        <v>0</v>
      </c>
      <c r="BT208" s="525"/>
      <c r="BU208" s="523">
        <v>0</v>
      </c>
      <c r="BV208" s="523"/>
      <c r="BW208" s="523"/>
      <c r="BX208" s="523"/>
      <c r="BY208" s="523"/>
      <c r="BZ208" s="523"/>
      <c r="CA208" s="523"/>
      <c r="CB208" s="523"/>
      <c r="CC208" s="523"/>
      <c r="CD208" s="523"/>
      <c r="CE208" s="523"/>
      <c r="CF208" s="523"/>
      <c r="CG208" s="523"/>
      <c r="CH208" s="523"/>
      <c r="CI208" s="523">
        <f t="shared" si="50"/>
        <v>0</v>
      </c>
    </row>
    <row r="209" spans="1:87" x14ac:dyDescent="0.2">
      <c r="A209" s="125" t="s">
        <v>616</v>
      </c>
      <c r="B209" s="126" t="s">
        <v>2007</v>
      </c>
      <c r="C209" s="126" t="s">
        <v>1339</v>
      </c>
      <c r="D209" s="127" t="s">
        <v>1658</v>
      </c>
      <c r="E209" s="128" t="s">
        <v>102</v>
      </c>
      <c r="F209" s="137">
        <v>40.08</v>
      </c>
      <c r="G209" s="130">
        <v>109.5</v>
      </c>
      <c r="H209" s="128">
        <v>2</v>
      </c>
      <c r="I209" s="116">
        <f t="shared" ref="I209:I272" si="51">BU209</f>
        <v>0</v>
      </c>
      <c r="J209" s="374">
        <f t="shared" ref="J209:J272" si="52">CI209</f>
        <v>0</v>
      </c>
      <c r="K209" s="137">
        <f t="shared" si="47"/>
        <v>2</v>
      </c>
      <c r="L209" s="131">
        <f t="shared" ref="L209:O213" si="53">ROUND(H209*$G209,2)</f>
        <v>219</v>
      </c>
      <c r="M209" s="131">
        <f t="shared" si="53"/>
        <v>0</v>
      </c>
      <c r="N209" s="131">
        <f t="shared" si="53"/>
        <v>0</v>
      </c>
      <c r="O209" s="131">
        <f t="shared" si="53"/>
        <v>219</v>
      </c>
      <c r="P209" s="136">
        <f t="shared" si="49"/>
        <v>0</v>
      </c>
      <c r="Q209" s="525"/>
      <c r="S209" s="189">
        <v>0</v>
      </c>
      <c r="T209" s="189">
        <v>0</v>
      </c>
      <c r="BT209" s="525"/>
      <c r="BU209" s="523">
        <v>0</v>
      </c>
      <c r="BV209" s="523">
        <v>0</v>
      </c>
      <c r="BW209" s="523">
        <v>0</v>
      </c>
      <c r="BX209" s="523"/>
      <c r="BY209" s="523"/>
      <c r="BZ209" s="523"/>
      <c r="CA209" s="523"/>
      <c r="CB209" s="523"/>
      <c r="CC209" s="523"/>
      <c r="CD209" s="523"/>
      <c r="CE209" s="523"/>
      <c r="CF209" s="523"/>
      <c r="CG209" s="523"/>
      <c r="CH209" s="523"/>
      <c r="CI209" s="523">
        <f t="shared" si="50"/>
        <v>0</v>
      </c>
    </row>
    <row r="210" spans="1:87" x14ac:dyDescent="0.2">
      <c r="A210" s="125" t="s">
        <v>618</v>
      </c>
      <c r="B210" s="126" t="s">
        <v>2007</v>
      </c>
      <c r="C210" s="126" t="s">
        <v>1339</v>
      </c>
      <c r="D210" s="127" t="s">
        <v>1659</v>
      </c>
      <c r="E210" s="128" t="s">
        <v>102</v>
      </c>
      <c r="F210" s="137">
        <v>199.75</v>
      </c>
      <c r="G210" s="130">
        <v>227.16</v>
      </c>
      <c r="H210" s="128">
        <v>2</v>
      </c>
      <c r="I210" s="116">
        <f t="shared" si="51"/>
        <v>0</v>
      </c>
      <c r="J210" s="374">
        <f t="shared" si="52"/>
        <v>0</v>
      </c>
      <c r="K210" s="137">
        <f t="shared" si="47"/>
        <v>2</v>
      </c>
      <c r="L210" s="131">
        <f t="shared" si="53"/>
        <v>454.32</v>
      </c>
      <c r="M210" s="131">
        <f t="shared" si="53"/>
        <v>0</v>
      </c>
      <c r="N210" s="131">
        <f t="shared" si="53"/>
        <v>0</v>
      </c>
      <c r="O210" s="131">
        <f t="shared" si="53"/>
        <v>454.32</v>
      </c>
      <c r="P210" s="136">
        <f t="shared" si="49"/>
        <v>0</v>
      </c>
      <c r="Q210" s="525"/>
      <c r="S210" s="189">
        <v>0</v>
      </c>
      <c r="T210" s="189">
        <v>0</v>
      </c>
      <c r="BT210" s="525"/>
      <c r="BU210" s="523">
        <v>0</v>
      </c>
      <c r="BV210" s="523">
        <v>0</v>
      </c>
      <c r="BW210" s="523">
        <v>0</v>
      </c>
      <c r="BX210" s="523"/>
      <c r="BY210" s="523"/>
      <c r="BZ210" s="523"/>
      <c r="CA210" s="523"/>
      <c r="CB210" s="523"/>
      <c r="CC210" s="523"/>
      <c r="CD210" s="523"/>
      <c r="CE210" s="523"/>
      <c r="CF210" s="523"/>
      <c r="CG210" s="523"/>
      <c r="CH210" s="523"/>
      <c r="CI210" s="523">
        <f t="shared" si="50"/>
        <v>0</v>
      </c>
    </row>
    <row r="211" spans="1:87" x14ac:dyDescent="0.2">
      <c r="A211" s="125" t="s">
        <v>620</v>
      </c>
      <c r="B211" s="126" t="s">
        <v>2007</v>
      </c>
      <c r="C211" s="126" t="s">
        <v>1339</v>
      </c>
      <c r="D211" s="127" t="s">
        <v>1660</v>
      </c>
      <c r="E211" s="128" t="s">
        <v>102</v>
      </c>
      <c r="F211" s="129"/>
      <c r="G211" s="130">
        <v>27.98</v>
      </c>
      <c r="H211" s="128">
        <v>2</v>
      </c>
      <c r="I211" s="116">
        <f t="shared" si="51"/>
        <v>0</v>
      </c>
      <c r="J211" s="374">
        <f t="shared" si="52"/>
        <v>0</v>
      </c>
      <c r="K211" s="137">
        <f t="shared" si="47"/>
        <v>2</v>
      </c>
      <c r="L211" s="131">
        <f t="shared" si="53"/>
        <v>55.96</v>
      </c>
      <c r="M211" s="131">
        <f t="shared" si="53"/>
        <v>0</v>
      </c>
      <c r="N211" s="131">
        <f t="shared" si="53"/>
        <v>0</v>
      </c>
      <c r="O211" s="131">
        <f t="shared" si="53"/>
        <v>55.96</v>
      </c>
      <c r="P211" s="136">
        <f t="shared" si="49"/>
        <v>0</v>
      </c>
      <c r="Q211" s="525"/>
      <c r="S211" s="189">
        <v>0</v>
      </c>
      <c r="T211" s="189">
        <v>0</v>
      </c>
      <c r="BT211" s="525"/>
      <c r="BU211" s="523">
        <v>0</v>
      </c>
      <c r="BV211" s="523">
        <v>0</v>
      </c>
      <c r="BW211" s="523">
        <v>0</v>
      </c>
      <c r="BX211" s="523"/>
      <c r="BY211" s="523"/>
      <c r="BZ211" s="523"/>
      <c r="CA211" s="523"/>
      <c r="CB211" s="523"/>
      <c r="CC211" s="523"/>
      <c r="CD211" s="523"/>
      <c r="CE211" s="523"/>
      <c r="CF211" s="523"/>
      <c r="CG211" s="523"/>
      <c r="CH211" s="523"/>
      <c r="CI211" s="523">
        <f t="shared" si="50"/>
        <v>0</v>
      </c>
    </row>
    <row r="212" spans="1:87" x14ac:dyDescent="0.2">
      <c r="A212" s="125" t="s">
        <v>1661</v>
      </c>
      <c r="B212" s="126" t="s">
        <v>2007</v>
      </c>
      <c r="C212" s="126" t="s">
        <v>1339</v>
      </c>
      <c r="D212" s="127" t="s">
        <v>1662</v>
      </c>
      <c r="E212" s="128" t="s">
        <v>102</v>
      </c>
      <c r="F212" s="137">
        <v>3.37</v>
      </c>
      <c r="G212" s="130">
        <v>16.36</v>
      </c>
      <c r="H212" s="128">
        <v>2</v>
      </c>
      <c r="I212" s="116">
        <f t="shared" si="51"/>
        <v>0</v>
      </c>
      <c r="J212" s="374">
        <f t="shared" si="52"/>
        <v>0</v>
      </c>
      <c r="K212" s="137">
        <f t="shared" si="47"/>
        <v>2</v>
      </c>
      <c r="L212" s="131">
        <f t="shared" si="53"/>
        <v>32.72</v>
      </c>
      <c r="M212" s="131">
        <f t="shared" si="53"/>
        <v>0</v>
      </c>
      <c r="N212" s="131">
        <f t="shared" si="53"/>
        <v>0</v>
      </c>
      <c r="O212" s="131">
        <f t="shared" si="53"/>
        <v>32.72</v>
      </c>
      <c r="P212" s="136">
        <f t="shared" si="49"/>
        <v>0</v>
      </c>
      <c r="Q212" s="525"/>
      <c r="S212" s="189">
        <v>0</v>
      </c>
      <c r="T212" s="189">
        <v>0</v>
      </c>
      <c r="BT212" s="525"/>
      <c r="BU212" s="523">
        <v>0</v>
      </c>
      <c r="BV212" s="523">
        <v>0</v>
      </c>
      <c r="BW212" s="523">
        <v>0</v>
      </c>
      <c r="BX212" s="523"/>
      <c r="BY212" s="523"/>
      <c r="BZ212" s="523"/>
      <c r="CA212" s="523"/>
      <c r="CB212" s="523"/>
      <c r="CC212" s="523"/>
      <c r="CD212" s="523"/>
      <c r="CE212" s="523"/>
      <c r="CF212" s="523"/>
      <c r="CG212" s="523"/>
      <c r="CH212" s="523"/>
      <c r="CI212" s="523">
        <f t="shared" si="50"/>
        <v>0</v>
      </c>
    </row>
    <row r="213" spans="1:87" s="194" customFormat="1" x14ac:dyDescent="0.2">
      <c r="A213" s="125" t="s">
        <v>1663</v>
      </c>
      <c r="B213" s="126" t="s">
        <v>2007</v>
      </c>
      <c r="C213" s="126" t="s">
        <v>1339</v>
      </c>
      <c r="D213" s="127" t="s">
        <v>1664</v>
      </c>
      <c r="E213" s="128" t="s">
        <v>102</v>
      </c>
      <c r="F213" s="137">
        <v>10.220000000000001</v>
      </c>
      <c r="G213" s="130">
        <v>15.11</v>
      </c>
      <c r="H213" s="128">
        <v>2</v>
      </c>
      <c r="I213" s="116">
        <f t="shared" si="51"/>
        <v>0</v>
      </c>
      <c r="J213" s="374">
        <f t="shared" si="52"/>
        <v>0</v>
      </c>
      <c r="K213" s="137">
        <f t="shared" si="47"/>
        <v>2</v>
      </c>
      <c r="L213" s="131">
        <f t="shared" si="53"/>
        <v>30.22</v>
      </c>
      <c r="M213" s="131">
        <f t="shared" si="53"/>
        <v>0</v>
      </c>
      <c r="N213" s="131">
        <f t="shared" si="53"/>
        <v>0</v>
      </c>
      <c r="O213" s="131">
        <f t="shared" si="53"/>
        <v>30.22</v>
      </c>
      <c r="P213" s="136">
        <f t="shared" si="49"/>
        <v>0</v>
      </c>
      <c r="Q213" s="525"/>
      <c r="S213" s="195">
        <v>0</v>
      </c>
      <c r="T213" s="195">
        <v>0</v>
      </c>
      <c r="BT213" s="525"/>
      <c r="BU213" s="523">
        <v>0</v>
      </c>
      <c r="BV213" s="523">
        <v>0</v>
      </c>
      <c r="BW213" s="523">
        <v>0</v>
      </c>
      <c r="BX213" s="523"/>
      <c r="BY213" s="523"/>
      <c r="BZ213" s="523"/>
      <c r="CA213" s="523"/>
      <c r="CB213" s="523"/>
      <c r="CC213" s="523"/>
      <c r="CD213" s="523"/>
      <c r="CE213" s="523"/>
      <c r="CF213" s="523"/>
      <c r="CG213" s="523"/>
      <c r="CH213" s="523"/>
      <c r="CI213" s="523">
        <f t="shared" si="50"/>
        <v>0</v>
      </c>
    </row>
    <row r="214" spans="1:87" s="514" customFormat="1" x14ac:dyDescent="0.2">
      <c r="A214" s="425">
        <v>17</v>
      </c>
      <c r="B214" s="414"/>
      <c r="C214" s="414"/>
      <c r="D214" s="414" t="s">
        <v>1665</v>
      </c>
      <c r="E214" s="415"/>
      <c r="F214" s="415"/>
      <c r="G214" s="415"/>
      <c r="H214" s="415"/>
      <c r="I214" s="415"/>
      <c r="J214" s="415"/>
      <c r="K214" s="415"/>
      <c r="L214" s="435">
        <f>SUM(L215,L225,L247,L252)</f>
        <v>20098.660000000003</v>
      </c>
      <c r="M214" s="435">
        <f>SUM(M215,M225,M247,M252)</f>
        <v>0</v>
      </c>
      <c r="N214" s="435">
        <f>SUM(N215,N225,N247,N252)</f>
        <v>0</v>
      </c>
      <c r="O214" s="435">
        <f>SUM(O215,O225,O247,O252)</f>
        <v>20098.660000000003</v>
      </c>
      <c r="P214" s="437">
        <f t="shared" si="49"/>
        <v>0</v>
      </c>
      <c r="Q214" s="525"/>
      <c r="S214" s="190">
        <v>0</v>
      </c>
      <c r="T214" s="190">
        <v>0</v>
      </c>
      <c r="BT214" s="525"/>
      <c r="BU214" s="523">
        <v>0</v>
      </c>
      <c r="BV214" s="523"/>
      <c r="BW214" s="523"/>
      <c r="BX214" s="523"/>
      <c r="BY214" s="523"/>
      <c r="BZ214" s="523"/>
      <c r="CA214" s="523"/>
      <c r="CB214" s="523"/>
      <c r="CC214" s="523"/>
      <c r="CD214" s="523"/>
      <c r="CE214" s="523"/>
      <c r="CF214" s="523"/>
      <c r="CG214" s="523"/>
      <c r="CH214" s="523"/>
      <c r="CI214" s="523">
        <f t="shared" si="50"/>
        <v>0</v>
      </c>
    </row>
    <row r="215" spans="1:87" x14ac:dyDescent="0.2">
      <c r="A215" s="449" t="s">
        <v>625</v>
      </c>
      <c r="B215" s="450"/>
      <c r="C215" s="450"/>
      <c r="D215" s="451" t="s">
        <v>1666</v>
      </c>
      <c r="E215" s="452"/>
      <c r="F215" s="452"/>
      <c r="G215" s="452"/>
      <c r="H215" s="452"/>
      <c r="I215" s="452"/>
      <c r="J215" s="452"/>
      <c r="K215" s="452"/>
      <c r="L215" s="452">
        <f>SUM(L216:L224)</f>
        <v>1711.6100000000001</v>
      </c>
      <c r="M215" s="452">
        <f>SUM(M216:M224)</f>
        <v>0</v>
      </c>
      <c r="N215" s="452">
        <f>SUM(N216:N224)</f>
        <v>0</v>
      </c>
      <c r="O215" s="452">
        <f>SUM(O216:O224)</f>
        <v>1711.6100000000001</v>
      </c>
      <c r="P215" s="459">
        <f t="shared" si="49"/>
        <v>0</v>
      </c>
      <c r="Q215" s="525"/>
      <c r="S215" s="189">
        <v>0</v>
      </c>
      <c r="T215" s="189">
        <v>0</v>
      </c>
      <c r="BT215" s="525"/>
      <c r="BU215" s="523">
        <v>0</v>
      </c>
      <c r="BV215" s="523"/>
      <c r="BW215" s="523"/>
      <c r="BX215" s="523"/>
      <c r="BY215" s="523"/>
      <c r="BZ215" s="523"/>
      <c r="CA215" s="523"/>
      <c r="CB215" s="523"/>
      <c r="CC215" s="523"/>
      <c r="CD215" s="523"/>
      <c r="CE215" s="523"/>
      <c r="CF215" s="523"/>
      <c r="CG215" s="523"/>
      <c r="CH215" s="523"/>
      <c r="CI215" s="523">
        <f t="shared" si="50"/>
        <v>0</v>
      </c>
    </row>
    <row r="216" spans="1:87" x14ac:dyDescent="0.2">
      <c r="A216" s="125" t="s">
        <v>1667</v>
      </c>
      <c r="B216" s="126">
        <v>83463</v>
      </c>
      <c r="C216" s="126" t="s">
        <v>1324</v>
      </c>
      <c r="D216" s="127" t="s">
        <v>1668</v>
      </c>
      <c r="E216" s="128" t="s">
        <v>102</v>
      </c>
      <c r="F216" s="137">
        <v>12.73</v>
      </c>
      <c r="G216" s="130">
        <v>211.62</v>
      </c>
      <c r="H216" s="128">
        <v>1</v>
      </c>
      <c r="I216" s="116">
        <f t="shared" si="51"/>
        <v>0</v>
      </c>
      <c r="J216" s="374">
        <f t="shared" si="52"/>
        <v>0</v>
      </c>
      <c r="K216" s="137">
        <f t="shared" si="47"/>
        <v>1</v>
      </c>
      <c r="L216" s="131">
        <f t="shared" ref="L216:O224" si="54">ROUND(H216*$G216,2)</f>
        <v>211.62</v>
      </c>
      <c r="M216" s="131">
        <f t="shared" si="54"/>
        <v>0</v>
      </c>
      <c r="N216" s="131">
        <f t="shared" si="54"/>
        <v>0</v>
      </c>
      <c r="O216" s="131">
        <f t="shared" si="54"/>
        <v>211.62</v>
      </c>
      <c r="P216" s="136">
        <f t="shared" si="49"/>
        <v>0</v>
      </c>
      <c r="Q216" s="525"/>
      <c r="S216" s="189">
        <v>0</v>
      </c>
      <c r="T216" s="189">
        <v>0</v>
      </c>
      <c r="BT216" s="525"/>
      <c r="BU216" s="523">
        <v>0</v>
      </c>
      <c r="BV216" s="523">
        <v>0</v>
      </c>
      <c r="BW216" s="523">
        <v>0</v>
      </c>
      <c r="BX216" s="523"/>
      <c r="BY216" s="523"/>
      <c r="BZ216" s="523"/>
      <c r="CA216" s="523"/>
      <c r="CB216" s="523"/>
      <c r="CC216" s="523"/>
      <c r="CD216" s="523"/>
      <c r="CE216" s="523"/>
      <c r="CF216" s="523"/>
      <c r="CG216" s="523"/>
      <c r="CH216" s="523"/>
      <c r="CI216" s="523">
        <f t="shared" si="50"/>
        <v>0</v>
      </c>
    </row>
    <row r="217" spans="1:87" x14ac:dyDescent="0.2">
      <c r="A217" s="125" t="s">
        <v>1669</v>
      </c>
      <c r="B217" s="126" t="s">
        <v>1670</v>
      </c>
      <c r="C217" s="126" t="s">
        <v>1324</v>
      </c>
      <c r="D217" s="127" t="s">
        <v>1671</v>
      </c>
      <c r="E217" s="128" t="s">
        <v>102</v>
      </c>
      <c r="F217" s="137">
        <v>8.5299999999999994</v>
      </c>
      <c r="G217" s="130">
        <v>332.47</v>
      </c>
      <c r="H217" s="128">
        <v>1</v>
      </c>
      <c r="I217" s="116">
        <f t="shared" si="51"/>
        <v>0</v>
      </c>
      <c r="J217" s="374">
        <f t="shared" si="52"/>
        <v>0</v>
      </c>
      <c r="K217" s="137">
        <f t="shared" si="47"/>
        <v>1</v>
      </c>
      <c r="L217" s="131">
        <f t="shared" si="54"/>
        <v>332.47</v>
      </c>
      <c r="M217" s="131">
        <f t="shared" si="54"/>
        <v>0</v>
      </c>
      <c r="N217" s="131">
        <f t="shared" si="54"/>
        <v>0</v>
      </c>
      <c r="O217" s="131">
        <f t="shared" si="54"/>
        <v>332.47</v>
      </c>
      <c r="P217" s="136">
        <f t="shared" si="49"/>
        <v>0</v>
      </c>
      <c r="Q217" s="525"/>
      <c r="S217" s="189">
        <v>0</v>
      </c>
      <c r="T217" s="189">
        <v>0</v>
      </c>
      <c r="BT217" s="525"/>
      <c r="BU217" s="523">
        <v>0</v>
      </c>
      <c r="BV217" s="523">
        <v>0</v>
      </c>
      <c r="BW217" s="523">
        <v>0</v>
      </c>
      <c r="BX217" s="523"/>
      <c r="BY217" s="523"/>
      <c r="BZ217" s="523"/>
      <c r="CA217" s="523"/>
      <c r="CB217" s="523"/>
      <c r="CC217" s="523"/>
      <c r="CD217" s="523"/>
      <c r="CE217" s="523"/>
      <c r="CF217" s="523"/>
      <c r="CG217" s="523"/>
      <c r="CH217" s="523"/>
      <c r="CI217" s="523">
        <f t="shared" si="50"/>
        <v>0</v>
      </c>
    </row>
    <row r="218" spans="1:87" x14ac:dyDescent="0.2">
      <c r="A218" s="125" t="s">
        <v>1672</v>
      </c>
      <c r="B218" s="126" t="s">
        <v>1673</v>
      </c>
      <c r="C218" s="126" t="s">
        <v>1343</v>
      </c>
      <c r="D218" s="127" t="s">
        <v>1674</v>
      </c>
      <c r="E218" s="128" t="s">
        <v>102</v>
      </c>
      <c r="F218" s="137">
        <v>22.59</v>
      </c>
      <c r="G218" s="130">
        <v>65.62</v>
      </c>
      <c r="H218" s="128">
        <v>1</v>
      </c>
      <c r="I218" s="116">
        <f t="shared" si="51"/>
        <v>0</v>
      </c>
      <c r="J218" s="374">
        <f t="shared" si="52"/>
        <v>0</v>
      </c>
      <c r="K218" s="137">
        <f t="shared" si="47"/>
        <v>1</v>
      </c>
      <c r="L218" s="131">
        <f t="shared" si="54"/>
        <v>65.62</v>
      </c>
      <c r="M218" s="131">
        <f t="shared" si="54"/>
        <v>0</v>
      </c>
      <c r="N218" s="131">
        <f t="shared" si="54"/>
        <v>0</v>
      </c>
      <c r="O218" s="131">
        <f t="shared" si="54"/>
        <v>65.62</v>
      </c>
      <c r="P218" s="136">
        <f t="shared" si="49"/>
        <v>0</v>
      </c>
      <c r="Q218" s="525"/>
      <c r="S218" s="189">
        <v>0</v>
      </c>
      <c r="T218" s="189">
        <v>0</v>
      </c>
      <c r="BT218" s="525"/>
      <c r="BU218" s="523">
        <v>0</v>
      </c>
      <c r="BV218" s="523">
        <v>0</v>
      </c>
      <c r="BW218" s="523">
        <v>0</v>
      </c>
      <c r="BX218" s="523"/>
      <c r="BY218" s="523"/>
      <c r="BZ218" s="523"/>
      <c r="CA218" s="523"/>
      <c r="CB218" s="523"/>
      <c r="CC218" s="523"/>
      <c r="CD218" s="523"/>
      <c r="CE218" s="523"/>
      <c r="CF218" s="523"/>
      <c r="CG218" s="523"/>
      <c r="CH218" s="523"/>
      <c r="CI218" s="523">
        <f t="shared" si="50"/>
        <v>0</v>
      </c>
    </row>
    <row r="219" spans="1:87" x14ac:dyDescent="0.2">
      <c r="A219" s="125" t="s">
        <v>1675</v>
      </c>
      <c r="B219" s="126" t="s">
        <v>1676</v>
      </c>
      <c r="C219" s="126" t="s">
        <v>1324</v>
      </c>
      <c r="D219" s="127" t="s">
        <v>1677</v>
      </c>
      <c r="E219" s="128" t="s">
        <v>102</v>
      </c>
      <c r="F219" s="129"/>
      <c r="G219" s="130">
        <v>11.27</v>
      </c>
      <c r="H219" s="128">
        <v>7</v>
      </c>
      <c r="I219" s="116">
        <f t="shared" si="51"/>
        <v>0</v>
      </c>
      <c r="J219" s="374">
        <f t="shared" si="52"/>
        <v>0</v>
      </c>
      <c r="K219" s="137">
        <f t="shared" si="47"/>
        <v>7</v>
      </c>
      <c r="L219" s="131">
        <f t="shared" si="54"/>
        <v>78.89</v>
      </c>
      <c r="M219" s="131">
        <f t="shared" si="54"/>
        <v>0</v>
      </c>
      <c r="N219" s="131">
        <f t="shared" si="54"/>
        <v>0</v>
      </c>
      <c r="O219" s="131">
        <f t="shared" si="54"/>
        <v>78.89</v>
      </c>
      <c r="P219" s="136">
        <f t="shared" si="49"/>
        <v>0</v>
      </c>
      <c r="Q219" s="525"/>
      <c r="S219" s="189">
        <v>0</v>
      </c>
      <c r="T219" s="189">
        <v>0</v>
      </c>
      <c r="BT219" s="525"/>
      <c r="BU219" s="523">
        <v>0</v>
      </c>
      <c r="BV219" s="523">
        <v>0</v>
      </c>
      <c r="BW219" s="523">
        <v>0</v>
      </c>
      <c r="BX219" s="523"/>
      <c r="BY219" s="523"/>
      <c r="BZ219" s="523"/>
      <c r="CA219" s="523"/>
      <c r="CB219" s="523"/>
      <c r="CC219" s="523"/>
      <c r="CD219" s="523"/>
      <c r="CE219" s="523"/>
      <c r="CF219" s="523"/>
      <c r="CG219" s="523"/>
      <c r="CH219" s="523"/>
      <c r="CI219" s="523">
        <f t="shared" si="50"/>
        <v>0</v>
      </c>
    </row>
    <row r="220" spans="1:87" x14ac:dyDescent="0.2">
      <c r="A220" s="125" t="s">
        <v>1678</v>
      </c>
      <c r="B220" s="126" t="s">
        <v>1676</v>
      </c>
      <c r="C220" s="126" t="s">
        <v>1324</v>
      </c>
      <c r="D220" s="127" t="s">
        <v>1679</v>
      </c>
      <c r="E220" s="128" t="s">
        <v>102</v>
      </c>
      <c r="F220" s="137">
        <v>4.09</v>
      </c>
      <c r="G220" s="130">
        <v>11.27</v>
      </c>
      <c r="H220" s="128">
        <v>5</v>
      </c>
      <c r="I220" s="116">
        <f t="shared" si="51"/>
        <v>0</v>
      </c>
      <c r="J220" s="374">
        <f t="shared" si="52"/>
        <v>0</v>
      </c>
      <c r="K220" s="137">
        <f t="shared" si="47"/>
        <v>5</v>
      </c>
      <c r="L220" s="131">
        <f t="shared" si="54"/>
        <v>56.35</v>
      </c>
      <c r="M220" s="131">
        <f t="shared" si="54"/>
        <v>0</v>
      </c>
      <c r="N220" s="131">
        <f t="shared" si="54"/>
        <v>0</v>
      </c>
      <c r="O220" s="131">
        <f t="shared" si="54"/>
        <v>56.35</v>
      </c>
      <c r="P220" s="136">
        <f t="shared" si="49"/>
        <v>0</v>
      </c>
      <c r="Q220" s="525"/>
      <c r="S220" s="189">
        <v>0</v>
      </c>
      <c r="T220" s="189">
        <v>0</v>
      </c>
      <c r="BT220" s="525"/>
      <c r="BU220" s="523">
        <v>0</v>
      </c>
      <c r="BV220" s="523">
        <v>0</v>
      </c>
      <c r="BW220" s="523">
        <v>0</v>
      </c>
      <c r="BX220" s="523"/>
      <c r="BY220" s="523"/>
      <c r="BZ220" s="523"/>
      <c r="CA220" s="523"/>
      <c r="CB220" s="523"/>
      <c r="CC220" s="523"/>
      <c r="CD220" s="523"/>
      <c r="CE220" s="523"/>
      <c r="CF220" s="523"/>
      <c r="CG220" s="523"/>
      <c r="CH220" s="523"/>
      <c r="CI220" s="523">
        <f t="shared" si="50"/>
        <v>0</v>
      </c>
    </row>
    <row r="221" spans="1:87" x14ac:dyDescent="0.2">
      <c r="A221" s="125" t="s">
        <v>1680</v>
      </c>
      <c r="B221" s="126" t="s">
        <v>1676</v>
      </c>
      <c r="C221" s="126" t="s">
        <v>1324</v>
      </c>
      <c r="D221" s="127" t="s">
        <v>1681</v>
      </c>
      <c r="E221" s="128" t="s">
        <v>102</v>
      </c>
      <c r="F221" s="137">
        <v>5.71</v>
      </c>
      <c r="G221" s="130">
        <v>11.27</v>
      </c>
      <c r="H221" s="128">
        <v>8</v>
      </c>
      <c r="I221" s="116">
        <f t="shared" si="51"/>
        <v>0</v>
      </c>
      <c r="J221" s="374">
        <f t="shared" si="52"/>
        <v>0</v>
      </c>
      <c r="K221" s="137">
        <f t="shared" si="47"/>
        <v>8</v>
      </c>
      <c r="L221" s="131">
        <f t="shared" si="54"/>
        <v>90.16</v>
      </c>
      <c r="M221" s="131">
        <f t="shared" si="54"/>
        <v>0</v>
      </c>
      <c r="N221" s="131">
        <f t="shared" si="54"/>
        <v>0</v>
      </c>
      <c r="O221" s="131">
        <f t="shared" si="54"/>
        <v>90.16</v>
      </c>
      <c r="P221" s="136">
        <f t="shared" si="49"/>
        <v>0</v>
      </c>
      <c r="Q221" s="525"/>
      <c r="S221" s="189">
        <v>0</v>
      </c>
      <c r="T221" s="189">
        <v>0</v>
      </c>
      <c r="BT221" s="525"/>
      <c r="BU221" s="523">
        <v>0</v>
      </c>
      <c r="BV221" s="523">
        <v>0</v>
      </c>
      <c r="BW221" s="523">
        <v>0</v>
      </c>
      <c r="BX221" s="523"/>
      <c r="BY221" s="523"/>
      <c r="BZ221" s="523"/>
      <c r="CA221" s="523"/>
      <c r="CB221" s="523"/>
      <c r="CC221" s="523"/>
      <c r="CD221" s="523"/>
      <c r="CE221" s="523"/>
      <c r="CF221" s="523"/>
      <c r="CG221" s="523"/>
      <c r="CH221" s="523"/>
      <c r="CI221" s="523">
        <f t="shared" si="50"/>
        <v>0</v>
      </c>
    </row>
    <row r="222" spans="1:87" x14ac:dyDescent="0.2">
      <c r="A222" s="125" t="s">
        <v>1682</v>
      </c>
      <c r="B222" s="126" t="s">
        <v>1683</v>
      </c>
      <c r="C222" s="126" t="s">
        <v>1324</v>
      </c>
      <c r="D222" s="127" t="s">
        <v>1684</v>
      </c>
      <c r="E222" s="128" t="s">
        <v>102</v>
      </c>
      <c r="F222" s="137">
        <v>8.99</v>
      </c>
      <c r="G222" s="130">
        <v>97.76</v>
      </c>
      <c r="H222" s="128">
        <v>2</v>
      </c>
      <c r="I222" s="116">
        <f t="shared" si="51"/>
        <v>0</v>
      </c>
      <c r="J222" s="374">
        <f t="shared" si="52"/>
        <v>0</v>
      </c>
      <c r="K222" s="137">
        <f t="shared" si="47"/>
        <v>2</v>
      </c>
      <c r="L222" s="131">
        <f t="shared" si="54"/>
        <v>195.52</v>
      </c>
      <c r="M222" s="131">
        <f t="shared" si="54"/>
        <v>0</v>
      </c>
      <c r="N222" s="131">
        <f t="shared" si="54"/>
        <v>0</v>
      </c>
      <c r="O222" s="131">
        <f t="shared" si="54"/>
        <v>195.52</v>
      </c>
      <c r="P222" s="136">
        <f t="shared" si="49"/>
        <v>0</v>
      </c>
      <c r="Q222" s="525"/>
      <c r="S222" s="189">
        <v>0</v>
      </c>
      <c r="T222" s="189">
        <v>0</v>
      </c>
      <c r="BT222" s="525"/>
      <c r="BU222" s="523">
        <v>0</v>
      </c>
      <c r="BV222" s="523">
        <v>0</v>
      </c>
      <c r="BW222" s="523">
        <v>0</v>
      </c>
      <c r="BX222" s="523"/>
      <c r="BY222" s="523"/>
      <c r="BZ222" s="523"/>
      <c r="CA222" s="523"/>
      <c r="CB222" s="523"/>
      <c r="CC222" s="523"/>
      <c r="CD222" s="523"/>
      <c r="CE222" s="523"/>
      <c r="CF222" s="523"/>
      <c r="CG222" s="523"/>
      <c r="CH222" s="523"/>
      <c r="CI222" s="523">
        <f t="shared" si="50"/>
        <v>0</v>
      </c>
    </row>
    <row r="223" spans="1:87" x14ac:dyDescent="0.2">
      <c r="A223" s="125" t="s">
        <v>1685</v>
      </c>
      <c r="B223" s="126" t="s">
        <v>1686</v>
      </c>
      <c r="C223" s="126" t="s">
        <v>1324</v>
      </c>
      <c r="D223" s="127" t="s">
        <v>1687</v>
      </c>
      <c r="E223" s="128" t="s">
        <v>102</v>
      </c>
      <c r="F223" s="137">
        <v>23.78</v>
      </c>
      <c r="G223" s="130">
        <v>276.94</v>
      </c>
      <c r="H223" s="128">
        <v>1</v>
      </c>
      <c r="I223" s="116">
        <f t="shared" si="51"/>
        <v>0</v>
      </c>
      <c r="J223" s="374">
        <f t="shared" si="52"/>
        <v>0</v>
      </c>
      <c r="K223" s="137">
        <f t="shared" si="47"/>
        <v>1</v>
      </c>
      <c r="L223" s="131">
        <f t="shared" si="54"/>
        <v>276.94</v>
      </c>
      <c r="M223" s="131">
        <f t="shared" si="54"/>
        <v>0</v>
      </c>
      <c r="N223" s="131">
        <f t="shared" si="54"/>
        <v>0</v>
      </c>
      <c r="O223" s="131">
        <f t="shared" si="54"/>
        <v>276.94</v>
      </c>
      <c r="P223" s="136">
        <f t="shared" si="49"/>
        <v>0</v>
      </c>
      <c r="Q223" s="525"/>
      <c r="S223" s="189">
        <v>0</v>
      </c>
      <c r="T223" s="189">
        <v>0</v>
      </c>
      <c r="BT223" s="525"/>
      <c r="BU223" s="523">
        <v>0</v>
      </c>
      <c r="BV223" s="523">
        <v>0</v>
      </c>
      <c r="BW223" s="523">
        <v>0</v>
      </c>
      <c r="BX223" s="523"/>
      <c r="BY223" s="523"/>
      <c r="BZ223" s="523"/>
      <c r="CA223" s="523"/>
      <c r="CB223" s="523"/>
      <c r="CC223" s="523"/>
      <c r="CD223" s="523"/>
      <c r="CE223" s="523"/>
      <c r="CF223" s="523"/>
      <c r="CG223" s="523"/>
      <c r="CH223" s="523"/>
      <c r="CI223" s="523">
        <f t="shared" si="50"/>
        <v>0</v>
      </c>
    </row>
    <row r="224" spans="1:87" s="517" customFormat="1" ht="25.5" x14ac:dyDescent="0.2">
      <c r="A224" s="125" t="s">
        <v>1688</v>
      </c>
      <c r="B224" s="126" t="s">
        <v>2007</v>
      </c>
      <c r="C224" s="126" t="s">
        <v>1339</v>
      </c>
      <c r="D224" s="127" t="s">
        <v>1689</v>
      </c>
      <c r="E224" s="128" t="s">
        <v>102</v>
      </c>
      <c r="F224" s="137">
        <v>72.209999999999994</v>
      </c>
      <c r="G224" s="130">
        <v>101.01</v>
      </c>
      <c r="H224" s="128">
        <v>4</v>
      </c>
      <c r="I224" s="116">
        <f t="shared" si="51"/>
        <v>0</v>
      </c>
      <c r="J224" s="374">
        <f t="shared" si="52"/>
        <v>0</v>
      </c>
      <c r="K224" s="137">
        <f t="shared" si="47"/>
        <v>4</v>
      </c>
      <c r="L224" s="131">
        <f t="shared" si="54"/>
        <v>404.04</v>
      </c>
      <c r="M224" s="131">
        <f t="shared" si="54"/>
        <v>0</v>
      </c>
      <c r="N224" s="131">
        <f t="shared" si="54"/>
        <v>0</v>
      </c>
      <c r="O224" s="131">
        <f t="shared" si="54"/>
        <v>404.04</v>
      </c>
      <c r="P224" s="136">
        <f t="shared" si="49"/>
        <v>0</v>
      </c>
      <c r="Q224" s="525"/>
      <c r="S224" s="191">
        <v>0</v>
      </c>
      <c r="T224" s="191">
        <v>0</v>
      </c>
      <c r="BT224" s="525"/>
      <c r="BU224" s="523">
        <v>0</v>
      </c>
      <c r="BV224" s="523">
        <v>0</v>
      </c>
      <c r="BW224" s="523">
        <v>0</v>
      </c>
      <c r="BX224" s="523"/>
      <c r="BY224" s="523"/>
      <c r="BZ224" s="523"/>
      <c r="CA224" s="523"/>
      <c r="CB224" s="523"/>
      <c r="CC224" s="523"/>
      <c r="CD224" s="523"/>
      <c r="CE224" s="523"/>
      <c r="CF224" s="523"/>
      <c r="CG224" s="523"/>
      <c r="CH224" s="523"/>
      <c r="CI224" s="523">
        <f t="shared" si="50"/>
        <v>0</v>
      </c>
    </row>
    <row r="225" spans="1:87" s="110" customFormat="1" x14ac:dyDescent="0.2">
      <c r="A225" s="449" t="s">
        <v>631</v>
      </c>
      <c r="B225" s="450"/>
      <c r="C225" s="450"/>
      <c r="D225" s="451" t="s">
        <v>1690</v>
      </c>
      <c r="E225" s="452"/>
      <c r="F225" s="452">
        <f>SUM(F226:F246)</f>
        <v>274.84000000000003</v>
      </c>
      <c r="G225" s="468"/>
      <c r="H225" s="452"/>
      <c r="I225" s="452">
        <f t="shared" si="51"/>
        <v>0</v>
      </c>
      <c r="J225" s="457">
        <f t="shared" si="52"/>
        <v>0</v>
      </c>
      <c r="K225" s="527">
        <f t="shared" si="47"/>
        <v>0</v>
      </c>
      <c r="L225" s="452">
        <f>SUM(L226:L246)</f>
        <v>3741.5200000000004</v>
      </c>
      <c r="M225" s="452">
        <f>SUM(M226:M246)</f>
        <v>0</v>
      </c>
      <c r="N225" s="452">
        <f>SUM(N226:N246)</f>
        <v>0</v>
      </c>
      <c r="O225" s="452">
        <f>SUM(O226:O246)</f>
        <v>3741.5200000000004</v>
      </c>
      <c r="P225" s="459">
        <f t="shared" si="49"/>
        <v>0</v>
      </c>
      <c r="Q225" s="525"/>
      <c r="S225" s="192">
        <v>28</v>
      </c>
      <c r="T225" s="192">
        <v>0</v>
      </c>
      <c r="BT225" s="525"/>
      <c r="BU225" s="523">
        <v>0</v>
      </c>
      <c r="BV225" s="523"/>
      <c r="BW225" s="523"/>
      <c r="BX225" s="523"/>
      <c r="BY225" s="523"/>
      <c r="BZ225" s="523"/>
      <c r="CA225" s="523"/>
      <c r="CB225" s="523"/>
      <c r="CC225" s="523"/>
      <c r="CD225" s="523"/>
      <c r="CE225" s="523"/>
      <c r="CF225" s="523"/>
      <c r="CG225" s="523"/>
      <c r="CH225" s="523"/>
      <c r="CI225" s="523">
        <f t="shared" si="50"/>
        <v>0</v>
      </c>
    </row>
    <row r="226" spans="1:87" s="110" customFormat="1" x14ac:dyDescent="0.2">
      <c r="A226" s="379" t="s">
        <v>1691</v>
      </c>
      <c r="B226" s="380">
        <v>91854</v>
      </c>
      <c r="C226" s="380" t="s">
        <v>1324</v>
      </c>
      <c r="D226" s="381" t="s">
        <v>1692</v>
      </c>
      <c r="E226" s="382" t="s">
        <v>81</v>
      </c>
      <c r="F226" s="137">
        <v>6.88</v>
      </c>
      <c r="G226" s="383">
        <v>6.16</v>
      </c>
      <c r="H226" s="382">
        <v>28</v>
      </c>
      <c r="I226" s="392">
        <f t="shared" si="51"/>
        <v>0</v>
      </c>
      <c r="J226" s="374">
        <f t="shared" si="52"/>
        <v>0</v>
      </c>
      <c r="K226" s="508">
        <f t="shared" si="47"/>
        <v>28</v>
      </c>
      <c r="L226" s="131">
        <f t="shared" ref="L226:O246" si="55">ROUND(H226*$G226,2)</f>
        <v>172.48</v>
      </c>
      <c r="M226" s="131">
        <f t="shared" si="55"/>
        <v>0</v>
      </c>
      <c r="N226" s="131">
        <f t="shared" si="55"/>
        <v>0</v>
      </c>
      <c r="O226" s="131">
        <f t="shared" si="55"/>
        <v>172.48</v>
      </c>
      <c r="P226" s="388">
        <f t="shared" si="49"/>
        <v>0</v>
      </c>
      <c r="Q226" s="525"/>
      <c r="S226" s="192">
        <v>18</v>
      </c>
      <c r="T226" s="192">
        <v>0</v>
      </c>
      <c r="BT226" s="525"/>
      <c r="BU226" s="523">
        <v>0</v>
      </c>
      <c r="BV226" s="523">
        <v>0</v>
      </c>
      <c r="BW226" s="523">
        <v>0</v>
      </c>
      <c r="BX226" s="523"/>
      <c r="BY226" s="523"/>
      <c r="BZ226" s="523"/>
      <c r="CA226" s="523"/>
      <c r="CB226" s="523"/>
      <c r="CC226" s="523"/>
      <c r="CD226" s="523"/>
      <c r="CE226" s="523"/>
      <c r="CF226" s="523"/>
      <c r="CG226" s="523"/>
      <c r="CH226" s="523"/>
      <c r="CI226" s="523">
        <f t="shared" si="50"/>
        <v>0</v>
      </c>
    </row>
    <row r="227" spans="1:87" x14ac:dyDescent="0.2">
      <c r="A227" s="379" t="s">
        <v>1693</v>
      </c>
      <c r="B227" s="380">
        <v>91856</v>
      </c>
      <c r="C227" s="380" t="s">
        <v>1324</v>
      </c>
      <c r="D227" s="381" t="s">
        <v>1694</v>
      </c>
      <c r="E227" s="382" t="s">
        <v>81</v>
      </c>
      <c r="F227" s="137">
        <v>9.86</v>
      </c>
      <c r="G227" s="383">
        <v>7.73</v>
      </c>
      <c r="H227" s="382">
        <v>18</v>
      </c>
      <c r="I227" s="392">
        <f t="shared" si="51"/>
        <v>0</v>
      </c>
      <c r="J227" s="374">
        <f t="shared" si="52"/>
        <v>0</v>
      </c>
      <c r="K227" s="508">
        <f t="shared" si="47"/>
        <v>18</v>
      </c>
      <c r="L227" s="131">
        <f t="shared" si="55"/>
        <v>139.13999999999999</v>
      </c>
      <c r="M227" s="131">
        <f t="shared" si="55"/>
        <v>0</v>
      </c>
      <c r="N227" s="131">
        <f t="shared" si="55"/>
        <v>0</v>
      </c>
      <c r="O227" s="131">
        <f t="shared" si="55"/>
        <v>139.13999999999999</v>
      </c>
      <c r="P227" s="388">
        <f t="shared" si="49"/>
        <v>0</v>
      </c>
      <c r="Q227" s="525"/>
      <c r="S227" s="189">
        <v>0</v>
      </c>
      <c r="T227" s="189">
        <v>0</v>
      </c>
      <c r="BT227" s="525"/>
      <c r="BU227" s="523">
        <v>0</v>
      </c>
      <c r="BV227" s="523">
        <v>0</v>
      </c>
      <c r="BW227" s="523">
        <v>0</v>
      </c>
      <c r="BX227" s="523"/>
      <c r="BY227" s="523"/>
      <c r="BZ227" s="523"/>
      <c r="CA227" s="523"/>
      <c r="CB227" s="523"/>
      <c r="CC227" s="523"/>
      <c r="CD227" s="523"/>
      <c r="CE227" s="523"/>
      <c r="CF227" s="523"/>
      <c r="CG227" s="523"/>
      <c r="CH227" s="523"/>
      <c r="CI227" s="523">
        <f t="shared" si="50"/>
        <v>0</v>
      </c>
    </row>
    <row r="228" spans="1:87" x14ac:dyDescent="0.2">
      <c r="A228" s="125" t="s">
        <v>1695</v>
      </c>
      <c r="B228" s="126">
        <v>91873</v>
      </c>
      <c r="C228" s="126" t="s">
        <v>1324</v>
      </c>
      <c r="D228" s="127" t="s">
        <v>1696</v>
      </c>
      <c r="E228" s="128" t="s">
        <v>81</v>
      </c>
      <c r="F228" s="137">
        <v>10.4</v>
      </c>
      <c r="G228" s="130">
        <v>12.57</v>
      </c>
      <c r="H228" s="128">
        <v>18</v>
      </c>
      <c r="I228" s="116">
        <f t="shared" si="51"/>
        <v>0</v>
      </c>
      <c r="J228" s="374">
        <f t="shared" si="52"/>
        <v>0</v>
      </c>
      <c r="K228" s="137">
        <f t="shared" si="47"/>
        <v>18</v>
      </c>
      <c r="L228" s="131">
        <f t="shared" si="55"/>
        <v>226.26</v>
      </c>
      <c r="M228" s="131">
        <f t="shared" si="55"/>
        <v>0</v>
      </c>
      <c r="N228" s="131">
        <f t="shared" si="55"/>
        <v>0</v>
      </c>
      <c r="O228" s="131">
        <f t="shared" si="55"/>
        <v>226.26</v>
      </c>
      <c r="P228" s="136">
        <f t="shared" si="49"/>
        <v>0</v>
      </c>
      <c r="Q228" s="525"/>
      <c r="S228" s="189">
        <v>0</v>
      </c>
      <c r="T228" s="189">
        <v>0</v>
      </c>
      <c r="BT228" s="525"/>
      <c r="BU228" s="523">
        <v>0</v>
      </c>
      <c r="BV228" s="523">
        <v>0</v>
      </c>
      <c r="BW228" s="523">
        <v>0</v>
      </c>
      <c r="BX228" s="523"/>
      <c r="BY228" s="523"/>
      <c r="BZ228" s="523"/>
      <c r="CA228" s="523"/>
      <c r="CB228" s="523"/>
      <c r="CC228" s="523"/>
      <c r="CD228" s="523"/>
      <c r="CE228" s="523"/>
      <c r="CF228" s="523"/>
      <c r="CG228" s="523"/>
      <c r="CH228" s="523"/>
      <c r="CI228" s="523">
        <f t="shared" si="50"/>
        <v>0</v>
      </c>
    </row>
    <row r="229" spans="1:87" x14ac:dyDescent="0.2">
      <c r="A229" s="125" t="s">
        <v>1697</v>
      </c>
      <c r="B229" s="126">
        <v>72308</v>
      </c>
      <c r="C229" s="126" t="s">
        <v>1324</v>
      </c>
      <c r="D229" s="127" t="s">
        <v>1698</v>
      </c>
      <c r="E229" s="128" t="s">
        <v>81</v>
      </c>
      <c r="F229" s="137">
        <v>9.6</v>
      </c>
      <c r="G229" s="130">
        <v>14.39</v>
      </c>
      <c r="H229" s="128">
        <v>82</v>
      </c>
      <c r="I229" s="116">
        <f t="shared" si="51"/>
        <v>0</v>
      </c>
      <c r="J229" s="374">
        <f t="shared" si="52"/>
        <v>0</v>
      </c>
      <c r="K229" s="137">
        <f t="shared" si="47"/>
        <v>82</v>
      </c>
      <c r="L229" s="131">
        <f t="shared" si="55"/>
        <v>1179.98</v>
      </c>
      <c r="M229" s="131">
        <f t="shared" si="55"/>
        <v>0</v>
      </c>
      <c r="N229" s="131">
        <f t="shared" si="55"/>
        <v>0</v>
      </c>
      <c r="O229" s="131">
        <f t="shared" si="55"/>
        <v>1179.98</v>
      </c>
      <c r="P229" s="136">
        <f t="shared" si="49"/>
        <v>0</v>
      </c>
      <c r="Q229" s="525"/>
      <c r="S229" s="189">
        <v>0</v>
      </c>
      <c r="T229" s="189">
        <v>0</v>
      </c>
      <c r="BT229" s="525"/>
      <c r="BU229" s="523">
        <v>0</v>
      </c>
      <c r="BV229" s="523">
        <v>0</v>
      </c>
      <c r="BW229" s="523">
        <v>0</v>
      </c>
      <c r="BX229" s="523"/>
      <c r="BY229" s="523"/>
      <c r="BZ229" s="523"/>
      <c r="CA229" s="523"/>
      <c r="CB229" s="523"/>
      <c r="CC229" s="523"/>
      <c r="CD229" s="523"/>
      <c r="CE229" s="523"/>
      <c r="CF229" s="523"/>
      <c r="CG229" s="523"/>
      <c r="CH229" s="523"/>
      <c r="CI229" s="523">
        <f t="shared" si="50"/>
        <v>0</v>
      </c>
    </row>
    <row r="230" spans="1:87" x14ac:dyDescent="0.2">
      <c r="A230" s="125" t="s">
        <v>1699</v>
      </c>
      <c r="B230" s="126">
        <v>72309</v>
      </c>
      <c r="C230" s="126" t="s">
        <v>1324</v>
      </c>
      <c r="D230" s="127" t="s">
        <v>1700</v>
      </c>
      <c r="E230" s="128" t="s">
        <v>81</v>
      </c>
      <c r="F230" s="137">
        <v>7.38</v>
      </c>
      <c r="G230" s="130">
        <v>22.92</v>
      </c>
      <c r="H230" s="128">
        <v>13</v>
      </c>
      <c r="I230" s="116">
        <f t="shared" si="51"/>
        <v>0</v>
      </c>
      <c r="J230" s="374">
        <f t="shared" si="52"/>
        <v>0</v>
      </c>
      <c r="K230" s="137">
        <f t="shared" si="47"/>
        <v>13</v>
      </c>
      <c r="L230" s="131">
        <f t="shared" si="55"/>
        <v>297.95999999999998</v>
      </c>
      <c r="M230" s="131">
        <f t="shared" si="55"/>
        <v>0</v>
      </c>
      <c r="N230" s="131">
        <f t="shared" si="55"/>
        <v>0</v>
      </c>
      <c r="O230" s="131">
        <f t="shared" si="55"/>
        <v>297.95999999999998</v>
      </c>
      <c r="P230" s="136">
        <f t="shared" si="49"/>
        <v>0</v>
      </c>
      <c r="Q230" s="525"/>
      <c r="S230" s="189">
        <v>0</v>
      </c>
      <c r="T230" s="189">
        <v>0</v>
      </c>
      <c r="BT230" s="525"/>
      <c r="BU230" s="523">
        <v>0</v>
      </c>
      <c r="BV230" s="523">
        <v>0</v>
      </c>
      <c r="BW230" s="523">
        <v>0</v>
      </c>
      <c r="BX230" s="523"/>
      <c r="BY230" s="523"/>
      <c r="BZ230" s="523"/>
      <c r="CA230" s="523"/>
      <c r="CB230" s="523"/>
      <c r="CC230" s="523"/>
      <c r="CD230" s="523"/>
      <c r="CE230" s="523"/>
      <c r="CF230" s="523"/>
      <c r="CG230" s="523"/>
      <c r="CH230" s="523"/>
      <c r="CI230" s="523">
        <f t="shared" si="50"/>
        <v>0</v>
      </c>
    </row>
    <row r="231" spans="1:87" x14ac:dyDescent="0.2">
      <c r="A231" s="125" t="s">
        <v>2011</v>
      </c>
      <c r="B231" s="126" t="s">
        <v>2012</v>
      </c>
      <c r="C231" s="126" t="s">
        <v>1324</v>
      </c>
      <c r="D231" s="127" t="s">
        <v>1702</v>
      </c>
      <c r="E231" s="128" t="s">
        <v>81</v>
      </c>
      <c r="F231" s="129"/>
      <c r="G231" s="130">
        <v>24.94</v>
      </c>
      <c r="H231" s="128">
        <v>30</v>
      </c>
      <c r="I231" s="116">
        <f t="shared" si="51"/>
        <v>0</v>
      </c>
      <c r="J231" s="374">
        <f t="shared" si="52"/>
        <v>0</v>
      </c>
      <c r="K231" s="137">
        <f t="shared" si="47"/>
        <v>30</v>
      </c>
      <c r="L231" s="131">
        <f t="shared" si="55"/>
        <v>748.2</v>
      </c>
      <c r="M231" s="131">
        <f t="shared" si="55"/>
        <v>0</v>
      </c>
      <c r="N231" s="131">
        <f t="shared" si="55"/>
        <v>0</v>
      </c>
      <c r="O231" s="131">
        <f t="shared" si="55"/>
        <v>748.2</v>
      </c>
      <c r="P231" s="136">
        <f t="shared" si="49"/>
        <v>0</v>
      </c>
      <c r="Q231" s="525"/>
      <c r="S231" s="189">
        <v>0</v>
      </c>
      <c r="T231" s="189">
        <v>0</v>
      </c>
      <c r="BT231" s="525"/>
      <c r="BU231" s="523">
        <v>0</v>
      </c>
      <c r="BV231" s="523">
        <v>0</v>
      </c>
      <c r="BW231" s="523">
        <v>0</v>
      </c>
      <c r="BX231" s="523"/>
      <c r="BY231" s="523"/>
      <c r="BZ231" s="523"/>
      <c r="CA231" s="523"/>
      <c r="CB231" s="523"/>
      <c r="CC231" s="523"/>
      <c r="CD231" s="523"/>
      <c r="CE231" s="523"/>
      <c r="CF231" s="523"/>
      <c r="CG231" s="523"/>
      <c r="CH231" s="523"/>
      <c r="CI231" s="523">
        <f t="shared" si="50"/>
        <v>0</v>
      </c>
    </row>
    <row r="232" spans="1:87" x14ac:dyDescent="0.2">
      <c r="A232" s="125" t="s">
        <v>1703</v>
      </c>
      <c r="B232" s="126" t="s">
        <v>1704</v>
      </c>
      <c r="C232" s="126" t="s">
        <v>1324</v>
      </c>
      <c r="D232" s="127" t="s">
        <v>1705</v>
      </c>
      <c r="E232" s="128" t="s">
        <v>102</v>
      </c>
      <c r="F232" s="137">
        <v>3.06</v>
      </c>
      <c r="G232" s="130">
        <v>23.12</v>
      </c>
      <c r="H232" s="128">
        <v>5</v>
      </c>
      <c r="I232" s="116">
        <f t="shared" si="51"/>
        <v>0</v>
      </c>
      <c r="J232" s="374">
        <f t="shared" si="52"/>
        <v>0</v>
      </c>
      <c r="K232" s="137">
        <f t="shared" si="47"/>
        <v>5</v>
      </c>
      <c r="L232" s="131">
        <f t="shared" si="55"/>
        <v>115.6</v>
      </c>
      <c r="M232" s="131">
        <f t="shared" si="55"/>
        <v>0</v>
      </c>
      <c r="N232" s="131">
        <f t="shared" si="55"/>
        <v>0</v>
      </c>
      <c r="O232" s="131">
        <f t="shared" si="55"/>
        <v>115.6</v>
      </c>
      <c r="P232" s="136">
        <f t="shared" si="49"/>
        <v>0</v>
      </c>
      <c r="Q232" s="525"/>
      <c r="S232" s="189">
        <v>0</v>
      </c>
      <c r="T232" s="189">
        <v>0</v>
      </c>
      <c r="BT232" s="525"/>
      <c r="BU232" s="523">
        <v>0</v>
      </c>
      <c r="BV232" s="523">
        <v>0</v>
      </c>
      <c r="BW232" s="523">
        <v>0</v>
      </c>
      <c r="BX232" s="523"/>
      <c r="BY232" s="523"/>
      <c r="BZ232" s="523"/>
      <c r="CA232" s="523"/>
      <c r="CB232" s="523"/>
      <c r="CC232" s="523"/>
      <c r="CD232" s="523"/>
      <c r="CE232" s="523"/>
      <c r="CF232" s="523"/>
      <c r="CG232" s="523"/>
      <c r="CH232" s="523"/>
      <c r="CI232" s="523">
        <f t="shared" si="50"/>
        <v>0</v>
      </c>
    </row>
    <row r="233" spans="1:87" x14ac:dyDescent="0.2">
      <c r="A233" s="125" t="s">
        <v>1706</v>
      </c>
      <c r="B233" s="126" t="s">
        <v>1707</v>
      </c>
      <c r="C233" s="126" t="s">
        <v>1324</v>
      </c>
      <c r="D233" s="127" t="s">
        <v>1708</v>
      </c>
      <c r="E233" s="128" t="s">
        <v>102</v>
      </c>
      <c r="F233" s="137">
        <v>4.18</v>
      </c>
      <c r="G233" s="130">
        <v>25.34</v>
      </c>
      <c r="H233" s="128">
        <v>5</v>
      </c>
      <c r="I233" s="116">
        <f t="shared" si="51"/>
        <v>0</v>
      </c>
      <c r="J233" s="374">
        <f t="shared" si="52"/>
        <v>0</v>
      </c>
      <c r="K233" s="137">
        <f t="shared" si="47"/>
        <v>5</v>
      </c>
      <c r="L233" s="131">
        <f t="shared" si="55"/>
        <v>126.7</v>
      </c>
      <c r="M233" s="131">
        <f t="shared" si="55"/>
        <v>0</v>
      </c>
      <c r="N233" s="131">
        <f t="shared" si="55"/>
        <v>0</v>
      </c>
      <c r="O233" s="131">
        <f t="shared" si="55"/>
        <v>126.7</v>
      </c>
      <c r="P233" s="136">
        <f t="shared" si="49"/>
        <v>0</v>
      </c>
      <c r="Q233" s="525"/>
      <c r="S233" s="189">
        <v>0</v>
      </c>
      <c r="T233" s="189">
        <v>0</v>
      </c>
      <c r="BT233" s="525"/>
      <c r="BU233" s="523">
        <v>0</v>
      </c>
      <c r="BV233" s="523">
        <v>0</v>
      </c>
      <c r="BW233" s="523">
        <v>0</v>
      </c>
      <c r="BX233" s="523"/>
      <c r="BY233" s="523"/>
      <c r="BZ233" s="523"/>
      <c r="CA233" s="523"/>
      <c r="CB233" s="523"/>
      <c r="CC233" s="523"/>
      <c r="CD233" s="523"/>
      <c r="CE233" s="523"/>
      <c r="CF233" s="523"/>
      <c r="CG233" s="523"/>
      <c r="CH233" s="523"/>
      <c r="CI233" s="523">
        <f t="shared" si="50"/>
        <v>0</v>
      </c>
    </row>
    <row r="234" spans="1:87" x14ac:dyDescent="0.2">
      <c r="A234" s="125" t="s">
        <v>1709</v>
      </c>
      <c r="B234" s="126" t="s">
        <v>1704</v>
      </c>
      <c r="C234" s="126" t="s">
        <v>1324</v>
      </c>
      <c r="D234" s="127" t="s">
        <v>1710</v>
      </c>
      <c r="E234" s="128" t="s">
        <v>102</v>
      </c>
      <c r="F234" s="137">
        <v>6.7</v>
      </c>
      <c r="G234" s="130">
        <v>25.88</v>
      </c>
      <c r="H234" s="128">
        <v>4</v>
      </c>
      <c r="I234" s="116">
        <f t="shared" si="51"/>
        <v>0</v>
      </c>
      <c r="J234" s="374">
        <f t="shared" si="52"/>
        <v>0</v>
      </c>
      <c r="K234" s="137">
        <f t="shared" si="47"/>
        <v>4</v>
      </c>
      <c r="L234" s="131">
        <f t="shared" si="55"/>
        <v>103.52</v>
      </c>
      <c r="M234" s="131">
        <f t="shared" si="55"/>
        <v>0</v>
      </c>
      <c r="N234" s="131">
        <f t="shared" si="55"/>
        <v>0</v>
      </c>
      <c r="O234" s="131">
        <f t="shared" si="55"/>
        <v>103.52</v>
      </c>
      <c r="P234" s="136">
        <f t="shared" si="49"/>
        <v>0</v>
      </c>
      <c r="Q234" s="525"/>
      <c r="S234" s="189">
        <v>0</v>
      </c>
      <c r="T234" s="189">
        <v>0</v>
      </c>
      <c r="BT234" s="525"/>
      <c r="BU234" s="523">
        <v>0</v>
      </c>
      <c r="BV234" s="523">
        <v>0</v>
      </c>
      <c r="BW234" s="523">
        <v>0</v>
      </c>
      <c r="BX234" s="523"/>
      <c r="BY234" s="523"/>
      <c r="BZ234" s="523"/>
      <c r="CA234" s="523"/>
      <c r="CB234" s="523"/>
      <c r="CC234" s="523"/>
      <c r="CD234" s="523"/>
      <c r="CE234" s="523"/>
      <c r="CF234" s="523"/>
      <c r="CG234" s="523"/>
      <c r="CH234" s="523"/>
      <c r="CI234" s="523">
        <f t="shared" si="50"/>
        <v>0</v>
      </c>
    </row>
    <row r="235" spans="1:87" x14ac:dyDescent="0.2">
      <c r="A235" s="125" t="s">
        <v>1711</v>
      </c>
      <c r="B235" s="126" t="s">
        <v>1712</v>
      </c>
      <c r="C235" s="126" t="s">
        <v>1324</v>
      </c>
      <c r="D235" s="127" t="s">
        <v>1713</v>
      </c>
      <c r="E235" s="128" t="s">
        <v>102</v>
      </c>
      <c r="F235" s="137">
        <v>12.3</v>
      </c>
      <c r="G235" s="130">
        <v>26.28</v>
      </c>
      <c r="H235" s="128">
        <v>1</v>
      </c>
      <c r="I235" s="116">
        <f t="shared" si="51"/>
        <v>0</v>
      </c>
      <c r="J235" s="374">
        <f t="shared" si="52"/>
        <v>0</v>
      </c>
      <c r="K235" s="137">
        <f t="shared" si="47"/>
        <v>1</v>
      </c>
      <c r="L235" s="131">
        <f t="shared" si="55"/>
        <v>26.28</v>
      </c>
      <c r="M235" s="131">
        <f t="shared" si="55"/>
        <v>0</v>
      </c>
      <c r="N235" s="131">
        <f t="shared" si="55"/>
        <v>0</v>
      </c>
      <c r="O235" s="131">
        <f t="shared" si="55"/>
        <v>26.28</v>
      </c>
      <c r="P235" s="136">
        <f t="shared" si="49"/>
        <v>0</v>
      </c>
      <c r="Q235" s="525"/>
      <c r="S235" s="189">
        <v>0</v>
      </c>
      <c r="T235" s="189">
        <v>0</v>
      </c>
      <c r="BT235" s="525"/>
      <c r="BU235" s="523">
        <v>0</v>
      </c>
      <c r="BV235" s="523">
        <v>0</v>
      </c>
      <c r="BW235" s="523">
        <v>0</v>
      </c>
      <c r="BX235" s="523"/>
      <c r="BY235" s="523"/>
      <c r="BZ235" s="523"/>
      <c r="CA235" s="523"/>
      <c r="CB235" s="523"/>
      <c r="CC235" s="523"/>
      <c r="CD235" s="523"/>
      <c r="CE235" s="523"/>
      <c r="CF235" s="523"/>
      <c r="CG235" s="523"/>
      <c r="CH235" s="523"/>
      <c r="CI235" s="523">
        <f t="shared" si="50"/>
        <v>0</v>
      </c>
    </row>
    <row r="236" spans="1:87" x14ac:dyDescent="0.2">
      <c r="A236" s="125" t="s">
        <v>1714</v>
      </c>
      <c r="B236" s="126" t="s">
        <v>1715</v>
      </c>
      <c r="C236" s="126" t="s">
        <v>1343</v>
      </c>
      <c r="D236" s="127" t="s">
        <v>1716</v>
      </c>
      <c r="E236" s="128" t="s">
        <v>102</v>
      </c>
      <c r="F236" s="137">
        <v>33.06</v>
      </c>
      <c r="G236" s="130">
        <v>1.94</v>
      </c>
      <c r="H236" s="128">
        <v>50</v>
      </c>
      <c r="I236" s="116">
        <f t="shared" si="51"/>
        <v>0</v>
      </c>
      <c r="J236" s="374">
        <f t="shared" si="52"/>
        <v>0</v>
      </c>
      <c r="K236" s="137">
        <f t="shared" si="47"/>
        <v>50</v>
      </c>
      <c r="L236" s="131">
        <f t="shared" si="55"/>
        <v>97</v>
      </c>
      <c r="M236" s="131">
        <f t="shared" si="55"/>
        <v>0</v>
      </c>
      <c r="N236" s="131">
        <f t="shared" si="55"/>
        <v>0</v>
      </c>
      <c r="O236" s="131">
        <f t="shared" si="55"/>
        <v>97</v>
      </c>
      <c r="P236" s="136">
        <f t="shared" si="49"/>
        <v>0</v>
      </c>
      <c r="Q236" s="525"/>
      <c r="S236" s="189">
        <v>0</v>
      </c>
      <c r="T236" s="189">
        <v>0</v>
      </c>
      <c r="BT236" s="525"/>
      <c r="BU236" s="523">
        <v>0</v>
      </c>
      <c r="BV236" s="523">
        <v>0</v>
      </c>
      <c r="BW236" s="523">
        <v>0</v>
      </c>
      <c r="BX236" s="523"/>
      <c r="BY236" s="523"/>
      <c r="BZ236" s="523"/>
      <c r="CA236" s="523"/>
      <c r="CB236" s="523"/>
      <c r="CC236" s="523"/>
      <c r="CD236" s="523"/>
      <c r="CE236" s="523"/>
      <c r="CF236" s="523"/>
      <c r="CG236" s="523"/>
      <c r="CH236" s="523"/>
      <c r="CI236" s="523">
        <f t="shared" si="50"/>
        <v>0</v>
      </c>
    </row>
    <row r="237" spans="1:87" x14ac:dyDescent="0.2">
      <c r="A237" s="125" t="s">
        <v>1717</v>
      </c>
      <c r="B237" s="126" t="s">
        <v>1715</v>
      </c>
      <c r="C237" s="126" t="s">
        <v>1343</v>
      </c>
      <c r="D237" s="127" t="s">
        <v>1718</v>
      </c>
      <c r="E237" s="128" t="s">
        <v>102</v>
      </c>
      <c r="F237" s="137">
        <v>4.53</v>
      </c>
      <c r="G237" s="130">
        <v>2.19</v>
      </c>
      <c r="H237" s="128">
        <v>4</v>
      </c>
      <c r="I237" s="116">
        <f t="shared" si="51"/>
        <v>0</v>
      </c>
      <c r="J237" s="374">
        <f t="shared" si="52"/>
        <v>0</v>
      </c>
      <c r="K237" s="137">
        <f t="shared" si="47"/>
        <v>4</v>
      </c>
      <c r="L237" s="131">
        <f t="shared" si="55"/>
        <v>8.76</v>
      </c>
      <c r="M237" s="131">
        <f t="shared" si="55"/>
        <v>0</v>
      </c>
      <c r="N237" s="131">
        <f t="shared" si="55"/>
        <v>0</v>
      </c>
      <c r="O237" s="131">
        <f t="shared" si="55"/>
        <v>8.76</v>
      </c>
      <c r="P237" s="136">
        <f t="shared" si="49"/>
        <v>0</v>
      </c>
      <c r="Q237" s="525"/>
      <c r="S237" s="189">
        <v>0</v>
      </c>
      <c r="T237" s="189">
        <v>0</v>
      </c>
      <c r="BT237" s="525"/>
      <c r="BU237" s="523">
        <v>0</v>
      </c>
      <c r="BV237" s="523">
        <v>0</v>
      </c>
      <c r="BW237" s="523">
        <v>0</v>
      </c>
      <c r="BX237" s="523"/>
      <c r="BY237" s="523"/>
      <c r="BZ237" s="523"/>
      <c r="CA237" s="523"/>
      <c r="CB237" s="523"/>
      <c r="CC237" s="523"/>
      <c r="CD237" s="523"/>
      <c r="CE237" s="523"/>
      <c r="CF237" s="523"/>
      <c r="CG237" s="523"/>
      <c r="CH237" s="523"/>
      <c r="CI237" s="523">
        <f t="shared" si="50"/>
        <v>0</v>
      </c>
    </row>
    <row r="238" spans="1:87" x14ac:dyDescent="0.2">
      <c r="A238" s="125" t="s">
        <v>1719</v>
      </c>
      <c r="B238" s="126" t="s">
        <v>1715</v>
      </c>
      <c r="C238" s="126" t="s">
        <v>1343</v>
      </c>
      <c r="D238" s="127" t="s">
        <v>1720</v>
      </c>
      <c r="E238" s="128" t="s">
        <v>102</v>
      </c>
      <c r="F238" s="129"/>
      <c r="G238" s="130">
        <v>2.4</v>
      </c>
      <c r="H238" s="128">
        <v>4</v>
      </c>
      <c r="I238" s="116">
        <f t="shared" si="51"/>
        <v>0</v>
      </c>
      <c r="J238" s="374">
        <f t="shared" si="52"/>
        <v>0</v>
      </c>
      <c r="K238" s="129">
        <f t="shared" si="47"/>
        <v>4</v>
      </c>
      <c r="L238" s="131">
        <f t="shared" si="55"/>
        <v>9.6</v>
      </c>
      <c r="M238" s="131">
        <f t="shared" si="55"/>
        <v>0</v>
      </c>
      <c r="N238" s="131">
        <f t="shared" si="55"/>
        <v>0</v>
      </c>
      <c r="O238" s="131">
        <f t="shared" si="55"/>
        <v>9.6</v>
      </c>
      <c r="P238" s="136">
        <f t="shared" si="49"/>
        <v>0</v>
      </c>
      <c r="Q238" s="525"/>
      <c r="S238" s="189">
        <v>0</v>
      </c>
      <c r="T238" s="189">
        <v>0</v>
      </c>
      <c r="BT238" s="525"/>
      <c r="BU238" s="523">
        <v>0</v>
      </c>
      <c r="BV238" s="523">
        <v>0</v>
      </c>
      <c r="BW238" s="523">
        <v>0</v>
      </c>
      <c r="BX238" s="523"/>
      <c r="BY238" s="523"/>
      <c r="BZ238" s="523"/>
      <c r="CA238" s="523"/>
      <c r="CB238" s="523"/>
      <c r="CC238" s="523"/>
      <c r="CD238" s="523"/>
      <c r="CE238" s="523"/>
      <c r="CF238" s="523"/>
      <c r="CG238" s="523"/>
      <c r="CH238" s="523"/>
      <c r="CI238" s="523">
        <f t="shared" si="50"/>
        <v>0</v>
      </c>
    </row>
    <row r="239" spans="1:87" x14ac:dyDescent="0.2">
      <c r="A239" s="125" t="s">
        <v>1721</v>
      </c>
      <c r="B239" s="126">
        <v>73542</v>
      </c>
      <c r="C239" s="126" t="s">
        <v>1324</v>
      </c>
      <c r="D239" s="127" t="s">
        <v>1722</v>
      </c>
      <c r="E239" s="128" t="s">
        <v>1723</v>
      </c>
      <c r="F239" s="137">
        <v>5.76</v>
      </c>
      <c r="G239" s="130">
        <v>0.73</v>
      </c>
      <c r="H239" s="128">
        <v>15</v>
      </c>
      <c r="I239" s="116">
        <f t="shared" si="51"/>
        <v>0</v>
      </c>
      <c r="J239" s="374">
        <f t="shared" si="52"/>
        <v>0</v>
      </c>
      <c r="K239" s="137">
        <f t="shared" si="47"/>
        <v>15</v>
      </c>
      <c r="L239" s="131">
        <f t="shared" si="55"/>
        <v>10.95</v>
      </c>
      <c r="M239" s="131">
        <f t="shared" si="55"/>
        <v>0</v>
      </c>
      <c r="N239" s="131">
        <f t="shared" si="55"/>
        <v>0</v>
      </c>
      <c r="O239" s="131">
        <f t="shared" si="55"/>
        <v>10.95</v>
      </c>
      <c r="P239" s="136">
        <f t="shared" si="49"/>
        <v>0</v>
      </c>
      <c r="Q239" s="525"/>
      <c r="S239" s="189">
        <v>0</v>
      </c>
      <c r="T239" s="189">
        <v>0</v>
      </c>
      <c r="BT239" s="525"/>
      <c r="BU239" s="523">
        <v>0</v>
      </c>
      <c r="BV239" s="523">
        <v>0</v>
      </c>
      <c r="BW239" s="523">
        <v>0</v>
      </c>
      <c r="BX239" s="523"/>
      <c r="BY239" s="523"/>
      <c r="BZ239" s="523"/>
      <c r="CA239" s="523"/>
      <c r="CB239" s="523"/>
      <c r="CC239" s="523"/>
      <c r="CD239" s="523"/>
      <c r="CE239" s="523"/>
      <c r="CF239" s="523"/>
      <c r="CG239" s="523"/>
      <c r="CH239" s="523"/>
      <c r="CI239" s="523">
        <f t="shared" si="50"/>
        <v>0</v>
      </c>
    </row>
    <row r="240" spans="1:87" x14ac:dyDescent="0.2">
      <c r="A240" s="125" t="s">
        <v>1724</v>
      </c>
      <c r="B240" s="126">
        <v>84158</v>
      </c>
      <c r="C240" s="126" t="s">
        <v>1324</v>
      </c>
      <c r="D240" s="127" t="s">
        <v>1725</v>
      </c>
      <c r="E240" s="128" t="s">
        <v>1723</v>
      </c>
      <c r="F240" s="137">
        <v>8.1999999999999993</v>
      </c>
      <c r="G240" s="130">
        <v>1.42</v>
      </c>
      <c r="H240" s="128">
        <v>2</v>
      </c>
      <c r="I240" s="116">
        <f t="shared" si="51"/>
        <v>0</v>
      </c>
      <c r="J240" s="374">
        <f t="shared" si="52"/>
        <v>0</v>
      </c>
      <c r="K240" s="137">
        <f t="shared" si="47"/>
        <v>2</v>
      </c>
      <c r="L240" s="131">
        <f t="shared" si="55"/>
        <v>2.84</v>
      </c>
      <c r="M240" s="131">
        <f t="shared" si="55"/>
        <v>0</v>
      </c>
      <c r="N240" s="131">
        <f t="shared" si="55"/>
        <v>0</v>
      </c>
      <c r="O240" s="131">
        <f t="shared" si="55"/>
        <v>2.84</v>
      </c>
      <c r="P240" s="136">
        <f t="shared" si="49"/>
        <v>0</v>
      </c>
      <c r="Q240" s="525"/>
      <c r="S240" s="189">
        <v>0</v>
      </c>
      <c r="T240" s="189">
        <v>0</v>
      </c>
      <c r="BT240" s="525"/>
      <c r="BU240" s="523">
        <v>0</v>
      </c>
      <c r="BV240" s="523">
        <v>0</v>
      </c>
      <c r="BW240" s="523">
        <v>0</v>
      </c>
      <c r="BX240" s="523"/>
      <c r="BY240" s="523"/>
      <c r="BZ240" s="523"/>
      <c r="CA240" s="523"/>
      <c r="CB240" s="523"/>
      <c r="CC240" s="523"/>
      <c r="CD240" s="523"/>
      <c r="CE240" s="523"/>
      <c r="CF240" s="523"/>
      <c r="CG240" s="523"/>
      <c r="CH240" s="523"/>
      <c r="CI240" s="523">
        <f t="shared" si="50"/>
        <v>0</v>
      </c>
    </row>
    <row r="241" spans="1:87" x14ac:dyDescent="0.2">
      <c r="A241" s="125" t="s">
        <v>1726</v>
      </c>
      <c r="B241" s="126">
        <v>84159</v>
      </c>
      <c r="C241" s="126" t="s">
        <v>1324</v>
      </c>
      <c r="D241" s="127" t="s">
        <v>1727</v>
      </c>
      <c r="E241" s="128" t="s">
        <v>1723</v>
      </c>
      <c r="F241" s="137">
        <v>13.75</v>
      </c>
      <c r="G241" s="130">
        <v>3.16</v>
      </c>
      <c r="H241" s="128">
        <v>1</v>
      </c>
      <c r="I241" s="116">
        <f t="shared" si="51"/>
        <v>0</v>
      </c>
      <c r="J241" s="374">
        <f t="shared" si="52"/>
        <v>0</v>
      </c>
      <c r="K241" s="137">
        <f t="shared" si="47"/>
        <v>1</v>
      </c>
      <c r="L241" s="131">
        <f t="shared" si="55"/>
        <v>3.16</v>
      </c>
      <c r="M241" s="131">
        <f t="shared" si="55"/>
        <v>0</v>
      </c>
      <c r="N241" s="131">
        <f t="shared" si="55"/>
        <v>0</v>
      </c>
      <c r="O241" s="131">
        <f t="shared" si="55"/>
        <v>3.16</v>
      </c>
      <c r="P241" s="136">
        <f t="shared" si="49"/>
        <v>0</v>
      </c>
      <c r="Q241" s="525"/>
      <c r="S241" s="189">
        <v>0</v>
      </c>
      <c r="T241" s="189">
        <v>0</v>
      </c>
      <c r="BT241" s="525"/>
      <c r="BU241" s="523">
        <v>0</v>
      </c>
      <c r="BV241" s="523">
        <v>0</v>
      </c>
      <c r="BW241" s="523">
        <v>0</v>
      </c>
      <c r="BX241" s="523"/>
      <c r="BY241" s="523"/>
      <c r="BZ241" s="523"/>
      <c r="CA241" s="523"/>
      <c r="CB241" s="523"/>
      <c r="CC241" s="523"/>
      <c r="CD241" s="523"/>
      <c r="CE241" s="523"/>
      <c r="CF241" s="523"/>
      <c r="CG241" s="523"/>
      <c r="CH241" s="523"/>
      <c r="CI241" s="523">
        <f t="shared" si="50"/>
        <v>0</v>
      </c>
    </row>
    <row r="242" spans="1:87" x14ac:dyDescent="0.2">
      <c r="A242" s="125" t="s">
        <v>1728</v>
      </c>
      <c r="B242" s="126">
        <v>92695</v>
      </c>
      <c r="C242" s="126" t="s">
        <v>1324</v>
      </c>
      <c r="D242" s="127" t="s">
        <v>1729</v>
      </c>
      <c r="E242" s="128" t="s">
        <v>102</v>
      </c>
      <c r="F242" s="137">
        <v>27.72</v>
      </c>
      <c r="G242" s="130">
        <v>14</v>
      </c>
      <c r="H242" s="128">
        <v>15</v>
      </c>
      <c r="I242" s="116">
        <f t="shared" si="51"/>
        <v>0</v>
      </c>
      <c r="J242" s="374">
        <f t="shared" si="52"/>
        <v>0</v>
      </c>
      <c r="K242" s="137">
        <f t="shared" si="47"/>
        <v>15</v>
      </c>
      <c r="L242" s="131">
        <f t="shared" si="55"/>
        <v>210</v>
      </c>
      <c r="M242" s="131">
        <f t="shared" si="55"/>
        <v>0</v>
      </c>
      <c r="N242" s="131">
        <f t="shared" si="55"/>
        <v>0</v>
      </c>
      <c r="O242" s="131">
        <f t="shared" si="55"/>
        <v>210</v>
      </c>
      <c r="P242" s="136">
        <f t="shared" si="49"/>
        <v>0</v>
      </c>
      <c r="Q242" s="525"/>
      <c r="S242" s="189">
        <v>0</v>
      </c>
      <c r="T242" s="189">
        <v>0</v>
      </c>
      <c r="BT242" s="525"/>
      <c r="BU242" s="523">
        <v>0</v>
      </c>
      <c r="BV242" s="523">
        <v>0</v>
      </c>
      <c r="BW242" s="523">
        <v>0</v>
      </c>
      <c r="BX242" s="523"/>
      <c r="BY242" s="523"/>
      <c r="BZ242" s="523"/>
      <c r="CA242" s="523"/>
      <c r="CB242" s="523"/>
      <c r="CC242" s="523"/>
      <c r="CD242" s="523"/>
      <c r="CE242" s="523"/>
      <c r="CF242" s="523"/>
      <c r="CG242" s="523"/>
      <c r="CH242" s="523"/>
      <c r="CI242" s="523">
        <f t="shared" si="50"/>
        <v>0</v>
      </c>
    </row>
    <row r="243" spans="1:87" x14ac:dyDescent="0.2">
      <c r="A243" s="125" t="s">
        <v>1730</v>
      </c>
      <c r="B243" s="126">
        <v>92697</v>
      </c>
      <c r="C243" s="126" t="s">
        <v>1324</v>
      </c>
      <c r="D243" s="127" t="s">
        <v>1731</v>
      </c>
      <c r="E243" s="128" t="s">
        <v>102</v>
      </c>
      <c r="F243" s="137">
        <v>71.03</v>
      </c>
      <c r="G243" s="130">
        <v>22.66</v>
      </c>
      <c r="H243" s="128">
        <v>2</v>
      </c>
      <c r="I243" s="116">
        <f t="shared" si="51"/>
        <v>0</v>
      </c>
      <c r="J243" s="374">
        <f t="shared" si="52"/>
        <v>0</v>
      </c>
      <c r="K243" s="137">
        <f t="shared" si="47"/>
        <v>2</v>
      </c>
      <c r="L243" s="131">
        <f t="shared" si="55"/>
        <v>45.32</v>
      </c>
      <c r="M243" s="131">
        <f t="shared" si="55"/>
        <v>0</v>
      </c>
      <c r="N243" s="131">
        <f t="shared" si="55"/>
        <v>0</v>
      </c>
      <c r="O243" s="131">
        <f t="shared" si="55"/>
        <v>45.32</v>
      </c>
      <c r="P243" s="136">
        <f t="shared" si="49"/>
        <v>0</v>
      </c>
      <c r="Q243" s="525"/>
      <c r="S243" s="189">
        <v>0</v>
      </c>
      <c r="T243" s="189">
        <v>0</v>
      </c>
      <c r="BT243" s="525"/>
      <c r="BU243" s="523">
        <v>0</v>
      </c>
      <c r="BV243" s="523">
        <v>0</v>
      </c>
      <c r="BW243" s="523">
        <v>0</v>
      </c>
      <c r="BX243" s="523"/>
      <c r="BY243" s="523"/>
      <c r="BZ243" s="523"/>
      <c r="CA243" s="523"/>
      <c r="CB243" s="523"/>
      <c r="CC243" s="523"/>
      <c r="CD243" s="523"/>
      <c r="CE243" s="523"/>
      <c r="CF243" s="523"/>
      <c r="CG243" s="523"/>
      <c r="CH243" s="523"/>
      <c r="CI243" s="523">
        <f t="shared" si="50"/>
        <v>0</v>
      </c>
    </row>
    <row r="244" spans="1:87" x14ac:dyDescent="0.2">
      <c r="A244" s="125" t="s">
        <v>1732</v>
      </c>
      <c r="B244" s="126">
        <v>92662</v>
      </c>
      <c r="C244" s="126" t="s">
        <v>1324</v>
      </c>
      <c r="D244" s="127" t="s">
        <v>1733</v>
      </c>
      <c r="E244" s="128" t="s">
        <v>102</v>
      </c>
      <c r="F244" s="137">
        <v>12.99</v>
      </c>
      <c r="G244" s="130">
        <v>22.38</v>
      </c>
      <c r="H244" s="128">
        <v>1</v>
      </c>
      <c r="I244" s="116">
        <f t="shared" si="51"/>
        <v>0</v>
      </c>
      <c r="J244" s="374">
        <f t="shared" si="52"/>
        <v>0</v>
      </c>
      <c r="K244" s="137">
        <f t="shared" si="47"/>
        <v>1</v>
      </c>
      <c r="L244" s="131">
        <f t="shared" si="55"/>
        <v>22.38</v>
      </c>
      <c r="M244" s="131">
        <f t="shared" si="55"/>
        <v>0</v>
      </c>
      <c r="N244" s="131">
        <f t="shared" si="55"/>
        <v>0</v>
      </c>
      <c r="O244" s="131">
        <f t="shared" si="55"/>
        <v>22.38</v>
      </c>
      <c r="P244" s="136">
        <f t="shared" si="49"/>
        <v>0</v>
      </c>
      <c r="Q244" s="525"/>
      <c r="S244" s="189">
        <v>0</v>
      </c>
      <c r="T244" s="189">
        <v>0</v>
      </c>
      <c r="BT244" s="525"/>
      <c r="BU244" s="523">
        <v>0</v>
      </c>
      <c r="BV244" s="523">
        <v>0</v>
      </c>
      <c r="BW244" s="523">
        <v>0</v>
      </c>
      <c r="BX244" s="523"/>
      <c r="BY244" s="523"/>
      <c r="BZ244" s="523"/>
      <c r="CA244" s="523"/>
      <c r="CB244" s="523"/>
      <c r="CC244" s="523"/>
      <c r="CD244" s="523"/>
      <c r="CE244" s="523"/>
      <c r="CF244" s="523"/>
      <c r="CG244" s="523"/>
      <c r="CH244" s="523"/>
      <c r="CI244" s="523">
        <f t="shared" si="50"/>
        <v>0</v>
      </c>
    </row>
    <row r="245" spans="1:87" x14ac:dyDescent="0.2">
      <c r="A245" s="125" t="s">
        <v>1734</v>
      </c>
      <c r="B245" s="126">
        <v>92868</v>
      </c>
      <c r="C245" s="126" t="s">
        <v>1324</v>
      </c>
      <c r="D245" s="127" t="s">
        <v>1735</v>
      </c>
      <c r="E245" s="128" t="s">
        <v>102</v>
      </c>
      <c r="F245" s="137">
        <v>14.25</v>
      </c>
      <c r="G245" s="130">
        <v>9.5299999999999994</v>
      </c>
      <c r="H245" s="128">
        <v>16</v>
      </c>
      <c r="I245" s="116">
        <f t="shared" si="51"/>
        <v>0</v>
      </c>
      <c r="J245" s="374">
        <f t="shared" si="52"/>
        <v>0</v>
      </c>
      <c r="K245" s="137">
        <f t="shared" si="47"/>
        <v>16</v>
      </c>
      <c r="L245" s="131">
        <f t="shared" si="55"/>
        <v>152.47999999999999</v>
      </c>
      <c r="M245" s="131">
        <f t="shared" si="55"/>
        <v>0</v>
      </c>
      <c r="N245" s="131">
        <f t="shared" si="55"/>
        <v>0</v>
      </c>
      <c r="O245" s="131">
        <f t="shared" si="55"/>
        <v>152.47999999999999</v>
      </c>
      <c r="P245" s="136">
        <f t="shared" si="49"/>
        <v>0</v>
      </c>
      <c r="Q245" s="525"/>
      <c r="S245" s="189">
        <v>0</v>
      </c>
      <c r="T245" s="189">
        <v>0</v>
      </c>
      <c r="BT245" s="525"/>
      <c r="BU245" s="523">
        <v>0</v>
      </c>
      <c r="BV245" s="523">
        <v>0</v>
      </c>
      <c r="BW245" s="523">
        <v>0</v>
      </c>
      <c r="BX245" s="523"/>
      <c r="BY245" s="523"/>
      <c r="BZ245" s="523"/>
      <c r="CA245" s="523"/>
      <c r="CB245" s="523"/>
      <c r="CC245" s="523"/>
      <c r="CD245" s="523"/>
      <c r="CE245" s="523"/>
      <c r="CF245" s="523"/>
      <c r="CG245" s="523"/>
      <c r="CH245" s="523"/>
      <c r="CI245" s="523">
        <f t="shared" si="50"/>
        <v>0</v>
      </c>
    </row>
    <row r="246" spans="1:87" s="514" customFormat="1" ht="25.5" x14ac:dyDescent="0.2">
      <c r="A246" s="125" t="s">
        <v>1736</v>
      </c>
      <c r="B246" s="126">
        <v>92865</v>
      </c>
      <c r="C246" s="126" t="s">
        <v>1324</v>
      </c>
      <c r="D246" s="127" t="s">
        <v>1737</v>
      </c>
      <c r="E246" s="128" t="s">
        <v>102</v>
      </c>
      <c r="F246" s="137">
        <v>13.19</v>
      </c>
      <c r="G246" s="130">
        <v>6.13</v>
      </c>
      <c r="H246" s="128">
        <v>7</v>
      </c>
      <c r="I246" s="116">
        <f t="shared" si="51"/>
        <v>0</v>
      </c>
      <c r="J246" s="374">
        <f t="shared" si="52"/>
        <v>0</v>
      </c>
      <c r="K246" s="137">
        <f t="shared" si="47"/>
        <v>7</v>
      </c>
      <c r="L246" s="131">
        <f t="shared" si="55"/>
        <v>42.91</v>
      </c>
      <c r="M246" s="131">
        <f t="shared" si="55"/>
        <v>0</v>
      </c>
      <c r="N246" s="131">
        <f t="shared" si="55"/>
        <v>0</v>
      </c>
      <c r="O246" s="131">
        <f t="shared" si="55"/>
        <v>42.91</v>
      </c>
      <c r="P246" s="136">
        <f t="shared" si="49"/>
        <v>0</v>
      </c>
      <c r="Q246" s="525"/>
      <c r="S246" s="190">
        <v>0</v>
      </c>
      <c r="T246" s="190">
        <v>0</v>
      </c>
      <c r="BT246" s="525"/>
      <c r="BU246" s="523">
        <v>0</v>
      </c>
      <c r="BV246" s="523">
        <v>0</v>
      </c>
      <c r="BW246" s="523">
        <v>0</v>
      </c>
      <c r="BX246" s="523"/>
      <c r="BY246" s="523"/>
      <c r="BZ246" s="523"/>
      <c r="CA246" s="523"/>
      <c r="CB246" s="523"/>
      <c r="CC246" s="523"/>
      <c r="CD246" s="523"/>
      <c r="CE246" s="523"/>
      <c r="CF246" s="523"/>
      <c r="CG246" s="523"/>
      <c r="CH246" s="523"/>
      <c r="CI246" s="523">
        <f t="shared" si="50"/>
        <v>0</v>
      </c>
    </row>
    <row r="247" spans="1:87" x14ac:dyDescent="0.2">
      <c r="A247" s="449" t="s">
        <v>634</v>
      </c>
      <c r="B247" s="450"/>
      <c r="C247" s="450"/>
      <c r="D247" s="451" t="s">
        <v>1738</v>
      </c>
      <c r="E247" s="452"/>
      <c r="F247" s="452"/>
      <c r="G247" s="452"/>
      <c r="H247" s="452"/>
      <c r="I247" s="452"/>
      <c r="J247" s="452"/>
      <c r="K247" s="452"/>
      <c r="L247" s="452">
        <f>SUM(L248:L251)</f>
        <v>4345.79</v>
      </c>
      <c r="M247" s="452">
        <f>SUM(M248:M251)</f>
        <v>0</v>
      </c>
      <c r="N247" s="452">
        <f>SUM(N248:N251)</f>
        <v>0</v>
      </c>
      <c r="O247" s="452">
        <f>SUM(O248:O251)</f>
        <v>4345.79</v>
      </c>
      <c r="P247" s="459">
        <f t="shared" si="49"/>
        <v>0</v>
      </c>
      <c r="Q247" s="525"/>
      <c r="S247" s="189">
        <v>0</v>
      </c>
      <c r="T247" s="189">
        <v>0</v>
      </c>
      <c r="BT247" s="525"/>
      <c r="BU247" s="523">
        <v>0</v>
      </c>
      <c r="BV247" s="523"/>
      <c r="BW247" s="523"/>
      <c r="BX247" s="523"/>
      <c r="BY247" s="523"/>
      <c r="BZ247" s="523"/>
      <c r="CA247" s="523"/>
      <c r="CB247" s="523"/>
      <c r="CC247" s="523"/>
      <c r="CD247" s="523"/>
      <c r="CE247" s="523"/>
      <c r="CF247" s="523"/>
      <c r="CG247" s="523"/>
      <c r="CH247" s="523"/>
      <c r="CI247" s="523">
        <f t="shared" si="50"/>
        <v>0</v>
      </c>
    </row>
    <row r="248" spans="1:87" x14ac:dyDescent="0.2">
      <c r="A248" s="125" t="s">
        <v>1739</v>
      </c>
      <c r="B248" s="126">
        <v>91926</v>
      </c>
      <c r="C248" s="126" t="s">
        <v>1324</v>
      </c>
      <c r="D248" s="127" t="s">
        <v>1740</v>
      </c>
      <c r="E248" s="128" t="s">
        <v>81</v>
      </c>
      <c r="F248" s="137">
        <v>26.32</v>
      </c>
      <c r="G248" s="130">
        <v>2.31</v>
      </c>
      <c r="H248" s="128">
        <v>190</v>
      </c>
      <c r="I248" s="116">
        <f t="shared" si="51"/>
        <v>0</v>
      </c>
      <c r="J248" s="374">
        <f t="shared" si="52"/>
        <v>0</v>
      </c>
      <c r="K248" s="137">
        <f t="shared" si="47"/>
        <v>190</v>
      </c>
      <c r="L248" s="131">
        <f t="shared" ref="L248:O251" si="56">ROUND(H248*$G248,2)</f>
        <v>438.9</v>
      </c>
      <c r="M248" s="131">
        <f t="shared" si="56"/>
        <v>0</v>
      </c>
      <c r="N248" s="131">
        <f t="shared" si="56"/>
        <v>0</v>
      </c>
      <c r="O248" s="131">
        <f t="shared" si="56"/>
        <v>438.9</v>
      </c>
      <c r="P248" s="136">
        <f t="shared" si="49"/>
        <v>0</v>
      </c>
      <c r="Q248" s="525"/>
      <c r="S248" s="189">
        <v>0</v>
      </c>
      <c r="T248" s="189">
        <v>0</v>
      </c>
      <c r="BT248" s="525"/>
      <c r="BU248" s="523">
        <v>0</v>
      </c>
      <c r="BV248" s="523">
        <v>0</v>
      </c>
      <c r="BW248" s="523">
        <v>0</v>
      </c>
      <c r="BX248" s="523"/>
      <c r="BY248" s="523"/>
      <c r="BZ248" s="523"/>
      <c r="CA248" s="523"/>
      <c r="CB248" s="523"/>
      <c r="CC248" s="523"/>
      <c r="CD248" s="523"/>
      <c r="CE248" s="523"/>
      <c r="CF248" s="523"/>
      <c r="CG248" s="523"/>
      <c r="CH248" s="523"/>
      <c r="CI248" s="523">
        <f t="shared" si="50"/>
        <v>0</v>
      </c>
    </row>
    <row r="249" spans="1:87" x14ac:dyDescent="0.2">
      <c r="A249" s="125" t="s">
        <v>1741</v>
      </c>
      <c r="B249" s="126">
        <v>91928</v>
      </c>
      <c r="C249" s="126" t="s">
        <v>1324</v>
      </c>
      <c r="D249" s="127" t="s">
        <v>1742</v>
      </c>
      <c r="E249" s="128" t="s">
        <v>81</v>
      </c>
      <c r="F249" s="137">
        <v>61.2</v>
      </c>
      <c r="G249" s="130">
        <v>3.64</v>
      </c>
      <c r="H249" s="128">
        <v>820</v>
      </c>
      <c r="I249" s="116">
        <f t="shared" si="51"/>
        <v>0</v>
      </c>
      <c r="J249" s="374">
        <f t="shared" si="52"/>
        <v>0</v>
      </c>
      <c r="K249" s="137">
        <f t="shared" si="47"/>
        <v>820</v>
      </c>
      <c r="L249" s="131">
        <f t="shared" si="56"/>
        <v>2984.8</v>
      </c>
      <c r="M249" s="131">
        <f t="shared" si="56"/>
        <v>0</v>
      </c>
      <c r="N249" s="131">
        <f t="shared" si="56"/>
        <v>0</v>
      </c>
      <c r="O249" s="131">
        <f t="shared" si="56"/>
        <v>2984.8</v>
      </c>
      <c r="P249" s="136">
        <f t="shared" si="49"/>
        <v>0</v>
      </c>
      <c r="Q249" s="525"/>
      <c r="S249" s="189">
        <v>0</v>
      </c>
      <c r="T249" s="189">
        <v>0</v>
      </c>
      <c r="BT249" s="525"/>
      <c r="BU249" s="523">
        <v>0</v>
      </c>
      <c r="BV249" s="523">
        <v>0</v>
      </c>
      <c r="BW249" s="523">
        <v>0</v>
      </c>
      <c r="BX249" s="523"/>
      <c r="BY249" s="523"/>
      <c r="BZ249" s="523"/>
      <c r="CA249" s="523"/>
      <c r="CB249" s="523"/>
      <c r="CC249" s="523"/>
      <c r="CD249" s="523"/>
      <c r="CE249" s="523"/>
      <c r="CF249" s="523"/>
      <c r="CG249" s="523"/>
      <c r="CH249" s="523"/>
      <c r="CI249" s="523">
        <f t="shared" si="50"/>
        <v>0</v>
      </c>
    </row>
    <row r="250" spans="1:87" x14ac:dyDescent="0.2">
      <c r="A250" s="125" t="s">
        <v>1743</v>
      </c>
      <c r="B250" s="126">
        <v>91934</v>
      </c>
      <c r="C250" s="126" t="s">
        <v>1324</v>
      </c>
      <c r="D250" s="127" t="s">
        <v>1744</v>
      </c>
      <c r="E250" s="128" t="s">
        <v>81</v>
      </c>
      <c r="F250" s="129"/>
      <c r="G250" s="130">
        <v>12.3</v>
      </c>
      <c r="H250" s="128">
        <v>14</v>
      </c>
      <c r="I250" s="116">
        <f t="shared" si="51"/>
        <v>0</v>
      </c>
      <c r="J250" s="374">
        <f t="shared" si="52"/>
        <v>0</v>
      </c>
      <c r="K250" s="137">
        <f t="shared" si="47"/>
        <v>14</v>
      </c>
      <c r="L250" s="131">
        <f t="shared" si="56"/>
        <v>172.2</v>
      </c>
      <c r="M250" s="131">
        <f t="shared" si="56"/>
        <v>0</v>
      </c>
      <c r="N250" s="131">
        <f t="shared" si="56"/>
        <v>0</v>
      </c>
      <c r="O250" s="131">
        <f t="shared" si="56"/>
        <v>172.2</v>
      </c>
      <c r="P250" s="136">
        <f t="shared" si="49"/>
        <v>0</v>
      </c>
      <c r="Q250" s="525"/>
      <c r="S250" s="189">
        <v>0</v>
      </c>
      <c r="T250" s="189">
        <v>0</v>
      </c>
      <c r="BT250" s="525"/>
      <c r="BU250" s="523">
        <v>0</v>
      </c>
      <c r="BV250" s="523">
        <v>0</v>
      </c>
      <c r="BW250" s="523">
        <v>0</v>
      </c>
      <c r="BX250" s="523"/>
      <c r="BY250" s="523"/>
      <c r="BZ250" s="523"/>
      <c r="CA250" s="523"/>
      <c r="CB250" s="523"/>
      <c r="CC250" s="523"/>
      <c r="CD250" s="523"/>
      <c r="CE250" s="523"/>
      <c r="CF250" s="523"/>
      <c r="CG250" s="523"/>
      <c r="CH250" s="523"/>
      <c r="CI250" s="523">
        <f t="shared" si="50"/>
        <v>0</v>
      </c>
    </row>
    <row r="251" spans="1:87" s="514" customFormat="1" x14ac:dyDescent="0.2">
      <c r="A251" s="125" t="s">
        <v>1745</v>
      </c>
      <c r="B251" s="126">
        <v>92985</v>
      </c>
      <c r="C251" s="126" t="s">
        <v>1324</v>
      </c>
      <c r="D251" s="127" t="s">
        <v>1746</v>
      </c>
      <c r="E251" s="128" t="s">
        <v>81</v>
      </c>
      <c r="F251" s="137">
        <v>8.39</v>
      </c>
      <c r="G251" s="130">
        <v>18.29</v>
      </c>
      <c r="H251" s="128">
        <v>41</v>
      </c>
      <c r="I251" s="116">
        <f t="shared" si="51"/>
        <v>0</v>
      </c>
      <c r="J251" s="374">
        <f t="shared" si="52"/>
        <v>0</v>
      </c>
      <c r="K251" s="137">
        <f t="shared" si="47"/>
        <v>41</v>
      </c>
      <c r="L251" s="131">
        <f t="shared" si="56"/>
        <v>749.89</v>
      </c>
      <c r="M251" s="131">
        <f t="shared" si="56"/>
        <v>0</v>
      </c>
      <c r="N251" s="131">
        <f t="shared" si="56"/>
        <v>0</v>
      </c>
      <c r="O251" s="131">
        <f t="shared" si="56"/>
        <v>749.89</v>
      </c>
      <c r="P251" s="136">
        <f t="shared" si="49"/>
        <v>0</v>
      </c>
      <c r="Q251" s="525"/>
      <c r="S251" s="190">
        <v>0</v>
      </c>
      <c r="T251" s="190">
        <v>0</v>
      </c>
      <c r="BT251" s="525"/>
      <c r="BU251" s="523">
        <v>0</v>
      </c>
      <c r="BV251" s="523">
        <v>0</v>
      </c>
      <c r="BW251" s="523">
        <v>0</v>
      </c>
      <c r="BX251" s="523"/>
      <c r="BY251" s="523"/>
      <c r="BZ251" s="523"/>
      <c r="CA251" s="523"/>
      <c r="CB251" s="523"/>
      <c r="CC251" s="523"/>
      <c r="CD251" s="523"/>
      <c r="CE251" s="523"/>
      <c r="CF251" s="523"/>
      <c r="CG251" s="523"/>
      <c r="CH251" s="523"/>
      <c r="CI251" s="523">
        <f t="shared" si="50"/>
        <v>0</v>
      </c>
    </row>
    <row r="252" spans="1:87" x14ac:dyDescent="0.2">
      <c r="A252" s="449" t="s">
        <v>640</v>
      </c>
      <c r="B252" s="450"/>
      <c r="C252" s="450"/>
      <c r="D252" s="451" t="s">
        <v>1747</v>
      </c>
      <c r="E252" s="452"/>
      <c r="F252" s="452"/>
      <c r="G252" s="452"/>
      <c r="H252" s="452"/>
      <c r="I252" s="452"/>
      <c r="J252" s="452"/>
      <c r="K252" s="452"/>
      <c r="L252" s="452">
        <f>SUM(L253:L258)</f>
        <v>10299.74</v>
      </c>
      <c r="M252" s="452">
        <f>SUM(M253:M258)</f>
        <v>0</v>
      </c>
      <c r="N252" s="452">
        <f>SUM(N253:N258)</f>
        <v>0</v>
      </c>
      <c r="O252" s="452">
        <f>SUM(O253:O258)</f>
        <v>10299.74</v>
      </c>
      <c r="P252" s="459">
        <f t="shared" si="49"/>
        <v>0</v>
      </c>
      <c r="Q252" s="525"/>
      <c r="S252" s="189">
        <v>0</v>
      </c>
      <c r="T252" s="189">
        <v>0</v>
      </c>
      <c r="BT252" s="525"/>
      <c r="BU252" s="523">
        <v>0</v>
      </c>
      <c r="BV252" s="523"/>
      <c r="BW252" s="523"/>
      <c r="BX252" s="523"/>
      <c r="BY252" s="523"/>
      <c r="BZ252" s="523"/>
      <c r="CA252" s="523"/>
      <c r="CB252" s="523"/>
      <c r="CC252" s="523"/>
      <c r="CD252" s="523"/>
      <c r="CE252" s="523"/>
      <c r="CF252" s="523"/>
      <c r="CG252" s="523"/>
      <c r="CH252" s="523"/>
      <c r="CI252" s="523">
        <f t="shared" si="50"/>
        <v>0</v>
      </c>
    </row>
    <row r="253" spans="1:87" x14ac:dyDescent="0.2">
      <c r="A253" s="125" t="s">
        <v>1748</v>
      </c>
      <c r="B253" s="126">
        <v>92000</v>
      </c>
      <c r="C253" s="126" t="s">
        <v>1324</v>
      </c>
      <c r="D253" s="127" t="s">
        <v>1749</v>
      </c>
      <c r="E253" s="128" t="s">
        <v>102</v>
      </c>
      <c r="F253" s="137">
        <v>21.53</v>
      </c>
      <c r="G253" s="130">
        <v>20.07</v>
      </c>
      <c r="H253" s="128">
        <v>4</v>
      </c>
      <c r="I253" s="116">
        <f t="shared" si="51"/>
        <v>0</v>
      </c>
      <c r="J253" s="374">
        <f t="shared" si="52"/>
        <v>0</v>
      </c>
      <c r="K253" s="137">
        <f t="shared" si="47"/>
        <v>4</v>
      </c>
      <c r="L253" s="131">
        <f t="shared" ref="L253:O258" si="57">ROUND(H253*$G253,2)</f>
        <v>80.28</v>
      </c>
      <c r="M253" s="131">
        <f t="shared" si="57"/>
        <v>0</v>
      </c>
      <c r="N253" s="131">
        <f t="shared" si="57"/>
        <v>0</v>
      </c>
      <c r="O253" s="131">
        <f t="shared" si="57"/>
        <v>80.28</v>
      </c>
      <c r="P253" s="136">
        <f t="shared" si="49"/>
        <v>0</v>
      </c>
      <c r="Q253" s="525"/>
      <c r="S253" s="189">
        <v>0</v>
      </c>
      <c r="T253" s="189">
        <v>0</v>
      </c>
      <c r="BT253" s="525"/>
      <c r="BU253" s="523">
        <v>0</v>
      </c>
      <c r="BV253" s="523">
        <v>0</v>
      </c>
      <c r="BW253" s="523">
        <v>0</v>
      </c>
      <c r="BX253" s="523"/>
      <c r="BY253" s="523"/>
      <c r="BZ253" s="523"/>
      <c r="CA253" s="523"/>
      <c r="CB253" s="523"/>
      <c r="CC253" s="523"/>
      <c r="CD253" s="523"/>
      <c r="CE253" s="523"/>
      <c r="CF253" s="523"/>
      <c r="CG253" s="523"/>
      <c r="CH253" s="523"/>
      <c r="CI253" s="523">
        <f t="shared" si="50"/>
        <v>0</v>
      </c>
    </row>
    <row r="254" spans="1:87" x14ac:dyDescent="0.2">
      <c r="A254" s="125" t="s">
        <v>1750</v>
      </c>
      <c r="B254" s="126">
        <v>92001</v>
      </c>
      <c r="C254" s="126" t="s">
        <v>1324</v>
      </c>
      <c r="D254" s="127" t="s">
        <v>1751</v>
      </c>
      <c r="E254" s="128" t="s">
        <v>102</v>
      </c>
      <c r="F254" s="137">
        <v>133.13999999999999</v>
      </c>
      <c r="G254" s="130">
        <v>21.83</v>
      </c>
      <c r="H254" s="128">
        <v>1</v>
      </c>
      <c r="I254" s="116">
        <f t="shared" si="51"/>
        <v>0</v>
      </c>
      <c r="J254" s="374">
        <f t="shared" si="52"/>
        <v>0</v>
      </c>
      <c r="K254" s="137">
        <f t="shared" si="47"/>
        <v>1</v>
      </c>
      <c r="L254" s="131">
        <f t="shared" si="57"/>
        <v>21.83</v>
      </c>
      <c r="M254" s="131">
        <f t="shared" si="57"/>
        <v>0</v>
      </c>
      <c r="N254" s="131">
        <f t="shared" si="57"/>
        <v>0</v>
      </c>
      <c r="O254" s="131">
        <f t="shared" si="57"/>
        <v>21.83</v>
      </c>
      <c r="P254" s="136">
        <f t="shared" si="49"/>
        <v>0</v>
      </c>
      <c r="Q254" s="525"/>
      <c r="S254" s="189">
        <v>0</v>
      </c>
      <c r="T254" s="189">
        <v>0</v>
      </c>
      <c r="BT254" s="525"/>
      <c r="BU254" s="523">
        <v>0</v>
      </c>
      <c r="BV254" s="523">
        <v>0</v>
      </c>
      <c r="BW254" s="523">
        <v>0</v>
      </c>
      <c r="BX254" s="523"/>
      <c r="BY254" s="523"/>
      <c r="BZ254" s="523"/>
      <c r="CA254" s="523"/>
      <c r="CB254" s="523"/>
      <c r="CC254" s="523"/>
      <c r="CD254" s="523"/>
      <c r="CE254" s="523"/>
      <c r="CF254" s="523"/>
      <c r="CG254" s="523"/>
      <c r="CH254" s="523"/>
      <c r="CI254" s="523">
        <f t="shared" si="50"/>
        <v>0</v>
      </c>
    </row>
    <row r="255" spans="1:87" ht="25.5" x14ac:dyDescent="0.2">
      <c r="A255" s="125" t="s">
        <v>1752</v>
      </c>
      <c r="B255" s="126">
        <v>91953</v>
      </c>
      <c r="C255" s="126" t="s">
        <v>1324</v>
      </c>
      <c r="D255" s="127" t="s">
        <v>1753</v>
      </c>
      <c r="E255" s="128" t="s">
        <v>102</v>
      </c>
      <c r="F255" s="129"/>
      <c r="G255" s="130">
        <v>18.98</v>
      </c>
      <c r="H255" s="128">
        <v>7</v>
      </c>
      <c r="I255" s="116">
        <f t="shared" si="51"/>
        <v>0</v>
      </c>
      <c r="J255" s="374">
        <f t="shared" si="52"/>
        <v>0</v>
      </c>
      <c r="K255" s="137">
        <f t="shared" si="47"/>
        <v>7</v>
      </c>
      <c r="L255" s="131">
        <f t="shared" si="57"/>
        <v>132.86000000000001</v>
      </c>
      <c r="M255" s="131">
        <f t="shared" si="57"/>
        <v>0</v>
      </c>
      <c r="N255" s="131">
        <f t="shared" si="57"/>
        <v>0</v>
      </c>
      <c r="O255" s="131">
        <f t="shared" si="57"/>
        <v>132.86000000000001</v>
      </c>
      <c r="P255" s="136">
        <f t="shared" si="49"/>
        <v>0</v>
      </c>
      <c r="Q255" s="525"/>
      <c r="S255" s="189">
        <v>0</v>
      </c>
      <c r="T255" s="189">
        <v>0</v>
      </c>
      <c r="BT255" s="525"/>
      <c r="BU255" s="523">
        <v>0</v>
      </c>
      <c r="BV255" s="523">
        <v>0</v>
      </c>
      <c r="BW255" s="523">
        <v>0</v>
      </c>
      <c r="BX255" s="523"/>
      <c r="BY255" s="523"/>
      <c r="BZ255" s="523"/>
      <c r="CA255" s="523"/>
      <c r="CB255" s="523"/>
      <c r="CC255" s="523"/>
      <c r="CD255" s="523"/>
      <c r="CE255" s="523"/>
      <c r="CF255" s="523"/>
      <c r="CG255" s="523"/>
      <c r="CH255" s="523"/>
      <c r="CI255" s="523">
        <f t="shared" si="50"/>
        <v>0</v>
      </c>
    </row>
    <row r="256" spans="1:87" x14ac:dyDescent="0.2">
      <c r="A256" s="125" t="s">
        <v>1754</v>
      </c>
      <c r="B256" s="126" t="s">
        <v>1755</v>
      </c>
      <c r="C256" s="126" t="s">
        <v>1324</v>
      </c>
      <c r="D256" s="127" t="s">
        <v>1756</v>
      </c>
      <c r="E256" s="128" t="s">
        <v>102</v>
      </c>
      <c r="F256" s="137">
        <v>1.81</v>
      </c>
      <c r="G256" s="130">
        <v>133.31</v>
      </c>
      <c r="H256" s="128">
        <v>1</v>
      </c>
      <c r="I256" s="116">
        <f t="shared" si="51"/>
        <v>0</v>
      </c>
      <c r="J256" s="374">
        <f t="shared" si="52"/>
        <v>0</v>
      </c>
      <c r="K256" s="137">
        <f t="shared" si="47"/>
        <v>1</v>
      </c>
      <c r="L256" s="131">
        <f t="shared" si="57"/>
        <v>133.31</v>
      </c>
      <c r="M256" s="131">
        <f t="shared" si="57"/>
        <v>0</v>
      </c>
      <c r="N256" s="131">
        <f t="shared" si="57"/>
        <v>0</v>
      </c>
      <c r="O256" s="131">
        <f t="shared" si="57"/>
        <v>133.31</v>
      </c>
      <c r="P256" s="136">
        <f t="shared" si="49"/>
        <v>0</v>
      </c>
      <c r="Q256" s="525"/>
      <c r="S256" s="189">
        <v>0</v>
      </c>
      <c r="T256" s="189">
        <v>0</v>
      </c>
      <c r="BT256" s="525"/>
      <c r="BU256" s="523">
        <v>0</v>
      </c>
      <c r="BV256" s="523">
        <v>0</v>
      </c>
      <c r="BW256" s="523">
        <v>0</v>
      </c>
      <c r="BX256" s="523"/>
      <c r="BY256" s="523"/>
      <c r="BZ256" s="523"/>
      <c r="CA256" s="523"/>
      <c r="CB256" s="523"/>
      <c r="CC256" s="523"/>
      <c r="CD256" s="523"/>
      <c r="CE256" s="523"/>
      <c r="CF256" s="523"/>
      <c r="CG256" s="523"/>
      <c r="CH256" s="523"/>
      <c r="CI256" s="523">
        <f t="shared" si="50"/>
        <v>0</v>
      </c>
    </row>
    <row r="257" spans="1:87" x14ac:dyDescent="0.2">
      <c r="A257" s="125" t="s">
        <v>1757</v>
      </c>
      <c r="B257" s="126" t="s">
        <v>1758</v>
      </c>
      <c r="C257" s="126" t="s">
        <v>1324</v>
      </c>
      <c r="D257" s="127" t="s">
        <v>1759</v>
      </c>
      <c r="E257" s="128" t="s">
        <v>102</v>
      </c>
      <c r="F257" s="137">
        <v>2.93</v>
      </c>
      <c r="G257" s="130">
        <v>156.31</v>
      </c>
      <c r="H257" s="128">
        <v>6</v>
      </c>
      <c r="I257" s="116">
        <f t="shared" si="51"/>
        <v>0</v>
      </c>
      <c r="J257" s="374">
        <f t="shared" si="52"/>
        <v>0</v>
      </c>
      <c r="K257" s="137">
        <f t="shared" si="47"/>
        <v>6</v>
      </c>
      <c r="L257" s="131">
        <f t="shared" si="57"/>
        <v>937.86</v>
      </c>
      <c r="M257" s="131">
        <f t="shared" si="57"/>
        <v>0</v>
      </c>
      <c r="N257" s="131">
        <f t="shared" si="57"/>
        <v>0</v>
      </c>
      <c r="O257" s="131">
        <f t="shared" si="57"/>
        <v>937.86</v>
      </c>
      <c r="P257" s="136">
        <f t="shared" si="49"/>
        <v>0</v>
      </c>
      <c r="Q257" s="525"/>
      <c r="S257" s="189">
        <v>0</v>
      </c>
      <c r="T257" s="189">
        <v>0</v>
      </c>
      <c r="BT257" s="525"/>
      <c r="BU257" s="523">
        <v>0</v>
      </c>
      <c r="BV257" s="523">
        <v>0</v>
      </c>
      <c r="BW257" s="523">
        <v>0</v>
      </c>
      <c r="BX257" s="523"/>
      <c r="BY257" s="523"/>
      <c r="BZ257" s="523"/>
      <c r="CA257" s="523"/>
      <c r="CB257" s="523"/>
      <c r="CC257" s="523"/>
      <c r="CD257" s="523"/>
      <c r="CE257" s="523"/>
      <c r="CF257" s="523"/>
      <c r="CG257" s="523"/>
      <c r="CH257" s="523"/>
      <c r="CI257" s="523">
        <f t="shared" si="50"/>
        <v>0</v>
      </c>
    </row>
    <row r="258" spans="1:87" ht="25.5" x14ac:dyDescent="0.2">
      <c r="A258" s="125" t="s">
        <v>1760</v>
      </c>
      <c r="B258" s="126" t="s">
        <v>2007</v>
      </c>
      <c r="C258" s="126" t="s">
        <v>1339</v>
      </c>
      <c r="D258" s="127" t="s">
        <v>1761</v>
      </c>
      <c r="E258" s="128" t="s">
        <v>102</v>
      </c>
      <c r="F258" s="137">
        <v>4.1100000000000003</v>
      </c>
      <c r="G258" s="130">
        <v>449.68</v>
      </c>
      <c r="H258" s="128">
        <v>20</v>
      </c>
      <c r="I258" s="116">
        <f t="shared" si="51"/>
        <v>0</v>
      </c>
      <c r="J258" s="374">
        <f t="shared" si="52"/>
        <v>0</v>
      </c>
      <c r="K258" s="137">
        <f t="shared" si="47"/>
        <v>20</v>
      </c>
      <c r="L258" s="131">
        <f t="shared" si="57"/>
        <v>8993.6</v>
      </c>
      <c r="M258" s="131">
        <f t="shared" si="57"/>
        <v>0</v>
      </c>
      <c r="N258" s="131">
        <f t="shared" si="57"/>
        <v>0</v>
      </c>
      <c r="O258" s="131">
        <f t="shared" si="57"/>
        <v>8993.6</v>
      </c>
      <c r="P258" s="136">
        <f t="shared" si="49"/>
        <v>0</v>
      </c>
      <c r="Q258" s="525"/>
      <c r="S258" s="189">
        <v>0</v>
      </c>
      <c r="T258" s="189">
        <v>0</v>
      </c>
      <c r="BT258" s="525"/>
      <c r="BU258" s="523">
        <v>0</v>
      </c>
      <c r="BV258" s="523">
        <v>0</v>
      </c>
      <c r="BW258" s="523">
        <v>0</v>
      </c>
      <c r="BX258" s="523"/>
      <c r="BY258" s="523"/>
      <c r="BZ258" s="523"/>
      <c r="CA258" s="523"/>
      <c r="CB258" s="523"/>
      <c r="CC258" s="523"/>
      <c r="CD258" s="523"/>
      <c r="CE258" s="523"/>
      <c r="CF258" s="523"/>
      <c r="CG258" s="523"/>
      <c r="CH258" s="523"/>
      <c r="CI258" s="523">
        <f t="shared" si="50"/>
        <v>0</v>
      </c>
    </row>
    <row r="259" spans="1:87" x14ac:dyDescent="0.2">
      <c r="A259" s="412">
        <v>18</v>
      </c>
      <c r="B259" s="413"/>
      <c r="C259" s="413"/>
      <c r="D259" s="414" t="s">
        <v>1762</v>
      </c>
      <c r="E259" s="415"/>
      <c r="F259" s="415"/>
      <c r="G259" s="415"/>
      <c r="H259" s="415"/>
      <c r="I259" s="415"/>
      <c r="J259" s="415"/>
      <c r="K259" s="415"/>
      <c r="L259" s="416">
        <f>SUM(L260:L267)</f>
        <v>7237.1900000000014</v>
      </c>
      <c r="M259" s="416">
        <f>SUM(M260:M267)</f>
        <v>0</v>
      </c>
      <c r="N259" s="416">
        <f>SUM(N260:N267)</f>
        <v>0</v>
      </c>
      <c r="O259" s="416">
        <f>SUM(O260:O267)</f>
        <v>7237.1900000000014</v>
      </c>
      <c r="P259" s="423">
        <f t="shared" si="49"/>
        <v>0</v>
      </c>
      <c r="Q259" s="525"/>
      <c r="S259" s="189">
        <v>0</v>
      </c>
      <c r="T259" s="189">
        <v>0</v>
      </c>
      <c r="BT259" s="525"/>
      <c r="BU259" s="523">
        <v>0</v>
      </c>
      <c r="BV259" s="523"/>
      <c r="BW259" s="523"/>
      <c r="BX259" s="523"/>
      <c r="BY259" s="523"/>
      <c r="BZ259" s="523"/>
      <c r="CA259" s="523"/>
      <c r="CB259" s="523"/>
      <c r="CC259" s="523"/>
      <c r="CD259" s="523"/>
      <c r="CE259" s="523"/>
      <c r="CF259" s="523"/>
      <c r="CG259" s="523"/>
      <c r="CH259" s="523"/>
      <c r="CI259" s="523">
        <f t="shared" si="50"/>
        <v>0</v>
      </c>
    </row>
    <row r="260" spans="1:87" ht="25.5" x14ac:dyDescent="0.2">
      <c r="A260" s="125" t="s">
        <v>657</v>
      </c>
      <c r="B260" s="126" t="s">
        <v>2007</v>
      </c>
      <c r="C260" s="126" t="s">
        <v>1339</v>
      </c>
      <c r="D260" s="127" t="s">
        <v>1763</v>
      </c>
      <c r="E260" s="128" t="s">
        <v>102</v>
      </c>
      <c r="F260" s="129"/>
      <c r="G260" s="130">
        <v>205.82</v>
      </c>
      <c r="H260" s="128">
        <v>7</v>
      </c>
      <c r="I260" s="116">
        <f t="shared" si="51"/>
        <v>0</v>
      </c>
      <c r="J260" s="374">
        <f t="shared" si="52"/>
        <v>0</v>
      </c>
      <c r="K260" s="137">
        <f t="shared" ref="K260:K284" si="58">H260-J260</f>
        <v>7</v>
      </c>
      <c r="L260" s="131">
        <f t="shared" ref="L260:O267" si="59">ROUND(H260*$G260,2)</f>
        <v>1440.74</v>
      </c>
      <c r="M260" s="131">
        <f t="shared" si="59"/>
        <v>0</v>
      </c>
      <c r="N260" s="131">
        <f t="shared" si="59"/>
        <v>0</v>
      </c>
      <c r="O260" s="131">
        <f t="shared" si="59"/>
        <v>1440.74</v>
      </c>
      <c r="P260" s="136">
        <f t="shared" si="49"/>
        <v>0</v>
      </c>
      <c r="Q260" s="525"/>
      <c r="S260" s="189">
        <v>0</v>
      </c>
      <c r="T260" s="189">
        <v>0</v>
      </c>
      <c r="BT260" s="525"/>
      <c r="BU260" s="523">
        <v>0</v>
      </c>
      <c r="BV260" s="523">
        <v>0</v>
      </c>
      <c r="BW260" s="523">
        <v>0</v>
      </c>
      <c r="BX260" s="523"/>
      <c r="BY260" s="523"/>
      <c r="BZ260" s="523"/>
      <c r="CA260" s="523"/>
      <c r="CB260" s="523"/>
      <c r="CC260" s="523"/>
      <c r="CD260" s="523"/>
      <c r="CE260" s="523"/>
      <c r="CF260" s="523"/>
      <c r="CG260" s="523"/>
      <c r="CH260" s="523"/>
      <c r="CI260" s="523">
        <f t="shared" si="50"/>
        <v>0</v>
      </c>
    </row>
    <row r="261" spans="1:87" x14ac:dyDescent="0.2">
      <c r="A261" s="125" t="s">
        <v>664</v>
      </c>
      <c r="B261" s="126" t="s">
        <v>2007</v>
      </c>
      <c r="C261" s="126" t="s">
        <v>1339</v>
      </c>
      <c r="D261" s="127" t="s">
        <v>1764</v>
      </c>
      <c r="E261" s="128" t="s">
        <v>102</v>
      </c>
      <c r="F261" s="137">
        <v>179.19</v>
      </c>
      <c r="G261" s="130">
        <v>232.41</v>
      </c>
      <c r="H261" s="128">
        <v>1</v>
      </c>
      <c r="I261" s="116">
        <f t="shared" si="51"/>
        <v>0</v>
      </c>
      <c r="J261" s="374">
        <f t="shared" si="52"/>
        <v>0</v>
      </c>
      <c r="K261" s="137">
        <f t="shared" si="58"/>
        <v>1</v>
      </c>
      <c r="L261" s="131">
        <f t="shared" si="59"/>
        <v>232.41</v>
      </c>
      <c r="M261" s="131">
        <f t="shared" si="59"/>
        <v>0</v>
      </c>
      <c r="N261" s="131">
        <f t="shared" si="59"/>
        <v>0</v>
      </c>
      <c r="O261" s="131">
        <f t="shared" si="59"/>
        <v>232.41</v>
      </c>
      <c r="P261" s="136">
        <f t="shared" si="49"/>
        <v>0</v>
      </c>
      <c r="Q261" s="525"/>
      <c r="S261" s="189">
        <v>0</v>
      </c>
      <c r="T261" s="189">
        <v>0</v>
      </c>
      <c r="BT261" s="525"/>
      <c r="BU261" s="523">
        <v>0</v>
      </c>
      <c r="BV261" s="523">
        <v>0</v>
      </c>
      <c r="BW261" s="523">
        <v>0</v>
      </c>
      <c r="BX261" s="523"/>
      <c r="BY261" s="523"/>
      <c r="BZ261" s="523"/>
      <c r="CA261" s="523"/>
      <c r="CB261" s="523"/>
      <c r="CC261" s="523"/>
      <c r="CD261" s="523"/>
      <c r="CE261" s="523"/>
      <c r="CF261" s="523"/>
      <c r="CG261" s="523"/>
      <c r="CH261" s="523"/>
      <c r="CI261" s="523">
        <f t="shared" si="50"/>
        <v>0</v>
      </c>
    </row>
    <row r="262" spans="1:87" x14ac:dyDescent="0.2">
      <c r="A262" s="125" t="s">
        <v>668</v>
      </c>
      <c r="B262" s="126">
        <v>72929</v>
      </c>
      <c r="C262" s="126" t="s">
        <v>1324</v>
      </c>
      <c r="D262" s="127" t="s">
        <v>1765</v>
      </c>
      <c r="E262" s="128" t="s">
        <v>81</v>
      </c>
      <c r="F262" s="137">
        <v>212.03</v>
      </c>
      <c r="G262" s="130">
        <v>22.1</v>
      </c>
      <c r="H262" s="128">
        <v>39.200000000000003</v>
      </c>
      <c r="I262" s="116">
        <f t="shared" si="51"/>
        <v>0</v>
      </c>
      <c r="J262" s="374">
        <f t="shared" si="52"/>
        <v>0</v>
      </c>
      <c r="K262" s="137">
        <f t="shared" si="58"/>
        <v>39.200000000000003</v>
      </c>
      <c r="L262" s="131">
        <f t="shared" si="59"/>
        <v>866.32</v>
      </c>
      <c r="M262" s="131">
        <f t="shared" si="59"/>
        <v>0</v>
      </c>
      <c r="N262" s="131">
        <f t="shared" si="59"/>
        <v>0</v>
      </c>
      <c r="O262" s="131">
        <f t="shared" si="59"/>
        <v>866.32</v>
      </c>
      <c r="P262" s="136">
        <f t="shared" si="49"/>
        <v>0</v>
      </c>
      <c r="Q262" s="525"/>
      <c r="S262" s="189">
        <v>0</v>
      </c>
      <c r="T262" s="189">
        <v>0</v>
      </c>
      <c r="BT262" s="525"/>
      <c r="BU262" s="523">
        <v>0</v>
      </c>
      <c r="BV262" s="523">
        <v>0</v>
      </c>
      <c r="BW262" s="523">
        <v>0</v>
      </c>
      <c r="BX262" s="523"/>
      <c r="BY262" s="523"/>
      <c r="BZ262" s="523"/>
      <c r="CA262" s="523"/>
      <c r="CB262" s="523"/>
      <c r="CC262" s="523"/>
      <c r="CD262" s="523"/>
      <c r="CE262" s="523"/>
      <c r="CF262" s="523"/>
      <c r="CG262" s="523"/>
      <c r="CH262" s="523"/>
      <c r="CI262" s="523">
        <f t="shared" si="50"/>
        <v>0</v>
      </c>
    </row>
    <row r="263" spans="1:87" x14ac:dyDescent="0.2">
      <c r="A263" s="125" t="s">
        <v>671</v>
      </c>
      <c r="B263" s="126">
        <v>72930</v>
      </c>
      <c r="C263" s="126" t="s">
        <v>1324</v>
      </c>
      <c r="D263" s="127" t="s">
        <v>1766</v>
      </c>
      <c r="E263" s="128" t="s">
        <v>81</v>
      </c>
      <c r="F263" s="137">
        <v>101.58</v>
      </c>
      <c r="G263" s="130">
        <v>31.35</v>
      </c>
      <c r="H263" s="128">
        <v>126.32</v>
      </c>
      <c r="I263" s="116">
        <f t="shared" si="51"/>
        <v>0</v>
      </c>
      <c r="J263" s="374">
        <f t="shared" si="52"/>
        <v>0</v>
      </c>
      <c r="K263" s="137">
        <f t="shared" si="58"/>
        <v>126.32</v>
      </c>
      <c r="L263" s="131">
        <f t="shared" si="59"/>
        <v>3960.13</v>
      </c>
      <c r="M263" s="131">
        <f t="shared" si="59"/>
        <v>0</v>
      </c>
      <c r="N263" s="131">
        <f t="shared" si="59"/>
        <v>0</v>
      </c>
      <c r="O263" s="131">
        <f t="shared" si="59"/>
        <v>3960.13</v>
      </c>
      <c r="P263" s="136">
        <f t="shared" si="49"/>
        <v>0</v>
      </c>
      <c r="Q263" s="525"/>
      <c r="S263" s="189">
        <v>0</v>
      </c>
      <c r="T263" s="189">
        <v>0</v>
      </c>
      <c r="BT263" s="525"/>
      <c r="BU263" s="523">
        <v>0</v>
      </c>
      <c r="BV263" s="523">
        <v>0</v>
      </c>
      <c r="BW263" s="523">
        <v>0</v>
      </c>
      <c r="BX263" s="523"/>
      <c r="BY263" s="523"/>
      <c r="BZ263" s="523"/>
      <c r="CA263" s="523"/>
      <c r="CB263" s="523"/>
      <c r="CC263" s="523"/>
      <c r="CD263" s="523"/>
      <c r="CE263" s="523"/>
      <c r="CF263" s="523"/>
      <c r="CG263" s="523"/>
      <c r="CH263" s="523"/>
      <c r="CI263" s="523">
        <f t="shared" si="50"/>
        <v>0</v>
      </c>
    </row>
    <row r="264" spans="1:87" x14ac:dyDescent="0.2">
      <c r="A264" s="125" t="s">
        <v>679</v>
      </c>
      <c r="B264" s="126">
        <v>93008</v>
      </c>
      <c r="C264" s="126" t="s">
        <v>1324</v>
      </c>
      <c r="D264" s="127" t="s">
        <v>1767</v>
      </c>
      <c r="E264" s="128" t="s">
        <v>81</v>
      </c>
      <c r="F264" s="137">
        <v>412.2</v>
      </c>
      <c r="G264" s="130">
        <v>9.83</v>
      </c>
      <c r="H264" s="128">
        <v>21</v>
      </c>
      <c r="I264" s="116">
        <f t="shared" si="51"/>
        <v>0</v>
      </c>
      <c r="J264" s="374">
        <f t="shared" si="52"/>
        <v>0</v>
      </c>
      <c r="K264" s="137">
        <f t="shared" si="58"/>
        <v>21</v>
      </c>
      <c r="L264" s="131">
        <f t="shared" si="59"/>
        <v>206.43</v>
      </c>
      <c r="M264" s="131">
        <f t="shared" si="59"/>
        <v>0</v>
      </c>
      <c r="N264" s="131">
        <f t="shared" si="59"/>
        <v>0</v>
      </c>
      <c r="O264" s="131">
        <f t="shared" si="59"/>
        <v>206.43</v>
      </c>
      <c r="P264" s="136">
        <f t="shared" si="49"/>
        <v>0</v>
      </c>
      <c r="Q264" s="525"/>
      <c r="S264" s="189">
        <v>0</v>
      </c>
      <c r="T264" s="189">
        <v>0</v>
      </c>
      <c r="BT264" s="525"/>
      <c r="BU264" s="523">
        <v>0</v>
      </c>
      <c r="BV264" s="523">
        <v>0</v>
      </c>
      <c r="BW264" s="523">
        <v>0</v>
      </c>
      <c r="BX264" s="523"/>
      <c r="BY264" s="523"/>
      <c r="BZ264" s="523"/>
      <c r="CA264" s="523"/>
      <c r="CB264" s="523"/>
      <c r="CC264" s="523"/>
      <c r="CD264" s="523"/>
      <c r="CE264" s="523"/>
      <c r="CF264" s="523"/>
      <c r="CG264" s="523"/>
      <c r="CH264" s="523"/>
      <c r="CI264" s="523">
        <f t="shared" si="50"/>
        <v>0</v>
      </c>
    </row>
    <row r="265" spans="1:87" x14ac:dyDescent="0.2">
      <c r="A265" s="125" t="s">
        <v>1768</v>
      </c>
      <c r="B265" s="126" t="s">
        <v>2007</v>
      </c>
      <c r="C265" s="126" t="s">
        <v>1769</v>
      </c>
      <c r="D265" s="127" t="s">
        <v>1770</v>
      </c>
      <c r="E265" s="128" t="s">
        <v>102</v>
      </c>
      <c r="F265" s="137">
        <v>348.66</v>
      </c>
      <c r="G265" s="130">
        <v>38.299999999999997</v>
      </c>
      <c r="H265" s="128">
        <v>7</v>
      </c>
      <c r="I265" s="116">
        <f t="shared" si="51"/>
        <v>0</v>
      </c>
      <c r="J265" s="374">
        <f t="shared" si="52"/>
        <v>0</v>
      </c>
      <c r="K265" s="137">
        <f t="shared" si="58"/>
        <v>7</v>
      </c>
      <c r="L265" s="131">
        <f t="shared" si="59"/>
        <v>268.10000000000002</v>
      </c>
      <c r="M265" s="131">
        <f t="shared" si="59"/>
        <v>0</v>
      </c>
      <c r="N265" s="131">
        <f t="shared" si="59"/>
        <v>0</v>
      </c>
      <c r="O265" s="131">
        <f t="shared" si="59"/>
        <v>268.10000000000002</v>
      </c>
      <c r="P265" s="136">
        <f t="shared" si="49"/>
        <v>0</v>
      </c>
      <c r="Q265" s="525"/>
      <c r="S265" s="189">
        <v>0</v>
      </c>
      <c r="T265" s="189">
        <v>0</v>
      </c>
      <c r="BT265" s="525"/>
      <c r="BU265" s="523">
        <v>0</v>
      </c>
      <c r="BV265" s="523">
        <v>0</v>
      </c>
      <c r="BW265" s="523">
        <v>0</v>
      </c>
      <c r="BX265" s="523"/>
      <c r="BY265" s="523"/>
      <c r="BZ265" s="523"/>
      <c r="CA265" s="523"/>
      <c r="CB265" s="523"/>
      <c r="CC265" s="523"/>
      <c r="CD265" s="523"/>
      <c r="CE265" s="523"/>
      <c r="CF265" s="523"/>
      <c r="CG265" s="523"/>
      <c r="CH265" s="523"/>
      <c r="CI265" s="523">
        <f t="shared" si="50"/>
        <v>0</v>
      </c>
    </row>
    <row r="266" spans="1:87" x14ac:dyDescent="0.2">
      <c r="A266" s="125" t="s">
        <v>1771</v>
      </c>
      <c r="B266" s="126" t="s">
        <v>2007</v>
      </c>
      <c r="C266" s="126" t="s">
        <v>1769</v>
      </c>
      <c r="D266" s="127" t="s">
        <v>1772</v>
      </c>
      <c r="E266" s="128" t="s">
        <v>102</v>
      </c>
      <c r="F266" s="137">
        <v>153.37</v>
      </c>
      <c r="G266" s="130">
        <v>24.49</v>
      </c>
      <c r="H266" s="128">
        <v>7</v>
      </c>
      <c r="I266" s="116">
        <f t="shared" si="51"/>
        <v>0</v>
      </c>
      <c r="J266" s="374">
        <f t="shared" si="52"/>
        <v>0</v>
      </c>
      <c r="K266" s="137">
        <f t="shared" si="58"/>
        <v>7</v>
      </c>
      <c r="L266" s="131">
        <f t="shared" si="59"/>
        <v>171.43</v>
      </c>
      <c r="M266" s="131">
        <f t="shared" si="59"/>
        <v>0</v>
      </c>
      <c r="N266" s="131">
        <f t="shared" si="59"/>
        <v>0</v>
      </c>
      <c r="O266" s="131">
        <f t="shared" si="59"/>
        <v>171.43</v>
      </c>
      <c r="P266" s="136">
        <f t="shared" si="49"/>
        <v>0</v>
      </c>
      <c r="Q266" s="525"/>
      <c r="S266" s="189">
        <v>0</v>
      </c>
      <c r="T266" s="189">
        <v>0</v>
      </c>
      <c r="BT266" s="525"/>
      <c r="BU266" s="523">
        <v>0</v>
      </c>
      <c r="BV266" s="523">
        <v>0</v>
      </c>
      <c r="BW266" s="523">
        <v>0</v>
      </c>
      <c r="BX266" s="523"/>
      <c r="BY266" s="523"/>
      <c r="BZ266" s="523"/>
      <c r="CA266" s="523"/>
      <c r="CB266" s="523"/>
      <c r="CC266" s="523"/>
      <c r="CD266" s="523"/>
      <c r="CE266" s="523"/>
      <c r="CF266" s="523"/>
      <c r="CG266" s="523"/>
      <c r="CH266" s="523"/>
      <c r="CI266" s="523">
        <f t="shared" si="50"/>
        <v>0</v>
      </c>
    </row>
    <row r="267" spans="1:87" x14ac:dyDescent="0.2">
      <c r="A267" s="125" t="s">
        <v>1773</v>
      </c>
      <c r="B267" s="126">
        <v>72262</v>
      </c>
      <c r="C267" s="126" t="s">
        <v>1324</v>
      </c>
      <c r="D267" s="127" t="s">
        <v>1774</v>
      </c>
      <c r="E267" s="128" t="s">
        <v>102</v>
      </c>
      <c r="F267" s="137">
        <v>62.01</v>
      </c>
      <c r="G267" s="130">
        <v>13.09</v>
      </c>
      <c r="H267" s="128">
        <v>7</v>
      </c>
      <c r="I267" s="116">
        <f t="shared" si="51"/>
        <v>0</v>
      </c>
      <c r="J267" s="374">
        <f t="shared" si="52"/>
        <v>0</v>
      </c>
      <c r="K267" s="137">
        <f t="shared" si="58"/>
        <v>7</v>
      </c>
      <c r="L267" s="131">
        <f t="shared" si="59"/>
        <v>91.63</v>
      </c>
      <c r="M267" s="131">
        <f t="shared" si="59"/>
        <v>0</v>
      </c>
      <c r="N267" s="131">
        <f t="shared" si="59"/>
        <v>0</v>
      </c>
      <c r="O267" s="131">
        <f t="shared" si="59"/>
        <v>91.63</v>
      </c>
      <c r="P267" s="136">
        <f t="shared" si="49"/>
        <v>0</v>
      </c>
      <c r="Q267" s="525"/>
      <c r="S267" s="189">
        <v>0</v>
      </c>
      <c r="T267" s="189">
        <v>0</v>
      </c>
      <c r="BT267" s="525"/>
      <c r="BU267" s="523">
        <v>0</v>
      </c>
      <c r="BV267" s="523">
        <v>0</v>
      </c>
      <c r="BW267" s="523">
        <v>0</v>
      </c>
      <c r="BX267" s="523"/>
      <c r="BY267" s="523"/>
      <c r="BZ267" s="523"/>
      <c r="CA267" s="523"/>
      <c r="CB267" s="523"/>
      <c r="CC267" s="523"/>
      <c r="CD267" s="523"/>
      <c r="CE267" s="523"/>
      <c r="CF267" s="523"/>
      <c r="CG267" s="523"/>
      <c r="CH267" s="523"/>
      <c r="CI267" s="523">
        <f t="shared" si="50"/>
        <v>0</v>
      </c>
    </row>
    <row r="268" spans="1:87" s="514" customFormat="1" x14ac:dyDescent="0.2">
      <c r="A268" s="412">
        <v>19</v>
      </c>
      <c r="B268" s="413"/>
      <c r="C268" s="413"/>
      <c r="D268" s="414" t="s">
        <v>304</v>
      </c>
      <c r="E268" s="415"/>
      <c r="F268" s="415"/>
      <c r="G268" s="415"/>
      <c r="H268" s="415"/>
      <c r="I268" s="415"/>
      <c r="J268" s="415"/>
      <c r="K268" s="415"/>
      <c r="L268" s="416">
        <f>SUM(L269,L275)</f>
        <v>28168.979999999996</v>
      </c>
      <c r="M268" s="416">
        <f>SUM(M269,M275)</f>
        <v>0</v>
      </c>
      <c r="N268" s="416">
        <f>SUM(N269,N275)</f>
        <v>0</v>
      </c>
      <c r="O268" s="416">
        <f>SUM(O269,O275)</f>
        <v>28168.979999999996</v>
      </c>
      <c r="P268" s="423">
        <f t="shared" si="49"/>
        <v>0</v>
      </c>
      <c r="Q268" s="525"/>
      <c r="S268" s="190">
        <v>0</v>
      </c>
      <c r="T268" s="190">
        <v>0</v>
      </c>
      <c r="BT268" s="525"/>
      <c r="BU268" s="523">
        <v>0</v>
      </c>
      <c r="BV268" s="523"/>
      <c r="BW268" s="523"/>
      <c r="BX268" s="523"/>
      <c r="BY268" s="523"/>
      <c r="BZ268" s="523"/>
      <c r="CA268" s="523"/>
      <c r="CB268" s="523"/>
      <c r="CC268" s="523"/>
      <c r="CD268" s="523"/>
      <c r="CE268" s="523"/>
      <c r="CF268" s="523"/>
      <c r="CG268" s="523"/>
      <c r="CH268" s="523"/>
      <c r="CI268" s="523">
        <f t="shared" si="50"/>
        <v>0</v>
      </c>
    </row>
    <row r="269" spans="1:87" x14ac:dyDescent="0.2">
      <c r="A269" s="449" t="s">
        <v>685</v>
      </c>
      <c r="B269" s="450"/>
      <c r="C269" s="450"/>
      <c r="D269" s="451" t="s">
        <v>1775</v>
      </c>
      <c r="E269" s="452"/>
      <c r="F269" s="452"/>
      <c r="G269" s="452"/>
      <c r="H269" s="452"/>
      <c r="I269" s="452"/>
      <c r="J269" s="452"/>
      <c r="K269" s="452"/>
      <c r="L269" s="452">
        <f>SUM(L270:L274)</f>
        <v>6263.99</v>
      </c>
      <c r="M269" s="452">
        <f>SUM(M270:M274)</f>
        <v>0</v>
      </c>
      <c r="N269" s="452">
        <f>SUM(N270:N274)</f>
        <v>0</v>
      </c>
      <c r="O269" s="452">
        <f>SUM(O270:O274)</f>
        <v>6263.99</v>
      </c>
      <c r="P269" s="459">
        <f t="shared" ref="P269:P283" si="60">N269/L269</f>
        <v>0</v>
      </c>
      <c r="Q269" s="525"/>
      <c r="S269" s="189">
        <v>0</v>
      </c>
      <c r="T269" s="189">
        <v>0</v>
      </c>
      <c r="BT269" s="525"/>
      <c r="BU269" s="523">
        <v>0</v>
      </c>
      <c r="BV269" s="523"/>
      <c r="BW269" s="523"/>
      <c r="BX269" s="523"/>
      <c r="BY269" s="523"/>
      <c r="BZ269" s="523"/>
      <c r="CA269" s="523"/>
      <c r="CB269" s="523"/>
      <c r="CC269" s="523"/>
      <c r="CD269" s="523"/>
      <c r="CE269" s="523"/>
      <c r="CF269" s="523"/>
      <c r="CG269" s="523"/>
      <c r="CH269" s="523"/>
      <c r="CI269" s="523">
        <f t="shared" si="50"/>
        <v>0</v>
      </c>
    </row>
    <row r="270" spans="1:87" x14ac:dyDescent="0.2">
      <c r="A270" s="125" t="s">
        <v>1776</v>
      </c>
      <c r="B270" s="126" t="s">
        <v>2007</v>
      </c>
      <c r="C270" s="126" t="s">
        <v>1339</v>
      </c>
      <c r="D270" s="127" t="s">
        <v>1777</v>
      </c>
      <c r="E270" s="128" t="s">
        <v>14</v>
      </c>
      <c r="F270" s="137">
        <v>224.79</v>
      </c>
      <c r="G270" s="130">
        <v>236.77</v>
      </c>
      <c r="H270" s="128">
        <v>2.5</v>
      </c>
      <c r="I270" s="116">
        <f t="shared" si="51"/>
        <v>0</v>
      </c>
      <c r="J270" s="374">
        <f t="shared" si="52"/>
        <v>0</v>
      </c>
      <c r="K270" s="137">
        <f t="shared" si="58"/>
        <v>2.5</v>
      </c>
      <c r="L270" s="131">
        <f t="shared" ref="L270:O274" si="61">ROUND(H270*$G270,2)</f>
        <v>591.92999999999995</v>
      </c>
      <c r="M270" s="131">
        <f t="shared" si="61"/>
        <v>0</v>
      </c>
      <c r="N270" s="131">
        <f t="shared" si="61"/>
        <v>0</v>
      </c>
      <c r="O270" s="131">
        <f t="shared" si="61"/>
        <v>591.92999999999995</v>
      </c>
      <c r="P270" s="136">
        <f t="shared" si="60"/>
        <v>0</v>
      </c>
      <c r="Q270" s="525"/>
      <c r="S270" s="189">
        <v>0</v>
      </c>
      <c r="T270" s="189">
        <v>0</v>
      </c>
      <c r="BT270" s="525"/>
      <c r="BU270" s="523">
        <v>0</v>
      </c>
      <c r="BV270" s="523">
        <v>0</v>
      </c>
      <c r="BW270" s="523">
        <v>0</v>
      </c>
      <c r="BX270" s="523"/>
      <c r="BY270" s="523"/>
      <c r="BZ270" s="523"/>
      <c r="CA270" s="523"/>
      <c r="CB270" s="523"/>
      <c r="CC270" s="523"/>
      <c r="CD270" s="523"/>
      <c r="CE270" s="523"/>
      <c r="CF270" s="523"/>
      <c r="CG270" s="523"/>
      <c r="CH270" s="523"/>
      <c r="CI270" s="523">
        <f t="shared" si="50"/>
        <v>0</v>
      </c>
    </row>
    <row r="271" spans="1:87" x14ac:dyDescent="0.2">
      <c r="A271" s="125" t="s">
        <v>1778</v>
      </c>
      <c r="B271" s="126" t="s">
        <v>2007</v>
      </c>
      <c r="C271" s="126" t="s">
        <v>1339</v>
      </c>
      <c r="D271" s="127" t="s">
        <v>1779</v>
      </c>
      <c r="E271" s="128" t="s">
        <v>102</v>
      </c>
      <c r="F271" s="137">
        <v>170.36</v>
      </c>
      <c r="G271" s="130">
        <v>1103.49</v>
      </c>
      <c r="H271" s="128">
        <v>1</v>
      </c>
      <c r="I271" s="116">
        <f t="shared" si="51"/>
        <v>0</v>
      </c>
      <c r="J271" s="374">
        <f t="shared" si="52"/>
        <v>0</v>
      </c>
      <c r="K271" s="137">
        <f t="shared" si="58"/>
        <v>1</v>
      </c>
      <c r="L271" s="131">
        <f t="shared" si="61"/>
        <v>1103.49</v>
      </c>
      <c r="M271" s="131">
        <f t="shared" si="61"/>
        <v>0</v>
      </c>
      <c r="N271" s="131">
        <f t="shared" si="61"/>
        <v>0</v>
      </c>
      <c r="O271" s="131">
        <f t="shared" si="61"/>
        <v>1103.49</v>
      </c>
      <c r="P271" s="136">
        <f t="shared" si="60"/>
        <v>0</v>
      </c>
      <c r="Q271" s="525"/>
      <c r="S271" s="189">
        <v>0</v>
      </c>
      <c r="T271" s="189">
        <v>0</v>
      </c>
      <c r="BT271" s="525"/>
      <c r="BU271" s="523">
        <v>0</v>
      </c>
      <c r="BV271" s="523">
        <v>0</v>
      </c>
      <c r="BW271" s="523">
        <v>0</v>
      </c>
      <c r="BX271" s="523"/>
      <c r="BY271" s="523"/>
      <c r="BZ271" s="523"/>
      <c r="CA271" s="523"/>
      <c r="CB271" s="523"/>
      <c r="CC271" s="523"/>
      <c r="CD271" s="523"/>
      <c r="CE271" s="523"/>
      <c r="CF271" s="523"/>
      <c r="CG271" s="523"/>
      <c r="CH271" s="523"/>
      <c r="CI271" s="523">
        <f t="shared" ref="CI271:CI284" si="62">SUM(BU271:CH271)</f>
        <v>0</v>
      </c>
    </row>
    <row r="272" spans="1:87" x14ac:dyDescent="0.2">
      <c r="A272" s="125" t="s">
        <v>1780</v>
      </c>
      <c r="B272" s="126" t="s">
        <v>2007</v>
      </c>
      <c r="C272" s="126" t="s">
        <v>1339</v>
      </c>
      <c r="D272" s="127" t="s">
        <v>1781</v>
      </c>
      <c r="E272" s="128" t="s">
        <v>102</v>
      </c>
      <c r="F272" s="137">
        <v>108</v>
      </c>
      <c r="G272" s="130">
        <v>1841.38</v>
      </c>
      <c r="H272" s="128">
        <v>1</v>
      </c>
      <c r="I272" s="116">
        <f t="shared" si="51"/>
        <v>0</v>
      </c>
      <c r="J272" s="374">
        <f t="shared" si="52"/>
        <v>0</v>
      </c>
      <c r="K272" s="137">
        <f t="shared" si="58"/>
        <v>1</v>
      </c>
      <c r="L272" s="131">
        <f t="shared" si="61"/>
        <v>1841.38</v>
      </c>
      <c r="M272" s="131">
        <f t="shared" si="61"/>
        <v>0</v>
      </c>
      <c r="N272" s="131">
        <f t="shared" si="61"/>
        <v>0</v>
      </c>
      <c r="O272" s="131">
        <f t="shared" si="61"/>
        <v>1841.38</v>
      </c>
      <c r="P272" s="136">
        <f t="shared" si="60"/>
        <v>0</v>
      </c>
      <c r="Q272" s="525"/>
      <c r="S272" s="189">
        <v>0</v>
      </c>
      <c r="T272" s="189">
        <v>0</v>
      </c>
      <c r="BT272" s="525"/>
      <c r="BU272" s="523">
        <v>0</v>
      </c>
      <c r="BV272" s="523">
        <v>0</v>
      </c>
      <c r="BW272" s="523">
        <v>0</v>
      </c>
      <c r="BX272" s="523"/>
      <c r="BY272" s="523"/>
      <c r="BZ272" s="523"/>
      <c r="CA272" s="523"/>
      <c r="CB272" s="523"/>
      <c r="CC272" s="523"/>
      <c r="CD272" s="523"/>
      <c r="CE272" s="523"/>
      <c r="CF272" s="523"/>
      <c r="CG272" s="523"/>
      <c r="CH272" s="523"/>
      <c r="CI272" s="523">
        <f t="shared" si="62"/>
        <v>0</v>
      </c>
    </row>
    <row r="273" spans="1:87" x14ac:dyDescent="0.2">
      <c r="A273" s="125" t="s">
        <v>1782</v>
      </c>
      <c r="B273" s="126" t="s">
        <v>2007</v>
      </c>
      <c r="C273" s="126" t="s">
        <v>1339</v>
      </c>
      <c r="D273" s="127" t="s">
        <v>1783</v>
      </c>
      <c r="E273" s="128" t="s">
        <v>102</v>
      </c>
      <c r="F273" s="137">
        <v>1249</v>
      </c>
      <c r="G273" s="130">
        <v>777.91</v>
      </c>
      <c r="H273" s="128">
        <v>1</v>
      </c>
      <c r="I273" s="116">
        <f t="shared" ref="I273:I284" si="63">BU273</f>
        <v>0</v>
      </c>
      <c r="J273" s="374">
        <f t="shared" ref="J273:J284" si="64">CI273</f>
        <v>0</v>
      </c>
      <c r="K273" s="137">
        <f t="shared" si="58"/>
        <v>1</v>
      </c>
      <c r="L273" s="131">
        <f t="shared" si="61"/>
        <v>777.91</v>
      </c>
      <c r="M273" s="131">
        <f t="shared" si="61"/>
        <v>0</v>
      </c>
      <c r="N273" s="131">
        <f t="shared" si="61"/>
        <v>0</v>
      </c>
      <c r="O273" s="131">
        <f t="shared" si="61"/>
        <v>777.91</v>
      </c>
      <c r="P273" s="136">
        <f t="shared" si="60"/>
        <v>0</v>
      </c>
      <c r="Q273" s="525"/>
      <c r="S273" s="189">
        <v>0</v>
      </c>
      <c r="T273" s="189">
        <v>0</v>
      </c>
      <c r="BT273" s="525"/>
      <c r="BU273" s="523">
        <v>0</v>
      </c>
      <c r="BV273" s="523">
        <v>0</v>
      </c>
      <c r="BW273" s="523">
        <v>0</v>
      </c>
      <c r="BX273" s="523"/>
      <c r="BY273" s="523"/>
      <c r="BZ273" s="523"/>
      <c r="CA273" s="523"/>
      <c r="CB273" s="523"/>
      <c r="CC273" s="523"/>
      <c r="CD273" s="523"/>
      <c r="CE273" s="523"/>
      <c r="CF273" s="523"/>
      <c r="CG273" s="523"/>
      <c r="CH273" s="523"/>
      <c r="CI273" s="523">
        <f t="shared" si="62"/>
        <v>0</v>
      </c>
    </row>
    <row r="274" spans="1:87" s="514" customFormat="1" x14ac:dyDescent="0.2">
      <c r="A274" s="125" t="s">
        <v>1784</v>
      </c>
      <c r="B274" s="126">
        <v>84862</v>
      </c>
      <c r="C274" s="126" t="s">
        <v>1324</v>
      </c>
      <c r="D274" s="127" t="s">
        <v>1785</v>
      </c>
      <c r="E274" s="128" t="s">
        <v>81</v>
      </c>
      <c r="F274" s="137">
        <v>74.2</v>
      </c>
      <c r="G274" s="130">
        <v>203.05</v>
      </c>
      <c r="H274" s="128">
        <v>9.6</v>
      </c>
      <c r="I274" s="116">
        <f t="shared" si="63"/>
        <v>0</v>
      </c>
      <c r="J274" s="374">
        <f t="shared" si="64"/>
        <v>0</v>
      </c>
      <c r="K274" s="137">
        <f t="shared" si="58"/>
        <v>9.6</v>
      </c>
      <c r="L274" s="131">
        <f t="shared" si="61"/>
        <v>1949.28</v>
      </c>
      <c r="M274" s="131">
        <f t="shared" si="61"/>
        <v>0</v>
      </c>
      <c r="N274" s="131">
        <f t="shared" si="61"/>
        <v>0</v>
      </c>
      <c r="O274" s="131">
        <f t="shared" si="61"/>
        <v>1949.28</v>
      </c>
      <c r="P274" s="136">
        <f t="shared" si="60"/>
        <v>0</v>
      </c>
      <c r="Q274" s="525"/>
      <c r="S274" s="190">
        <v>0</v>
      </c>
      <c r="T274" s="190">
        <v>0</v>
      </c>
      <c r="BT274" s="525"/>
      <c r="BU274" s="523">
        <v>0</v>
      </c>
      <c r="BV274" s="523">
        <v>0</v>
      </c>
      <c r="BW274" s="523">
        <v>0</v>
      </c>
      <c r="BX274" s="523"/>
      <c r="BY274" s="523"/>
      <c r="BZ274" s="523"/>
      <c r="CA274" s="523"/>
      <c r="CB274" s="523"/>
      <c r="CC274" s="523"/>
      <c r="CD274" s="523"/>
      <c r="CE274" s="523"/>
      <c r="CF274" s="523"/>
      <c r="CG274" s="523"/>
      <c r="CH274" s="523"/>
      <c r="CI274" s="523">
        <f t="shared" si="62"/>
        <v>0</v>
      </c>
    </row>
    <row r="275" spans="1:87" x14ac:dyDescent="0.2">
      <c r="A275" s="449" t="s">
        <v>691</v>
      </c>
      <c r="B275" s="450"/>
      <c r="C275" s="450"/>
      <c r="D275" s="451" t="s">
        <v>1786</v>
      </c>
      <c r="E275" s="452"/>
      <c r="F275" s="452"/>
      <c r="G275" s="452"/>
      <c r="H275" s="452"/>
      <c r="I275" s="452"/>
      <c r="J275" s="452"/>
      <c r="K275" s="452"/>
      <c r="L275" s="452">
        <f>SUM(L276:L277)</f>
        <v>21904.989999999998</v>
      </c>
      <c r="M275" s="452">
        <f>SUM(M276:M277)</f>
        <v>0</v>
      </c>
      <c r="N275" s="452">
        <f>SUM(N276:N277)</f>
        <v>0</v>
      </c>
      <c r="O275" s="452">
        <f>SUM(O276:O277)</f>
        <v>21904.989999999998</v>
      </c>
      <c r="P275" s="459">
        <f t="shared" si="60"/>
        <v>0</v>
      </c>
      <c r="Q275" s="525"/>
      <c r="S275" s="189">
        <v>0</v>
      </c>
      <c r="T275" s="189">
        <v>0</v>
      </c>
      <c r="BT275" s="525"/>
      <c r="BU275" s="523">
        <v>0</v>
      </c>
      <c r="BV275" s="523"/>
      <c r="BW275" s="523"/>
      <c r="BX275" s="523"/>
      <c r="BY275" s="523"/>
      <c r="BZ275" s="523"/>
      <c r="CA275" s="523"/>
      <c r="CB275" s="523"/>
      <c r="CC275" s="523"/>
      <c r="CD275" s="523"/>
      <c r="CE275" s="523"/>
      <c r="CF275" s="523"/>
      <c r="CG275" s="523"/>
      <c r="CH275" s="523"/>
      <c r="CI275" s="523">
        <f t="shared" si="62"/>
        <v>0</v>
      </c>
    </row>
    <row r="276" spans="1:87" ht="25.5" x14ac:dyDescent="0.2">
      <c r="A276" s="125" t="s">
        <v>1787</v>
      </c>
      <c r="B276" s="126" t="s">
        <v>1788</v>
      </c>
      <c r="C276" s="126" t="s">
        <v>1324</v>
      </c>
      <c r="D276" s="127" t="s">
        <v>1789</v>
      </c>
      <c r="E276" s="128" t="s">
        <v>14</v>
      </c>
      <c r="F276" s="137">
        <v>62.36</v>
      </c>
      <c r="G276" s="130">
        <v>103.67</v>
      </c>
      <c r="H276" s="128">
        <v>201</v>
      </c>
      <c r="I276" s="116">
        <f t="shared" si="63"/>
        <v>0</v>
      </c>
      <c r="J276" s="374">
        <f t="shared" si="64"/>
        <v>0</v>
      </c>
      <c r="K276" s="137">
        <f t="shared" si="58"/>
        <v>201</v>
      </c>
      <c r="L276" s="131">
        <f t="shared" ref="L276:O277" si="65">ROUND(H276*$G276,2)</f>
        <v>20837.669999999998</v>
      </c>
      <c r="M276" s="131">
        <f t="shared" si="65"/>
        <v>0</v>
      </c>
      <c r="N276" s="131">
        <f t="shared" si="65"/>
        <v>0</v>
      </c>
      <c r="O276" s="131">
        <f t="shared" si="65"/>
        <v>20837.669999999998</v>
      </c>
      <c r="P276" s="136">
        <f t="shared" si="60"/>
        <v>0</v>
      </c>
      <c r="Q276" s="525"/>
      <c r="S276" s="189">
        <v>0</v>
      </c>
      <c r="T276" s="189">
        <v>0</v>
      </c>
      <c r="BT276" s="525"/>
      <c r="BU276" s="523">
        <v>0</v>
      </c>
      <c r="BV276" s="523">
        <v>0</v>
      </c>
      <c r="BW276" s="523">
        <v>0</v>
      </c>
      <c r="BX276" s="523"/>
      <c r="BY276" s="523"/>
      <c r="BZ276" s="523"/>
      <c r="CA276" s="523"/>
      <c r="CB276" s="523"/>
      <c r="CC276" s="523"/>
      <c r="CD276" s="523"/>
      <c r="CE276" s="523"/>
      <c r="CF276" s="523"/>
      <c r="CG276" s="523"/>
      <c r="CH276" s="523"/>
      <c r="CI276" s="523">
        <f t="shared" si="62"/>
        <v>0</v>
      </c>
    </row>
    <row r="277" spans="1:87" s="514" customFormat="1" x14ac:dyDescent="0.2">
      <c r="A277" s="125" t="s">
        <v>1790</v>
      </c>
      <c r="B277" s="126" t="s">
        <v>2007</v>
      </c>
      <c r="C277" s="126" t="s">
        <v>1339</v>
      </c>
      <c r="D277" s="127" t="s">
        <v>1791</v>
      </c>
      <c r="E277" s="128" t="s">
        <v>102</v>
      </c>
      <c r="F277" s="137">
        <v>100.46</v>
      </c>
      <c r="G277" s="130">
        <v>266.83</v>
      </c>
      <c r="H277" s="128">
        <v>4</v>
      </c>
      <c r="I277" s="116">
        <f t="shared" si="63"/>
        <v>0</v>
      </c>
      <c r="J277" s="374">
        <f t="shared" si="64"/>
        <v>0</v>
      </c>
      <c r="K277" s="137">
        <f t="shared" si="58"/>
        <v>4</v>
      </c>
      <c r="L277" s="131">
        <f t="shared" si="65"/>
        <v>1067.32</v>
      </c>
      <c r="M277" s="131">
        <f t="shared" si="65"/>
        <v>0</v>
      </c>
      <c r="N277" s="131">
        <f t="shared" si="65"/>
        <v>0</v>
      </c>
      <c r="O277" s="131">
        <f t="shared" si="65"/>
        <v>1067.32</v>
      </c>
      <c r="P277" s="136">
        <f t="shared" si="60"/>
        <v>0</v>
      </c>
      <c r="Q277" s="525"/>
      <c r="S277" s="190">
        <v>0</v>
      </c>
      <c r="T277" s="190">
        <v>0</v>
      </c>
      <c r="BT277" s="525"/>
      <c r="BU277" s="523">
        <v>0</v>
      </c>
      <c r="BV277" s="523">
        <v>0</v>
      </c>
      <c r="BW277" s="523">
        <v>0</v>
      </c>
      <c r="BX277" s="523"/>
      <c r="BY277" s="523"/>
      <c r="BZ277" s="523"/>
      <c r="CA277" s="523"/>
      <c r="CB277" s="523"/>
      <c r="CC277" s="523"/>
      <c r="CD277" s="523"/>
      <c r="CE277" s="523"/>
      <c r="CF277" s="523"/>
      <c r="CG277" s="523"/>
      <c r="CH277" s="523"/>
      <c r="CI277" s="523">
        <f t="shared" si="62"/>
        <v>0</v>
      </c>
    </row>
    <row r="278" spans="1:87" x14ac:dyDescent="0.2">
      <c r="A278" s="412">
        <v>20</v>
      </c>
      <c r="B278" s="413"/>
      <c r="C278" s="413"/>
      <c r="D278" s="414" t="s">
        <v>1232</v>
      </c>
      <c r="E278" s="415"/>
      <c r="F278" s="415"/>
      <c r="G278" s="415"/>
      <c r="H278" s="415"/>
      <c r="I278" s="415"/>
      <c r="J278" s="415"/>
      <c r="K278" s="415"/>
      <c r="L278" s="416">
        <f>SUM(L279:L283)</f>
        <v>4777.13</v>
      </c>
      <c r="M278" s="416">
        <f>SUM(M279:M283)</f>
        <v>0</v>
      </c>
      <c r="N278" s="416">
        <f>SUM(N279:N283)</f>
        <v>0</v>
      </c>
      <c r="O278" s="416">
        <f>SUM(O279:O283)</f>
        <v>4777.13</v>
      </c>
      <c r="P278" s="423">
        <f t="shared" si="60"/>
        <v>0</v>
      </c>
      <c r="Q278" s="525"/>
      <c r="S278" s="189">
        <v>0</v>
      </c>
      <c r="T278" s="189">
        <v>0</v>
      </c>
      <c r="BT278" s="525"/>
      <c r="BU278" s="523">
        <v>0</v>
      </c>
      <c r="BV278" s="523"/>
      <c r="BW278" s="523"/>
      <c r="BX278" s="523"/>
      <c r="BY278" s="523"/>
      <c r="BZ278" s="523"/>
      <c r="CA278" s="523"/>
      <c r="CB278" s="523"/>
      <c r="CC278" s="523"/>
      <c r="CD278" s="523"/>
      <c r="CE278" s="523"/>
      <c r="CF278" s="523"/>
      <c r="CG278" s="523"/>
      <c r="CH278" s="523"/>
      <c r="CI278" s="523">
        <f t="shared" si="62"/>
        <v>0</v>
      </c>
    </row>
    <row r="279" spans="1:87" x14ac:dyDescent="0.2">
      <c r="A279" s="125" t="s">
        <v>719</v>
      </c>
      <c r="B279" s="126" t="s">
        <v>1792</v>
      </c>
      <c r="C279" s="126" t="s">
        <v>1324</v>
      </c>
      <c r="D279" s="127" t="s">
        <v>1793</v>
      </c>
      <c r="E279" s="128" t="s">
        <v>14</v>
      </c>
      <c r="F279" s="137">
        <v>37.18</v>
      </c>
      <c r="G279" s="130">
        <v>4.97</v>
      </c>
      <c r="H279" s="128">
        <v>296.01</v>
      </c>
      <c r="I279" s="116">
        <f t="shared" si="63"/>
        <v>0</v>
      </c>
      <c r="J279" s="374">
        <f t="shared" si="64"/>
        <v>0</v>
      </c>
      <c r="K279" s="137">
        <f t="shared" si="58"/>
        <v>296.01</v>
      </c>
      <c r="L279" s="131">
        <f t="shared" ref="L279:O283" si="66">ROUND(H279*$G279,2)</f>
        <v>1471.17</v>
      </c>
      <c r="M279" s="131">
        <f t="shared" si="66"/>
        <v>0</v>
      </c>
      <c r="N279" s="131">
        <f t="shared" si="66"/>
        <v>0</v>
      </c>
      <c r="O279" s="131">
        <f t="shared" si="66"/>
        <v>1471.17</v>
      </c>
      <c r="P279" s="136">
        <f t="shared" si="60"/>
        <v>0</v>
      </c>
      <c r="Q279" s="525"/>
      <c r="S279" s="189">
        <v>0</v>
      </c>
      <c r="T279" s="189">
        <v>0</v>
      </c>
      <c r="BT279" s="525"/>
      <c r="BU279" s="523">
        <v>0</v>
      </c>
      <c r="BV279" s="523">
        <v>0</v>
      </c>
      <c r="BW279" s="523">
        <v>0</v>
      </c>
      <c r="BX279" s="523"/>
      <c r="BY279" s="523"/>
      <c r="BZ279" s="523"/>
      <c r="CA279" s="523"/>
      <c r="CB279" s="523"/>
      <c r="CC279" s="523"/>
      <c r="CD279" s="523"/>
      <c r="CE279" s="523"/>
      <c r="CF279" s="523"/>
      <c r="CG279" s="523"/>
      <c r="CH279" s="523"/>
      <c r="CI279" s="523">
        <f t="shared" si="62"/>
        <v>0</v>
      </c>
    </row>
    <row r="280" spans="1:87" x14ac:dyDescent="0.2">
      <c r="A280" s="125" t="s">
        <v>726</v>
      </c>
      <c r="B280" s="126" t="s">
        <v>1794</v>
      </c>
      <c r="C280" s="126" t="s">
        <v>1324</v>
      </c>
      <c r="D280" s="127" t="s">
        <v>1795</v>
      </c>
      <c r="E280" s="128" t="s">
        <v>14</v>
      </c>
      <c r="F280" s="137">
        <v>14.42</v>
      </c>
      <c r="G280" s="130">
        <v>9.57</v>
      </c>
      <c r="H280" s="128">
        <v>21.9</v>
      </c>
      <c r="I280" s="116">
        <f t="shared" si="63"/>
        <v>0</v>
      </c>
      <c r="J280" s="374">
        <f t="shared" si="64"/>
        <v>0</v>
      </c>
      <c r="K280" s="137">
        <f t="shared" si="58"/>
        <v>21.9</v>
      </c>
      <c r="L280" s="131">
        <f t="shared" si="66"/>
        <v>209.58</v>
      </c>
      <c r="M280" s="131">
        <f t="shared" si="66"/>
        <v>0</v>
      </c>
      <c r="N280" s="131">
        <f t="shared" si="66"/>
        <v>0</v>
      </c>
      <c r="O280" s="131">
        <f t="shared" si="66"/>
        <v>209.58</v>
      </c>
      <c r="P280" s="136">
        <f t="shared" si="60"/>
        <v>0</v>
      </c>
      <c r="Q280" s="525"/>
      <c r="S280" s="189">
        <v>0</v>
      </c>
      <c r="T280" s="189">
        <v>0</v>
      </c>
      <c r="BT280" s="525"/>
      <c r="BU280" s="523">
        <v>0</v>
      </c>
      <c r="BV280" s="523">
        <v>0</v>
      </c>
      <c r="BW280" s="523">
        <v>0</v>
      </c>
      <c r="BX280" s="523"/>
      <c r="BY280" s="523"/>
      <c r="BZ280" s="523"/>
      <c r="CA280" s="523"/>
      <c r="CB280" s="523"/>
      <c r="CC280" s="523"/>
      <c r="CD280" s="523"/>
      <c r="CE280" s="523"/>
      <c r="CF280" s="523"/>
      <c r="CG280" s="523"/>
      <c r="CH280" s="523"/>
      <c r="CI280" s="523">
        <f t="shared" si="62"/>
        <v>0</v>
      </c>
    </row>
    <row r="281" spans="1:87" x14ac:dyDescent="0.2">
      <c r="A281" s="125" t="s">
        <v>730</v>
      </c>
      <c r="B281" s="126" t="s">
        <v>1796</v>
      </c>
      <c r="C281" s="126" t="s">
        <v>1324</v>
      </c>
      <c r="D281" s="127" t="s">
        <v>1797</v>
      </c>
      <c r="E281" s="128" t="s">
        <v>14</v>
      </c>
      <c r="F281" s="137">
        <v>22.57</v>
      </c>
      <c r="G281" s="130">
        <v>11.45</v>
      </c>
      <c r="H281" s="128">
        <v>64.91</v>
      </c>
      <c r="I281" s="116">
        <f t="shared" si="63"/>
        <v>0</v>
      </c>
      <c r="J281" s="374">
        <f t="shared" si="64"/>
        <v>0</v>
      </c>
      <c r="K281" s="137">
        <f t="shared" si="58"/>
        <v>64.91</v>
      </c>
      <c r="L281" s="131">
        <f t="shared" si="66"/>
        <v>743.22</v>
      </c>
      <c r="M281" s="131">
        <f t="shared" si="66"/>
        <v>0</v>
      </c>
      <c r="N281" s="131">
        <f t="shared" si="66"/>
        <v>0</v>
      </c>
      <c r="O281" s="131">
        <f t="shared" si="66"/>
        <v>743.22</v>
      </c>
      <c r="P281" s="136">
        <f t="shared" si="60"/>
        <v>0</v>
      </c>
      <c r="Q281" s="525"/>
      <c r="S281" s="189">
        <v>0</v>
      </c>
      <c r="T281" s="189">
        <v>0</v>
      </c>
      <c r="BT281" s="525"/>
      <c r="BU281" s="523">
        <v>0</v>
      </c>
      <c r="BV281" s="523">
        <v>0</v>
      </c>
      <c r="BW281" s="523">
        <v>0</v>
      </c>
      <c r="BX281" s="523"/>
      <c r="BY281" s="523"/>
      <c r="BZ281" s="523"/>
      <c r="CA281" s="523"/>
      <c r="CB281" s="523"/>
      <c r="CC281" s="523"/>
      <c r="CD281" s="523"/>
      <c r="CE281" s="523"/>
      <c r="CF281" s="523"/>
      <c r="CG281" s="523"/>
      <c r="CH281" s="523"/>
      <c r="CI281" s="523">
        <f t="shared" si="62"/>
        <v>0</v>
      </c>
    </row>
    <row r="282" spans="1:87" x14ac:dyDescent="0.2">
      <c r="A282" s="125" t="s">
        <v>739</v>
      </c>
      <c r="B282" s="126" t="s">
        <v>1798</v>
      </c>
      <c r="C282" s="126" t="s">
        <v>1324</v>
      </c>
      <c r="D282" s="127" t="s">
        <v>1799</v>
      </c>
      <c r="E282" s="128" t="s">
        <v>14</v>
      </c>
      <c r="F282" s="137">
        <v>26.75</v>
      </c>
      <c r="G282" s="130">
        <v>1.53</v>
      </c>
      <c r="H282" s="128">
        <v>676.67</v>
      </c>
      <c r="I282" s="116">
        <f t="shared" si="63"/>
        <v>0</v>
      </c>
      <c r="J282" s="374">
        <f t="shared" si="64"/>
        <v>0</v>
      </c>
      <c r="K282" s="137">
        <f t="shared" si="58"/>
        <v>676.67</v>
      </c>
      <c r="L282" s="131">
        <f t="shared" si="66"/>
        <v>1035.31</v>
      </c>
      <c r="M282" s="131">
        <f t="shared" si="66"/>
        <v>0</v>
      </c>
      <c r="N282" s="131">
        <f t="shared" si="66"/>
        <v>0</v>
      </c>
      <c r="O282" s="131">
        <f t="shared" si="66"/>
        <v>1035.31</v>
      </c>
      <c r="P282" s="136">
        <f t="shared" si="60"/>
        <v>0</v>
      </c>
      <c r="Q282" s="525"/>
      <c r="S282" s="189">
        <v>0</v>
      </c>
      <c r="T282" s="189">
        <v>0</v>
      </c>
      <c r="BT282" s="525"/>
      <c r="BU282" s="523">
        <v>0</v>
      </c>
      <c r="BV282" s="523">
        <v>0</v>
      </c>
      <c r="BW282" s="523">
        <v>0</v>
      </c>
      <c r="BX282" s="523"/>
      <c r="BY282" s="523"/>
      <c r="BZ282" s="523"/>
      <c r="CA282" s="523"/>
      <c r="CB282" s="523"/>
      <c r="CC282" s="523"/>
      <c r="CD282" s="523"/>
      <c r="CE282" s="523"/>
      <c r="CF282" s="523"/>
      <c r="CG282" s="523"/>
      <c r="CH282" s="523"/>
      <c r="CI282" s="523">
        <f t="shared" si="62"/>
        <v>0</v>
      </c>
    </row>
    <row r="283" spans="1:87" x14ac:dyDescent="0.2">
      <c r="A283" s="125" t="s">
        <v>743</v>
      </c>
      <c r="B283" s="126">
        <v>84122</v>
      </c>
      <c r="C283" s="126" t="s">
        <v>1324</v>
      </c>
      <c r="D283" s="127" t="s">
        <v>1800</v>
      </c>
      <c r="E283" s="128" t="s">
        <v>102</v>
      </c>
      <c r="F283" s="137">
        <v>61.1</v>
      </c>
      <c r="G283" s="130">
        <v>1317.85</v>
      </c>
      <c r="H283" s="128">
        <v>1</v>
      </c>
      <c r="I283" s="116">
        <f t="shared" si="63"/>
        <v>0</v>
      </c>
      <c r="J283" s="374">
        <f t="shared" si="64"/>
        <v>0</v>
      </c>
      <c r="K283" s="137">
        <f t="shared" si="58"/>
        <v>1</v>
      </c>
      <c r="L283" s="131">
        <f t="shared" si="66"/>
        <v>1317.85</v>
      </c>
      <c r="M283" s="131">
        <f t="shared" si="66"/>
        <v>0</v>
      </c>
      <c r="N283" s="131">
        <f t="shared" si="66"/>
        <v>0</v>
      </c>
      <c r="O283" s="131">
        <f t="shared" si="66"/>
        <v>1317.85</v>
      </c>
      <c r="P283" s="136">
        <f t="shared" si="60"/>
        <v>0</v>
      </c>
      <c r="Q283" s="525"/>
      <c r="S283" s="189">
        <v>0</v>
      </c>
      <c r="T283" s="189">
        <v>0</v>
      </c>
      <c r="AE283" s="393"/>
      <c r="BT283" s="525"/>
      <c r="BU283" s="523">
        <v>0</v>
      </c>
      <c r="BV283" s="523">
        <v>0</v>
      </c>
      <c r="BW283" s="523">
        <v>0</v>
      </c>
      <c r="BX283" s="523"/>
      <c r="BY283" s="523"/>
      <c r="BZ283" s="523"/>
      <c r="CA283" s="523"/>
      <c r="CB283" s="523"/>
      <c r="CC283" s="523"/>
      <c r="CD283" s="523"/>
      <c r="CE283" s="523"/>
      <c r="CF283" s="523"/>
      <c r="CG283" s="523"/>
      <c r="CH283" s="523"/>
      <c r="CI283" s="523">
        <f t="shared" si="62"/>
        <v>0</v>
      </c>
    </row>
    <row r="284" spans="1:87" s="67" customFormat="1" ht="13.5" thickBot="1" x14ac:dyDescent="0.25">
      <c r="A284" s="438"/>
      <c r="B284" s="439"/>
      <c r="C284" s="440"/>
      <c r="D284" s="440"/>
      <c r="E284" s="440"/>
      <c r="F284" s="440"/>
      <c r="G284" s="442" t="s">
        <v>1281</v>
      </c>
      <c r="H284" s="441"/>
      <c r="I284" s="444">
        <f t="shared" si="63"/>
        <v>0</v>
      </c>
      <c r="J284" s="445">
        <f t="shared" si="64"/>
        <v>0</v>
      </c>
      <c r="K284" s="440">
        <f t="shared" si="58"/>
        <v>0</v>
      </c>
      <c r="L284" s="443">
        <f>L14+L26+L32+L45+L69+L77+L92+L95+L98+L109+L120+L129+L168+L190+L194+L208+L214+L259+L268+L278</f>
        <v>664297.16</v>
      </c>
      <c r="M284" s="446">
        <f>SUM(M278,M268,M259,M214,M208,M194,M190,M168,M129,M120,M109,M98,M95,M92,M77,M69,M45,M32,M26,M14)</f>
        <v>39414.629999999997</v>
      </c>
      <c r="N284" s="446">
        <f>SUM(N278,N268,N259,N214,N208,N194,N190,N168,N129,N120,N109,N98,N95,N92,N77,N69,N45,N32,N26,N14)</f>
        <v>147328.87</v>
      </c>
      <c r="O284" s="446">
        <f>SUM(O278,O268,O259,O214,O208,O194,O190,O168,O129,O120,O109,O98,O95,O92,O77,O69,O45,O32,O26,O14)</f>
        <v>516968.27999999991</v>
      </c>
      <c r="P284" s="448">
        <f>N284/O284</f>
        <v>0.28498628581235202</v>
      </c>
      <c r="Q284" s="525"/>
      <c r="S284" s="193"/>
      <c r="T284" s="193"/>
      <c r="BT284" s="525"/>
      <c r="BU284" s="523">
        <v>0</v>
      </c>
      <c r="BV284" s="523"/>
      <c r="BW284" s="523"/>
      <c r="BX284" s="523"/>
      <c r="BY284" s="523"/>
      <c r="BZ284" s="523"/>
      <c r="CA284" s="523"/>
      <c r="CB284" s="523"/>
      <c r="CC284" s="523"/>
      <c r="CD284" s="523"/>
      <c r="CE284" s="523"/>
      <c r="CF284" s="523"/>
      <c r="CG284" s="523"/>
      <c r="CH284" s="523"/>
      <c r="CI284" s="523">
        <f t="shared" si="62"/>
        <v>0</v>
      </c>
    </row>
    <row r="285" spans="1:87" x14ac:dyDescent="0.2">
      <c r="A285" s="69"/>
      <c r="B285" s="69"/>
      <c r="C285" s="59"/>
      <c r="D285" s="111"/>
      <c r="E285" s="59"/>
      <c r="F285" s="59"/>
      <c r="G285" s="82"/>
      <c r="H285" s="68"/>
      <c r="I285" s="70"/>
      <c r="J285" s="70"/>
      <c r="K285" s="59"/>
      <c r="L285" s="77"/>
      <c r="M285" s="77"/>
      <c r="N285" s="77"/>
      <c r="O285" s="373"/>
      <c r="P285" s="61"/>
      <c r="BU285" s="66">
        <v>0</v>
      </c>
    </row>
    <row r="286" spans="1:87" x14ac:dyDescent="0.2">
      <c r="P286" s="72"/>
    </row>
    <row r="287" spans="1:87" x14ac:dyDescent="0.2">
      <c r="B287" s="71"/>
      <c r="C287" s="66"/>
      <c r="P287" s="72"/>
    </row>
    <row r="288" spans="1:87" x14ac:dyDescent="0.2">
      <c r="B288" s="71"/>
      <c r="C288" s="66"/>
    </row>
    <row r="289" spans="1:15" x14ac:dyDescent="0.2">
      <c r="A289" s="66" t="s">
        <v>1802</v>
      </c>
      <c r="B289" s="71"/>
      <c r="C289" s="66"/>
      <c r="E289" s="66" t="s">
        <v>1297</v>
      </c>
      <c r="J289" s="892" t="s">
        <v>1307</v>
      </c>
      <c r="K289" s="892"/>
      <c r="L289" s="892"/>
      <c r="M289" s="78" t="s">
        <v>1308</v>
      </c>
    </row>
    <row r="290" spans="1:15" x14ac:dyDescent="0.2">
      <c r="A290" s="66" t="s">
        <v>1803</v>
      </c>
      <c r="B290" s="71"/>
      <c r="C290" s="66"/>
      <c r="E290" s="66" t="s">
        <v>1298</v>
      </c>
      <c r="J290" s="892" t="s">
        <v>1305</v>
      </c>
      <c r="K290" s="892"/>
      <c r="L290" s="892"/>
      <c r="M290" s="892" t="s">
        <v>2022</v>
      </c>
      <c r="N290" s="892"/>
      <c r="O290" s="892"/>
    </row>
    <row r="291" spans="1:15" x14ac:dyDescent="0.2">
      <c r="A291" s="66" t="s">
        <v>1804</v>
      </c>
      <c r="B291" s="71"/>
      <c r="C291" s="66"/>
      <c r="E291" s="66" t="s">
        <v>1300</v>
      </c>
      <c r="J291" s="892" t="s">
        <v>1306</v>
      </c>
      <c r="K291" s="892"/>
      <c r="L291" s="892"/>
      <c r="M291" s="892"/>
      <c r="N291" s="892"/>
      <c r="O291" s="892"/>
    </row>
    <row r="292" spans="1:15" x14ac:dyDescent="0.2">
      <c r="A292" s="66" t="s">
        <v>1805</v>
      </c>
      <c r="B292" s="71"/>
      <c r="C292" s="66"/>
      <c r="E292" s="66" t="s">
        <v>1315</v>
      </c>
      <c r="J292" s="892" t="s">
        <v>1301</v>
      </c>
      <c r="K292" s="892"/>
      <c r="L292" s="892"/>
      <c r="M292" s="78" t="s">
        <v>1303</v>
      </c>
    </row>
    <row r="293" spans="1:15" x14ac:dyDescent="0.2">
      <c r="M293" s="78" t="s">
        <v>1304</v>
      </c>
    </row>
  </sheetData>
  <mergeCells count="23">
    <mergeCell ref="A1:D5"/>
    <mergeCell ref="E1:P5"/>
    <mergeCell ref="A7:D7"/>
    <mergeCell ref="E7:G7"/>
    <mergeCell ref="A8:D8"/>
    <mergeCell ref="E8:G8"/>
    <mergeCell ref="A9:D9"/>
    <mergeCell ref="N9:O9"/>
    <mergeCell ref="A11:A12"/>
    <mergeCell ref="B11:B12"/>
    <mergeCell ref="C11:C12"/>
    <mergeCell ref="D11:D12"/>
    <mergeCell ref="E11:E12"/>
    <mergeCell ref="F11:F12"/>
    <mergeCell ref="G11:G12"/>
    <mergeCell ref="H11:K11"/>
    <mergeCell ref="J292:L292"/>
    <mergeCell ref="L11:O11"/>
    <mergeCell ref="J289:L289"/>
    <mergeCell ref="J290:L290"/>
    <mergeCell ref="M290:O290"/>
    <mergeCell ref="J291:L291"/>
    <mergeCell ref="M291:O291"/>
  </mergeCells>
  <conditionalFormatting sqref="A14:E14 F46:G46 H89 O95 F51:G51 I51 K132:K151 H226:H246 H216:H224 F225:H225 A89:E89 L95:M95 A16:E16 H14:H16 H27:H31 A27:E31 A26:D26 A33:E44 A32:D32 H34:H44 H46:H56 A46:E56 A45:D45 A71:E71 H71 H79:H82 A79:E82 A93:E94 A92:D92 H93:H94 H96:H97 A96:E97 A95:D95 A99:E108 A98:D98 H99:H108 H111:H115 A111:E115 A121:E128 A120:D120 H121:H128 H131:H151 A131:E151 A169:E180 A168:D168 H170:H180 K170:K180 A191:E193 A190:D190 H191:I193 A195:E207 A194:D194 H195:I207 A209:E213 A208:D208 H209:I213 I216:I246 A215:E258 A214:D214 A260:E267 A259:D259 H260:I267 H270:I274 A269:E277 A268:D268 A279:E283 A278:D278 I279:I283 H279:H285 A58:E61 A57:D57 H58:H61 H63:H66 A63:E66 A62:D62 A68:E68 A67:D67 H68 A69:D70 H73:H74 A73:E74 A72:D72 A76:E76 A75:D75 H76 A77:D78 A84:E86 A83:D83 H84:H86 A87:D87 A91:E91 A90:D90 H91 A109:D110 A117:E119 A116:D116 H117:H119 A129:D130 A153:E167 A152:D152 H153:H167 K153:K167 H182:I189 A182:E189 A181:D181 H22:H25 A22:E25 L45:O45 L51:O51 L57:O57 L62:O62 L67:O67 L70:O70 L72:O72 L75:O75 L77:O78 L83:O83 L92:O92 L98:O98 L109:O110 L116:O116 L120:O120 L129:O130 L152:O152 L181:O181 L190:O190 L194:O194 L208:O208 K225:O225 L214:O215 L259:O259 L268:O269 L278:O278 H248:I251 F247:O247 H276:I277 F275:O275 F269:K269 H253:I258 F252:O252 F215:K215 F169:K169 I46 L168:O169">
    <cfRule type="expression" dxfId="577" priority="81">
      <formula>$D14&lt;&gt;0</formula>
    </cfRule>
    <cfRule type="expression" dxfId="576" priority="82">
      <formula>$O14=1</formula>
    </cfRule>
  </conditionalFormatting>
  <conditionalFormatting sqref="G14 G39 L39:O39 G33:K33">
    <cfRule type="expression" dxfId="575" priority="83">
      <formula>$D14&lt;&gt;0</formula>
    </cfRule>
    <cfRule type="expression" dxfId="574" priority="84">
      <formula>$O14=1</formula>
    </cfRule>
  </conditionalFormatting>
  <conditionalFormatting sqref="E26">
    <cfRule type="expression" dxfId="573" priority="77">
      <formula>$D26&lt;&gt;0</formula>
    </cfRule>
    <cfRule type="expression" dxfId="572" priority="78">
      <formula>$O26=1</formula>
    </cfRule>
  </conditionalFormatting>
  <conditionalFormatting sqref="G26:J26">
    <cfRule type="expression" dxfId="571" priority="79">
      <formula>$D26&lt;&gt;0</formula>
    </cfRule>
    <cfRule type="expression" dxfId="570" priority="80">
      <formula>$O26=1</formula>
    </cfRule>
  </conditionalFormatting>
  <conditionalFormatting sqref="E32">
    <cfRule type="expression" dxfId="569" priority="73">
      <formula>$D32&lt;&gt;0</formula>
    </cfRule>
    <cfRule type="expression" dxfId="568" priority="74">
      <formula>$O32=1</formula>
    </cfRule>
  </conditionalFormatting>
  <conditionalFormatting sqref="G32:K32">
    <cfRule type="expression" dxfId="567" priority="75">
      <formula>$D32&lt;&gt;0</formula>
    </cfRule>
    <cfRule type="expression" dxfId="566" priority="76">
      <formula>$O32=1</formula>
    </cfRule>
  </conditionalFormatting>
  <conditionalFormatting sqref="E45 H45:I45">
    <cfRule type="expression" dxfId="565" priority="69">
      <formula>$D45&lt;&gt;0</formula>
    </cfRule>
    <cfRule type="expression" dxfId="564" priority="70">
      <formula>$O45=1</formula>
    </cfRule>
  </conditionalFormatting>
  <conditionalFormatting sqref="G45">
    <cfRule type="expression" dxfId="563" priority="71">
      <formula>$D45&lt;&gt;0</formula>
    </cfRule>
    <cfRule type="expression" dxfId="562" priority="72">
      <formula>$O45=1</formula>
    </cfRule>
  </conditionalFormatting>
  <conditionalFormatting sqref="E69:K69">
    <cfRule type="expression" dxfId="561" priority="67">
      <formula>$D69&lt;&gt;0</formula>
    </cfRule>
    <cfRule type="expression" dxfId="560" priority="68">
      <formula>$O69=1</formula>
    </cfRule>
  </conditionalFormatting>
  <conditionalFormatting sqref="E77:K77">
    <cfRule type="expression" dxfId="559" priority="65">
      <formula>$D77&lt;&gt;0</formula>
    </cfRule>
    <cfRule type="expression" dxfId="558" priority="66">
      <formula>$O77=1</formula>
    </cfRule>
  </conditionalFormatting>
  <conditionalFormatting sqref="E92:K92">
    <cfRule type="expression" dxfId="557" priority="63">
      <formula>$D92&lt;&gt;0</formula>
    </cfRule>
    <cfRule type="expression" dxfId="556" priority="64">
      <formula>$O92=1</formula>
    </cfRule>
  </conditionalFormatting>
  <conditionalFormatting sqref="E95:K95">
    <cfRule type="expression" dxfId="555" priority="61">
      <formula>$D95&lt;&gt;0</formula>
    </cfRule>
    <cfRule type="expression" dxfId="554" priority="62">
      <formula>$O95=1</formula>
    </cfRule>
  </conditionalFormatting>
  <conditionalFormatting sqref="E98:K98">
    <cfRule type="expression" dxfId="553" priority="59">
      <formula>$D98&lt;&gt;0</formula>
    </cfRule>
    <cfRule type="expression" dxfId="552" priority="60">
      <formula>$O98=1</formula>
    </cfRule>
  </conditionalFormatting>
  <conditionalFormatting sqref="E109:K109">
    <cfRule type="expression" dxfId="551" priority="57">
      <formula>$D109&lt;&gt;0</formula>
    </cfRule>
    <cfRule type="expression" dxfId="550" priority="58">
      <formula>$O109=1</formula>
    </cfRule>
  </conditionalFormatting>
  <conditionalFormatting sqref="E120:K120">
    <cfRule type="expression" dxfId="549" priority="55">
      <formula>$D120&lt;&gt;0</formula>
    </cfRule>
    <cfRule type="expression" dxfId="548" priority="56">
      <formula>$O120=1</formula>
    </cfRule>
  </conditionalFormatting>
  <conditionalFormatting sqref="E129:K129">
    <cfRule type="expression" dxfId="547" priority="53">
      <formula>$D129&lt;&gt;0</formula>
    </cfRule>
    <cfRule type="expression" dxfId="546" priority="54">
      <formula>$O129=1</formula>
    </cfRule>
  </conditionalFormatting>
  <conditionalFormatting sqref="E168:K168">
    <cfRule type="expression" dxfId="545" priority="51">
      <formula>$D168&lt;&gt;0</formula>
    </cfRule>
    <cfRule type="expression" dxfId="544" priority="52">
      <formula>$O168=1</formula>
    </cfRule>
  </conditionalFormatting>
  <conditionalFormatting sqref="E190:K190">
    <cfRule type="expression" dxfId="543" priority="49">
      <formula>$D190&lt;&gt;0</formula>
    </cfRule>
    <cfRule type="expression" dxfId="542" priority="50">
      <formula>$O190=1</formula>
    </cfRule>
  </conditionalFormatting>
  <conditionalFormatting sqref="E194:K194">
    <cfRule type="expression" dxfId="541" priority="47">
      <formula>$D194&lt;&gt;0</formula>
    </cfRule>
    <cfRule type="expression" dxfId="540" priority="48">
      <formula>$O194=1</formula>
    </cfRule>
  </conditionalFormatting>
  <conditionalFormatting sqref="E208:K208">
    <cfRule type="expression" dxfId="539" priority="45">
      <formula>$D208&lt;&gt;0</formula>
    </cfRule>
    <cfRule type="expression" dxfId="538" priority="46">
      <formula>$O208=1</formula>
    </cfRule>
  </conditionalFormatting>
  <conditionalFormatting sqref="E214:K214">
    <cfRule type="expression" dxfId="537" priority="43">
      <formula>$D214&lt;&gt;0</formula>
    </cfRule>
    <cfRule type="expression" dxfId="536" priority="44">
      <formula>$O214=1</formula>
    </cfRule>
  </conditionalFormatting>
  <conditionalFormatting sqref="E259:K259">
    <cfRule type="expression" dxfId="535" priority="41">
      <formula>$D259&lt;&gt;0</formula>
    </cfRule>
    <cfRule type="expression" dxfId="534" priority="42">
      <formula>$O259=1</formula>
    </cfRule>
  </conditionalFormatting>
  <conditionalFormatting sqref="E268:K268">
    <cfRule type="expression" dxfId="533" priority="39">
      <formula>$D268&lt;&gt;0</formula>
    </cfRule>
    <cfRule type="expression" dxfId="532" priority="40">
      <formula>$O268=1</formula>
    </cfRule>
  </conditionalFormatting>
  <conditionalFormatting sqref="E278:K278">
    <cfRule type="expression" dxfId="531" priority="37">
      <formula>$D278&lt;&gt;0</formula>
    </cfRule>
    <cfRule type="expression" dxfId="530" priority="38">
      <formula>$O278=1</formula>
    </cfRule>
  </conditionalFormatting>
  <conditionalFormatting sqref="E57:I57">
    <cfRule type="expression" dxfId="529" priority="35">
      <formula>$D57&lt;&gt;0</formula>
    </cfRule>
    <cfRule type="expression" dxfId="528" priority="36">
      <formula>$O57=1</formula>
    </cfRule>
  </conditionalFormatting>
  <conditionalFormatting sqref="E62:K62">
    <cfRule type="expression" dxfId="527" priority="33">
      <formula>$D62&lt;&gt;0</formula>
    </cfRule>
    <cfRule type="expression" dxfId="526" priority="34">
      <formula>$O62=1</formula>
    </cfRule>
  </conditionalFormatting>
  <conditionalFormatting sqref="E67:K67">
    <cfRule type="expression" dxfId="525" priority="31">
      <formula>$D67&lt;&gt;0</formula>
    </cfRule>
    <cfRule type="expression" dxfId="524" priority="32">
      <formula>$O67=1</formula>
    </cfRule>
  </conditionalFormatting>
  <conditionalFormatting sqref="E70:K70">
    <cfRule type="expression" dxfId="523" priority="29">
      <formula>$D70&lt;&gt;0</formula>
    </cfRule>
    <cfRule type="expression" dxfId="522" priority="30">
      <formula>$O70=1</formula>
    </cfRule>
  </conditionalFormatting>
  <conditionalFormatting sqref="E72:K72">
    <cfRule type="expression" dxfId="521" priority="27">
      <formula>$D72&lt;&gt;0</formula>
    </cfRule>
    <cfRule type="expression" dxfId="520" priority="28">
      <formula>$O72=1</formula>
    </cfRule>
  </conditionalFormatting>
  <conditionalFormatting sqref="E75:K75">
    <cfRule type="expression" dxfId="519" priority="25">
      <formula>$D75&lt;&gt;0</formula>
    </cfRule>
    <cfRule type="expression" dxfId="518" priority="26">
      <formula>$O75=1</formula>
    </cfRule>
  </conditionalFormatting>
  <conditionalFormatting sqref="E78:K78">
    <cfRule type="expression" dxfId="517" priority="23">
      <formula>$D78&lt;&gt;0</formula>
    </cfRule>
    <cfRule type="expression" dxfId="516" priority="24">
      <formula>$O78=1</formula>
    </cfRule>
  </conditionalFormatting>
  <conditionalFormatting sqref="E83:K83">
    <cfRule type="expression" dxfId="515" priority="21">
      <formula>$D83&lt;&gt;0</formula>
    </cfRule>
    <cfRule type="expression" dxfId="514" priority="22">
      <formula>$O83=1</formula>
    </cfRule>
  </conditionalFormatting>
  <conditionalFormatting sqref="E87:K87">
    <cfRule type="expression" dxfId="513" priority="19">
      <formula>$D87&lt;&gt;0</formula>
    </cfRule>
    <cfRule type="expression" dxfId="512" priority="20">
      <formula>$O87=1</formula>
    </cfRule>
  </conditionalFormatting>
  <conditionalFormatting sqref="E90:K90">
    <cfRule type="expression" dxfId="511" priority="17">
      <formula>$D90&lt;&gt;0</formula>
    </cfRule>
    <cfRule type="expression" dxfId="510" priority="18">
      <formula>$O90=1</formula>
    </cfRule>
  </conditionalFormatting>
  <conditionalFormatting sqref="E110:K110">
    <cfRule type="expression" dxfId="509" priority="15">
      <formula>$D110&lt;&gt;0</formula>
    </cfRule>
    <cfRule type="expression" dxfId="508" priority="16">
      <formula>$O110=1</formula>
    </cfRule>
  </conditionalFormatting>
  <conditionalFormatting sqref="E116:K116">
    <cfRule type="expression" dxfId="507" priority="13">
      <formula>$D116&lt;&gt;0</formula>
    </cfRule>
    <cfRule type="expression" dxfId="506" priority="14">
      <formula>$O116=1</formula>
    </cfRule>
  </conditionalFormatting>
  <conditionalFormatting sqref="E130:K130">
    <cfRule type="expression" dxfId="505" priority="11">
      <formula>$D130&lt;&gt;0</formula>
    </cfRule>
    <cfRule type="expression" dxfId="504" priority="12">
      <formula>$O130=1</formula>
    </cfRule>
  </conditionalFormatting>
  <conditionalFormatting sqref="E152:K152">
    <cfRule type="expression" dxfId="503" priority="9">
      <formula>$D152&lt;&gt;0</formula>
    </cfRule>
    <cfRule type="expression" dxfId="502" priority="10">
      <formula>$O152=1</formula>
    </cfRule>
  </conditionalFormatting>
  <conditionalFormatting sqref="E181:K181">
    <cfRule type="expression" dxfId="501" priority="7">
      <formula>$D181&lt;&gt;0</formula>
    </cfRule>
    <cfRule type="expression" dxfId="500" priority="8">
      <formula>$O181=1</formula>
    </cfRule>
  </conditionalFormatting>
  <printOptions horizontalCentered="1"/>
  <pageMargins left="0.31496062992125984" right="0.31496062992125984" top="0.39370078740157483" bottom="1.1417322834645669" header="0.31496062992125984" footer="0.31496062992125984"/>
  <pageSetup paperSize="9" scale="48" fitToHeight="0" orientation="landscape" r:id="rId1"/>
  <headerFooter>
    <oddFooter xml:space="preserve">&amp;LResp.  
CREA:  
ART:
&amp;CResp. Técnico Fiscalização: Nei Frederico
CREA: 101562139-2
ART: 
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CI292"/>
  <sheetViews>
    <sheetView showGridLines="0" view="pageBreakPreview" topLeftCell="E1" zoomScale="70" zoomScaleNormal="70" zoomScaleSheetLayoutView="70" workbookViewId="0">
      <pane ySplit="13" topLeftCell="A14" activePane="bottomLeft" state="frozen"/>
      <selection pane="bottomLeft" activeCell="L9" sqref="L7:M9"/>
    </sheetView>
  </sheetViews>
  <sheetFormatPr defaultColWidth="9.33203125" defaultRowHeight="12.75" x14ac:dyDescent="0.2"/>
  <cols>
    <col min="1" max="1" width="12.5" style="66" customWidth="1"/>
    <col min="2" max="2" width="11.33203125" style="66" customWidth="1"/>
    <col min="3" max="3" width="11.5" style="71" customWidth="1"/>
    <col min="4" max="4" width="84.83203125" style="66" customWidth="1"/>
    <col min="5" max="5" width="11.5" style="66" customWidth="1"/>
    <col min="6" max="6" width="14" style="66" hidden="1" customWidth="1"/>
    <col min="7" max="7" width="21.5" style="75" customWidth="1"/>
    <col min="8" max="8" width="19.6640625" style="66" bestFit="1" customWidth="1"/>
    <col min="9" max="9" width="23.5" style="189" customWidth="1"/>
    <col min="10" max="10" width="22.83203125" style="189" customWidth="1"/>
    <col min="11" max="11" width="14.83203125" style="66" customWidth="1"/>
    <col min="12" max="12" width="21.1640625" style="78" customWidth="1"/>
    <col min="13" max="13" width="18.6640625" style="78" customWidth="1"/>
    <col min="14" max="14" width="23.1640625" style="78" bestFit="1" customWidth="1"/>
    <col min="15" max="15" width="20.33203125" style="75" customWidth="1"/>
    <col min="16" max="16" width="12.5" style="66" customWidth="1"/>
    <col min="17" max="17" width="23" style="66" bestFit="1" customWidth="1"/>
    <col min="18" max="18" width="0" style="66" hidden="1" customWidth="1"/>
    <col min="19" max="19" width="13.83203125" style="189" hidden="1" customWidth="1"/>
    <col min="20" max="20" width="11.1640625" style="189" hidden="1" customWidth="1"/>
    <col min="21" max="25" width="0" style="66" hidden="1" customWidth="1"/>
    <col min="26" max="26" width="12.33203125" style="66" hidden="1" customWidth="1"/>
    <col min="27" max="27" width="0" style="66" hidden="1" customWidth="1"/>
    <col min="28" max="28" width="13.5" style="66" hidden="1" customWidth="1"/>
    <col min="29" max="30" width="0" style="66" hidden="1" customWidth="1"/>
    <col min="31" max="31" width="15.6640625" style="66" hidden="1" customWidth="1"/>
    <col min="32" max="33" width="11.5" style="66" hidden="1" customWidth="1"/>
    <col min="34" max="71" width="0" style="66" hidden="1" customWidth="1"/>
    <col min="72" max="72" width="19.6640625" style="66" bestFit="1" customWidth="1"/>
    <col min="73" max="86" width="9.33203125" style="66"/>
    <col min="87" max="87" width="11.1640625" style="66" bestFit="1" customWidth="1"/>
    <col min="88" max="16384" width="9.33203125" style="66"/>
  </cols>
  <sheetData>
    <row r="1" spans="1:87" s="51" customFormat="1" ht="12" x14ac:dyDescent="0.2">
      <c r="A1" s="876"/>
      <c r="B1" s="877"/>
      <c r="C1" s="877"/>
      <c r="D1" s="877"/>
      <c r="E1" s="886" t="s">
        <v>1801</v>
      </c>
      <c r="F1" s="886"/>
      <c r="G1" s="886"/>
      <c r="H1" s="886"/>
      <c r="I1" s="886"/>
      <c r="J1" s="886"/>
      <c r="K1" s="886"/>
      <c r="L1" s="886"/>
      <c r="M1" s="886"/>
      <c r="N1" s="886"/>
      <c r="O1" s="886"/>
      <c r="P1" s="887"/>
      <c r="S1" s="188"/>
      <c r="T1" s="188"/>
    </row>
    <row r="2" spans="1:87" s="51" customFormat="1" ht="12" x14ac:dyDescent="0.2">
      <c r="A2" s="878"/>
      <c r="B2" s="879"/>
      <c r="C2" s="879"/>
      <c r="D2" s="879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9"/>
      <c r="S2" s="188"/>
      <c r="T2" s="188"/>
    </row>
    <row r="3" spans="1:87" s="51" customFormat="1" ht="12" x14ac:dyDescent="0.2">
      <c r="A3" s="878"/>
      <c r="B3" s="879"/>
      <c r="C3" s="879"/>
      <c r="D3" s="879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9"/>
      <c r="S3" s="188"/>
      <c r="T3" s="188"/>
    </row>
    <row r="4" spans="1:87" s="51" customFormat="1" ht="12" x14ac:dyDescent="0.2">
      <c r="A4" s="878"/>
      <c r="B4" s="879"/>
      <c r="C4" s="879"/>
      <c r="D4" s="879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9"/>
      <c r="S4" s="188"/>
      <c r="T4" s="188"/>
    </row>
    <row r="5" spans="1:87" s="51" customFormat="1" ht="35.25" customHeight="1" thickBot="1" x14ac:dyDescent="0.25">
      <c r="A5" s="880"/>
      <c r="B5" s="881"/>
      <c r="C5" s="881"/>
      <c r="D5" s="881"/>
      <c r="E5" s="890"/>
      <c r="F5" s="890"/>
      <c r="G5" s="890"/>
      <c r="H5" s="890"/>
      <c r="I5" s="890"/>
      <c r="J5" s="890"/>
      <c r="K5" s="890"/>
      <c r="L5" s="890"/>
      <c r="M5" s="890"/>
      <c r="N5" s="890"/>
      <c r="O5" s="890"/>
      <c r="P5" s="891"/>
      <c r="S5" s="188"/>
      <c r="T5" s="188"/>
    </row>
    <row r="6" spans="1:87" s="51" customFormat="1" ht="23.25" x14ac:dyDescent="0.2">
      <c r="A6" s="518"/>
      <c r="B6" s="518"/>
      <c r="C6" s="518"/>
      <c r="D6" s="518"/>
      <c r="E6" s="519"/>
      <c r="F6" s="519"/>
      <c r="G6" s="519"/>
      <c r="H6" s="519"/>
      <c r="I6" s="519"/>
      <c r="J6" s="519"/>
      <c r="K6" s="519"/>
      <c r="L6" s="519"/>
      <c r="M6" s="519"/>
      <c r="N6" s="519"/>
      <c r="O6" s="519"/>
      <c r="P6" s="519"/>
      <c r="S6" s="188">
        <v>30999.574999999997</v>
      </c>
      <c r="T6" s="188" t="s">
        <v>1288</v>
      </c>
      <c r="Z6" s="64">
        <v>30999.574999999997</v>
      </c>
      <c r="AB6" s="64">
        <v>44898.842499999999</v>
      </c>
      <c r="AE6" s="371">
        <v>38575.583824999994</v>
      </c>
      <c r="AF6" s="372">
        <f>AE6-I7</f>
        <v>38575.583824999994</v>
      </c>
    </row>
    <row r="7" spans="1:87" s="51" customFormat="1" x14ac:dyDescent="0.2">
      <c r="A7" s="874" t="s">
        <v>1320</v>
      </c>
      <c r="B7" s="874"/>
      <c r="C7" s="874"/>
      <c r="D7" s="874"/>
      <c r="E7" s="894" t="s">
        <v>2019</v>
      </c>
      <c r="F7" s="894"/>
      <c r="G7" s="894"/>
      <c r="H7" s="529" t="s">
        <v>1323</v>
      </c>
      <c r="I7" s="485"/>
      <c r="J7" s="920" t="s">
        <v>2029</v>
      </c>
      <c r="K7" s="920"/>
      <c r="L7" s="530">
        <f>M13/L13</f>
        <v>5.2363357988765145E-2</v>
      </c>
      <c r="M7" s="483" t="s">
        <v>2021</v>
      </c>
      <c r="N7" s="504">
        <v>43658</v>
      </c>
      <c r="O7" s="491"/>
      <c r="P7" s="491"/>
      <c r="S7" s="188">
        <v>203365.995</v>
      </c>
      <c r="T7" s="188" t="s">
        <v>1309</v>
      </c>
      <c r="AB7" s="64">
        <v>152813.08250000002</v>
      </c>
    </row>
    <row r="8" spans="1:87" s="51" customFormat="1" x14ac:dyDescent="0.2">
      <c r="A8" s="875" t="s">
        <v>2014</v>
      </c>
      <c r="B8" s="875"/>
      <c r="C8" s="875"/>
      <c r="D8" s="875"/>
      <c r="E8" s="893" t="s">
        <v>2020</v>
      </c>
      <c r="F8" s="893"/>
      <c r="G8" s="893"/>
      <c r="H8" s="488">
        <f>664297.16</f>
        <v>664297.16</v>
      </c>
      <c r="I8" s="485"/>
      <c r="J8" s="920" t="s">
        <v>2028</v>
      </c>
      <c r="K8" s="920"/>
      <c r="L8" s="530">
        <f>P13</f>
        <v>0.37768549754900349</v>
      </c>
      <c r="M8" s="503" t="s">
        <v>3</v>
      </c>
      <c r="N8" s="505">
        <v>0.27139999999999997</v>
      </c>
      <c r="O8" s="491"/>
      <c r="P8" s="491"/>
      <c r="Q8" s="534"/>
      <c r="R8" s="534"/>
      <c r="S8" s="535">
        <v>485968.91500000004</v>
      </c>
      <c r="T8" s="535" t="s">
        <v>1294</v>
      </c>
      <c r="U8" s="534"/>
      <c r="V8" s="534"/>
      <c r="W8" s="534"/>
      <c r="X8" s="534"/>
      <c r="Y8" s="534"/>
      <c r="Z8" s="534"/>
      <c r="AA8" s="534"/>
      <c r="AB8" s="64">
        <v>511484.07750000001</v>
      </c>
      <c r="AC8" s="534"/>
      <c r="AD8" s="534"/>
      <c r="AE8" s="536" t="e">
        <f>H8/I9</f>
        <v>#DIV/0!</v>
      </c>
      <c r="AF8" s="534"/>
      <c r="AG8" s="534"/>
      <c r="AH8" s="534"/>
      <c r="AI8" s="534"/>
      <c r="AJ8" s="534"/>
      <c r="AK8" s="534"/>
      <c r="AL8" s="534"/>
      <c r="AM8" s="534"/>
      <c r="AN8" s="534"/>
      <c r="AO8" s="534"/>
      <c r="AP8" s="534"/>
      <c r="AQ8" s="534"/>
      <c r="AR8" s="534"/>
      <c r="AS8" s="534"/>
      <c r="AT8" s="534"/>
      <c r="AU8" s="534"/>
      <c r="AV8" s="534"/>
      <c r="AW8" s="534"/>
      <c r="AX8" s="534"/>
      <c r="AY8" s="534"/>
      <c r="AZ8" s="534"/>
      <c r="BA8" s="534"/>
      <c r="BB8" s="534"/>
      <c r="BC8" s="534"/>
      <c r="BD8" s="534"/>
      <c r="BE8" s="534"/>
      <c r="BF8" s="534"/>
      <c r="BG8" s="534"/>
      <c r="BH8" s="534"/>
      <c r="BI8" s="534"/>
      <c r="BJ8" s="534"/>
      <c r="BK8" s="534"/>
      <c r="BL8" s="534"/>
      <c r="BM8" s="534"/>
      <c r="BN8" s="534"/>
      <c r="BO8" s="534"/>
      <c r="BP8" s="534"/>
      <c r="BQ8" s="534"/>
      <c r="BR8" s="534"/>
      <c r="BS8" s="534"/>
      <c r="BT8" s="534"/>
    </row>
    <row r="9" spans="1:87" s="51" customFormat="1" x14ac:dyDescent="0.2">
      <c r="A9" s="874" t="s">
        <v>2017</v>
      </c>
      <c r="B9" s="874"/>
      <c r="C9" s="874"/>
      <c r="D9" s="874"/>
      <c r="E9" s="893" t="s">
        <v>2027</v>
      </c>
      <c r="F9" s="893"/>
      <c r="G9" s="893"/>
      <c r="H9" s="528">
        <v>43930</v>
      </c>
      <c r="I9" s="489"/>
      <c r="J9" s="905" t="s">
        <v>2030</v>
      </c>
      <c r="K9" s="905"/>
      <c r="L9" s="531">
        <v>43951</v>
      </c>
      <c r="M9" s="516" t="s">
        <v>2016</v>
      </c>
      <c r="N9" s="875" t="s">
        <v>2031</v>
      </c>
      <c r="O9" s="875"/>
      <c r="P9" s="517"/>
      <c r="Q9" s="534"/>
      <c r="R9" s="534"/>
      <c r="S9" s="535"/>
      <c r="T9" s="535"/>
      <c r="U9" s="534"/>
      <c r="V9" s="534"/>
      <c r="W9" s="534"/>
      <c r="X9" s="534"/>
      <c r="Y9" s="534"/>
      <c r="Z9" s="534"/>
      <c r="AA9" s="534"/>
      <c r="AB9" s="485"/>
      <c r="AC9" s="534"/>
      <c r="AD9" s="534"/>
      <c r="AE9" s="537"/>
      <c r="AF9" s="534"/>
      <c r="AG9" s="534"/>
      <c r="AH9" s="534"/>
      <c r="AI9" s="534"/>
      <c r="AJ9" s="534"/>
      <c r="AK9" s="534"/>
      <c r="AL9" s="534"/>
      <c r="AM9" s="534"/>
      <c r="AN9" s="534"/>
      <c r="AO9" s="534"/>
      <c r="AP9" s="534"/>
      <c r="AQ9" s="534"/>
      <c r="AR9" s="534"/>
      <c r="AS9" s="534"/>
      <c r="AT9" s="534"/>
      <c r="AU9" s="534"/>
      <c r="AV9" s="534"/>
      <c r="AW9" s="534"/>
      <c r="AX9" s="534"/>
      <c r="AY9" s="534"/>
      <c r="AZ9" s="534"/>
      <c r="BA9" s="534"/>
      <c r="BB9" s="534"/>
      <c r="BC9" s="534"/>
      <c r="BD9" s="534"/>
      <c r="BE9" s="534"/>
      <c r="BF9" s="534"/>
      <c r="BG9" s="534"/>
      <c r="BH9" s="534"/>
      <c r="BI9" s="534"/>
      <c r="BJ9" s="534"/>
      <c r="BK9" s="534"/>
      <c r="BL9" s="534"/>
      <c r="BM9" s="534"/>
      <c r="BN9" s="534"/>
      <c r="BO9" s="534"/>
      <c r="BP9" s="534"/>
      <c r="BQ9" s="534"/>
      <c r="BR9" s="534"/>
      <c r="BS9" s="534"/>
      <c r="BT9" s="538"/>
    </row>
    <row r="10" spans="1:87" s="51" customFormat="1" ht="13.5" thickBot="1" x14ac:dyDescent="0.25">
      <c r="A10" s="514"/>
      <c r="B10" s="514"/>
      <c r="C10" s="514"/>
      <c r="D10" s="514"/>
      <c r="E10" s="517"/>
      <c r="F10" s="482"/>
      <c r="G10" s="483"/>
      <c r="H10" s="511"/>
      <c r="I10" s="485"/>
      <c r="J10" s="195"/>
      <c r="K10" s="492"/>
      <c r="L10" s="490"/>
      <c r="M10" s="492"/>
      <c r="N10" s="492"/>
      <c r="O10" s="492"/>
      <c r="P10" s="492"/>
      <c r="S10" s="188"/>
      <c r="T10" s="188"/>
      <c r="BT10" s="372"/>
    </row>
    <row r="11" spans="1:87" ht="29.25" customHeight="1" thickBot="1" x14ac:dyDescent="0.25">
      <c r="A11" s="911" t="s">
        <v>1325</v>
      </c>
      <c r="B11" s="921" t="s">
        <v>1326</v>
      </c>
      <c r="C11" s="911" t="s">
        <v>1327</v>
      </c>
      <c r="D11" s="911" t="s">
        <v>5</v>
      </c>
      <c r="E11" s="911" t="s">
        <v>6</v>
      </c>
      <c r="F11" s="913" t="s">
        <v>2041</v>
      </c>
      <c r="G11" s="915" t="s">
        <v>2042</v>
      </c>
      <c r="H11" s="917" t="s">
        <v>2008</v>
      </c>
      <c r="I11" s="918"/>
      <c r="J11" s="918"/>
      <c r="K11" s="919"/>
      <c r="L11" s="906" t="s">
        <v>2009</v>
      </c>
      <c r="M11" s="907"/>
      <c r="N11" s="907"/>
      <c r="O11" s="908"/>
      <c r="P11" s="540"/>
      <c r="Q11" s="71"/>
      <c r="R11" s="71"/>
      <c r="S11" s="533"/>
      <c r="T11" s="533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66" t="s">
        <v>2033</v>
      </c>
    </row>
    <row r="12" spans="1:87" ht="23.25" customHeight="1" thickBot="1" x14ac:dyDescent="0.25">
      <c r="A12" s="912"/>
      <c r="B12" s="922"/>
      <c r="C12" s="912"/>
      <c r="D12" s="912"/>
      <c r="E12" s="912"/>
      <c r="F12" s="914"/>
      <c r="G12" s="916"/>
      <c r="H12" s="541" t="s">
        <v>2018</v>
      </c>
      <c r="I12" s="542" t="s">
        <v>2013</v>
      </c>
      <c r="J12" s="542" t="s">
        <v>1819</v>
      </c>
      <c r="K12" s="541" t="s">
        <v>1295</v>
      </c>
      <c r="L12" s="543" t="s">
        <v>2018</v>
      </c>
      <c r="M12" s="544" t="s">
        <v>2013</v>
      </c>
      <c r="N12" s="544" t="s">
        <v>1819</v>
      </c>
      <c r="O12" s="545" t="s">
        <v>1295</v>
      </c>
      <c r="P12" s="541" t="s">
        <v>1296</v>
      </c>
      <c r="Q12" s="71"/>
      <c r="R12" s="71"/>
      <c r="S12" s="533"/>
      <c r="T12" s="533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66" t="s">
        <v>2034</v>
      </c>
    </row>
    <row r="13" spans="1:87" s="539" customFormat="1" ht="33" customHeight="1" x14ac:dyDescent="0.2">
      <c r="A13" s="546"/>
      <c r="B13" s="547"/>
      <c r="C13" s="548"/>
      <c r="D13" s="548" t="s">
        <v>2010</v>
      </c>
      <c r="E13" s="549"/>
      <c r="F13" s="550"/>
      <c r="G13" s="551"/>
      <c r="H13" s="552"/>
      <c r="I13" s="553"/>
      <c r="J13" s="553"/>
      <c r="K13" s="553"/>
      <c r="L13" s="554">
        <f>L14+L26+L32+L45+L69+L77+L92+L95+L98+L109+L120+L129+L168+L190+L194+L208+L214+L259+L268+L278</f>
        <v>664297.16</v>
      </c>
      <c r="M13" s="554">
        <f>M14+M26+M32+M45+M69+M77+M92+M95+M98+M109+M120+M129+M168+M190+M194+M208+M214+M259+M268+M278</f>
        <v>34784.83</v>
      </c>
      <c r="N13" s="554">
        <f>N14+N26+N32+N45+N69+N77+N92+N95+N98+N109+N120+N129+N168+N190+N194+N208+N214+N259+N268+N278</f>
        <v>182113.7</v>
      </c>
      <c r="O13" s="554">
        <f>O14+O26+O32+O45+O69+O77+O92+O95+O98+O109+O120+O129+O168+O190+O194+O208+O214+O259+O268+O278</f>
        <v>482183.45999999996</v>
      </c>
      <c r="P13" s="555">
        <f>N13/O13</f>
        <v>0.37768549754900349</v>
      </c>
      <c r="Q13" s="490"/>
      <c r="R13" s="490"/>
      <c r="S13" s="490"/>
      <c r="T13" s="490"/>
      <c r="U13" s="490"/>
      <c r="V13" s="490"/>
      <c r="W13" s="490"/>
      <c r="X13" s="490"/>
      <c r="Y13" s="490"/>
      <c r="Z13" s="490"/>
      <c r="AA13" s="490"/>
      <c r="AB13" s="490"/>
      <c r="AC13" s="490"/>
      <c r="AD13" s="490"/>
      <c r="AE13" s="490"/>
      <c r="AF13" s="490"/>
      <c r="AG13" s="490"/>
      <c r="AH13" s="490"/>
      <c r="AI13" s="490"/>
      <c r="AJ13" s="490"/>
      <c r="AK13" s="490"/>
      <c r="AL13" s="490"/>
      <c r="AM13" s="490"/>
      <c r="AN13" s="490"/>
      <c r="AO13" s="490"/>
      <c r="AP13" s="490"/>
      <c r="AQ13" s="490"/>
      <c r="AR13" s="490"/>
      <c r="AS13" s="490"/>
      <c r="AT13" s="490"/>
      <c r="AU13" s="490"/>
      <c r="AV13" s="490"/>
      <c r="AW13" s="490"/>
      <c r="AX13" s="490"/>
      <c r="AY13" s="490"/>
      <c r="AZ13" s="490"/>
      <c r="BA13" s="490"/>
      <c r="BB13" s="490"/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539">
        <v>5</v>
      </c>
      <c r="BV13" s="539">
        <v>4</v>
      </c>
      <c r="BW13" s="539">
        <v>3</v>
      </c>
      <c r="BX13" s="539">
        <v>2</v>
      </c>
      <c r="BY13" s="539">
        <v>1</v>
      </c>
      <c r="CI13" s="539" t="s">
        <v>2023</v>
      </c>
    </row>
    <row r="14" spans="1:87" ht="15.75" x14ac:dyDescent="0.2">
      <c r="A14" s="556">
        <v>1</v>
      </c>
      <c r="B14" s="557"/>
      <c r="C14" s="557"/>
      <c r="D14" s="558" t="s">
        <v>9</v>
      </c>
      <c r="E14" s="559"/>
      <c r="F14" s="560"/>
      <c r="G14" s="561"/>
      <c r="H14" s="562"/>
      <c r="I14" s="563">
        <v>0</v>
      </c>
      <c r="J14" s="564"/>
      <c r="K14" s="563"/>
      <c r="L14" s="565">
        <f>SUM(L15:L25)</f>
        <v>32660.889999999992</v>
      </c>
      <c r="M14" s="565">
        <f>SUM(M15:M25)</f>
        <v>0</v>
      </c>
      <c r="N14" s="565">
        <f>SUM(N15:N25)</f>
        <v>32660.889999999992</v>
      </c>
      <c r="O14" s="565">
        <f>SUM(O15:O25)</f>
        <v>0</v>
      </c>
      <c r="P14" s="566">
        <f t="shared" ref="P14:P77" si="0">N14/L14</f>
        <v>1</v>
      </c>
      <c r="Q14" s="525"/>
      <c r="S14" s="189">
        <v>0</v>
      </c>
      <c r="T14" s="189">
        <v>10</v>
      </c>
      <c r="BT14" s="525"/>
      <c r="BU14" s="523">
        <v>0</v>
      </c>
      <c r="BV14" s="523">
        <v>0</v>
      </c>
      <c r="BW14" s="523">
        <v>0</v>
      </c>
      <c r="BX14" s="523"/>
      <c r="BY14" s="523"/>
      <c r="BZ14" s="523"/>
      <c r="CA14" s="523"/>
      <c r="CB14" s="523"/>
      <c r="CC14" s="523"/>
      <c r="CD14" s="523"/>
      <c r="CE14" s="523"/>
      <c r="CF14" s="523"/>
      <c r="CG14" s="523"/>
      <c r="CH14" s="523"/>
      <c r="CI14" s="523">
        <f>SUM(BU14:CH14)</f>
        <v>0</v>
      </c>
    </row>
    <row r="15" spans="1:87" ht="30" x14ac:dyDescent="0.2">
      <c r="A15" s="567" t="s">
        <v>10</v>
      </c>
      <c r="B15" s="568" t="s">
        <v>1328</v>
      </c>
      <c r="C15" s="568" t="s">
        <v>1324</v>
      </c>
      <c r="D15" s="569" t="s">
        <v>1329</v>
      </c>
      <c r="E15" s="570" t="s">
        <v>14</v>
      </c>
      <c r="F15" s="571"/>
      <c r="G15" s="572">
        <v>232.25</v>
      </c>
      <c r="H15" s="570">
        <v>10</v>
      </c>
      <c r="I15" s="573">
        <f>BU15</f>
        <v>0</v>
      </c>
      <c r="J15" s="574">
        <f>CI15</f>
        <v>10</v>
      </c>
      <c r="K15" s="573">
        <f>H15-J15</f>
        <v>0</v>
      </c>
      <c r="L15" s="575">
        <f>ROUND(H15*$G15,2)</f>
        <v>2322.5</v>
      </c>
      <c r="M15" s="575">
        <f t="shared" ref="M15:O25" si="1">ROUND(I15*$G15,2)</f>
        <v>0</v>
      </c>
      <c r="N15" s="575">
        <f t="shared" si="1"/>
        <v>2322.5</v>
      </c>
      <c r="O15" s="575">
        <f t="shared" si="1"/>
        <v>0</v>
      </c>
      <c r="P15" s="576">
        <f t="shared" si="0"/>
        <v>1</v>
      </c>
      <c r="Q15" s="525"/>
      <c r="S15" s="189">
        <v>0</v>
      </c>
      <c r="T15" s="189">
        <v>312.39999999999998</v>
      </c>
      <c r="BT15" s="525"/>
      <c r="BU15" s="523">
        <v>0</v>
      </c>
      <c r="BV15" s="523">
        <v>0</v>
      </c>
      <c r="BW15" s="523">
        <v>0</v>
      </c>
      <c r="BX15" s="523">
        <v>0</v>
      </c>
      <c r="BY15" s="523">
        <v>10</v>
      </c>
      <c r="BZ15" s="523"/>
      <c r="CA15" s="523"/>
      <c r="CB15" s="523"/>
      <c r="CC15" s="523"/>
      <c r="CD15" s="523"/>
      <c r="CE15" s="523"/>
      <c r="CF15" s="523"/>
      <c r="CG15" s="523"/>
      <c r="CH15" s="523"/>
      <c r="CI15" s="523">
        <f t="shared" ref="CI15:CI78" si="2">SUM(BU15:CH15)</f>
        <v>10</v>
      </c>
    </row>
    <row r="16" spans="1:87" ht="30" x14ac:dyDescent="0.2">
      <c r="A16" s="567" t="s">
        <v>1330</v>
      </c>
      <c r="B16" s="568" t="s">
        <v>1331</v>
      </c>
      <c r="C16" s="568" t="s">
        <v>1324</v>
      </c>
      <c r="D16" s="569" t="s">
        <v>1332</v>
      </c>
      <c r="E16" s="570" t="s">
        <v>14</v>
      </c>
      <c r="F16" s="577">
        <v>595.62</v>
      </c>
      <c r="G16" s="572">
        <v>39.78</v>
      </c>
      <c r="H16" s="570">
        <v>312.39999999999998</v>
      </c>
      <c r="I16" s="573">
        <f t="shared" ref="I16:I79" si="3">BU16</f>
        <v>0</v>
      </c>
      <c r="J16" s="574">
        <f t="shared" ref="J16:J79" si="4">CI16</f>
        <v>312.39999999999998</v>
      </c>
      <c r="K16" s="573">
        <f t="shared" ref="K16:K31" si="5">H16-J16</f>
        <v>0</v>
      </c>
      <c r="L16" s="575">
        <f t="shared" ref="L16:L25" si="6">ROUND(H16*$G16,2)</f>
        <v>12427.27</v>
      </c>
      <c r="M16" s="575">
        <f t="shared" si="1"/>
        <v>0</v>
      </c>
      <c r="N16" s="575">
        <f t="shared" si="1"/>
        <v>12427.27</v>
      </c>
      <c r="O16" s="575">
        <f t="shared" si="1"/>
        <v>0</v>
      </c>
      <c r="P16" s="576">
        <f t="shared" si="0"/>
        <v>1</v>
      </c>
      <c r="Q16" s="525"/>
      <c r="S16" s="189">
        <v>0</v>
      </c>
      <c r="T16" s="189">
        <v>1</v>
      </c>
      <c r="BT16" s="525"/>
      <c r="BU16" s="523">
        <v>0</v>
      </c>
      <c r="BV16" s="523">
        <v>0</v>
      </c>
      <c r="BW16" s="523">
        <v>0</v>
      </c>
      <c r="BX16" s="523">
        <v>203.49999999999997</v>
      </c>
      <c r="BY16" s="523">
        <v>108.9</v>
      </c>
      <c r="BZ16" s="523"/>
      <c r="CA16" s="523"/>
      <c r="CB16" s="523"/>
      <c r="CC16" s="523"/>
      <c r="CD16" s="523"/>
      <c r="CE16" s="523"/>
      <c r="CF16" s="523"/>
      <c r="CG16" s="523"/>
      <c r="CH16" s="523"/>
      <c r="CI16" s="523">
        <f t="shared" si="2"/>
        <v>312.39999999999998</v>
      </c>
    </row>
    <row r="17" spans="1:87" ht="45" x14ac:dyDescent="0.2">
      <c r="A17" s="567" t="s">
        <v>1333</v>
      </c>
      <c r="B17" s="568">
        <v>9540</v>
      </c>
      <c r="C17" s="568" t="s">
        <v>1324</v>
      </c>
      <c r="D17" s="569" t="s">
        <v>1334</v>
      </c>
      <c r="E17" s="570" t="s">
        <v>102</v>
      </c>
      <c r="F17" s="577">
        <v>256.73</v>
      </c>
      <c r="G17" s="572">
        <v>783.05</v>
      </c>
      <c r="H17" s="570">
        <v>1</v>
      </c>
      <c r="I17" s="573">
        <f t="shared" si="3"/>
        <v>0</v>
      </c>
      <c r="J17" s="574">
        <f t="shared" si="4"/>
        <v>1</v>
      </c>
      <c r="K17" s="573">
        <f t="shared" si="5"/>
        <v>0</v>
      </c>
      <c r="L17" s="575">
        <f t="shared" si="6"/>
        <v>783.05</v>
      </c>
      <c r="M17" s="575">
        <f t="shared" si="1"/>
        <v>0</v>
      </c>
      <c r="N17" s="575">
        <f t="shared" si="1"/>
        <v>783.05</v>
      </c>
      <c r="O17" s="575">
        <f t="shared" si="1"/>
        <v>0</v>
      </c>
      <c r="P17" s="576">
        <f t="shared" si="0"/>
        <v>1</v>
      </c>
      <c r="Q17" s="525"/>
      <c r="S17" s="189">
        <v>0</v>
      </c>
      <c r="T17" s="189">
        <v>1</v>
      </c>
      <c r="BT17" s="525"/>
      <c r="BU17" s="523">
        <v>0</v>
      </c>
      <c r="BV17" s="523">
        <v>0</v>
      </c>
      <c r="BW17" s="523">
        <v>0</v>
      </c>
      <c r="BX17" s="523">
        <v>1</v>
      </c>
      <c r="BY17" s="523">
        <v>0</v>
      </c>
      <c r="BZ17" s="523"/>
      <c r="CA17" s="523"/>
      <c r="CB17" s="523"/>
      <c r="CC17" s="523"/>
      <c r="CD17" s="523"/>
      <c r="CE17" s="523"/>
      <c r="CF17" s="523"/>
      <c r="CG17" s="523"/>
      <c r="CH17" s="523"/>
      <c r="CI17" s="523">
        <f t="shared" si="2"/>
        <v>1</v>
      </c>
    </row>
    <row r="18" spans="1:87" ht="15" x14ac:dyDescent="0.2">
      <c r="A18" s="567" t="s">
        <v>1335</v>
      </c>
      <c r="B18" s="568" t="s">
        <v>1336</v>
      </c>
      <c r="C18" s="568" t="s">
        <v>1324</v>
      </c>
      <c r="D18" s="569" t="s">
        <v>1337</v>
      </c>
      <c r="E18" s="570" t="s">
        <v>102</v>
      </c>
      <c r="F18" s="577">
        <v>49.62</v>
      </c>
      <c r="G18" s="572">
        <v>1344.39</v>
      </c>
      <c r="H18" s="570">
        <v>1</v>
      </c>
      <c r="I18" s="573">
        <f t="shared" si="3"/>
        <v>0</v>
      </c>
      <c r="J18" s="574">
        <f t="shared" si="4"/>
        <v>1</v>
      </c>
      <c r="K18" s="573">
        <f t="shared" si="5"/>
        <v>0</v>
      </c>
      <c r="L18" s="575">
        <f t="shared" si="6"/>
        <v>1344.39</v>
      </c>
      <c r="M18" s="575">
        <f t="shared" si="1"/>
        <v>0</v>
      </c>
      <c r="N18" s="575">
        <f t="shared" si="1"/>
        <v>1344.39</v>
      </c>
      <c r="O18" s="575">
        <f t="shared" si="1"/>
        <v>0</v>
      </c>
      <c r="P18" s="576">
        <f t="shared" si="0"/>
        <v>1</v>
      </c>
      <c r="Q18" s="525"/>
      <c r="S18" s="189">
        <v>0</v>
      </c>
      <c r="T18" s="189">
        <v>1</v>
      </c>
      <c r="BT18" s="525"/>
      <c r="BU18" s="523">
        <v>0</v>
      </c>
      <c r="BV18" s="523">
        <v>0</v>
      </c>
      <c r="BW18" s="523">
        <v>0</v>
      </c>
      <c r="BX18" s="523">
        <v>1</v>
      </c>
      <c r="BY18" s="523">
        <v>0</v>
      </c>
      <c r="BZ18" s="523"/>
      <c r="CA18" s="523"/>
      <c r="CB18" s="523"/>
      <c r="CC18" s="523"/>
      <c r="CD18" s="523"/>
      <c r="CE18" s="523"/>
      <c r="CF18" s="523"/>
      <c r="CG18" s="523"/>
      <c r="CH18" s="523"/>
      <c r="CI18" s="523">
        <f t="shared" si="2"/>
        <v>1</v>
      </c>
    </row>
    <row r="19" spans="1:87" ht="15" x14ac:dyDescent="0.2">
      <c r="A19" s="567" t="s">
        <v>1338</v>
      </c>
      <c r="B19" s="568" t="s">
        <v>2007</v>
      </c>
      <c r="C19" s="568" t="s">
        <v>1339</v>
      </c>
      <c r="D19" s="569" t="s">
        <v>1340</v>
      </c>
      <c r="E19" s="570" t="s">
        <v>102</v>
      </c>
      <c r="F19" s="577">
        <v>5.2</v>
      </c>
      <c r="G19" s="572">
        <v>823.61</v>
      </c>
      <c r="H19" s="570">
        <v>1</v>
      </c>
      <c r="I19" s="573">
        <f t="shared" si="3"/>
        <v>0</v>
      </c>
      <c r="J19" s="574">
        <f t="shared" si="4"/>
        <v>1</v>
      </c>
      <c r="K19" s="573">
        <f t="shared" si="5"/>
        <v>0</v>
      </c>
      <c r="L19" s="575">
        <f t="shared" si="6"/>
        <v>823.61</v>
      </c>
      <c r="M19" s="575">
        <f t="shared" si="1"/>
        <v>0</v>
      </c>
      <c r="N19" s="575">
        <f t="shared" si="1"/>
        <v>823.61</v>
      </c>
      <c r="O19" s="575">
        <f t="shared" si="1"/>
        <v>0</v>
      </c>
      <c r="P19" s="576">
        <f t="shared" si="0"/>
        <v>1</v>
      </c>
      <c r="Q19" s="525"/>
      <c r="S19" s="189">
        <v>0</v>
      </c>
      <c r="T19" s="189">
        <v>1</v>
      </c>
      <c r="BT19" s="525"/>
      <c r="BU19" s="523">
        <v>0</v>
      </c>
      <c r="BV19" s="523">
        <v>0</v>
      </c>
      <c r="BW19" s="523">
        <v>0</v>
      </c>
      <c r="BX19" s="523">
        <v>1</v>
      </c>
      <c r="BY19" s="523">
        <v>0</v>
      </c>
      <c r="BZ19" s="523"/>
      <c r="CA19" s="523"/>
      <c r="CB19" s="523"/>
      <c r="CC19" s="523"/>
      <c r="CD19" s="523"/>
      <c r="CE19" s="523"/>
      <c r="CF19" s="523"/>
      <c r="CG19" s="523"/>
      <c r="CH19" s="523"/>
      <c r="CI19" s="523">
        <f t="shared" si="2"/>
        <v>1</v>
      </c>
    </row>
    <row r="20" spans="1:87" ht="15.75" x14ac:dyDescent="0.2">
      <c r="A20" s="567" t="s">
        <v>1341</v>
      </c>
      <c r="B20" s="568" t="s">
        <v>1342</v>
      </c>
      <c r="C20" s="568" t="s">
        <v>1343</v>
      </c>
      <c r="D20" s="569" t="s">
        <v>1344</v>
      </c>
      <c r="E20" s="570" t="s">
        <v>102</v>
      </c>
      <c r="F20" s="578"/>
      <c r="G20" s="572">
        <v>174.71</v>
      </c>
      <c r="H20" s="570">
        <v>1</v>
      </c>
      <c r="I20" s="573">
        <f t="shared" si="3"/>
        <v>0</v>
      </c>
      <c r="J20" s="574">
        <f t="shared" si="4"/>
        <v>1</v>
      </c>
      <c r="K20" s="573">
        <f t="shared" si="5"/>
        <v>0</v>
      </c>
      <c r="L20" s="575">
        <f t="shared" si="6"/>
        <v>174.71</v>
      </c>
      <c r="M20" s="575">
        <f t="shared" si="1"/>
        <v>0</v>
      </c>
      <c r="N20" s="575">
        <f t="shared" si="1"/>
        <v>174.71</v>
      </c>
      <c r="O20" s="575">
        <f t="shared" si="1"/>
        <v>0</v>
      </c>
      <c r="P20" s="576">
        <f t="shared" si="0"/>
        <v>1</v>
      </c>
      <c r="Q20" s="525"/>
      <c r="S20" s="189">
        <v>0</v>
      </c>
      <c r="T20" s="189">
        <v>1</v>
      </c>
      <c r="BT20" s="525"/>
      <c r="BU20" s="523">
        <v>0</v>
      </c>
      <c r="BV20" s="523">
        <v>0</v>
      </c>
      <c r="BW20" s="523">
        <v>0</v>
      </c>
      <c r="BX20" s="523">
        <v>1</v>
      </c>
      <c r="BY20" s="523">
        <v>0</v>
      </c>
      <c r="BZ20" s="523"/>
      <c r="CA20" s="523"/>
      <c r="CB20" s="523"/>
      <c r="CC20" s="523"/>
      <c r="CD20" s="523"/>
      <c r="CE20" s="523"/>
      <c r="CF20" s="523"/>
      <c r="CG20" s="523"/>
      <c r="CH20" s="523"/>
      <c r="CI20" s="523">
        <f t="shared" si="2"/>
        <v>1</v>
      </c>
    </row>
    <row r="21" spans="1:87" ht="30" x14ac:dyDescent="0.2">
      <c r="A21" s="567" t="s">
        <v>1345</v>
      </c>
      <c r="B21" s="568" t="s">
        <v>1346</v>
      </c>
      <c r="C21" s="568" t="s">
        <v>1324</v>
      </c>
      <c r="D21" s="569" t="s">
        <v>1347</v>
      </c>
      <c r="E21" s="570" t="s">
        <v>102</v>
      </c>
      <c r="F21" s="571"/>
      <c r="G21" s="572">
        <v>1343.12</v>
      </c>
      <c r="H21" s="570">
        <v>1</v>
      </c>
      <c r="I21" s="573">
        <f t="shared" si="3"/>
        <v>0</v>
      </c>
      <c r="J21" s="574">
        <f t="shared" si="4"/>
        <v>1</v>
      </c>
      <c r="K21" s="573">
        <f t="shared" si="5"/>
        <v>0</v>
      </c>
      <c r="L21" s="575">
        <f t="shared" si="6"/>
        <v>1343.12</v>
      </c>
      <c r="M21" s="575">
        <f t="shared" si="1"/>
        <v>0</v>
      </c>
      <c r="N21" s="575">
        <f t="shared" si="1"/>
        <v>1343.12</v>
      </c>
      <c r="O21" s="575">
        <f t="shared" si="1"/>
        <v>0</v>
      </c>
      <c r="P21" s="576">
        <f t="shared" si="0"/>
        <v>1</v>
      </c>
      <c r="Q21" s="525"/>
      <c r="S21" s="189">
        <v>0</v>
      </c>
      <c r="T21" s="189">
        <v>20</v>
      </c>
      <c r="BT21" s="525"/>
      <c r="BU21" s="523">
        <v>0</v>
      </c>
      <c r="BV21" s="523">
        <v>0</v>
      </c>
      <c r="BW21" s="523">
        <v>0</v>
      </c>
      <c r="BX21" s="523">
        <v>1</v>
      </c>
      <c r="BY21" s="523">
        <v>0</v>
      </c>
      <c r="BZ21" s="523"/>
      <c r="CA21" s="523"/>
      <c r="CB21" s="523"/>
      <c r="CC21" s="523"/>
      <c r="CD21" s="523"/>
      <c r="CE21" s="523"/>
      <c r="CF21" s="523"/>
      <c r="CG21" s="523"/>
      <c r="CH21" s="523"/>
      <c r="CI21" s="523">
        <f t="shared" si="2"/>
        <v>1</v>
      </c>
    </row>
    <row r="22" spans="1:87" ht="15" x14ac:dyDescent="0.2">
      <c r="A22" s="567" t="s">
        <v>1348</v>
      </c>
      <c r="B22" s="568" t="s">
        <v>1349</v>
      </c>
      <c r="C22" s="568" t="s">
        <v>1324</v>
      </c>
      <c r="D22" s="569" t="s">
        <v>1350</v>
      </c>
      <c r="E22" s="570" t="s">
        <v>14</v>
      </c>
      <c r="F22" s="571"/>
      <c r="G22" s="572">
        <v>390.47</v>
      </c>
      <c r="H22" s="570">
        <v>20</v>
      </c>
      <c r="I22" s="573">
        <f t="shared" si="3"/>
        <v>0</v>
      </c>
      <c r="J22" s="574">
        <f t="shared" si="4"/>
        <v>20</v>
      </c>
      <c r="K22" s="573">
        <f t="shared" si="5"/>
        <v>0</v>
      </c>
      <c r="L22" s="575">
        <f t="shared" si="6"/>
        <v>7809.4</v>
      </c>
      <c r="M22" s="575">
        <f t="shared" si="1"/>
        <v>0</v>
      </c>
      <c r="N22" s="575">
        <f>ROUND(J22*$G22,2)</f>
        <v>7809.4</v>
      </c>
      <c r="O22" s="575">
        <f t="shared" si="1"/>
        <v>0</v>
      </c>
      <c r="P22" s="576">
        <f t="shared" si="0"/>
        <v>1</v>
      </c>
      <c r="Q22" s="525"/>
      <c r="S22" s="189">
        <v>0</v>
      </c>
      <c r="T22" s="189">
        <v>785</v>
      </c>
      <c r="BT22" s="525"/>
      <c r="BU22" s="523">
        <v>0</v>
      </c>
      <c r="BV22" s="523">
        <v>0</v>
      </c>
      <c r="BW22" s="523">
        <v>0</v>
      </c>
      <c r="BX22" s="523">
        <v>10</v>
      </c>
      <c r="BY22" s="523">
        <v>10</v>
      </c>
      <c r="BZ22" s="523"/>
      <c r="CA22" s="523"/>
      <c r="CB22" s="523"/>
      <c r="CC22" s="523"/>
      <c r="CD22" s="523"/>
      <c r="CE22" s="523"/>
      <c r="CF22" s="523"/>
      <c r="CG22" s="523"/>
      <c r="CH22" s="523"/>
      <c r="CI22" s="523">
        <f t="shared" si="2"/>
        <v>20</v>
      </c>
    </row>
    <row r="23" spans="1:87" ht="15" x14ac:dyDescent="0.2">
      <c r="A23" s="567" t="s">
        <v>1351</v>
      </c>
      <c r="B23" s="568" t="s">
        <v>1352</v>
      </c>
      <c r="C23" s="568" t="s">
        <v>1324</v>
      </c>
      <c r="D23" s="569" t="s">
        <v>1353</v>
      </c>
      <c r="E23" s="570" t="s">
        <v>14</v>
      </c>
      <c r="F23" s="577">
        <v>302.64</v>
      </c>
      <c r="G23" s="572">
        <v>4.0999999999999996</v>
      </c>
      <c r="H23" s="570">
        <v>785</v>
      </c>
      <c r="I23" s="573">
        <f t="shared" si="3"/>
        <v>0</v>
      </c>
      <c r="J23" s="574">
        <f t="shared" si="4"/>
        <v>785</v>
      </c>
      <c r="K23" s="573">
        <f t="shared" si="5"/>
        <v>0</v>
      </c>
      <c r="L23" s="575">
        <f t="shared" si="6"/>
        <v>3218.5</v>
      </c>
      <c r="M23" s="575">
        <f t="shared" si="1"/>
        <v>0</v>
      </c>
      <c r="N23" s="575">
        <f t="shared" si="1"/>
        <v>3218.5</v>
      </c>
      <c r="O23" s="575">
        <f t="shared" si="1"/>
        <v>0</v>
      </c>
      <c r="P23" s="576">
        <f t="shared" si="0"/>
        <v>1</v>
      </c>
      <c r="Q23" s="525"/>
      <c r="S23" s="189">
        <v>0</v>
      </c>
      <c r="T23" s="189">
        <v>49</v>
      </c>
      <c r="BT23" s="525"/>
      <c r="BU23" s="523">
        <v>0</v>
      </c>
      <c r="BV23" s="523">
        <v>0</v>
      </c>
      <c r="BW23" s="523">
        <v>0</v>
      </c>
      <c r="BX23" s="523">
        <v>0</v>
      </c>
      <c r="BY23" s="523">
        <v>785</v>
      </c>
      <c r="BZ23" s="523"/>
      <c r="CA23" s="523"/>
      <c r="CB23" s="523"/>
      <c r="CC23" s="523"/>
      <c r="CD23" s="523"/>
      <c r="CE23" s="523"/>
      <c r="CF23" s="523"/>
      <c r="CG23" s="523"/>
      <c r="CH23" s="523"/>
      <c r="CI23" s="523">
        <f t="shared" si="2"/>
        <v>785</v>
      </c>
    </row>
    <row r="24" spans="1:87" ht="30" x14ac:dyDescent="0.2">
      <c r="A24" s="567" t="s">
        <v>1354</v>
      </c>
      <c r="B24" s="568" t="s">
        <v>1355</v>
      </c>
      <c r="C24" s="568" t="s">
        <v>1343</v>
      </c>
      <c r="D24" s="569" t="s">
        <v>1356</v>
      </c>
      <c r="E24" s="570" t="s">
        <v>81</v>
      </c>
      <c r="F24" s="577">
        <v>135.94</v>
      </c>
      <c r="G24" s="572">
        <v>46.26</v>
      </c>
      <c r="H24" s="570">
        <v>49</v>
      </c>
      <c r="I24" s="573">
        <f t="shared" si="3"/>
        <v>0</v>
      </c>
      <c r="J24" s="574">
        <f t="shared" si="4"/>
        <v>49</v>
      </c>
      <c r="K24" s="573">
        <f t="shared" si="5"/>
        <v>0</v>
      </c>
      <c r="L24" s="575">
        <f t="shared" si="6"/>
        <v>2266.7399999999998</v>
      </c>
      <c r="M24" s="575">
        <f t="shared" si="1"/>
        <v>0</v>
      </c>
      <c r="N24" s="575">
        <f t="shared" si="1"/>
        <v>2266.7399999999998</v>
      </c>
      <c r="O24" s="575">
        <f t="shared" si="1"/>
        <v>0</v>
      </c>
      <c r="P24" s="576">
        <f t="shared" si="0"/>
        <v>1</v>
      </c>
      <c r="Q24" s="525"/>
      <c r="S24" s="189">
        <v>0</v>
      </c>
      <c r="T24" s="189">
        <v>1230</v>
      </c>
      <c r="BT24" s="525"/>
      <c r="BU24" s="523">
        <v>0</v>
      </c>
      <c r="BV24" s="523">
        <v>0</v>
      </c>
      <c r="BW24" s="523">
        <v>0</v>
      </c>
      <c r="BX24" s="523">
        <v>0</v>
      </c>
      <c r="BY24" s="523">
        <v>49</v>
      </c>
      <c r="BZ24" s="523"/>
      <c r="CA24" s="523"/>
      <c r="CB24" s="523"/>
      <c r="CC24" s="523"/>
      <c r="CD24" s="523"/>
      <c r="CE24" s="523"/>
      <c r="CF24" s="523"/>
      <c r="CG24" s="523"/>
      <c r="CH24" s="523"/>
      <c r="CI24" s="523">
        <f t="shared" si="2"/>
        <v>49</v>
      </c>
    </row>
    <row r="25" spans="1:87" s="514" customFormat="1" ht="15" x14ac:dyDescent="0.2">
      <c r="A25" s="567" t="s">
        <v>1357</v>
      </c>
      <c r="B25" s="568">
        <v>72213</v>
      </c>
      <c r="C25" s="568" t="s">
        <v>1324</v>
      </c>
      <c r="D25" s="569" t="s">
        <v>1358</v>
      </c>
      <c r="E25" s="570" t="s">
        <v>14</v>
      </c>
      <c r="F25" s="577">
        <v>5.86</v>
      </c>
      <c r="G25" s="572">
        <v>0.12</v>
      </c>
      <c r="H25" s="570">
        <v>1230</v>
      </c>
      <c r="I25" s="573">
        <f t="shared" si="3"/>
        <v>0</v>
      </c>
      <c r="J25" s="574">
        <f t="shared" si="4"/>
        <v>1230</v>
      </c>
      <c r="K25" s="573">
        <f t="shared" si="5"/>
        <v>0</v>
      </c>
      <c r="L25" s="575">
        <f t="shared" si="6"/>
        <v>147.6</v>
      </c>
      <c r="M25" s="575">
        <f t="shared" si="1"/>
        <v>0</v>
      </c>
      <c r="N25" s="575">
        <f t="shared" si="1"/>
        <v>147.6</v>
      </c>
      <c r="O25" s="575">
        <f t="shared" si="1"/>
        <v>0</v>
      </c>
      <c r="P25" s="576">
        <f t="shared" si="0"/>
        <v>1</v>
      </c>
      <c r="Q25" s="525"/>
      <c r="S25" s="190">
        <v>0</v>
      </c>
      <c r="T25" s="190">
        <v>415.90999999999997</v>
      </c>
      <c r="BT25" s="525"/>
      <c r="BU25" s="523">
        <v>0</v>
      </c>
      <c r="BV25" s="523">
        <v>0</v>
      </c>
      <c r="BW25" s="523">
        <v>0</v>
      </c>
      <c r="BX25" s="523">
        <v>0</v>
      </c>
      <c r="BY25" s="523">
        <v>1230</v>
      </c>
      <c r="BZ25" s="523"/>
      <c r="CA25" s="523"/>
      <c r="CB25" s="523"/>
      <c r="CC25" s="523"/>
      <c r="CD25" s="523"/>
      <c r="CE25" s="523"/>
      <c r="CF25" s="523"/>
      <c r="CG25" s="523"/>
      <c r="CH25" s="523"/>
      <c r="CI25" s="523">
        <f t="shared" si="2"/>
        <v>1230</v>
      </c>
    </row>
    <row r="26" spans="1:87" ht="15.75" x14ac:dyDescent="0.2">
      <c r="A26" s="556">
        <v>2</v>
      </c>
      <c r="B26" s="557"/>
      <c r="C26" s="557"/>
      <c r="D26" s="558" t="s">
        <v>1359</v>
      </c>
      <c r="E26" s="559"/>
      <c r="F26" s="560"/>
      <c r="G26" s="561"/>
      <c r="H26" s="561"/>
      <c r="I26" s="561"/>
      <c r="J26" s="561"/>
      <c r="K26" s="563"/>
      <c r="L26" s="579">
        <f>SUM(L27:L31)</f>
        <v>11015.16</v>
      </c>
      <c r="M26" s="580">
        <f>SUM(M27:M31)</f>
        <v>-0.02</v>
      </c>
      <c r="N26" s="579">
        <f>SUM(N27:N31)</f>
        <v>10356.58</v>
      </c>
      <c r="O26" s="579">
        <f>SUM(O27:O31)</f>
        <v>658.58</v>
      </c>
      <c r="P26" s="566">
        <f t="shared" si="0"/>
        <v>0.94021149034603224</v>
      </c>
      <c r="Q26" s="525"/>
      <c r="S26" s="189">
        <v>0</v>
      </c>
      <c r="T26" s="189">
        <v>154.94</v>
      </c>
      <c r="BT26" s="525"/>
      <c r="BU26" s="523">
        <v>0</v>
      </c>
      <c r="BV26" s="523">
        <v>0</v>
      </c>
      <c r="BW26" s="523">
        <v>62.89</v>
      </c>
      <c r="BX26" s="523">
        <v>194.56</v>
      </c>
      <c r="BY26" s="523">
        <v>158.464</v>
      </c>
      <c r="BZ26" s="523"/>
      <c r="CA26" s="523"/>
      <c r="CB26" s="523"/>
      <c r="CC26" s="523"/>
      <c r="CD26" s="523"/>
      <c r="CE26" s="523"/>
      <c r="CF26" s="523"/>
      <c r="CG26" s="523"/>
      <c r="CH26" s="523"/>
      <c r="CI26" s="523">
        <f t="shared" si="2"/>
        <v>415.91399999999999</v>
      </c>
    </row>
    <row r="27" spans="1:87" ht="30" x14ac:dyDescent="0.2">
      <c r="A27" s="567" t="s">
        <v>27</v>
      </c>
      <c r="B27" s="568">
        <v>55835</v>
      </c>
      <c r="C27" s="568" t="s">
        <v>1324</v>
      </c>
      <c r="D27" s="569" t="s">
        <v>1360</v>
      </c>
      <c r="E27" s="570" t="s">
        <v>48</v>
      </c>
      <c r="F27" s="571"/>
      <c r="G27" s="572">
        <v>29.27</v>
      </c>
      <c r="H27" s="570">
        <v>154.94</v>
      </c>
      <c r="I27" s="573">
        <f t="shared" si="3"/>
        <v>0</v>
      </c>
      <c r="J27" s="574">
        <f t="shared" si="4"/>
        <v>154.94</v>
      </c>
      <c r="K27" s="573">
        <f t="shared" si="5"/>
        <v>0</v>
      </c>
      <c r="L27" s="575">
        <f t="shared" ref="L27:O31" si="7">ROUND(H27*$G27,2)</f>
        <v>4535.09</v>
      </c>
      <c r="M27" s="575">
        <f t="shared" si="7"/>
        <v>0</v>
      </c>
      <c r="N27" s="575">
        <f t="shared" si="7"/>
        <v>4535.09</v>
      </c>
      <c r="O27" s="575">
        <f t="shared" si="7"/>
        <v>0</v>
      </c>
      <c r="P27" s="576">
        <f t="shared" si="0"/>
        <v>1</v>
      </c>
      <c r="Q27" s="525"/>
      <c r="S27" s="189">
        <v>0</v>
      </c>
      <c r="T27" s="189">
        <v>83.25</v>
      </c>
      <c r="BT27" s="525"/>
      <c r="BU27" s="523">
        <v>0</v>
      </c>
      <c r="BV27" s="523">
        <v>0</v>
      </c>
      <c r="BW27" s="523">
        <v>0</v>
      </c>
      <c r="BX27" s="523">
        <v>154.94</v>
      </c>
      <c r="BY27" s="523">
        <v>0</v>
      </c>
      <c r="BZ27" s="523"/>
      <c r="CA27" s="523"/>
      <c r="CB27" s="523"/>
      <c r="CC27" s="523"/>
      <c r="CD27" s="523"/>
      <c r="CE27" s="523"/>
      <c r="CF27" s="523"/>
      <c r="CG27" s="523"/>
      <c r="CH27" s="523"/>
      <c r="CI27" s="523">
        <f t="shared" si="2"/>
        <v>154.94</v>
      </c>
    </row>
    <row r="28" spans="1:87" ht="30" x14ac:dyDescent="0.2">
      <c r="A28" s="567" t="s">
        <v>1263</v>
      </c>
      <c r="B28" s="568">
        <v>79478</v>
      </c>
      <c r="C28" s="568" t="s">
        <v>1324</v>
      </c>
      <c r="D28" s="569" t="s">
        <v>1361</v>
      </c>
      <c r="E28" s="570" t="s">
        <v>48</v>
      </c>
      <c r="F28" s="577">
        <v>302.64</v>
      </c>
      <c r="G28" s="572">
        <v>46.94</v>
      </c>
      <c r="H28" s="570">
        <v>83.25</v>
      </c>
      <c r="I28" s="573">
        <f t="shared" si="3"/>
        <v>0</v>
      </c>
      <c r="J28" s="574">
        <f t="shared" si="4"/>
        <v>83.250000000000014</v>
      </c>
      <c r="K28" s="573">
        <f t="shared" si="5"/>
        <v>0</v>
      </c>
      <c r="L28" s="575">
        <f t="shared" si="7"/>
        <v>3907.76</v>
      </c>
      <c r="M28" s="575">
        <f t="shared" si="7"/>
        <v>0</v>
      </c>
      <c r="N28" s="575">
        <f t="shared" si="7"/>
        <v>3907.76</v>
      </c>
      <c r="O28" s="575">
        <f t="shared" si="7"/>
        <v>0</v>
      </c>
      <c r="P28" s="576">
        <f t="shared" si="0"/>
        <v>1</v>
      </c>
      <c r="Q28" s="525"/>
      <c r="S28" s="189">
        <v>0</v>
      </c>
      <c r="T28" s="189">
        <v>114.83</v>
      </c>
      <c r="BT28" s="525"/>
      <c r="BU28" s="523">
        <v>0</v>
      </c>
      <c r="BV28" s="523">
        <v>0</v>
      </c>
      <c r="BW28" s="523">
        <v>0</v>
      </c>
      <c r="BX28" s="523">
        <v>16.650000000000006</v>
      </c>
      <c r="BY28" s="523">
        <v>66.600000000000009</v>
      </c>
      <c r="BZ28" s="523"/>
      <c r="CA28" s="523"/>
      <c r="CB28" s="523"/>
      <c r="CC28" s="523"/>
      <c r="CD28" s="523"/>
      <c r="CE28" s="523"/>
      <c r="CF28" s="523"/>
      <c r="CG28" s="523"/>
      <c r="CH28" s="523"/>
      <c r="CI28" s="523">
        <f t="shared" si="2"/>
        <v>83.250000000000014</v>
      </c>
    </row>
    <row r="29" spans="1:87" ht="15" x14ac:dyDescent="0.2">
      <c r="A29" s="567" t="s">
        <v>1362</v>
      </c>
      <c r="B29" s="568">
        <v>79483</v>
      </c>
      <c r="C29" s="568" t="s">
        <v>1324</v>
      </c>
      <c r="D29" s="569" t="s">
        <v>1363</v>
      </c>
      <c r="E29" s="570" t="s">
        <v>14</v>
      </c>
      <c r="F29" s="577">
        <v>135.94</v>
      </c>
      <c r="G29" s="572">
        <v>5.4</v>
      </c>
      <c r="H29" s="570">
        <v>114.83</v>
      </c>
      <c r="I29" s="573">
        <f t="shared" si="3"/>
        <v>-4.0000000000000001E-3</v>
      </c>
      <c r="J29" s="574">
        <f t="shared" si="4"/>
        <v>114.83</v>
      </c>
      <c r="K29" s="581">
        <f t="shared" si="5"/>
        <v>0</v>
      </c>
      <c r="L29" s="575">
        <f t="shared" si="7"/>
        <v>620.08000000000004</v>
      </c>
      <c r="M29" s="582">
        <f t="shared" si="7"/>
        <v>-0.02</v>
      </c>
      <c r="N29" s="575">
        <f t="shared" si="7"/>
        <v>620.08000000000004</v>
      </c>
      <c r="O29" s="575">
        <f t="shared" si="7"/>
        <v>0</v>
      </c>
      <c r="P29" s="576">
        <f t="shared" si="0"/>
        <v>1</v>
      </c>
      <c r="Q29" s="525"/>
      <c r="S29" s="189">
        <v>0</v>
      </c>
      <c r="T29" s="189">
        <v>62.89</v>
      </c>
      <c r="BT29" s="525"/>
      <c r="BU29" s="523">
        <v>-4.0000000000000001E-3</v>
      </c>
      <c r="BV29" s="523">
        <v>0</v>
      </c>
      <c r="BW29" s="523">
        <v>0</v>
      </c>
      <c r="BX29" s="523">
        <v>22.97</v>
      </c>
      <c r="BY29" s="523">
        <v>91.864000000000004</v>
      </c>
      <c r="BZ29" s="523"/>
      <c r="CA29" s="523"/>
      <c r="CB29" s="523"/>
      <c r="CC29" s="523"/>
      <c r="CD29" s="523"/>
      <c r="CE29" s="523"/>
      <c r="CF29" s="523"/>
      <c r="CG29" s="523"/>
      <c r="CH29" s="523"/>
      <c r="CI29" s="523">
        <f t="shared" si="2"/>
        <v>114.83</v>
      </c>
    </row>
    <row r="30" spans="1:87" ht="15" x14ac:dyDescent="0.2">
      <c r="A30" s="567" t="s">
        <v>1364</v>
      </c>
      <c r="B30" s="568">
        <v>53527</v>
      </c>
      <c r="C30" s="568" t="s">
        <v>1324</v>
      </c>
      <c r="D30" s="569" t="s">
        <v>1365</v>
      </c>
      <c r="E30" s="570" t="s">
        <v>48</v>
      </c>
      <c r="F30" s="577">
        <v>5.86</v>
      </c>
      <c r="G30" s="572">
        <v>20.57</v>
      </c>
      <c r="H30" s="570">
        <v>62.89</v>
      </c>
      <c r="I30" s="573">
        <f t="shared" si="3"/>
        <v>0</v>
      </c>
      <c r="J30" s="574">
        <f t="shared" si="4"/>
        <v>62.89</v>
      </c>
      <c r="K30" s="573">
        <f t="shared" si="5"/>
        <v>0</v>
      </c>
      <c r="L30" s="575">
        <f t="shared" si="7"/>
        <v>1293.6500000000001</v>
      </c>
      <c r="M30" s="575">
        <f t="shared" si="7"/>
        <v>0</v>
      </c>
      <c r="N30" s="575">
        <f t="shared" si="7"/>
        <v>1293.6500000000001</v>
      </c>
      <c r="O30" s="575">
        <f t="shared" si="7"/>
        <v>0</v>
      </c>
      <c r="P30" s="576">
        <f t="shared" si="0"/>
        <v>1</v>
      </c>
      <c r="Q30" s="525"/>
      <c r="S30" s="189">
        <v>0</v>
      </c>
      <c r="T30" s="189">
        <v>0</v>
      </c>
      <c r="BT30" s="525"/>
      <c r="BU30" s="523">
        <v>0</v>
      </c>
      <c r="BV30" s="523">
        <v>0</v>
      </c>
      <c r="BW30" s="523">
        <v>62.89</v>
      </c>
      <c r="BX30" s="523"/>
      <c r="BY30" s="523">
        <v>0</v>
      </c>
      <c r="BZ30" s="523"/>
      <c r="CA30" s="523"/>
      <c r="CB30" s="523"/>
      <c r="CC30" s="523"/>
      <c r="CD30" s="523"/>
      <c r="CE30" s="523"/>
      <c r="CF30" s="523"/>
      <c r="CG30" s="523"/>
      <c r="CH30" s="523"/>
      <c r="CI30" s="523">
        <f t="shared" si="2"/>
        <v>62.89</v>
      </c>
    </row>
    <row r="31" spans="1:87" s="514" customFormat="1" ht="15" x14ac:dyDescent="0.2">
      <c r="A31" s="567" t="s">
        <v>1366</v>
      </c>
      <c r="B31" s="568">
        <v>55835</v>
      </c>
      <c r="C31" s="568" t="s">
        <v>1324</v>
      </c>
      <c r="D31" s="569" t="s">
        <v>1367</v>
      </c>
      <c r="E31" s="570" t="s">
        <v>48</v>
      </c>
      <c r="F31" s="577">
        <v>59.37</v>
      </c>
      <c r="G31" s="572">
        <v>29.27</v>
      </c>
      <c r="H31" s="570">
        <v>22.5</v>
      </c>
      <c r="I31" s="573">
        <f t="shared" si="3"/>
        <v>0</v>
      </c>
      <c r="J31" s="574">
        <f t="shared" si="4"/>
        <v>0</v>
      </c>
      <c r="K31" s="573">
        <f t="shared" si="5"/>
        <v>22.5</v>
      </c>
      <c r="L31" s="575">
        <f t="shared" si="7"/>
        <v>658.58</v>
      </c>
      <c r="M31" s="575">
        <f t="shared" si="7"/>
        <v>0</v>
      </c>
      <c r="N31" s="575">
        <f t="shared" si="7"/>
        <v>0</v>
      </c>
      <c r="O31" s="575">
        <f t="shared" si="7"/>
        <v>658.58</v>
      </c>
      <c r="P31" s="576">
        <f t="shared" si="0"/>
        <v>0</v>
      </c>
      <c r="Q31" s="525"/>
      <c r="S31" s="190">
        <v>0</v>
      </c>
      <c r="T31" s="190">
        <v>1922.15</v>
      </c>
      <c r="BT31" s="525"/>
      <c r="BU31" s="523">
        <v>0</v>
      </c>
      <c r="BV31" s="523">
        <v>0</v>
      </c>
      <c r="BW31" s="523">
        <v>0</v>
      </c>
      <c r="BX31" s="523">
        <v>0</v>
      </c>
      <c r="BY31" s="523">
        <v>0</v>
      </c>
      <c r="BZ31" s="523"/>
      <c r="CA31" s="523"/>
      <c r="CB31" s="523"/>
      <c r="CC31" s="523"/>
      <c r="CD31" s="523"/>
      <c r="CE31" s="523"/>
      <c r="CF31" s="523"/>
      <c r="CG31" s="523"/>
      <c r="CH31" s="523"/>
      <c r="CI31" s="523">
        <f t="shared" si="2"/>
        <v>0</v>
      </c>
    </row>
    <row r="32" spans="1:87" s="514" customFormat="1" ht="15.75" x14ac:dyDescent="0.2">
      <c r="A32" s="556">
        <v>3</v>
      </c>
      <c r="B32" s="557"/>
      <c r="C32" s="557"/>
      <c r="D32" s="558" t="s">
        <v>1368</v>
      </c>
      <c r="E32" s="559"/>
      <c r="F32" s="560"/>
      <c r="G32" s="561"/>
      <c r="H32" s="561"/>
      <c r="I32" s="561"/>
      <c r="J32" s="561"/>
      <c r="K32" s="561"/>
      <c r="L32" s="579">
        <f>SUM(L33,L39)</f>
        <v>35418.720000000001</v>
      </c>
      <c r="M32" s="583">
        <f>SUM(M33,M39)</f>
        <v>-0.18000000000000002</v>
      </c>
      <c r="N32" s="579">
        <f>SUM(N33,N39)</f>
        <v>35418.720000000001</v>
      </c>
      <c r="O32" s="579">
        <f>SUM(O33,O39)</f>
        <v>0</v>
      </c>
      <c r="P32" s="566">
        <f t="shared" si="0"/>
        <v>1</v>
      </c>
      <c r="Q32" s="525" t="s">
        <v>2032</v>
      </c>
      <c r="S32" s="190">
        <v>0</v>
      </c>
      <c r="T32" s="190">
        <v>1242.5800000000002</v>
      </c>
      <c r="BT32" s="525"/>
      <c r="BU32" s="523">
        <v>0</v>
      </c>
      <c r="BV32" s="523">
        <v>0</v>
      </c>
      <c r="BW32" s="523">
        <v>679.56999999999994</v>
      </c>
      <c r="BX32" s="523">
        <v>504.28000000000003</v>
      </c>
      <c r="BY32" s="523">
        <v>727.32</v>
      </c>
      <c r="BZ32" s="523"/>
      <c r="CA32" s="523"/>
      <c r="CB32" s="523"/>
      <c r="CC32" s="523"/>
      <c r="CD32" s="523"/>
      <c r="CE32" s="523"/>
      <c r="CF32" s="523"/>
      <c r="CG32" s="523"/>
      <c r="CH32" s="523"/>
      <c r="CI32" s="523">
        <f t="shared" si="2"/>
        <v>1911.17</v>
      </c>
    </row>
    <row r="33" spans="1:87" ht="15.75" x14ac:dyDescent="0.2">
      <c r="A33" s="584" t="s">
        <v>41</v>
      </c>
      <c r="B33" s="585"/>
      <c r="C33" s="585"/>
      <c r="D33" s="586" t="s">
        <v>1369</v>
      </c>
      <c r="E33" s="587"/>
      <c r="F33" s="588"/>
      <c r="G33" s="589"/>
      <c r="H33" s="589"/>
      <c r="I33" s="589"/>
      <c r="J33" s="589"/>
      <c r="K33" s="589"/>
      <c r="L33" s="590">
        <f>SUM(L34:L38)</f>
        <v>16448.150000000001</v>
      </c>
      <c r="M33" s="591">
        <f>SUM(M34:M38)</f>
        <v>-0.18000000000000002</v>
      </c>
      <c r="N33" s="590">
        <f>SUM(N34:N38)</f>
        <v>16448.150000000001</v>
      </c>
      <c r="O33" s="590">
        <f>SUM(O34:O38)</f>
        <v>0</v>
      </c>
      <c r="P33" s="592">
        <f t="shared" si="0"/>
        <v>1</v>
      </c>
      <c r="Q33" s="525"/>
      <c r="S33" s="189">
        <v>0</v>
      </c>
      <c r="T33" s="189">
        <v>3.7699999999999996</v>
      </c>
      <c r="BT33" s="525"/>
      <c r="BU33" s="523">
        <v>0</v>
      </c>
      <c r="BV33" s="523">
        <v>0</v>
      </c>
      <c r="BW33" s="523">
        <v>0</v>
      </c>
      <c r="BX33" s="523">
        <v>504.28000000000003</v>
      </c>
      <c r="BY33" s="523">
        <v>727.32</v>
      </c>
      <c r="BZ33" s="523"/>
      <c r="CA33" s="523"/>
      <c r="CB33" s="523"/>
      <c r="CC33" s="523"/>
      <c r="CD33" s="523"/>
      <c r="CE33" s="523"/>
      <c r="CF33" s="523"/>
      <c r="CG33" s="523"/>
      <c r="CH33" s="523"/>
      <c r="CI33" s="523">
        <f t="shared" si="2"/>
        <v>1231.6000000000001</v>
      </c>
    </row>
    <row r="34" spans="1:87" ht="15.75" x14ac:dyDescent="0.2">
      <c r="A34" s="593" t="s">
        <v>43</v>
      </c>
      <c r="B34" s="568">
        <v>83532</v>
      </c>
      <c r="C34" s="568" t="s">
        <v>1324</v>
      </c>
      <c r="D34" s="569" t="s">
        <v>1370</v>
      </c>
      <c r="E34" s="570" t="s">
        <v>48</v>
      </c>
      <c r="F34" s="571"/>
      <c r="G34" s="572">
        <v>19.86</v>
      </c>
      <c r="H34" s="594">
        <v>3.77</v>
      </c>
      <c r="I34" s="573">
        <f t="shared" si="3"/>
        <v>0</v>
      </c>
      <c r="J34" s="574">
        <f t="shared" si="4"/>
        <v>3.77</v>
      </c>
      <c r="K34" s="573">
        <f t="shared" ref="K34:K44" si="8">H34-J34</f>
        <v>0</v>
      </c>
      <c r="L34" s="575">
        <f t="shared" ref="L34:O38" si="9">ROUND(H34*$G34,2)</f>
        <v>74.87</v>
      </c>
      <c r="M34" s="575">
        <f t="shared" si="9"/>
        <v>0</v>
      </c>
      <c r="N34" s="575">
        <f t="shared" si="9"/>
        <v>74.87</v>
      </c>
      <c r="O34" s="575">
        <f t="shared" si="9"/>
        <v>0</v>
      </c>
      <c r="P34" s="576">
        <f t="shared" si="0"/>
        <v>1</v>
      </c>
      <c r="Q34" s="525"/>
      <c r="S34" s="189">
        <v>0</v>
      </c>
      <c r="T34" s="189">
        <v>63.02</v>
      </c>
      <c r="BT34" s="525"/>
      <c r="BU34" s="523">
        <v>0</v>
      </c>
      <c r="BV34" s="523">
        <v>0</v>
      </c>
      <c r="BW34" s="523">
        <v>0</v>
      </c>
      <c r="BX34" s="523">
        <v>3.77</v>
      </c>
      <c r="BY34" s="523">
        <v>0</v>
      </c>
      <c r="BZ34" s="523"/>
      <c r="CA34" s="523"/>
      <c r="CB34" s="523"/>
      <c r="CC34" s="523"/>
      <c r="CD34" s="523"/>
      <c r="CE34" s="523"/>
      <c r="CF34" s="523"/>
      <c r="CG34" s="523"/>
      <c r="CH34" s="523"/>
      <c r="CI34" s="523">
        <f t="shared" si="2"/>
        <v>3.77</v>
      </c>
    </row>
    <row r="35" spans="1:87" ht="30" x14ac:dyDescent="0.2">
      <c r="A35" s="593" t="s">
        <v>45</v>
      </c>
      <c r="B35" s="568">
        <v>5970</v>
      </c>
      <c r="C35" s="568" t="s">
        <v>1324</v>
      </c>
      <c r="D35" s="569" t="s">
        <v>1371</v>
      </c>
      <c r="E35" s="570" t="s">
        <v>14</v>
      </c>
      <c r="F35" s="577">
        <v>60.66</v>
      </c>
      <c r="G35" s="572">
        <v>93.42</v>
      </c>
      <c r="H35" s="594">
        <v>63.02</v>
      </c>
      <c r="I35" s="573">
        <f t="shared" si="3"/>
        <v>-2E-3</v>
      </c>
      <c r="J35" s="574">
        <f t="shared" si="4"/>
        <v>63.019999999999996</v>
      </c>
      <c r="K35" s="581">
        <f t="shared" si="8"/>
        <v>0</v>
      </c>
      <c r="L35" s="575">
        <f t="shared" si="9"/>
        <v>5887.33</v>
      </c>
      <c r="M35" s="595">
        <f t="shared" si="9"/>
        <v>-0.19</v>
      </c>
      <c r="N35" s="575">
        <f t="shared" si="9"/>
        <v>5887.33</v>
      </c>
      <c r="O35" s="575">
        <f t="shared" si="9"/>
        <v>0</v>
      </c>
      <c r="P35" s="576">
        <f t="shared" si="0"/>
        <v>1</v>
      </c>
      <c r="Q35" s="525"/>
      <c r="S35" s="189">
        <v>0</v>
      </c>
      <c r="T35" s="189">
        <v>1094.27</v>
      </c>
      <c r="BT35" s="525"/>
      <c r="BU35" s="523">
        <v>-2E-3</v>
      </c>
      <c r="BV35" s="523">
        <v>0</v>
      </c>
      <c r="BW35" s="523">
        <v>0</v>
      </c>
      <c r="BX35" s="523">
        <v>25.21</v>
      </c>
      <c r="BY35" s="523">
        <v>37.811999999999998</v>
      </c>
      <c r="BZ35" s="523"/>
      <c r="CA35" s="523"/>
      <c r="CB35" s="523"/>
      <c r="CC35" s="523"/>
      <c r="CD35" s="523"/>
      <c r="CE35" s="523"/>
      <c r="CF35" s="523"/>
      <c r="CG35" s="523"/>
      <c r="CH35" s="523"/>
      <c r="CI35" s="523">
        <f t="shared" si="2"/>
        <v>63.019999999999996</v>
      </c>
    </row>
    <row r="36" spans="1:87" ht="30" x14ac:dyDescent="0.2">
      <c r="A36" s="593" t="s">
        <v>47</v>
      </c>
      <c r="B36" s="568">
        <v>92793</v>
      </c>
      <c r="C36" s="568" t="s">
        <v>1324</v>
      </c>
      <c r="D36" s="569" t="s">
        <v>1372</v>
      </c>
      <c r="E36" s="570" t="s">
        <v>35</v>
      </c>
      <c r="F36" s="577">
        <v>5.86</v>
      </c>
      <c r="G36" s="572">
        <v>4.6500000000000004</v>
      </c>
      <c r="H36" s="594">
        <v>1094.27</v>
      </c>
      <c r="I36" s="573">
        <f t="shared" si="3"/>
        <v>-2E-3</v>
      </c>
      <c r="J36" s="574">
        <f t="shared" si="4"/>
        <v>1094.27</v>
      </c>
      <c r="K36" s="581">
        <f t="shared" si="8"/>
        <v>0</v>
      </c>
      <c r="L36" s="575">
        <f t="shared" si="9"/>
        <v>5088.3599999999997</v>
      </c>
      <c r="M36" s="582">
        <f t="shared" si="9"/>
        <v>-0.01</v>
      </c>
      <c r="N36" s="575">
        <f t="shared" si="9"/>
        <v>5088.3599999999997</v>
      </c>
      <c r="O36" s="575">
        <f t="shared" si="9"/>
        <v>0</v>
      </c>
      <c r="P36" s="576">
        <f t="shared" si="0"/>
        <v>1</v>
      </c>
      <c r="Q36" s="525"/>
      <c r="S36" s="189">
        <v>0</v>
      </c>
      <c r="T36" s="189">
        <v>65.89</v>
      </c>
      <c r="BT36" s="525"/>
      <c r="BU36" s="523">
        <v>-2E-3</v>
      </c>
      <c r="BV36" s="523">
        <v>0</v>
      </c>
      <c r="BW36" s="523">
        <v>0</v>
      </c>
      <c r="BX36" s="532">
        <v>437.71000000000004</v>
      </c>
      <c r="BY36" s="532">
        <v>656.56200000000001</v>
      </c>
      <c r="BZ36" s="523"/>
      <c r="CA36" s="523"/>
      <c r="CB36" s="523"/>
      <c r="CC36" s="523"/>
      <c r="CD36" s="523"/>
      <c r="CE36" s="523"/>
      <c r="CF36" s="523"/>
      <c r="CG36" s="523"/>
      <c r="CH36" s="523"/>
      <c r="CI36" s="523">
        <f t="shared" si="2"/>
        <v>1094.27</v>
      </c>
    </row>
    <row r="37" spans="1:87" ht="30" x14ac:dyDescent="0.2">
      <c r="A37" s="593" t="s">
        <v>49</v>
      </c>
      <c r="B37" s="568">
        <v>92791</v>
      </c>
      <c r="C37" s="568" t="s">
        <v>1324</v>
      </c>
      <c r="D37" s="569" t="s">
        <v>1373</v>
      </c>
      <c r="E37" s="570" t="s">
        <v>35</v>
      </c>
      <c r="F37" s="577">
        <v>302.64</v>
      </c>
      <c r="G37" s="572">
        <v>6.11</v>
      </c>
      <c r="H37" s="594">
        <v>54.91</v>
      </c>
      <c r="I37" s="573">
        <f t="shared" si="3"/>
        <v>4.0000000000000001E-3</v>
      </c>
      <c r="J37" s="574">
        <f t="shared" si="4"/>
        <v>54.91</v>
      </c>
      <c r="K37" s="596">
        <f t="shared" si="8"/>
        <v>0</v>
      </c>
      <c r="L37" s="575">
        <f t="shared" si="9"/>
        <v>335.5</v>
      </c>
      <c r="M37" s="582">
        <f t="shared" si="9"/>
        <v>0.02</v>
      </c>
      <c r="N37" s="575">
        <f t="shared" si="9"/>
        <v>335.5</v>
      </c>
      <c r="O37" s="575">
        <f t="shared" si="9"/>
        <v>0</v>
      </c>
      <c r="P37" s="576">
        <f t="shared" si="0"/>
        <v>1</v>
      </c>
      <c r="Q37" s="525"/>
      <c r="S37" s="189">
        <v>0</v>
      </c>
      <c r="T37" s="189">
        <v>15.630000000000003</v>
      </c>
      <c r="BT37" s="525"/>
      <c r="BU37" s="523">
        <v>4.0000000000000001E-3</v>
      </c>
      <c r="BV37" s="523">
        <v>0</v>
      </c>
      <c r="BW37" s="523">
        <v>0</v>
      </c>
      <c r="BX37" s="532">
        <v>21.959999999999994</v>
      </c>
      <c r="BY37" s="532">
        <v>32.945999999999998</v>
      </c>
      <c r="BZ37" s="523"/>
      <c r="CA37" s="523"/>
      <c r="CB37" s="523"/>
      <c r="CC37" s="523"/>
      <c r="CD37" s="523"/>
      <c r="CE37" s="523"/>
      <c r="CF37" s="523"/>
      <c r="CG37" s="523"/>
      <c r="CH37" s="523"/>
      <c r="CI37" s="523">
        <f t="shared" si="2"/>
        <v>54.91</v>
      </c>
    </row>
    <row r="38" spans="1:87" s="514" customFormat="1" ht="30" x14ac:dyDescent="0.2">
      <c r="A38" s="593" t="s">
        <v>1374</v>
      </c>
      <c r="B38" s="568">
        <v>92720</v>
      </c>
      <c r="C38" s="568" t="s">
        <v>1324</v>
      </c>
      <c r="D38" s="569" t="s">
        <v>1375</v>
      </c>
      <c r="E38" s="570" t="s">
        <v>48</v>
      </c>
      <c r="F38" s="577">
        <v>135.94</v>
      </c>
      <c r="G38" s="572">
        <v>323.87</v>
      </c>
      <c r="H38" s="594">
        <v>15.63</v>
      </c>
      <c r="I38" s="573">
        <f t="shared" si="3"/>
        <v>0</v>
      </c>
      <c r="J38" s="574">
        <f t="shared" si="4"/>
        <v>15.63</v>
      </c>
      <c r="K38" s="573">
        <f t="shared" si="8"/>
        <v>0</v>
      </c>
      <c r="L38" s="575">
        <f t="shared" si="9"/>
        <v>5062.09</v>
      </c>
      <c r="M38" s="575">
        <f t="shared" si="9"/>
        <v>0</v>
      </c>
      <c r="N38" s="575">
        <f t="shared" si="9"/>
        <v>5062.09</v>
      </c>
      <c r="O38" s="575">
        <f t="shared" si="9"/>
        <v>0</v>
      </c>
      <c r="P38" s="576">
        <f t="shared" si="0"/>
        <v>1</v>
      </c>
      <c r="Q38" s="525"/>
      <c r="S38" s="190">
        <v>0</v>
      </c>
      <c r="T38" s="190">
        <v>679.56999999999994</v>
      </c>
      <c r="BT38" s="525"/>
      <c r="BU38" s="523">
        <v>0</v>
      </c>
      <c r="BV38" s="523">
        <v>0</v>
      </c>
      <c r="BW38" s="523">
        <v>0</v>
      </c>
      <c r="BX38" s="523">
        <v>15.63</v>
      </c>
      <c r="BY38" s="523">
        <v>0</v>
      </c>
      <c r="BZ38" s="523"/>
      <c r="CA38" s="523"/>
      <c r="CB38" s="523"/>
      <c r="CC38" s="523"/>
      <c r="CD38" s="523"/>
      <c r="CE38" s="523"/>
      <c r="CF38" s="523"/>
      <c r="CG38" s="523"/>
      <c r="CH38" s="523"/>
      <c r="CI38" s="523">
        <f t="shared" si="2"/>
        <v>15.63</v>
      </c>
    </row>
    <row r="39" spans="1:87" ht="15.75" x14ac:dyDescent="0.2">
      <c r="A39" s="584" t="s">
        <v>50</v>
      </c>
      <c r="B39" s="585"/>
      <c r="C39" s="585"/>
      <c r="D39" s="586" t="s">
        <v>1376</v>
      </c>
      <c r="E39" s="587"/>
      <c r="F39" s="588"/>
      <c r="G39" s="589"/>
      <c r="H39" s="597"/>
      <c r="I39" s="598">
        <f t="shared" si="3"/>
        <v>0</v>
      </c>
      <c r="J39" s="599"/>
      <c r="K39" s="598">
        <v>0</v>
      </c>
      <c r="L39" s="589">
        <f>SUM(L40:L44)</f>
        <v>18970.57</v>
      </c>
      <c r="M39" s="589">
        <f>SUM(M40:M44)</f>
        <v>0</v>
      </c>
      <c r="N39" s="589">
        <f>SUM(N40:N44)</f>
        <v>18970.57</v>
      </c>
      <c r="O39" s="589">
        <f>SUM(O40:O44)</f>
        <v>0</v>
      </c>
      <c r="P39" s="592">
        <f t="shared" si="0"/>
        <v>1</v>
      </c>
      <c r="Q39" s="525"/>
      <c r="S39" s="189">
        <v>0</v>
      </c>
      <c r="T39" s="189">
        <v>2.58</v>
      </c>
      <c r="BT39" s="525"/>
      <c r="BU39" s="523">
        <v>0</v>
      </c>
      <c r="BV39" s="523">
        <v>0</v>
      </c>
      <c r="BW39" s="523">
        <v>679.56999999999994</v>
      </c>
      <c r="BX39" s="523">
        <v>0</v>
      </c>
      <c r="BY39" s="523">
        <v>0</v>
      </c>
      <c r="BZ39" s="523"/>
      <c r="CA39" s="523"/>
      <c r="CB39" s="523"/>
      <c r="CC39" s="523"/>
      <c r="CD39" s="523"/>
      <c r="CE39" s="523"/>
      <c r="CF39" s="523"/>
      <c r="CG39" s="523"/>
      <c r="CH39" s="523"/>
      <c r="CI39" s="523">
        <f t="shared" si="2"/>
        <v>679.56999999999994</v>
      </c>
    </row>
    <row r="40" spans="1:87" ht="15" x14ac:dyDescent="0.2">
      <c r="A40" s="567" t="s">
        <v>52</v>
      </c>
      <c r="B40" s="568">
        <v>83532</v>
      </c>
      <c r="C40" s="568" t="s">
        <v>1324</v>
      </c>
      <c r="D40" s="569" t="s">
        <v>1370</v>
      </c>
      <c r="E40" s="570" t="s">
        <v>48</v>
      </c>
      <c r="F40" s="577">
        <v>60.66</v>
      </c>
      <c r="G40" s="572">
        <v>19.86</v>
      </c>
      <c r="H40" s="594">
        <v>2.58</v>
      </c>
      <c r="I40" s="573">
        <f t="shared" si="3"/>
        <v>0</v>
      </c>
      <c r="J40" s="574">
        <f t="shared" si="4"/>
        <v>2.58</v>
      </c>
      <c r="K40" s="573">
        <f t="shared" si="8"/>
        <v>0</v>
      </c>
      <c r="L40" s="575">
        <f t="shared" ref="L40:O44" si="10">ROUND(H40*$G40,2)</f>
        <v>51.24</v>
      </c>
      <c r="M40" s="575">
        <f t="shared" si="10"/>
        <v>0</v>
      </c>
      <c r="N40" s="575">
        <f t="shared" si="10"/>
        <v>51.24</v>
      </c>
      <c r="O40" s="575">
        <f t="shared" si="10"/>
        <v>0</v>
      </c>
      <c r="P40" s="576">
        <f t="shared" si="0"/>
        <v>1</v>
      </c>
      <c r="Q40" s="525"/>
      <c r="S40" s="189">
        <v>0</v>
      </c>
      <c r="T40" s="189">
        <v>139.57</v>
      </c>
      <c r="BT40" s="525"/>
      <c r="BU40" s="523">
        <v>0</v>
      </c>
      <c r="BV40" s="523">
        <v>0</v>
      </c>
      <c r="BW40" s="523">
        <v>2.58</v>
      </c>
      <c r="BX40" s="523">
        <v>0</v>
      </c>
      <c r="BY40" s="523">
        <v>0</v>
      </c>
      <c r="BZ40" s="523"/>
      <c r="CA40" s="523"/>
      <c r="CB40" s="523"/>
      <c r="CC40" s="523"/>
      <c r="CD40" s="523"/>
      <c r="CE40" s="523"/>
      <c r="CF40" s="523"/>
      <c r="CG40" s="523"/>
      <c r="CH40" s="523"/>
      <c r="CI40" s="523">
        <f t="shared" si="2"/>
        <v>2.58</v>
      </c>
    </row>
    <row r="41" spans="1:87" ht="30" x14ac:dyDescent="0.2">
      <c r="A41" s="567" t="s">
        <v>53</v>
      </c>
      <c r="B41" s="568">
        <v>5970</v>
      </c>
      <c r="C41" s="568" t="s">
        <v>1324</v>
      </c>
      <c r="D41" s="569" t="s">
        <v>1371</v>
      </c>
      <c r="E41" s="570" t="s">
        <v>14</v>
      </c>
      <c r="F41" s="577">
        <v>5.86</v>
      </c>
      <c r="G41" s="572">
        <v>93.42</v>
      </c>
      <c r="H41" s="594">
        <v>139.57</v>
      </c>
      <c r="I41" s="573">
        <f t="shared" si="3"/>
        <v>0</v>
      </c>
      <c r="J41" s="574">
        <f t="shared" si="4"/>
        <v>139.57</v>
      </c>
      <c r="K41" s="573">
        <f t="shared" si="8"/>
        <v>0</v>
      </c>
      <c r="L41" s="575">
        <f t="shared" si="10"/>
        <v>13038.63</v>
      </c>
      <c r="M41" s="575">
        <f t="shared" si="10"/>
        <v>0</v>
      </c>
      <c r="N41" s="575">
        <f t="shared" si="10"/>
        <v>13038.63</v>
      </c>
      <c r="O41" s="575">
        <f t="shared" si="10"/>
        <v>0</v>
      </c>
      <c r="P41" s="576">
        <f t="shared" si="0"/>
        <v>1</v>
      </c>
      <c r="Q41" s="525"/>
      <c r="S41" s="189">
        <v>0</v>
      </c>
      <c r="T41" s="189">
        <v>389.64</v>
      </c>
      <c r="BT41" s="525"/>
      <c r="BU41" s="523">
        <v>0</v>
      </c>
      <c r="BV41" s="523">
        <v>0</v>
      </c>
      <c r="BW41" s="523">
        <v>139.57</v>
      </c>
      <c r="BX41" s="523">
        <v>0</v>
      </c>
      <c r="BY41" s="523">
        <v>0</v>
      </c>
      <c r="BZ41" s="523"/>
      <c r="CA41" s="523"/>
      <c r="CB41" s="523"/>
      <c r="CC41" s="523"/>
      <c r="CD41" s="523"/>
      <c r="CE41" s="523"/>
      <c r="CF41" s="523"/>
      <c r="CG41" s="523"/>
      <c r="CH41" s="523"/>
      <c r="CI41" s="523">
        <f t="shared" si="2"/>
        <v>139.57</v>
      </c>
    </row>
    <row r="42" spans="1:87" ht="30" x14ac:dyDescent="0.2">
      <c r="A42" s="567" t="s">
        <v>54</v>
      </c>
      <c r="B42" s="568">
        <v>92793</v>
      </c>
      <c r="C42" s="568" t="s">
        <v>1324</v>
      </c>
      <c r="D42" s="569" t="s">
        <v>1372</v>
      </c>
      <c r="E42" s="570" t="s">
        <v>35</v>
      </c>
      <c r="F42" s="577">
        <v>302.64</v>
      </c>
      <c r="G42" s="572">
        <v>4.6500000000000004</v>
      </c>
      <c r="H42" s="594">
        <v>389.64</v>
      </c>
      <c r="I42" s="573">
        <f t="shared" si="3"/>
        <v>0</v>
      </c>
      <c r="J42" s="574">
        <f t="shared" si="4"/>
        <v>389.64</v>
      </c>
      <c r="K42" s="573">
        <f t="shared" si="8"/>
        <v>0</v>
      </c>
      <c r="L42" s="575">
        <f t="shared" si="10"/>
        <v>1811.83</v>
      </c>
      <c r="M42" s="575">
        <f t="shared" si="10"/>
        <v>0</v>
      </c>
      <c r="N42" s="575">
        <f t="shared" si="10"/>
        <v>1811.83</v>
      </c>
      <c r="O42" s="575">
        <f t="shared" si="10"/>
        <v>0</v>
      </c>
      <c r="P42" s="576">
        <f t="shared" si="0"/>
        <v>1</v>
      </c>
      <c r="Q42" s="525"/>
      <c r="S42" s="189">
        <v>0</v>
      </c>
      <c r="T42" s="189">
        <v>137.72999999999999</v>
      </c>
      <c r="BT42" s="525"/>
      <c r="BU42" s="523">
        <v>0</v>
      </c>
      <c r="BV42" s="523">
        <v>0</v>
      </c>
      <c r="BW42" s="523">
        <v>389.64</v>
      </c>
      <c r="BX42" s="523">
        <v>0</v>
      </c>
      <c r="BY42" s="523">
        <v>0</v>
      </c>
      <c r="BZ42" s="523"/>
      <c r="CA42" s="523"/>
      <c r="CB42" s="523"/>
      <c r="CC42" s="523"/>
      <c r="CD42" s="523"/>
      <c r="CE42" s="523"/>
      <c r="CF42" s="523"/>
      <c r="CG42" s="523"/>
      <c r="CH42" s="523"/>
      <c r="CI42" s="523">
        <f t="shared" si="2"/>
        <v>389.64</v>
      </c>
    </row>
    <row r="43" spans="1:87" ht="30" x14ac:dyDescent="0.2">
      <c r="A43" s="567" t="s">
        <v>55</v>
      </c>
      <c r="B43" s="568">
        <v>92791</v>
      </c>
      <c r="C43" s="568" t="s">
        <v>1324</v>
      </c>
      <c r="D43" s="569" t="s">
        <v>1373</v>
      </c>
      <c r="E43" s="570" t="s">
        <v>35</v>
      </c>
      <c r="F43" s="577">
        <v>135.94</v>
      </c>
      <c r="G43" s="572">
        <v>5.91</v>
      </c>
      <c r="H43" s="594">
        <v>137.72999999999999</v>
      </c>
      <c r="I43" s="573">
        <f t="shared" si="3"/>
        <v>0</v>
      </c>
      <c r="J43" s="574">
        <f t="shared" si="4"/>
        <v>137.72999999999999</v>
      </c>
      <c r="K43" s="573">
        <f t="shared" si="8"/>
        <v>0</v>
      </c>
      <c r="L43" s="575">
        <f t="shared" si="10"/>
        <v>813.98</v>
      </c>
      <c r="M43" s="575">
        <f t="shared" si="10"/>
        <v>0</v>
      </c>
      <c r="N43" s="575">
        <f t="shared" si="10"/>
        <v>813.98</v>
      </c>
      <c r="O43" s="575">
        <f t="shared" si="10"/>
        <v>0</v>
      </c>
      <c r="P43" s="576">
        <f t="shared" si="0"/>
        <v>1</v>
      </c>
      <c r="Q43" s="525"/>
      <c r="S43" s="189">
        <v>0</v>
      </c>
      <c r="T43" s="189">
        <v>10.050000000000001</v>
      </c>
      <c r="BT43" s="525"/>
      <c r="BU43" s="523">
        <v>0</v>
      </c>
      <c r="BV43" s="523">
        <v>0</v>
      </c>
      <c r="BW43" s="523">
        <v>137.72999999999999</v>
      </c>
      <c r="BX43" s="523">
        <v>0</v>
      </c>
      <c r="BY43" s="523">
        <v>0</v>
      </c>
      <c r="BZ43" s="523"/>
      <c r="CA43" s="523"/>
      <c r="CB43" s="523"/>
      <c r="CC43" s="523"/>
      <c r="CD43" s="523"/>
      <c r="CE43" s="523"/>
      <c r="CF43" s="523"/>
      <c r="CG43" s="523"/>
      <c r="CH43" s="523"/>
      <c r="CI43" s="523">
        <f t="shared" si="2"/>
        <v>137.72999999999999</v>
      </c>
    </row>
    <row r="44" spans="1:87" s="517" customFormat="1" ht="30" x14ac:dyDescent="0.2">
      <c r="A44" s="567" t="s">
        <v>1377</v>
      </c>
      <c r="B44" s="568">
        <v>92720</v>
      </c>
      <c r="C44" s="568" t="s">
        <v>1324</v>
      </c>
      <c r="D44" s="569" t="s">
        <v>1375</v>
      </c>
      <c r="E44" s="570" t="s">
        <v>48</v>
      </c>
      <c r="F44" s="571"/>
      <c r="G44" s="572">
        <v>323.87</v>
      </c>
      <c r="H44" s="594">
        <v>10.050000000000001</v>
      </c>
      <c r="I44" s="573">
        <f t="shared" si="3"/>
        <v>0</v>
      </c>
      <c r="J44" s="574">
        <f t="shared" si="4"/>
        <v>10.050000000000001</v>
      </c>
      <c r="K44" s="573">
        <f t="shared" si="8"/>
        <v>0</v>
      </c>
      <c r="L44" s="575">
        <f t="shared" si="10"/>
        <v>3254.89</v>
      </c>
      <c r="M44" s="575">
        <f t="shared" si="10"/>
        <v>0</v>
      </c>
      <c r="N44" s="575">
        <f t="shared" si="10"/>
        <v>3254.89</v>
      </c>
      <c r="O44" s="575">
        <f t="shared" si="10"/>
        <v>0</v>
      </c>
      <c r="P44" s="576">
        <f t="shared" si="0"/>
        <v>1</v>
      </c>
      <c r="Q44" s="525"/>
      <c r="S44" s="191">
        <v>0</v>
      </c>
      <c r="T44" s="191">
        <v>0</v>
      </c>
      <c r="BT44" s="525"/>
      <c r="BU44" s="523">
        <v>0</v>
      </c>
      <c r="BV44" s="523">
        <v>0</v>
      </c>
      <c r="BW44" s="523">
        <v>10.050000000000001</v>
      </c>
      <c r="BX44" s="523">
        <v>0</v>
      </c>
      <c r="BY44" s="523">
        <v>0</v>
      </c>
      <c r="BZ44" s="523"/>
      <c r="CA44" s="523"/>
      <c r="CB44" s="523"/>
      <c r="CC44" s="523"/>
      <c r="CD44" s="523"/>
      <c r="CE44" s="523"/>
      <c r="CF44" s="523"/>
      <c r="CG44" s="523"/>
      <c r="CH44" s="523"/>
      <c r="CI44" s="523">
        <f t="shared" si="2"/>
        <v>10.050000000000001</v>
      </c>
    </row>
    <row r="45" spans="1:87" s="517" customFormat="1" ht="15.75" x14ac:dyDescent="0.2">
      <c r="A45" s="600">
        <v>4</v>
      </c>
      <c r="B45" s="601"/>
      <c r="C45" s="601"/>
      <c r="D45" s="602" t="s">
        <v>1378</v>
      </c>
      <c r="E45" s="559"/>
      <c r="F45" s="560"/>
      <c r="G45" s="561"/>
      <c r="H45" s="562"/>
      <c r="I45" s="563">
        <f t="shared" si="3"/>
        <v>0</v>
      </c>
      <c r="J45" s="564"/>
      <c r="K45" s="563"/>
      <c r="L45" s="603">
        <f>SUM(L46,L51,L57,L62,L67)</f>
        <v>88897.260000000009</v>
      </c>
      <c r="M45" s="603">
        <f>SUM(M46,M51,M57,M62,M67)</f>
        <v>3819.8599999999997</v>
      </c>
      <c r="N45" s="603">
        <f>SUM(N46,N51,N57,N62,N67)</f>
        <v>47140.009999999995</v>
      </c>
      <c r="O45" s="603">
        <f>SUM(O46,O51,O57,O62,O67)</f>
        <v>41757.25</v>
      </c>
      <c r="P45" s="604">
        <f t="shared" si="0"/>
        <v>0.53027517383550393</v>
      </c>
      <c r="Q45" s="525"/>
      <c r="S45" s="191">
        <v>0</v>
      </c>
      <c r="T45" s="191">
        <v>0</v>
      </c>
      <c r="BT45" s="525"/>
      <c r="BU45" s="523">
        <v>0</v>
      </c>
      <c r="BV45" s="523">
        <v>354.95380799999998</v>
      </c>
      <c r="BW45" s="523"/>
      <c r="BX45" s="523"/>
      <c r="BY45" s="523"/>
      <c r="BZ45" s="523"/>
      <c r="CA45" s="523"/>
      <c r="CB45" s="523"/>
      <c r="CC45" s="523"/>
      <c r="CD45" s="523"/>
      <c r="CE45" s="523"/>
      <c r="CF45" s="523"/>
      <c r="CG45" s="523"/>
      <c r="CH45" s="523"/>
      <c r="CI45" s="523">
        <f t="shared" si="2"/>
        <v>354.95380799999998</v>
      </c>
    </row>
    <row r="46" spans="1:87" s="110" customFormat="1" ht="15.75" x14ac:dyDescent="0.2">
      <c r="A46" s="605" t="s">
        <v>74</v>
      </c>
      <c r="B46" s="606"/>
      <c r="C46" s="606"/>
      <c r="D46" s="607" t="s">
        <v>1379</v>
      </c>
      <c r="E46" s="608"/>
      <c r="F46" s="587">
        <f>SUM(F47:F50)</f>
        <v>499.24</v>
      </c>
      <c r="G46" s="609"/>
      <c r="H46" s="608"/>
      <c r="I46" s="599">
        <f t="shared" si="3"/>
        <v>0</v>
      </c>
      <c r="J46" s="599"/>
      <c r="K46" s="599">
        <v>0</v>
      </c>
      <c r="L46" s="610">
        <f>SUM(L47:L50)</f>
        <v>17368.48</v>
      </c>
      <c r="M46" s="610">
        <f>SUM(M47:M50)</f>
        <v>3413.1299999999997</v>
      </c>
      <c r="N46" s="610">
        <f>SUM(N47:N50)</f>
        <v>16680.07</v>
      </c>
      <c r="O46" s="610">
        <f>SUM(O47:O50)</f>
        <v>688.41000000000008</v>
      </c>
      <c r="P46" s="611">
        <f t="shared" si="0"/>
        <v>0.96036440724807237</v>
      </c>
      <c r="Q46" s="525"/>
      <c r="S46" s="192">
        <v>22.81</v>
      </c>
      <c r="T46" s="192">
        <v>126.72</v>
      </c>
      <c r="BT46" s="525"/>
      <c r="BU46" s="523">
        <v>0</v>
      </c>
      <c r="BV46" s="523">
        <v>132.10999999999999</v>
      </c>
      <c r="BW46" s="523"/>
      <c r="BX46" s="523"/>
      <c r="BY46" s="523"/>
      <c r="BZ46" s="523"/>
      <c r="CA46" s="523"/>
      <c r="CB46" s="523"/>
      <c r="CC46" s="523"/>
      <c r="CD46" s="523"/>
      <c r="CE46" s="523"/>
      <c r="CF46" s="523"/>
      <c r="CG46" s="523"/>
      <c r="CH46" s="523"/>
      <c r="CI46" s="523">
        <f t="shared" si="2"/>
        <v>132.10999999999999</v>
      </c>
    </row>
    <row r="47" spans="1:87" s="110" customFormat="1" ht="30" x14ac:dyDescent="0.2">
      <c r="A47" s="612" t="s">
        <v>76</v>
      </c>
      <c r="B47" s="613">
        <v>92448</v>
      </c>
      <c r="C47" s="613" t="s">
        <v>1324</v>
      </c>
      <c r="D47" s="614" t="s">
        <v>1380</v>
      </c>
      <c r="E47" s="615" t="s">
        <v>14</v>
      </c>
      <c r="F47" s="577">
        <v>302.64</v>
      </c>
      <c r="G47" s="616">
        <v>93.42</v>
      </c>
      <c r="H47" s="615">
        <v>126.72</v>
      </c>
      <c r="I47" s="573">
        <f t="shared" si="3"/>
        <v>22.809799999999996</v>
      </c>
      <c r="J47" s="574">
        <f t="shared" si="4"/>
        <v>126.72</v>
      </c>
      <c r="K47" s="573">
        <f t="shared" ref="K47:K56" si="11">H47-J47</f>
        <v>0</v>
      </c>
      <c r="L47" s="575">
        <f t="shared" ref="L47:O50" si="12">ROUND(H47*$G47,2)</f>
        <v>11838.18</v>
      </c>
      <c r="M47" s="575">
        <f t="shared" si="12"/>
        <v>2130.89</v>
      </c>
      <c r="N47" s="575">
        <f t="shared" si="12"/>
        <v>11838.18</v>
      </c>
      <c r="O47" s="575">
        <f t="shared" si="12"/>
        <v>0</v>
      </c>
      <c r="P47" s="617">
        <f t="shared" si="0"/>
        <v>1</v>
      </c>
      <c r="Q47" s="525"/>
      <c r="S47" s="192">
        <v>78.55</v>
      </c>
      <c r="T47" s="192">
        <v>428.55</v>
      </c>
      <c r="BT47" s="525"/>
      <c r="BU47" s="523">
        <f>126.72-103.9102</f>
        <v>22.809799999999996</v>
      </c>
      <c r="BV47" s="523">
        <v>103.9102</v>
      </c>
      <c r="BW47" s="523">
        <v>0</v>
      </c>
      <c r="BX47" s="523">
        <v>0</v>
      </c>
      <c r="BY47" s="523"/>
      <c r="BZ47" s="523"/>
      <c r="CA47" s="523"/>
      <c r="CB47" s="523"/>
      <c r="CC47" s="523"/>
      <c r="CD47" s="523"/>
      <c r="CE47" s="523"/>
      <c r="CF47" s="523"/>
      <c r="CG47" s="523"/>
      <c r="CH47" s="523"/>
      <c r="CI47" s="523">
        <f t="shared" si="2"/>
        <v>126.72</v>
      </c>
    </row>
    <row r="48" spans="1:87" s="110" customFormat="1" ht="30" x14ac:dyDescent="0.2">
      <c r="A48" s="612" t="s">
        <v>79</v>
      </c>
      <c r="B48" s="613">
        <v>92793</v>
      </c>
      <c r="C48" s="613" t="s">
        <v>1324</v>
      </c>
      <c r="D48" s="614" t="s">
        <v>1372</v>
      </c>
      <c r="E48" s="615" t="s">
        <v>35</v>
      </c>
      <c r="F48" s="577">
        <v>135.94</v>
      </c>
      <c r="G48" s="616">
        <v>4.6500000000000004</v>
      </c>
      <c r="H48" s="615">
        <v>428.55</v>
      </c>
      <c r="I48" s="573">
        <f t="shared" si="3"/>
        <v>57.2</v>
      </c>
      <c r="J48" s="574">
        <f t="shared" si="4"/>
        <v>407.2</v>
      </c>
      <c r="K48" s="573">
        <f t="shared" si="11"/>
        <v>21.350000000000023</v>
      </c>
      <c r="L48" s="575">
        <f t="shared" si="12"/>
        <v>1992.76</v>
      </c>
      <c r="M48" s="575">
        <f t="shared" si="12"/>
        <v>265.98</v>
      </c>
      <c r="N48" s="575">
        <f t="shared" si="12"/>
        <v>1893.48</v>
      </c>
      <c r="O48" s="575">
        <f t="shared" si="12"/>
        <v>99.28</v>
      </c>
      <c r="P48" s="617">
        <f t="shared" si="0"/>
        <v>0.95017965033420981</v>
      </c>
      <c r="Q48" s="525"/>
      <c r="S48" s="192">
        <v>23.16</v>
      </c>
      <c r="T48" s="192">
        <v>127.36</v>
      </c>
      <c r="BT48" s="525"/>
      <c r="BU48" s="523">
        <v>57.2</v>
      </c>
      <c r="BV48" s="523">
        <v>0</v>
      </c>
      <c r="BW48" s="523">
        <v>350</v>
      </c>
      <c r="BX48" s="523">
        <v>0</v>
      </c>
      <c r="BY48" s="523"/>
      <c r="BZ48" s="523"/>
      <c r="CA48" s="523"/>
      <c r="CB48" s="523"/>
      <c r="CC48" s="523"/>
      <c r="CD48" s="523"/>
      <c r="CE48" s="523"/>
      <c r="CF48" s="523"/>
      <c r="CG48" s="523"/>
      <c r="CH48" s="523"/>
      <c r="CI48" s="523">
        <f t="shared" si="2"/>
        <v>407.2</v>
      </c>
    </row>
    <row r="49" spans="1:87" s="110" customFormat="1" ht="30" x14ac:dyDescent="0.2">
      <c r="A49" s="612" t="s">
        <v>83</v>
      </c>
      <c r="B49" s="613">
        <v>92791</v>
      </c>
      <c r="C49" s="613" t="s">
        <v>1324</v>
      </c>
      <c r="D49" s="614" t="s">
        <v>1373</v>
      </c>
      <c r="E49" s="615" t="s">
        <v>35</v>
      </c>
      <c r="F49" s="571"/>
      <c r="G49" s="616">
        <v>6.11</v>
      </c>
      <c r="H49" s="615">
        <v>127.36</v>
      </c>
      <c r="I49" s="573">
        <f t="shared" si="3"/>
        <v>16.850000000000001</v>
      </c>
      <c r="J49" s="574">
        <f t="shared" si="4"/>
        <v>121.05</v>
      </c>
      <c r="K49" s="573">
        <f t="shared" si="11"/>
        <v>6.3100000000000023</v>
      </c>
      <c r="L49" s="575">
        <f t="shared" si="12"/>
        <v>778.17</v>
      </c>
      <c r="M49" s="575">
        <f t="shared" si="12"/>
        <v>102.95</v>
      </c>
      <c r="N49" s="575">
        <f t="shared" si="12"/>
        <v>739.62</v>
      </c>
      <c r="O49" s="575">
        <f t="shared" si="12"/>
        <v>38.549999999999997</v>
      </c>
      <c r="P49" s="617">
        <f t="shared" si="0"/>
        <v>0.95046069624889173</v>
      </c>
      <c r="Q49" s="525"/>
      <c r="S49" s="192">
        <v>4.5199999999999996</v>
      </c>
      <c r="T49" s="192">
        <v>8.52</v>
      </c>
      <c r="BT49" s="525"/>
      <c r="BU49" s="523">
        <v>16.850000000000001</v>
      </c>
      <c r="BV49" s="523">
        <v>24.2</v>
      </c>
      <c r="BW49" s="523">
        <v>80</v>
      </c>
      <c r="BX49" s="523">
        <v>0</v>
      </c>
      <c r="BY49" s="523"/>
      <c r="BZ49" s="523"/>
      <c r="CA49" s="523"/>
      <c r="CB49" s="523"/>
      <c r="CC49" s="523"/>
      <c r="CD49" s="523"/>
      <c r="CE49" s="523"/>
      <c r="CF49" s="523"/>
      <c r="CG49" s="523"/>
      <c r="CH49" s="523"/>
      <c r="CI49" s="523">
        <f t="shared" si="2"/>
        <v>121.05</v>
      </c>
    </row>
    <row r="50" spans="1:87" s="517" customFormat="1" ht="30" x14ac:dyDescent="0.2">
      <c r="A50" s="612" t="s">
        <v>86</v>
      </c>
      <c r="B50" s="613">
        <v>92720</v>
      </c>
      <c r="C50" s="613" t="s">
        <v>1324</v>
      </c>
      <c r="D50" s="614" t="s">
        <v>1375</v>
      </c>
      <c r="E50" s="615" t="s">
        <v>48</v>
      </c>
      <c r="F50" s="577">
        <v>60.66</v>
      </c>
      <c r="G50" s="616">
        <v>323.87</v>
      </c>
      <c r="H50" s="615">
        <v>8.52</v>
      </c>
      <c r="I50" s="573">
        <f t="shared" si="3"/>
        <v>2.82</v>
      </c>
      <c r="J50" s="574">
        <f t="shared" si="4"/>
        <v>6.82</v>
      </c>
      <c r="K50" s="573">
        <f t="shared" si="11"/>
        <v>1.6999999999999993</v>
      </c>
      <c r="L50" s="575">
        <f t="shared" si="12"/>
        <v>2759.37</v>
      </c>
      <c r="M50" s="575">
        <f t="shared" si="12"/>
        <v>913.31</v>
      </c>
      <c r="N50" s="575">
        <f t="shared" si="12"/>
        <v>2208.79</v>
      </c>
      <c r="O50" s="575">
        <f t="shared" si="12"/>
        <v>550.58000000000004</v>
      </c>
      <c r="P50" s="617">
        <f t="shared" si="0"/>
        <v>0.80046894762210219</v>
      </c>
      <c r="Q50" s="525"/>
      <c r="S50" s="191">
        <v>0</v>
      </c>
      <c r="T50" s="191">
        <v>0</v>
      </c>
      <c r="BT50" s="525"/>
      <c r="BU50" s="523">
        <v>2.82</v>
      </c>
      <c r="BV50" s="523">
        <v>4</v>
      </c>
      <c r="BW50" s="523">
        <v>0</v>
      </c>
      <c r="BX50" s="523">
        <v>0</v>
      </c>
      <c r="BY50" s="523"/>
      <c r="BZ50" s="523"/>
      <c r="CA50" s="523"/>
      <c r="CB50" s="523"/>
      <c r="CC50" s="523"/>
      <c r="CD50" s="523"/>
      <c r="CE50" s="523"/>
      <c r="CF50" s="523"/>
      <c r="CG50" s="523"/>
      <c r="CH50" s="523"/>
      <c r="CI50" s="523">
        <f t="shared" si="2"/>
        <v>6.82</v>
      </c>
    </row>
    <row r="51" spans="1:87" s="110" customFormat="1" ht="15.75" x14ac:dyDescent="0.2">
      <c r="A51" s="605" t="s">
        <v>1381</v>
      </c>
      <c r="B51" s="606"/>
      <c r="C51" s="606"/>
      <c r="D51" s="607" t="s">
        <v>1382</v>
      </c>
      <c r="E51" s="609"/>
      <c r="F51" s="618"/>
      <c r="G51" s="609"/>
      <c r="H51" s="609"/>
      <c r="I51" s="609"/>
      <c r="J51" s="610"/>
      <c r="K51" s="610"/>
      <c r="L51" s="609">
        <f>SUM(L52:L56)</f>
        <v>33356.590000000004</v>
      </c>
      <c r="M51" s="609">
        <f>SUM(M52:M56)</f>
        <v>406.73</v>
      </c>
      <c r="N51" s="609">
        <f>SUM(N52:N56)</f>
        <v>29547.35</v>
      </c>
      <c r="O51" s="609">
        <f>SUM(O52:O56)</f>
        <v>3809.2400000000002</v>
      </c>
      <c r="P51" s="619">
        <f t="shared" si="0"/>
        <v>0.88580247561276482</v>
      </c>
      <c r="Q51" s="525"/>
      <c r="S51" s="192">
        <v>30.35</v>
      </c>
      <c r="T51" s="192">
        <v>0</v>
      </c>
      <c r="BT51" s="525"/>
      <c r="BU51" s="523">
        <v>0</v>
      </c>
      <c r="BV51" s="523">
        <v>188.94380799999999</v>
      </c>
      <c r="BW51" s="523"/>
      <c r="BX51" s="523"/>
      <c r="BY51" s="523"/>
      <c r="BZ51" s="523"/>
      <c r="CA51" s="523"/>
      <c r="CB51" s="523"/>
      <c r="CC51" s="523"/>
      <c r="CD51" s="523"/>
      <c r="CE51" s="523"/>
      <c r="CF51" s="523"/>
      <c r="CG51" s="523"/>
      <c r="CH51" s="523"/>
      <c r="CI51" s="523">
        <f t="shared" si="2"/>
        <v>188.94380799999999</v>
      </c>
    </row>
    <row r="52" spans="1:87" s="110" customFormat="1" ht="30" x14ac:dyDescent="0.2">
      <c r="A52" s="612" t="s">
        <v>1383</v>
      </c>
      <c r="B52" s="613">
        <v>92510</v>
      </c>
      <c r="C52" s="613" t="s">
        <v>1324</v>
      </c>
      <c r="D52" s="614" t="s">
        <v>1384</v>
      </c>
      <c r="E52" s="615" t="s">
        <v>14</v>
      </c>
      <c r="F52" s="577">
        <v>302.64</v>
      </c>
      <c r="G52" s="616">
        <v>93.42</v>
      </c>
      <c r="H52" s="615">
        <v>155.72999999999999</v>
      </c>
      <c r="I52" s="573">
        <f t="shared" si="3"/>
        <v>1.5</v>
      </c>
      <c r="J52" s="574">
        <f t="shared" si="4"/>
        <v>126.88399</v>
      </c>
      <c r="K52" s="573">
        <f t="shared" si="11"/>
        <v>28.846009999999993</v>
      </c>
      <c r="L52" s="575">
        <f t="shared" ref="L52:O56" si="13">ROUND(H52*$G52,2)</f>
        <v>14548.3</v>
      </c>
      <c r="M52" s="575">
        <f t="shared" si="13"/>
        <v>140.13</v>
      </c>
      <c r="N52" s="575">
        <f t="shared" si="13"/>
        <v>11853.5</v>
      </c>
      <c r="O52" s="575">
        <f t="shared" si="13"/>
        <v>2694.79</v>
      </c>
      <c r="P52" s="617">
        <f t="shared" si="0"/>
        <v>0.81476873586604626</v>
      </c>
      <c r="Q52" s="525"/>
      <c r="S52" s="192">
        <v>95.84</v>
      </c>
      <c r="T52" s="192">
        <v>0</v>
      </c>
      <c r="BT52" s="525"/>
      <c r="BU52" s="523">
        <v>1.5</v>
      </c>
      <c r="BV52" s="523">
        <v>25.383990000000001</v>
      </c>
      <c r="BW52" s="523">
        <v>100</v>
      </c>
      <c r="BX52" s="523">
        <v>0</v>
      </c>
      <c r="BY52" s="523"/>
      <c r="BZ52" s="523"/>
      <c r="CA52" s="523"/>
      <c r="CB52" s="523"/>
      <c r="CC52" s="523"/>
      <c r="CD52" s="523"/>
      <c r="CE52" s="523"/>
      <c r="CF52" s="523"/>
      <c r="CG52" s="523"/>
      <c r="CH52" s="523"/>
      <c r="CI52" s="523">
        <f t="shared" si="2"/>
        <v>126.88399</v>
      </c>
    </row>
    <row r="53" spans="1:87" s="110" customFormat="1" ht="30" x14ac:dyDescent="0.2">
      <c r="A53" s="612" t="s">
        <v>1385</v>
      </c>
      <c r="B53" s="613">
        <v>92793</v>
      </c>
      <c r="C53" s="613" t="s">
        <v>1324</v>
      </c>
      <c r="D53" s="614" t="s">
        <v>1372</v>
      </c>
      <c r="E53" s="615" t="s">
        <v>35</v>
      </c>
      <c r="F53" s="577">
        <v>135.94</v>
      </c>
      <c r="G53" s="616">
        <v>4.6500000000000004</v>
      </c>
      <c r="H53" s="615">
        <v>1946.45</v>
      </c>
      <c r="I53" s="573">
        <f t="shared" si="3"/>
        <v>18</v>
      </c>
      <c r="J53" s="574">
        <f t="shared" si="4"/>
        <v>1868.6077</v>
      </c>
      <c r="K53" s="573">
        <f t="shared" si="11"/>
        <v>77.842300000000023</v>
      </c>
      <c r="L53" s="575">
        <f t="shared" si="13"/>
        <v>9050.99</v>
      </c>
      <c r="M53" s="575">
        <f t="shared" si="13"/>
        <v>83.7</v>
      </c>
      <c r="N53" s="575">
        <f t="shared" si="13"/>
        <v>8689.0300000000007</v>
      </c>
      <c r="O53" s="575">
        <f t="shared" si="13"/>
        <v>361.97</v>
      </c>
      <c r="P53" s="617">
        <f t="shared" si="0"/>
        <v>0.96000879461804745</v>
      </c>
      <c r="Q53" s="525"/>
      <c r="S53" s="192">
        <v>11.599999999999994</v>
      </c>
      <c r="T53" s="192">
        <v>0</v>
      </c>
      <c r="BT53" s="525"/>
      <c r="BU53" s="523">
        <v>18</v>
      </c>
      <c r="BV53" s="523">
        <v>50.607700000000001</v>
      </c>
      <c r="BW53" s="523">
        <v>1800</v>
      </c>
      <c r="BX53" s="523">
        <v>0</v>
      </c>
      <c r="BY53" s="523"/>
      <c r="BZ53" s="523"/>
      <c r="CA53" s="523"/>
      <c r="CB53" s="523"/>
      <c r="CC53" s="523"/>
      <c r="CD53" s="523"/>
      <c r="CE53" s="523"/>
      <c r="CF53" s="523"/>
      <c r="CG53" s="523"/>
      <c r="CH53" s="523"/>
      <c r="CI53" s="523">
        <f t="shared" si="2"/>
        <v>1868.6077</v>
      </c>
    </row>
    <row r="54" spans="1:87" s="110" customFormat="1" ht="30" x14ac:dyDescent="0.2">
      <c r="A54" s="612" t="s">
        <v>1386</v>
      </c>
      <c r="B54" s="613">
        <v>92791</v>
      </c>
      <c r="C54" s="613" t="s">
        <v>1324</v>
      </c>
      <c r="D54" s="614" t="s">
        <v>1373</v>
      </c>
      <c r="E54" s="615" t="s">
        <v>35</v>
      </c>
      <c r="F54" s="578"/>
      <c r="G54" s="616">
        <v>6.11</v>
      </c>
      <c r="H54" s="615">
        <v>240.18</v>
      </c>
      <c r="I54" s="573">
        <f t="shared" si="3"/>
        <v>2</v>
      </c>
      <c r="J54" s="574">
        <f t="shared" si="4"/>
        <v>230.58142000000001</v>
      </c>
      <c r="K54" s="573">
        <f t="shared" si="11"/>
        <v>9.5985799999999983</v>
      </c>
      <c r="L54" s="575">
        <f t="shared" si="13"/>
        <v>1467.5</v>
      </c>
      <c r="M54" s="575">
        <f t="shared" si="13"/>
        <v>12.22</v>
      </c>
      <c r="N54" s="575">
        <f t="shared" si="13"/>
        <v>1408.85</v>
      </c>
      <c r="O54" s="575">
        <f t="shared" si="13"/>
        <v>58.65</v>
      </c>
      <c r="P54" s="617">
        <f t="shared" si="0"/>
        <v>0.96003407155025544</v>
      </c>
      <c r="Q54" s="525"/>
      <c r="S54" s="192">
        <v>2.6700000000000017</v>
      </c>
      <c r="T54" s="192">
        <v>10.71</v>
      </c>
      <c r="BT54" s="525"/>
      <c r="BU54" s="523">
        <v>2</v>
      </c>
      <c r="BV54" s="523">
        <v>28.581419999999998</v>
      </c>
      <c r="BW54" s="523">
        <v>200</v>
      </c>
      <c r="BX54" s="523">
        <v>0</v>
      </c>
      <c r="BY54" s="523"/>
      <c r="BZ54" s="523"/>
      <c r="CA54" s="523"/>
      <c r="CB54" s="523"/>
      <c r="CC54" s="523"/>
      <c r="CD54" s="523"/>
      <c r="CE54" s="523"/>
      <c r="CF54" s="523"/>
      <c r="CG54" s="523"/>
      <c r="CH54" s="523"/>
      <c r="CI54" s="523">
        <f t="shared" si="2"/>
        <v>230.58142000000001</v>
      </c>
    </row>
    <row r="55" spans="1:87" ht="30" x14ac:dyDescent="0.2">
      <c r="A55" s="612" t="s">
        <v>1387</v>
      </c>
      <c r="B55" s="613">
        <v>92720</v>
      </c>
      <c r="C55" s="613" t="s">
        <v>1324</v>
      </c>
      <c r="D55" s="614" t="s">
        <v>1375</v>
      </c>
      <c r="E55" s="615" t="s">
        <v>48</v>
      </c>
      <c r="F55" s="571"/>
      <c r="G55" s="616">
        <v>323.87</v>
      </c>
      <c r="H55" s="615">
        <v>10.71</v>
      </c>
      <c r="I55" s="573">
        <f t="shared" si="3"/>
        <v>0.52700000000000002</v>
      </c>
      <c r="J55" s="574">
        <f t="shared" si="4"/>
        <v>8.567698</v>
      </c>
      <c r="K55" s="573">
        <f t="shared" si="11"/>
        <v>2.1423020000000008</v>
      </c>
      <c r="L55" s="575">
        <f t="shared" si="13"/>
        <v>3468.65</v>
      </c>
      <c r="M55" s="575">
        <f t="shared" si="13"/>
        <v>170.68</v>
      </c>
      <c r="N55" s="575">
        <f t="shared" si="13"/>
        <v>2774.82</v>
      </c>
      <c r="O55" s="575">
        <f t="shared" si="13"/>
        <v>693.83</v>
      </c>
      <c r="P55" s="617">
        <f t="shared" si="0"/>
        <v>0.79997117034004583</v>
      </c>
      <c r="Q55" s="525"/>
      <c r="S55" s="189">
        <v>0</v>
      </c>
      <c r="T55" s="189">
        <v>84.33</v>
      </c>
      <c r="BT55" s="525"/>
      <c r="BU55" s="523">
        <v>0.52700000000000002</v>
      </c>
      <c r="BV55" s="523">
        <v>4.0698000000000005E-2</v>
      </c>
      <c r="BW55" s="523">
        <v>8</v>
      </c>
      <c r="BX55" s="523">
        <v>0</v>
      </c>
      <c r="BY55" s="523"/>
      <c r="BZ55" s="523"/>
      <c r="CA55" s="523"/>
      <c r="CB55" s="523"/>
      <c r="CC55" s="523"/>
      <c r="CD55" s="523"/>
      <c r="CE55" s="523"/>
      <c r="CF55" s="523"/>
      <c r="CG55" s="523"/>
      <c r="CH55" s="523"/>
      <c r="CI55" s="523">
        <f t="shared" si="2"/>
        <v>8.567698</v>
      </c>
    </row>
    <row r="56" spans="1:87" s="514" customFormat="1" ht="15" x14ac:dyDescent="0.2">
      <c r="A56" s="567" t="s">
        <v>1388</v>
      </c>
      <c r="B56" s="568" t="s">
        <v>1389</v>
      </c>
      <c r="C56" s="568" t="s">
        <v>1324</v>
      </c>
      <c r="D56" s="569" t="s">
        <v>1390</v>
      </c>
      <c r="E56" s="570" t="s">
        <v>14</v>
      </c>
      <c r="F56" s="571"/>
      <c r="G56" s="572">
        <v>57.17</v>
      </c>
      <c r="H56" s="570">
        <v>84.33</v>
      </c>
      <c r="I56" s="573">
        <f t="shared" si="3"/>
        <v>0</v>
      </c>
      <c r="J56" s="574">
        <f t="shared" si="4"/>
        <v>84.33</v>
      </c>
      <c r="K56" s="573">
        <f t="shared" si="11"/>
        <v>0</v>
      </c>
      <c r="L56" s="575">
        <f t="shared" si="13"/>
        <v>4821.1499999999996</v>
      </c>
      <c r="M56" s="575">
        <f t="shared" si="13"/>
        <v>0</v>
      </c>
      <c r="N56" s="575">
        <f t="shared" si="13"/>
        <v>4821.1499999999996</v>
      </c>
      <c r="O56" s="575">
        <f t="shared" si="13"/>
        <v>0</v>
      </c>
      <c r="P56" s="576">
        <f t="shared" si="0"/>
        <v>1</v>
      </c>
      <c r="Q56" s="525"/>
      <c r="S56" s="190">
        <v>0</v>
      </c>
      <c r="T56" s="190">
        <v>0</v>
      </c>
      <c r="BT56" s="525"/>
      <c r="BU56" s="523">
        <v>0</v>
      </c>
      <c r="BV56" s="523">
        <v>84.33</v>
      </c>
      <c r="BW56" s="523">
        <v>0</v>
      </c>
      <c r="BX56" s="523">
        <v>0</v>
      </c>
      <c r="BY56" s="523"/>
      <c r="BZ56" s="523"/>
      <c r="CA56" s="523"/>
      <c r="CB56" s="523"/>
      <c r="CC56" s="523"/>
      <c r="CD56" s="523"/>
      <c r="CE56" s="523"/>
      <c r="CF56" s="523"/>
      <c r="CG56" s="523"/>
      <c r="CH56" s="523"/>
      <c r="CI56" s="523">
        <f t="shared" si="2"/>
        <v>84.33</v>
      </c>
    </row>
    <row r="57" spans="1:87" ht="15.75" x14ac:dyDescent="0.2">
      <c r="A57" s="584" t="s">
        <v>1391</v>
      </c>
      <c r="B57" s="585"/>
      <c r="C57" s="585"/>
      <c r="D57" s="586" t="s">
        <v>1392</v>
      </c>
      <c r="E57" s="609"/>
      <c r="F57" s="618"/>
      <c r="G57" s="609"/>
      <c r="H57" s="609"/>
      <c r="I57" s="609"/>
      <c r="J57" s="610"/>
      <c r="K57" s="620"/>
      <c r="L57" s="618">
        <f>SUM(L58:L61)</f>
        <v>13794.349999999999</v>
      </c>
      <c r="M57" s="618">
        <f>SUM(M58:M61)</f>
        <v>0</v>
      </c>
      <c r="N57" s="618">
        <f>SUM(N58:N61)</f>
        <v>0</v>
      </c>
      <c r="O57" s="618">
        <f>SUM(O58:O61)</f>
        <v>13794.349999999999</v>
      </c>
      <c r="P57" s="592">
        <f t="shared" si="0"/>
        <v>0</v>
      </c>
      <c r="Q57" s="525"/>
      <c r="S57" s="189">
        <v>0</v>
      </c>
      <c r="T57" s="189">
        <v>0</v>
      </c>
      <c r="BT57" s="525"/>
      <c r="BU57" s="523">
        <v>0</v>
      </c>
      <c r="BV57" s="523">
        <v>0</v>
      </c>
      <c r="BW57" s="523"/>
      <c r="BX57" s="523"/>
      <c r="BY57" s="523"/>
      <c r="BZ57" s="523"/>
      <c r="CA57" s="523"/>
      <c r="CB57" s="523"/>
      <c r="CC57" s="523"/>
      <c r="CD57" s="523"/>
      <c r="CE57" s="523"/>
      <c r="CF57" s="523"/>
      <c r="CG57" s="523"/>
      <c r="CH57" s="523"/>
      <c r="CI57" s="523">
        <f t="shared" si="2"/>
        <v>0</v>
      </c>
    </row>
    <row r="58" spans="1:87" ht="30" x14ac:dyDescent="0.2">
      <c r="A58" s="567" t="s">
        <v>1393</v>
      </c>
      <c r="B58" s="568">
        <v>92510</v>
      </c>
      <c r="C58" s="568" t="s">
        <v>1324</v>
      </c>
      <c r="D58" s="569" t="s">
        <v>1384</v>
      </c>
      <c r="E58" s="570" t="s">
        <v>14</v>
      </c>
      <c r="F58" s="577">
        <v>41.64</v>
      </c>
      <c r="G58" s="572">
        <v>93.42</v>
      </c>
      <c r="H58" s="570">
        <v>111.8</v>
      </c>
      <c r="I58" s="573">
        <f t="shared" si="3"/>
        <v>0</v>
      </c>
      <c r="J58" s="574">
        <f t="shared" si="4"/>
        <v>0</v>
      </c>
      <c r="K58" s="577">
        <f t="shared" ref="K58:K68" si="14">H58-J58</f>
        <v>111.8</v>
      </c>
      <c r="L58" s="575">
        <f t="shared" ref="L58:O61" si="15">ROUND(H58*$G58,2)</f>
        <v>10444.36</v>
      </c>
      <c r="M58" s="575">
        <f t="shared" si="15"/>
        <v>0</v>
      </c>
      <c r="N58" s="575">
        <f t="shared" si="15"/>
        <v>0</v>
      </c>
      <c r="O58" s="575">
        <f t="shared" si="15"/>
        <v>10444.36</v>
      </c>
      <c r="P58" s="576">
        <f t="shared" si="0"/>
        <v>0</v>
      </c>
      <c r="Q58" s="525"/>
      <c r="S58" s="189">
        <v>0</v>
      </c>
      <c r="T58" s="189">
        <v>0</v>
      </c>
      <c r="BT58" s="525"/>
      <c r="BU58" s="523">
        <v>0</v>
      </c>
      <c r="BV58" s="523">
        <v>0</v>
      </c>
      <c r="BW58" s="523">
        <v>0</v>
      </c>
      <c r="BX58" s="523">
        <v>0</v>
      </c>
      <c r="BY58" s="523"/>
      <c r="BZ58" s="523"/>
      <c r="CA58" s="523"/>
      <c r="CB58" s="523"/>
      <c r="CC58" s="523"/>
      <c r="CD58" s="523"/>
      <c r="CE58" s="523"/>
      <c r="CF58" s="523"/>
      <c r="CG58" s="523"/>
      <c r="CH58" s="523"/>
      <c r="CI58" s="523">
        <f t="shared" si="2"/>
        <v>0</v>
      </c>
    </row>
    <row r="59" spans="1:87" ht="30" x14ac:dyDescent="0.2">
      <c r="A59" s="567" t="s">
        <v>1394</v>
      </c>
      <c r="B59" s="568">
        <v>92793</v>
      </c>
      <c r="C59" s="568" t="s">
        <v>1324</v>
      </c>
      <c r="D59" s="569" t="s">
        <v>1372</v>
      </c>
      <c r="E59" s="570" t="s">
        <v>35</v>
      </c>
      <c r="F59" s="577">
        <v>7.91</v>
      </c>
      <c r="G59" s="572">
        <v>4.6500000000000004</v>
      </c>
      <c r="H59" s="570">
        <v>135.38999999999999</v>
      </c>
      <c r="I59" s="573">
        <f t="shared" si="3"/>
        <v>0</v>
      </c>
      <c r="J59" s="574">
        <f t="shared" si="4"/>
        <v>0</v>
      </c>
      <c r="K59" s="577">
        <f t="shared" si="14"/>
        <v>135.38999999999999</v>
      </c>
      <c r="L59" s="575">
        <f t="shared" si="15"/>
        <v>629.55999999999995</v>
      </c>
      <c r="M59" s="575">
        <f t="shared" si="15"/>
        <v>0</v>
      </c>
      <c r="N59" s="575">
        <f t="shared" si="15"/>
        <v>0</v>
      </c>
      <c r="O59" s="575">
        <f t="shared" si="15"/>
        <v>629.55999999999995</v>
      </c>
      <c r="P59" s="576">
        <f t="shared" si="0"/>
        <v>0</v>
      </c>
      <c r="Q59" s="525"/>
      <c r="S59" s="189">
        <v>0</v>
      </c>
      <c r="T59" s="189">
        <v>0</v>
      </c>
      <c r="BT59" s="525"/>
      <c r="BU59" s="523">
        <v>0</v>
      </c>
      <c r="BV59" s="523">
        <v>0</v>
      </c>
      <c r="BW59" s="523">
        <v>0</v>
      </c>
      <c r="BX59" s="523">
        <v>0</v>
      </c>
      <c r="BY59" s="523"/>
      <c r="BZ59" s="523"/>
      <c r="CA59" s="523"/>
      <c r="CB59" s="523"/>
      <c r="CC59" s="523"/>
      <c r="CD59" s="523"/>
      <c r="CE59" s="523"/>
      <c r="CF59" s="523"/>
      <c r="CG59" s="523"/>
      <c r="CH59" s="523"/>
      <c r="CI59" s="523">
        <f t="shared" si="2"/>
        <v>0</v>
      </c>
    </row>
    <row r="60" spans="1:87" ht="30" x14ac:dyDescent="0.2">
      <c r="A60" s="567" t="s">
        <v>1395</v>
      </c>
      <c r="B60" s="568">
        <v>92791</v>
      </c>
      <c r="C60" s="568" t="s">
        <v>1324</v>
      </c>
      <c r="D60" s="569" t="s">
        <v>1373</v>
      </c>
      <c r="E60" s="570" t="s">
        <v>35</v>
      </c>
      <c r="F60" s="577">
        <v>53.52</v>
      </c>
      <c r="G60" s="572">
        <v>6.11</v>
      </c>
      <c r="H60" s="570">
        <v>95.93</v>
      </c>
      <c r="I60" s="573">
        <f t="shared" si="3"/>
        <v>0</v>
      </c>
      <c r="J60" s="574">
        <f t="shared" si="4"/>
        <v>0</v>
      </c>
      <c r="K60" s="577">
        <f t="shared" si="14"/>
        <v>95.93</v>
      </c>
      <c r="L60" s="575">
        <f t="shared" si="15"/>
        <v>586.13</v>
      </c>
      <c r="M60" s="575">
        <f t="shared" si="15"/>
        <v>0</v>
      </c>
      <c r="N60" s="575">
        <f t="shared" si="15"/>
        <v>0</v>
      </c>
      <c r="O60" s="575">
        <f t="shared" si="15"/>
        <v>586.13</v>
      </c>
      <c r="P60" s="576">
        <f t="shared" si="0"/>
        <v>0</v>
      </c>
      <c r="Q60" s="525"/>
      <c r="S60" s="189">
        <v>0</v>
      </c>
      <c r="T60" s="189">
        <v>0</v>
      </c>
      <c r="BT60" s="525"/>
      <c r="BU60" s="523">
        <v>0</v>
      </c>
      <c r="BV60" s="523">
        <v>0</v>
      </c>
      <c r="BW60" s="523">
        <v>0</v>
      </c>
      <c r="BX60" s="523">
        <v>0</v>
      </c>
      <c r="BY60" s="523"/>
      <c r="BZ60" s="523"/>
      <c r="CA60" s="523"/>
      <c r="CB60" s="523"/>
      <c r="CC60" s="523"/>
      <c r="CD60" s="523"/>
      <c r="CE60" s="523"/>
      <c r="CF60" s="523"/>
      <c r="CG60" s="523"/>
      <c r="CH60" s="523"/>
      <c r="CI60" s="523">
        <f t="shared" si="2"/>
        <v>0</v>
      </c>
    </row>
    <row r="61" spans="1:87" s="514" customFormat="1" ht="30" x14ac:dyDescent="0.2">
      <c r="A61" s="567" t="s">
        <v>1396</v>
      </c>
      <c r="B61" s="568">
        <v>92720</v>
      </c>
      <c r="C61" s="568" t="s">
        <v>1324</v>
      </c>
      <c r="D61" s="569" t="s">
        <v>1375</v>
      </c>
      <c r="E61" s="570" t="s">
        <v>48</v>
      </c>
      <c r="F61" s="577">
        <v>203.72</v>
      </c>
      <c r="G61" s="572">
        <v>323.87</v>
      </c>
      <c r="H61" s="570">
        <v>6.59</v>
      </c>
      <c r="I61" s="573">
        <f t="shared" si="3"/>
        <v>0</v>
      </c>
      <c r="J61" s="574">
        <f t="shared" si="4"/>
        <v>0</v>
      </c>
      <c r="K61" s="577">
        <f t="shared" si="14"/>
        <v>6.59</v>
      </c>
      <c r="L61" s="575">
        <f t="shared" si="15"/>
        <v>2134.3000000000002</v>
      </c>
      <c r="M61" s="575">
        <f t="shared" si="15"/>
        <v>0</v>
      </c>
      <c r="N61" s="575">
        <f t="shared" si="15"/>
        <v>0</v>
      </c>
      <c r="O61" s="575">
        <f t="shared" si="15"/>
        <v>2134.3000000000002</v>
      </c>
      <c r="P61" s="576">
        <f t="shared" si="0"/>
        <v>0</v>
      </c>
      <c r="Q61" s="525"/>
      <c r="S61" s="190">
        <v>0</v>
      </c>
      <c r="T61" s="190">
        <v>0</v>
      </c>
      <c r="BT61" s="525"/>
      <c r="BU61" s="523">
        <v>0</v>
      </c>
      <c r="BV61" s="523">
        <v>0</v>
      </c>
      <c r="BW61" s="523">
        <v>0</v>
      </c>
      <c r="BX61" s="523">
        <v>0</v>
      </c>
      <c r="BY61" s="523"/>
      <c r="BZ61" s="523"/>
      <c r="CA61" s="523"/>
      <c r="CB61" s="523"/>
      <c r="CC61" s="523"/>
      <c r="CD61" s="523"/>
      <c r="CE61" s="523"/>
      <c r="CF61" s="523"/>
      <c r="CG61" s="523"/>
      <c r="CH61" s="523"/>
      <c r="CI61" s="523">
        <f t="shared" si="2"/>
        <v>0</v>
      </c>
    </row>
    <row r="62" spans="1:87" ht="15.75" x14ac:dyDescent="0.2">
      <c r="A62" s="584" t="s">
        <v>1397</v>
      </c>
      <c r="B62" s="585"/>
      <c r="C62" s="585"/>
      <c r="D62" s="586" t="s">
        <v>1398</v>
      </c>
      <c r="E62" s="609"/>
      <c r="F62" s="609"/>
      <c r="G62" s="609"/>
      <c r="H62" s="609"/>
      <c r="I62" s="609"/>
      <c r="J62" s="609"/>
      <c r="K62" s="609"/>
      <c r="L62" s="587">
        <f>SUM(L63:L66)</f>
        <v>23465.25</v>
      </c>
      <c r="M62" s="587">
        <f>SUM(M63:M66)</f>
        <v>0</v>
      </c>
      <c r="N62" s="587">
        <f>SUM(N63:N66)</f>
        <v>0</v>
      </c>
      <c r="O62" s="587">
        <f>SUM(O63:O66)</f>
        <v>23465.25</v>
      </c>
      <c r="P62" s="592">
        <f t="shared" si="0"/>
        <v>0</v>
      </c>
      <c r="Q62" s="525"/>
      <c r="S62" s="189">
        <v>0</v>
      </c>
      <c r="T62" s="189">
        <v>0</v>
      </c>
      <c r="BT62" s="525"/>
      <c r="BU62" s="523">
        <v>0</v>
      </c>
      <c r="BV62" s="523">
        <v>0</v>
      </c>
      <c r="BW62" s="523"/>
      <c r="BX62" s="523"/>
      <c r="BY62" s="523"/>
      <c r="BZ62" s="523"/>
      <c r="CA62" s="523"/>
      <c r="CB62" s="523"/>
      <c r="CC62" s="523"/>
      <c r="CD62" s="523"/>
      <c r="CE62" s="523"/>
      <c r="CF62" s="523"/>
      <c r="CG62" s="523"/>
      <c r="CH62" s="523"/>
      <c r="CI62" s="523">
        <f t="shared" si="2"/>
        <v>0</v>
      </c>
    </row>
    <row r="63" spans="1:87" ht="30" x14ac:dyDescent="0.2">
      <c r="A63" s="567" t="s">
        <v>1399</v>
      </c>
      <c r="B63" s="568">
        <v>92422</v>
      </c>
      <c r="C63" s="568" t="s">
        <v>1324</v>
      </c>
      <c r="D63" s="569" t="s">
        <v>1384</v>
      </c>
      <c r="E63" s="570" t="s">
        <v>14</v>
      </c>
      <c r="F63" s="577">
        <v>52.6</v>
      </c>
      <c r="G63" s="572">
        <v>93.42</v>
      </c>
      <c r="H63" s="570">
        <v>10.8</v>
      </c>
      <c r="I63" s="573">
        <f t="shared" si="3"/>
        <v>0</v>
      </c>
      <c r="J63" s="574">
        <f t="shared" si="4"/>
        <v>0</v>
      </c>
      <c r="K63" s="577">
        <f t="shared" si="14"/>
        <v>10.8</v>
      </c>
      <c r="L63" s="575">
        <f t="shared" ref="L63:O66" si="16">ROUND(H63*$G63,2)</f>
        <v>1008.94</v>
      </c>
      <c r="M63" s="575">
        <f t="shared" si="16"/>
        <v>0</v>
      </c>
      <c r="N63" s="575">
        <f t="shared" si="16"/>
        <v>0</v>
      </c>
      <c r="O63" s="575">
        <f t="shared" si="16"/>
        <v>1008.94</v>
      </c>
      <c r="P63" s="576">
        <f t="shared" si="0"/>
        <v>0</v>
      </c>
      <c r="Q63" s="525"/>
      <c r="S63" s="189">
        <v>0</v>
      </c>
      <c r="T63" s="189">
        <v>0</v>
      </c>
      <c r="BT63" s="525"/>
      <c r="BU63" s="523">
        <v>0</v>
      </c>
      <c r="BV63" s="523">
        <v>0</v>
      </c>
      <c r="BW63" s="523">
        <v>0</v>
      </c>
      <c r="BX63" s="523">
        <v>0</v>
      </c>
      <c r="BY63" s="523"/>
      <c r="BZ63" s="523"/>
      <c r="CA63" s="523"/>
      <c r="CB63" s="523"/>
      <c r="CC63" s="523"/>
      <c r="CD63" s="523"/>
      <c r="CE63" s="523"/>
      <c r="CF63" s="523"/>
      <c r="CG63" s="523"/>
      <c r="CH63" s="523"/>
      <c r="CI63" s="523">
        <f t="shared" si="2"/>
        <v>0</v>
      </c>
    </row>
    <row r="64" spans="1:87" ht="15" x14ac:dyDescent="0.2">
      <c r="A64" s="567" t="s">
        <v>1400</v>
      </c>
      <c r="B64" s="568" t="s">
        <v>1401</v>
      </c>
      <c r="C64" s="568" t="s">
        <v>1324</v>
      </c>
      <c r="D64" s="569" t="s">
        <v>1402</v>
      </c>
      <c r="E64" s="570" t="s">
        <v>48</v>
      </c>
      <c r="F64" s="577">
        <v>49.48</v>
      </c>
      <c r="G64" s="572">
        <v>98.55</v>
      </c>
      <c r="H64" s="570">
        <v>33.83</v>
      </c>
      <c r="I64" s="573">
        <f t="shared" si="3"/>
        <v>0</v>
      </c>
      <c r="J64" s="574">
        <f t="shared" si="4"/>
        <v>0</v>
      </c>
      <c r="K64" s="577">
        <f t="shared" si="14"/>
        <v>33.83</v>
      </c>
      <c r="L64" s="575">
        <f t="shared" si="16"/>
        <v>3333.95</v>
      </c>
      <c r="M64" s="575">
        <f t="shared" si="16"/>
        <v>0</v>
      </c>
      <c r="N64" s="575">
        <f t="shared" si="16"/>
        <v>0</v>
      </c>
      <c r="O64" s="575">
        <f t="shared" si="16"/>
        <v>3333.95</v>
      </c>
      <c r="P64" s="576">
        <f t="shared" si="0"/>
        <v>0</v>
      </c>
      <c r="Q64" s="525"/>
      <c r="S64" s="189">
        <v>0</v>
      </c>
      <c r="T64" s="189">
        <v>0</v>
      </c>
      <c r="BT64" s="525"/>
      <c r="BU64" s="523">
        <v>0</v>
      </c>
      <c r="BV64" s="523">
        <v>0</v>
      </c>
      <c r="BW64" s="523">
        <v>0</v>
      </c>
      <c r="BX64" s="523">
        <v>0</v>
      </c>
      <c r="BY64" s="523"/>
      <c r="BZ64" s="523"/>
      <c r="CA64" s="523"/>
      <c r="CB64" s="523"/>
      <c r="CC64" s="523"/>
      <c r="CD64" s="523"/>
      <c r="CE64" s="523"/>
      <c r="CF64" s="523"/>
      <c r="CG64" s="523"/>
      <c r="CH64" s="523"/>
      <c r="CI64" s="523">
        <f t="shared" si="2"/>
        <v>0</v>
      </c>
    </row>
    <row r="65" spans="1:87" ht="30" x14ac:dyDescent="0.2">
      <c r="A65" s="567" t="s">
        <v>1403</v>
      </c>
      <c r="B65" s="568">
        <v>85662</v>
      </c>
      <c r="C65" s="568" t="s">
        <v>1324</v>
      </c>
      <c r="D65" s="569" t="s">
        <v>1404</v>
      </c>
      <c r="E65" s="570" t="s">
        <v>14</v>
      </c>
      <c r="F65" s="578"/>
      <c r="G65" s="572">
        <v>10.34</v>
      </c>
      <c r="H65" s="570">
        <v>1001.47</v>
      </c>
      <c r="I65" s="573">
        <f t="shared" si="3"/>
        <v>0</v>
      </c>
      <c r="J65" s="574">
        <f t="shared" si="4"/>
        <v>0</v>
      </c>
      <c r="K65" s="577">
        <f t="shared" si="14"/>
        <v>1001.47</v>
      </c>
      <c r="L65" s="575">
        <f t="shared" si="16"/>
        <v>10355.200000000001</v>
      </c>
      <c r="M65" s="575">
        <f t="shared" si="16"/>
        <v>0</v>
      </c>
      <c r="N65" s="575">
        <f t="shared" si="16"/>
        <v>0</v>
      </c>
      <c r="O65" s="575">
        <f t="shared" si="16"/>
        <v>10355.200000000001</v>
      </c>
      <c r="P65" s="576">
        <f t="shared" si="0"/>
        <v>0</v>
      </c>
      <c r="Q65" s="525"/>
      <c r="S65" s="189">
        <v>0</v>
      </c>
      <c r="T65" s="189">
        <v>0</v>
      </c>
      <c r="BT65" s="525"/>
      <c r="BU65" s="523">
        <v>0</v>
      </c>
      <c r="BV65" s="523">
        <v>0</v>
      </c>
      <c r="BW65" s="523">
        <v>0</v>
      </c>
      <c r="BX65" s="523">
        <v>0</v>
      </c>
      <c r="BY65" s="523"/>
      <c r="BZ65" s="523"/>
      <c r="CA65" s="523"/>
      <c r="CB65" s="523"/>
      <c r="CC65" s="523"/>
      <c r="CD65" s="523"/>
      <c r="CE65" s="523"/>
      <c r="CF65" s="523"/>
      <c r="CG65" s="523"/>
      <c r="CH65" s="523"/>
      <c r="CI65" s="523">
        <f t="shared" si="2"/>
        <v>0</v>
      </c>
    </row>
    <row r="66" spans="1:87" s="514" customFormat="1" ht="30" x14ac:dyDescent="0.2">
      <c r="A66" s="567" t="s">
        <v>1405</v>
      </c>
      <c r="B66" s="568">
        <v>92720</v>
      </c>
      <c r="C66" s="568" t="s">
        <v>1324</v>
      </c>
      <c r="D66" s="569" t="s">
        <v>1375</v>
      </c>
      <c r="E66" s="570" t="s">
        <v>48</v>
      </c>
      <c r="F66" s="571"/>
      <c r="G66" s="572">
        <v>323.87</v>
      </c>
      <c r="H66" s="570">
        <v>27.07</v>
      </c>
      <c r="I66" s="573">
        <f t="shared" si="3"/>
        <v>0</v>
      </c>
      <c r="J66" s="574">
        <f t="shared" si="4"/>
        <v>0</v>
      </c>
      <c r="K66" s="577">
        <f t="shared" si="14"/>
        <v>27.07</v>
      </c>
      <c r="L66" s="575">
        <f t="shared" si="16"/>
        <v>8767.16</v>
      </c>
      <c r="M66" s="575">
        <f t="shared" si="16"/>
        <v>0</v>
      </c>
      <c r="N66" s="575">
        <f t="shared" si="16"/>
        <v>0</v>
      </c>
      <c r="O66" s="575">
        <f t="shared" si="16"/>
        <v>8767.16</v>
      </c>
      <c r="P66" s="576">
        <f t="shared" si="0"/>
        <v>0</v>
      </c>
      <c r="Q66" s="525"/>
      <c r="S66" s="190">
        <v>0</v>
      </c>
      <c r="T66" s="190">
        <v>33.9</v>
      </c>
      <c r="BT66" s="525"/>
      <c r="BU66" s="523">
        <v>0</v>
      </c>
      <c r="BV66" s="523">
        <v>0</v>
      </c>
      <c r="BW66" s="523">
        <v>0</v>
      </c>
      <c r="BX66" s="523">
        <v>0</v>
      </c>
      <c r="BY66" s="523"/>
      <c r="BZ66" s="523"/>
      <c r="CA66" s="523"/>
      <c r="CB66" s="523"/>
      <c r="CC66" s="523"/>
      <c r="CD66" s="523"/>
      <c r="CE66" s="523"/>
      <c r="CF66" s="523"/>
      <c r="CG66" s="523"/>
      <c r="CH66" s="523"/>
      <c r="CI66" s="523">
        <f t="shared" si="2"/>
        <v>0</v>
      </c>
    </row>
    <row r="67" spans="1:87" ht="15.75" x14ac:dyDescent="0.2">
      <c r="A67" s="584" t="s">
        <v>1406</v>
      </c>
      <c r="B67" s="585"/>
      <c r="C67" s="585"/>
      <c r="D67" s="586" t="s">
        <v>1407</v>
      </c>
      <c r="E67" s="609"/>
      <c r="F67" s="609"/>
      <c r="G67" s="609"/>
      <c r="H67" s="609"/>
      <c r="I67" s="609"/>
      <c r="J67" s="609"/>
      <c r="K67" s="609"/>
      <c r="L67" s="587">
        <f>L68</f>
        <v>912.59</v>
      </c>
      <c r="M67" s="587">
        <f>M68</f>
        <v>0</v>
      </c>
      <c r="N67" s="587">
        <f>N68</f>
        <v>912.59</v>
      </c>
      <c r="O67" s="587">
        <f>O68</f>
        <v>0</v>
      </c>
      <c r="P67" s="592">
        <f t="shared" si="0"/>
        <v>1</v>
      </c>
      <c r="Q67" s="525"/>
      <c r="S67" s="189">
        <v>0</v>
      </c>
      <c r="T67" s="189">
        <v>33.9</v>
      </c>
      <c r="BT67" s="525"/>
      <c r="BU67" s="523">
        <v>0</v>
      </c>
      <c r="BV67" s="523">
        <v>33.9</v>
      </c>
      <c r="BW67" s="523"/>
      <c r="BX67" s="523"/>
      <c r="BY67" s="523"/>
      <c r="BZ67" s="523"/>
      <c r="CA67" s="523"/>
      <c r="CB67" s="523"/>
      <c r="CC67" s="523"/>
      <c r="CD67" s="523"/>
      <c r="CE67" s="523"/>
      <c r="CF67" s="523"/>
      <c r="CG67" s="523"/>
      <c r="CH67" s="523"/>
      <c r="CI67" s="523">
        <f t="shared" si="2"/>
        <v>33.9</v>
      </c>
    </row>
    <row r="68" spans="1:87" s="514" customFormat="1" ht="15" x14ac:dyDescent="0.2">
      <c r="A68" s="567" t="s">
        <v>1408</v>
      </c>
      <c r="B68" s="568" t="s">
        <v>1409</v>
      </c>
      <c r="C68" s="568" t="s">
        <v>1324</v>
      </c>
      <c r="D68" s="569" t="s">
        <v>1410</v>
      </c>
      <c r="E68" s="570" t="s">
        <v>81</v>
      </c>
      <c r="F68" s="577">
        <v>329.55</v>
      </c>
      <c r="G68" s="572">
        <v>26.92</v>
      </c>
      <c r="H68" s="570">
        <v>33.9</v>
      </c>
      <c r="I68" s="573">
        <f t="shared" si="3"/>
        <v>0</v>
      </c>
      <c r="J68" s="574">
        <f t="shared" si="4"/>
        <v>33.9</v>
      </c>
      <c r="K68" s="577">
        <f t="shared" si="14"/>
        <v>0</v>
      </c>
      <c r="L68" s="575">
        <f>ROUND(H68*$G68,2)</f>
        <v>912.59</v>
      </c>
      <c r="M68" s="575">
        <f>ROUND(I68*$G68,2)</f>
        <v>0</v>
      </c>
      <c r="N68" s="575">
        <f>ROUND(J68*$G68,2)</f>
        <v>912.59</v>
      </c>
      <c r="O68" s="575">
        <f>ROUND(K68*$G68,2)</f>
        <v>0</v>
      </c>
      <c r="P68" s="576">
        <f t="shared" si="0"/>
        <v>1</v>
      </c>
      <c r="Q68" s="525"/>
      <c r="S68" s="190">
        <v>0</v>
      </c>
      <c r="T68" s="190">
        <v>0</v>
      </c>
      <c r="BT68" s="525"/>
      <c r="BU68" s="523">
        <v>0</v>
      </c>
      <c r="BV68" s="523">
        <v>33.9</v>
      </c>
      <c r="BW68" s="523">
        <v>0</v>
      </c>
      <c r="BX68" s="523">
        <v>0</v>
      </c>
      <c r="BY68" s="523"/>
      <c r="BZ68" s="523"/>
      <c r="CA68" s="523"/>
      <c r="CB68" s="523"/>
      <c r="CC68" s="523"/>
      <c r="CD68" s="523"/>
      <c r="CE68" s="523"/>
      <c r="CF68" s="523"/>
      <c r="CG68" s="523"/>
      <c r="CH68" s="523"/>
      <c r="CI68" s="523">
        <f t="shared" si="2"/>
        <v>33.9</v>
      </c>
    </row>
    <row r="69" spans="1:87" s="514" customFormat="1" ht="15.75" x14ac:dyDescent="0.2">
      <c r="A69" s="556">
        <v>5</v>
      </c>
      <c r="B69" s="557"/>
      <c r="C69" s="557"/>
      <c r="D69" s="558" t="s">
        <v>1411</v>
      </c>
      <c r="E69" s="559"/>
      <c r="F69" s="559"/>
      <c r="G69" s="559"/>
      <c r="H69" s="559"/>
      <c r="I69" s="559"/>
      <c r="J69" s="559"/>
      <c r="K69" s="559"/>
      <c r="L69" s="579">
        <f>SUM(L70,L72,L75)</f>
        <v>31428.92</v>
      </c>
      <c r="M69" s="579">
        <f>SUM(M70,M72,M75)</f>
        <v>0</v>
      </c>
      <c r="N69" s="579">
        <f>SUM(N70,N72,N75)</f>
        <v>15726.759999999998</v>
      </c>
      <c r="O69" s="579">
        <f>SUM(O70,O72,O75)</f>
        <v>15702.16</v>
      </c>
      <c r="P69" s="566">
        <f>N69/L69</f>
        <v>0.50039135929583323</v>
      </c>
      <c r="Q69" s="525"/>
      <c r="S69" s="190">
        <v>0</v>
      </c>
      <c r="T69" s="190">
        <v>0</v>
      </c>
      <c r="BT69" s="525"/>
      <c r="BU69" s="523">
        <v>0</v>
      </c>
      <c r="BV69" s="523">
        <v>0</v>
      </c>
      <c r="BW69" s="523"/>
      <c r="BX69" s="523"/>
      <c r="BY69" s="523"/>
      <c r="BZ69" s="523"/>
      <c r="CA69" s="523"/>
      <c r="CB69" s="523"/>
      <c r="CC69" s="523"/>
      <c r="CD69" s="523"/>
      <c r="CE69" s="523"/>
      <c r="CF69" s="523"/>
      <c r="CG69" s="523"/>
      <c r="CH69" s="523"/>
      <c r="CI69" s="523">
        <f t="shared" si="2"/>
        <v>0</v>
      </c>
    </row>
    <row r="70" spans="1:87" ht="15.75" x14ac:dyDescent="0.2">
      <c r="A70" s="584" t="s">
        <v>98</v>
      </c>
      <c r="B70" s="585"/>
      <c r="C70" s="585"/>
      <c r="D70" s="586" t="s">
        <v>1412</v>
      </c>
      <c r="E70" s="609"/>
      <c r="F70" s="609"/>
      <c r="G70" s="609"/>
      <c r="H70" s="609"/>
      <c r="I70" s="609"/>
      <c r="J70" s="609"/>
      <c r="K70" s="609"/>
      <c r="L70" s="587">
        <f>L71</f>
        <v>7200.78</v>
      </c>
      <c r="M70" s="587">
        <f>M71</f>
        <v>0</v>
      </c>
      <c r="N70" s="587">
        <f>N71</f>
        <v>0</v>
      </c>
      <c r="O70" s="587">
        <f>O71</f>
        <v>7200.78</v>
      </c>
      <c r="P70" s="592">
        <f t="shared" si="0"/>
        <v>0</v>
      </c>
      <c r="Q70" s="525"/>
      <c r="S70" s="189">
        <v>0</v>
      </c>
      <c r="T70" s="189">
        <v>0</v>
      </c>
      <c r="BT70" s="525"/>
      <c r="BU70" s="523">
        <v>0</v>
      </c>
      <c r="BV70" s="523">
        <v>0</v>
      </c>
      <c r="BW70" s="523"/>
      <c r="BX70" s="523"/>
      <c r="BY70" s="523"/>
      <c r="BZ70" s="523"/>
      <c r="CA70" s="523"/>
      <c r="CB70" s="523"/>
      <c r="CC70" s="523"/>
      <c r="CD70" s="523"/>
      <c r="CE70" s="523"/>
      <c r="CF70" s="523"/>
      <c r="CG70" s="523"/>
      <c r="CH70" s="523"/>
      <c r="CI70" s="523">
        <f t="shared" si="2"/>
        <v>0</v>
      </c>
    </row>
    <row r="71" spans="1:87" s="514" customFormat="1" ht="30" x14ac:dyDescent="0.2">
      <c r="A71" s="567" t="s">
        <v>100</v>
      </c>
      <c r="B71" s="568" t="s">
        <v>1413</v>
      </c>
      <c r="C71" s="568" t="s">
        <v>1324</v>
      </c>
      <c r="D71" s="569" t="s">
        <v>1414</v>
      </c>
      <c r="E71" s="570" t="s">
        <v>14</v>
      </c>
      <c r="F71" s="577">
        <v>222.6</v>
      </c>
      <c r="G71" s="572">
        <v>53.45</v>
      </c>
      <c r="H71" s="570">
        <v>134.72</v>
      </c>
      <c r="I71" s="573">
        <f t="shared" si="3"/>
        <v>0</v>
      </c>
      <c r="J71" s="574">
        <f t="shared" si="4"/>
        <v>0</v>
      </c>
      <c r="K71" s="577">
        <f>H71-J71</f>
        <v>134.72</v>
      </c>
      <c r="L71" s="575">
        <f>ROUND(H71*$G71,2)</f>
        <v>7200.78</v>
      </c>
      <c r="M71" s="575">
        <f>ROUND(I71*$G71,2)</f>
        <v>0</v>
      </c>
      <c r="N71" s="575">
        <f>ROUND(J71*$G71,2)</f>
        <v>0</v>
      </c>
      <c r="O71" s="575">
        <f>ROUND(K71*$G71,2)</f>
        <v>7200.78</v>
      </c>
      <c r="P71" s="576">
        <f t="shared" si="0"/>
        <v>0</v>
      </c>
      <c r="Q71" s="525"/>
      <c r="S71" s="190">
        <v>0</v>
      </c>
      <c r="T71" s="190">
        <v>328.62</v>
      </c>
      <c r="BT71" s="525"/>
      <c r="BU71" s="523">
        <v>0</v>
      </c>
      <c r="BV71" s="523">
        <v>0</v>
      </c>
      <c r="BW71" s="523">
        <v>0</v>
      </c>
      <c r="BX71" s="523">
        <v>0</v>
      </c>
      <c r="BY71" s="523"/>
      <c r="BZ71" s="523"/>
      <c r="CA71" s="523"/>
      <c r="CB71" s="523"/>
      <c r="CC71" s="523"/>
      <c r="CD71" s="523"/>
      <c r="CE71" s="523"/>
      <c r="CF71" s="523"/>
      <c r="CG71" s="523"/>
      <c r="CH71" s="523"/>
      <c r="CI71" s="523">
        <f t="shared" si="2"/>
        <v>0</v>
      </c>
    </row>
    <row r="72" spans="1:87" ht="15.75" x14ac:dyDescent="0.2">
      <c r="A72" s="584" t="s">
        <v>116</v>
      </c>
      <c r="B72" s="585"/>
      <c r="C72" s="585"/>
      <c r="D72" s="586" t="s">
        <v>1415</v>
      </c>
      <c r="E72" s="609"/>
      <c r="F72" s="609"/>
      <c r="G72" s="609"/>
      <c r="H72" s="609"/>
      <c r="I72" s="609"/>
      <c r="J72" s="609"/>
      <c r="K72" s="609"/>
      <c r="L72" s="618">
        <f>SUM(L73:L74)</f>
        <v>15726.869999999999</v>
      </c>
      <c r="M72" s="618">
        <f>SUM(M73:M74)</f>
        <v>0</v>
      </c>
      <c r="N72" s="618">
        <f>SUM(N73:N74)</f>
        <v>15726.759999999998</v>
      </c>
      <c r="O72" s="618">
        <f>SUM(O73:O74)</f>
        <v>0.11</v>
      </c>
      <c r="P72" s="592">
        <f t="shared" si="0"/>
        <v>0.99999300560124171</v>
      </c>
      <c r="Q72" s="525"/>
      <c r="S72" s="189">
        <v>0</v>
      </c>
      <c r="T72" s="189">
        <v>259.22000000000003</v>
      </c>
      <c r="BT72" s="525"/>
      <c r="BU72" s="523">
        <v>0</v>
      </c>
      <c r="BV72" s="523">
        <v>224.93</v>
      </c>
      <c r="BW72" s="523"/>
      <c r="BX72" s="523"/>
      <c r="BY72" s="523"/>
      <c r="BZ72" s="523"/>
      <c r="CA72" s="523"/>
      <c r="CB72" s="523"/>
      <c r="CC72" s="523"/>
      <c r="CD72" s="523"/>
      <c r="CE72" s="523"/>
      <c r="CF72" s="523"/>
      <c r="CG72" s="523"/>
      <c r="CH72" s="523"/>
      <c r="CI72" s="523">
        <f t="shared" si="2"/>
        <v>224.93</v>
      </c>
    </row>
    <row r="73" spans="1:87" ht="45" x14ac:dyDescent="0.2">
      <c r="A73" s="567" t="s">
        <v>118</v>
      </c>
      <c r="B73" s="568">
        <v>87519</v>
      </c>
      <c r="C73" s="568" t="s">
        <v>1324</v>
      </c>
      <c r="D73" s="569" t="s">
        <v>1416</v>
      </c>
      <c r="E73" s="570" t="s">
        <v>14</v>
      </c>
      <c r="F73" s="577">
        <v>378.98</v>
      </c>
      <c r="G73" s="572">
        <v>56.29</v>
      </c>
      <c r="H73" s="570">
        <v>259.22000000000003</v>
      </c>
      <c r="I73" s="573">
        <f t="shared" si="3"/>
        <v>0</v>
      </c>
      <c r="J73" s="574">
        <f t="shared" si="4"/>
        <v>259.21800000000002</v>
      </c>
      <c r="K73" s="577">
        <f>H73-J73</f>
        <v>2.0000000000095497E-3</v>
      </c>
      <c r="L73" s="575">
        <f t="shared" ref="L73:O74" si="17">ROUND(H73*$G73,2)</f>
        <v>14591.49</v>
      </c>
      <c r="M73" s="575">
        <f t="shared" si="17"/>
        <v>0</v>
      </c>
      <c r="N73" s="575">
        <f t="shared" si="17"/>
        <v>14591.38</v>
      </c>
      <c r="O73" s="575">
        <f t="shared" si="17"/>
        <v>0.11</v>
      </c>
      <c r="P73" s="576">
        <f t="shared" si="0"/>
        <v>0.99999246135932651</v>
      </c>
      <c r="Q73" s="525"/>
      <c r="S73" s="189">
        <v>0</v>
      </c>
      <c r="T73" s="189">
        <v>69.400000000000006</v>
      </c>
      <c r="BT73" s="525"/>
      <c r="BU73" s="523">
        <v>0</v>
      </c>
      <c r="BV73" s="523">
        <v>155.53</v>
      </c>
      <c r="BW73" s="523">
        <v>103.68800000000002</v>
      </c>
      <c r="BX73" s="523">
        <v>0</v>
      </c>
      <c r="BY73" s="523"/>
      <c r="BZ73" s="523"/>
      <c r="CA73" s="523"/>
      <c r="CB73" s="523"/>
      <c r="CC73" s="523"/>
      <c r="CD73" s="523"/>
      <c r="CE73" s="523"/>
      <c r="CF73" s="523"/>
      <c r="CG73" s="523"/>
      <c r="CH73" s="523"/>
      <c r="CI73" s="523">
        <f t="shared" si="2"/>
        <v>259.21800000000002</v>
      </c>
    </row>
    <row r="74" spans="1:87" s="514" customFormat="1" ht="45" x14ac:dyDescent="0.2">
      <c r="A74" s="567" t="s">
        <v>123</v>
      </c>
      <c r="B74" s="568" t="s">
        <v>1417</v>
      </c>
      <c r="C74" s="568" t="s">
        <v>1324</v>
      </c>
      <c r="D74" s="569" t="s">
        <v>1418</v>
      </c>
      <c r="E74" s="570" t="s">
        <v>81</v>
      </c>
      <c r="F74" s="577">
        <v>421.82</v>
      </c>
      <c r="G74" s="572">
        <v>16.36</v>
      </c>
      <c r="H74" s="570">
        <v>69.400000000000006</v>
      </c>
      <c r="I74" s="573">
        <f t="shared" si="3"/>
        <v>0</v>
      </c>
      <c r="J74" s="574">
        <f t="shared" si="4"/>
        <v>69.400000000000006</v>
      </c>
      <c r="K74" s="577">
        <f>H74-J74</f>
        <v>0</v>
      </c>
      <c r="L74" s="575">
        <f t="shared" si="17"/>
        <v>1135.3800000000001</v>
      </c>
      <c r="M74" s="575">
        <f t="shared" si="17"/>
        <v>0</v>
      </c>
      <c r="N74" s="575">
        <f t="shared" si="17"/>
        <v>1135.3800000000001</v>
      </c>
      <c r="O74" s="575">
        <f t="shared" si="17"/>
        <v>0</v>
      </c>
      <c r="P74" s="576">
        <f t="shared" si="0"/>
        <v>1</v>
      </c>
      <c r="Q74" s="525"/>
      <c r="S74" s="190">
        <v>0</v>
      </c>
      <c r="T74" s="190">
        <v>0</v>
      </c>
      <c r="BT74" s="525"/>
      <c r="BU74" s="523">
        <v>0</v>
      </c>
      <c r="BV74" s="523">
        <v>69.400000000000006</v>
      </c>
      <c r="BW74" s="523">
        <v>0</v>
      </c>
      <c r="BX74" s="523">
        <v>0</v>
      </c>
      <c r="BY74" s="523"/>
      <c r="BZ74" s="523"/>
      <c r="CA74" s="523"/>
      <c r="CB74" s="523"/>
      <c r="CC74" s="523"/>
      <c r="CD74" s="523"/>
      <c r="CE74" s="523"/>
      <c r="CF74" s="523"/>
      <c r="CG74" s="523"/>
      <c r="CH74" s="523"/>
      <c r="CI74" s="523">
        <f t="shared" si="2"/>
        <v>69.400000000000006</v>
      </c>
    </row>
    <row r="75" spans="1:87" ht="15.75" x14ac:dyDescent="0.2">
      <c r="A75" s="584" t="s">
        <v>1419</v>
      </c>
      <c r="B75" s="585"/>
      <c r="C75" s="585"/>
      <c r="D75" s="586" t="s">
        <v>1420</v>
      </c>
      <c r="E75" s="609"/>
      <c r="F75" s="609"/>
      <c r="G75" s="609"/>
      <c r="H75" s="609"/>
      <c r="I75" s="609"/>
      <c r="J75" s="609"/>
      <c r="K75" s="609"/>
      <c r="L75" s="618">
        <f>L76</f>
        <v>8501.27</v>
      </c>
      <c r="M75" s="618">
        <f>M76</f>
        <v>0</v>
      </c>
      <c r="N75" s="618">
        <f>N76</f>
        <v>0</v>
      </c>
      <c r="O75" s="618">
        <f>O76</f>
        <v>8501.27</v>
      </c>
      <c r="P75" s="592">
        <f t="shared" si="0"/>
        <v>0</v>
      </c>
      <c r="Q75" s="525"/>
      <c r="S75" s="189">
        <v>0</v>
      </c>
      <c r="T75" s="189">
        <v>0</v>
      </c>
      <c r="BT75" s="525"/>
      <c r="BU75" s="523">
        <v>0</v>
      </c>
      <c r="BV75" s="523">
        <v>0</v>
      </c>
      <c r="BW75" s="523"/>
      <c r="BX75" s="523"/>
      <c r="BY75" s="523"/>
      <c r="BZ75" s="523"/>
      <c r="CA75" s="523"/>
      <c r="CB75" s="523"/>
      <c r="CC75" s="523"/>
      <c r="CD75" s="523"/>
      <c r="CE75" s="523"/>
      <c r="CF75" s="523"/>
      <c r="CG75" s="523"/>
      <c r="CH75" s="523"/>
      <c r="CI75" s="523">
        <f t="shared" si="2"/>
        <v>0</v>
      </c>
    </row>
    <row r="76" spans="1:87" ht="30" x14ac:dyDescent="0.2">
      <c r="A76" s="567" t="s">
        <v>1421</v>
      </c>
      <c r="B76" s="568" t="s">
        <v>1422</v>
      </c>
      <c r="C76" s="568" t="s">
        <v>1324</v>
      </c>
      <c r="D76" s="569" t="s">
        <v>1423</v>
      </c>
      <c r="E76" s="570" t="s">
        <v>14</v>
      </c>
      <c r="F76" s="578"/>
      <c r="G76" s="572">
        <v>57.41</v>
      </c>
      <c r="H76" s="570">
        <v>148.08000000000001</v>
      </c>
      <c r="I76" s="573">
        <f t="shared" si="3"/>
        <v>0</v>
      </c>
      <c r="J76" s="574">
        <f t="shared" si="4"/>
        <v>0</v>
      </c>
      <c r="K76" s="577">
        <f>H76-J76</f>
        <v>148.08000000000001</v>
      </c>
      <c r="L76" s="575">
        <f>ROUND(H76*$G76,2)</f>
        <v>8501.27</v>
      </c>
      <c r="M76" s="575">
        <f>ROUND(I76*$G76,2)</f>
        <v>0</v>
      </c>
      <c r="N76" s="575">
        <f>ROUND(J76*$G76,2)</f>
        <v>0</v>
      </c>
      <c r="O76" s="575">
        <f>ROUND(K76*$G76,2)</f>
        <v>8501.27</v>
      </c>
      <c r="P76" s="576">
        <f t="shared" si="0"/>
        <v>0</v>
      </c>
      <c r="Q76" s="525"/>
      <c r="S76" s="189">
        <v>0</v>
      </c>
      <c r="T76" s="189">
        <v>0</v>
      </c>
      <c r="BT76" s="525"/>
      <c r="BU76" s="523">
        <v>0</v>
      </c>
      <c r="BV76" s="523">
        <v>0</v>
      </c>
      <c r="BW76" s="523">
        <v>0</v>
      </c>
      <c r="BX76" s="523">
        <v>0</v>
      </c>
      <c r="BY76" s="523"/>
      <c r="BZ76" s="523"/>
      <c r="CA76" s="523"/>
      <c r="CB76" s="523"/>
      <c r="CC76" s="523"/>
      <c r="CD76" s="523"/>
      <c r="CE76" s="523"/>
      <c r="CF76" s="523"/>
      <c r="CG76" s="523"/>
      <c r="CH76" s="523"/>
      <c r="CI76" s="523">
        <f t="shared" si="2"/>
        <v>0</v>
      </c>
    </row>
    <row r="77" spans="1:87" s="514" customFormat="1" ht="15.75" x14ac:dyDescent="0.2">
      <c r="A77" s="556">
        <v>6</v>
      </c>
      <c r="B77" s="557"/>
      <c r="C77" s="557"/>
      <c r="D77" s="558" t="s">
        <v>97</v>
      </c>
      <c r="E77" s="559"/>
      <c r="F77" s="559"/>
      <c r="G77" s="559"/>
      <c r="H77" s="559"/>
      <c r="I77" s="559"/>
      <c r="J77" s="559"/>
      <c r="K77" s="559"/>
      <c r="L77" s="621">
        <f>SUM(L78,L83,L87,L90)</f>
        <v>10373.979999999998</v>
      </c>
      <c r="M77" s="621">
        <f>SUM(M78,M83,M87,M90)</f>
        <v>0</v>
      </c>
      <c r="N77" s="621">
        <f>SUM(N78,N83,N87,N90)</f>
        <v>0</v>
      </c>
      <c r="O77" s="621">
        <f>SUM(O78,O83,O87,O90)</f>
        <v>10373.979999999998</v>
      </c>
      <c r="P77" s="566">
        <f t="shared" si="0"/>
        <v>0</v>
      </c>
      <c r="Q77" s="525"/>
      <c r="S77" s="190">
        <v>0</v>
      </c>
      <c r="T77" s="190">
        <v>0</v>
      </c>
      <c r="BT77" s="525"/>
      <c r="BU77" s="523">
        <v>0</v>
      </c>
      <c r="BV77" s="523">
        <v>0</v>
      </c>
      <c r="BW77" s="523"/>
      <c r="BX77" s="523"/>
      <c r="BY77" s="523"/>
      <c r="BZ77" s="523"/>
      <c r="CA77" s="523"/>
      <c r="CB77" s="523"/>
      <c r="CC77" s="523"/>
      <c r="CD77" s="523"/>
      <c r="CE77" s="523"/>
      <c r="CF77" s="523"/>
      <c r="CG77" s="523"/>
      <c r="CH77" s="523"/>
      <c r="CI77" s="523">
        <f t="shared" si="2"/>
        <v>0</v>
      </c>
    </row>
    <row r="78" spans="1:87" ht="15.75" x14ac:dyDescent="0.2">
      <c r="A78" s="584" t="s">
        <v>186</v>
      </c>
      <c r="B78" s="585"/>
      <c r="C78" s="585"/>
      <c r="D78" s="586" t="s">
        <v>1424</v>
      </c>
      <c r="E78" s="609"/>
      <c r="F78" s="609"/>
      <c r="G78" s="609"/>
      <c r="H78" s="609"/>
      <c r="I78" s="609"/>
      <c r="J78" s="609"/>
      <c r="K78" s="609"/>
      <c r="L78" s="618">
        <f>SUM(L79:L82)</f>
        <v>7440.7899999999991</v>
      </c>
      <c r="M78" s="618">
        <f>SUM(M79:M82)</f>
        <v>0</v>
      </c>
      <c r="N78" s="618">
        <f>SUM(N79:N82)</f>
        <v>0</v>
      </c>
      <c r="O78" s="618">
        <f>SUM(O79:O82)</f>
        <v>7440.7899999999991</v>
      </c>
      <c r="P78" s="592">
        <f t="shared" ref="P78:P87" si="18">N78/L78</f>
        <v>0</v>
      </c>
      <c r="Q78" s="525"/>
      <c r="S78" s="189">
        <v>0</v>
      </c>
      <c r="T78" s="189">
        <v>0</v>
      </c>
      <c r="BT78" s="525"/>
      <c r="BU78" s="523">
        <v>0</v>
      </c>
      <c r="BV78" s="523">
        <v>0</v>
      </c>
      <c r="BW78" s="523"/>
      <c r="BX78" s="523"/>
      <c r="BY78" s="523"/>
      <c r="BZ78" s="523"/>
      <c r="CA78" s="523"/>
      <c r="CB78" s="523"/>
      <c r="CC78" s="523"/>
      <c r="CD78" s="523"/>
      <c r="CE78" s="523"/>
      <c r="CF78" s="523"/>
      <c r="CG78" s="523"/>
      <c r="CH78" s="523"/>
      <c r="CI78" s="523">
        <f t="shared" si="2"/>
        <v>0</v>
      </c>
    </row>
    <row r="79" spans="1:87" ht="45" x14ac:dyDescent="0.2">
      <c r="A79" s="567" t="s">
        <v>1425</v>
      </c>
      <c r="B79" s="568">
        <v>90843</v>
      </c>
      <c r="C79" s="568" t="s">
        <v>1324</v>
      </c>
      <c r="D79" s="569" t="s">
        <v>1426</v>
      </c>
      <c r="E79" s="570" t="s">
        <v>102</v>
      </c>
      <c r="F79" s="571"/>
      <c r="G79" s="572">
        <v>688.65</v>
      </c>
      <c r="H79" s="570">
        <v>2</v>
      </c>
      <c r="I79" s="573">
        <f t="shared" si="3"/>
        <v>0</v>
      </c>
      <c r="J79" s="574">
        <f t="shared" si="4"/>
        <v>0</v>
      </c>
      <c r="K79" s="577">
        <f>H79-J79</f>
        <v>2</v>
      </c>
      <c r="L79" s="575">
        <f t="shared" ref="L79:O82" si="19">ROUND(H79*$G79,2)</f>
        <v>1377.3</v>
      </c>
      <c r="M79" s="575">
        <f t="shared" si="19"/>
        <v>0</v>
      </c>
      <c r="N79" s="575">
        <f t="shared" si="19"/>
        <v>0</v>
      </c>
      <c r="O79" s="575">
        <f t="shared" si="19"/>
        <v>1377.3</v>
      </c>
      <c r="P79" s="576">
        <f t="shared" si="18"/>
        <v>0</v>
      </c>
      <c r="Q79" s="525"/>
      <c r="S79" s="189">
        <v>0</v>
      </c>
      <c r="T79" s="189">
        <v>0</v>
      </c>
      <c r="BT79" s="525"/>
      <c r="BU79" s="523">
        <v>0</v>
      </c>
      <c r="BV79" s="523">
        <v>0</v>
      </c>
      <c r="BW79" s="523">
        <v>0</v>
      </c>
      <c r="BX79" s="523">
        <v>0</v>
      </c>
      <c r="BY79" s="523"/>
      <c r="BZ79" s="523"/>
      <c r="CA79" s="523"/>
      <c r="CB79" s="523"/>
      <c r="CC79" s="523"/>
      <c r="CD79" s="523"/>
      <c r="CE79" s="523"/>
      <c r="CF79" s="523"/>
      <c r="CG79" s="523"/>
      <c r="CH79" s="523"/>
      <c r="CI79" s="523">
        <f t="shared" ref="CI79:CI142" si="20">SUM(BU79:CH79)</f>
        <v>0</v>
      </c>
    </row>
    <row r="80" spans="1:87" ht="45" x14ac:dyDescent="0.2">
      <c r="A80" s="567" t="s">
        <v>1427</v>
      </c>
      <c r="B80" s="568">
        <v>90844</v>
      </c>
      <c r="C80" s="568" t="s">
        <v>1324</v>
      </c>
      <c r="D80" s="569" t="s">
        <v>1428</v>
      </c>
      <c r="E80" s="570" t="s">
        <v>102</v>
      </c>
      <c r="F80" s="577">
        <v>179.33</v>
      </c>
      <c r="G80" s="572">
        <v>926.13</v>
      </c>
      <c r="H80" s="570">
        <v>1</v>
      </c>
      <c r="I80" s="622">
        <f t="shared" ref="I80:I143" si="21">BU80</f>
        <v>0</v>
      </c>
      <c r="J80" s="574">
        <f t="shared" ref="J80:J143" si="22">CI80</f>
        <v>0</v>
      </c>
      <c r="K80" s="577">
        <f>H80-J80</f>
        <v>1</v>
      </c>
      <c r="L80" s="575">
        <f t="shared" si="19"/>
        <v>926.13</v>
      </c>
      <c r="M80" s="575">
        <f t="shared" si="19"/>
        <v>0</v>
      </c>
      <c r="N80" s="575">
        <f t="shared" si="19"/>
        <v>0</v>
      </c>
      <c r="O80" s="575">
        <f t="shared" si="19"/>
        <v>926.13</v>
      </c>
      <c r="P80" s="576">
        <f t="shared" si="18"/>
        <v>0</v>
      </c>
      <c r="Q80" s="525"/>
      <c r="S80" s="189">
        <v>0</v>
      </c>
      <c r="T80" s="189">
        <v>0</v>
      </c>
      <c r="BT80" s="525"/>
      <c r="BU80" s="523">
        <v>0</v>
      </c>
      <c r="BV80" s="523">
        <v>0</v>
      </c>
      <c r="BW80" s="523">
        <v>0</v>
      </c>
      <c r="BX80" s="523">
        <v>0</v>
      </c>
      <c r="BY80" s="523"/>
      <c r="BZ80" s="523"/>
      <c r="CA80" s="523"/>
      <c r="CB80" s="523"/>
      <c r="CC80" s="523"/>
      <c r="CD80" s="523"/>
      <c r="CE80" s="523"/>
      <c r="CF80" s="523"/>
      <c r="CG80" s="523"/>
      <c r="CH80" s="523"/>
      <c r="CI80" s="523">
        <f t="shared" si="20"/>
        <v>0</v>
      </c>
    </row>
    <row r="81" spans="1:87" ht="45" x14ac:dyDescent="0.2">
      <c r="A81" s="567" t="s">
        <v>1429</v>
      </c>
      <c r="B81" s="568" t="s">
        <v>1430</v>
      </c>
      <c r="C81" s="568" t="s">
        <v>1324</v>
      </c>
      <c r="D81" s="569" t="s">
        <v>1431</v>
      </c>
      <c r="E81" s="570" t="s">
        <v>102</v>
      </c>
      <c r="F81" s="577">
        <v>268.98</v>
      </c>
      <c r="G81" s="572">
        <v>825.22</v>
      </c>
      <c r="H81" s="570">
        <v>4</v>
      </c>
      <c r="I81" s="622">
        <f t="shared" si="21"/>
        <v>0</v>
      </c>
      <c r="J81" s="574">
        <f t="shared" si="22"/>
        <v>0</v>
      </c>
      <c r="K81" s="577">
        <f>H81-J81</f>
        <v>4</v>
      </c>
      <c r="L81" s="575">
        <f t="shared" si="19"/>
        <v>3300.88</v>
      </c>
      <c r="M81" s="575">
        <f t="shared" si="19"/>
        <v>0</v>
      </c>
      <c r="N81" s="575">
        <f t="shared" si="19"/>
        <v>0</v>
      </c>
      <c r="O81" s="575">
        <f t="shared" si="19"/>
        <v>3300.88</v>
      </c>
      <c r="P81" s="576">
        <f t="shared" si="18"/>
        <v>0</v>
      </c>
      <c r="Q81" s="525"/>
      <c r="S81" s="189">
        <v>0</v>
      </c>
      <c r="T81" s="189">
        <v>0</v>
      </c>
      <c r="BT81" s="525"/>
      <c r="BU81" s="523">
        <v>0</v>
      </c>
      <c r="BV81" s="523">
        <v>0</v>
      </c>
      <c r="BW81" s="523">
        <v>0</v>
      </c>
      <c r="BX81" s="523">
        <v>0</v>
      </c>
      <c r="BY81" s="523"/>
      <c r="BZ81" s="523"/>
      <c r="CA81" s="523"/>
      <c r="CB81" s="523"/>
      <c r="CC81" s="523"/>
      <c r="CD81" s="523"/>
      <c r="CE81" s="523"/>
      <c r="CF81" s="523"/>
      <c r="CG81" s="523"/>
      <c r="CH81" s="523"/>
      <c r="CI81" s="523">
        <f t="shared" si="20"/>
        <v>0</v>
      </c>
    </row>
    <row r="82" spans="1:87" s="514" customFormat="1" ht="30" x14ac:dyDescent="0.2">
      <c r="A82" s="567" t="s">
        <v>1432</v>
      </c>
      <c r="B82" s="568" t="s">
        <v>1433</v>
      </c>
      <c r="C82" s="568" t="s">
        <v>1324</v>
      </c>
      <c r="D82" s="569" t="s">
        <v>1434</v>
      </c>
      <c r="E82" s="570" t="s">
        <v>102</v>
      </c>
      <c r="F82" s="577">
        <v>134.49</v>
      </c>
      <c r="G82" s="572">
        <v>918.24</v>
      </c>
      <c r="H82" s="570">
        <v>2</v>
      </c>
      <c r="I82" s="622">
        <f t="shared" si="21"/>
        <v>0</v>
      </c>
      <c r="J82" s="574">
        <f t="shared" si="22"/>
        <v>0</v>
      </c>
      <c r="K82" s="577">
        <f>H82-J82</f>
        <v>2</v>
      </c>
      <c r="L82" s="575">
        <f t="shared" si="19"/>
        <v>1836.48</v>
      </c>
      <c r="M82" s="575">
        <f t="shared" si="19"/>
        <v>0</v>
      </c>
      <c r="N82" s="575">
        <f t="shared" si="19"/>
        <v>0</v>
      </c>
      <c r="O82" s="575">
        <f t="shared" si="19"/>
        <v>1836.48</v>
      </c>
      <c r="P82" s="576">
        <f t="shared" si="18"/>
        <v>0</v>
      </c>
      <c r="Q82" s="525"/>
      <c r="S82" s="190">
        <v>0</v>
      </c>
      <c r="T82" s="190">
        <v>0</v>
      </c>
      <c r="BT82" s="525"/>
      <c r="BU82" s="523">
        <v>0</v>
      </c>
      <c r="BV82" s="523">
        <v>0</v>
      </c>
      <c r="BW82" s="523">
        <v>0</v>
      </c>
      <c r="BX82" s="523">
        <v>0</v>
      </c>
      <c r="BY82" s="523"/>
      <c r="BZ82" s="523"/>
      <c r="CA82" s="523"/>
      <c r="CB82" s="523"/>
      <c r="CC82" s="523"/>
      <c r="CD82" s="523"/>
      <c r="CE82" s="523"/>
      <c r="CF82" s="523"/>
      <c r="CG82" s="523"/>
      <c r="CH82" s="523"/>
      <c r="CI82" s="523">
        <f t="shared" si="20"/>
        <v>0</v>
      </c>
    </row>
    <row r="83" spans="1:87" ht="15.75" x14ac:dyDescent="0.2">
      <c r="A83" s="584" t="s">
        <v>188</v>
      </c>
      <c r="B83" s="585"/>
      <c r="C83" s="585"/>
      <c r="D83" s="586" t="s">
        <v>1435</v>
      </c>
      <c r="E83" s="609"/>
      <c r="F83" s="609"/>
      <c r="G83" s="609"/>
      <c r="H83" s="609"/>
      <c r="I83" s="609"/>
      <c r="J83" s="609"/>
      <c r="K83" s="609"/>
      <c r="L83" s="587">
        <f>SUM(L84:L86)</f>
        <v>773.29</v>
      </c>
      <c r="M83" s="587">
        <f>SUM(M84:M86)</f>
        <v>0</v>
      </c>
      <c r="N83" s="587">
        <f>SUM(N84:N86)</f>
        <v>0</v>
      </c>
      <c r="O83" s="587">
        <f>SUM(O84:O86)</f>
        <v>773.29</v>
      </c>
      <c r="P83" s="592">
        <f t="shared" si="18"/>
        <v>0</v>
      </c>
      <c r="Q83" s="525"/>
      <c r="S83" s="189">
        <v>0</v>
      </c>
      <c r="T83" s="189">
        <v>0</v>
      </c>
      <c r="BT83" s="525"/>
      <c r="BU83" s="523">
        <v>0</v>
      </c>
      <c r="BV83" s="523">
        <v>0</v>
      </c>
      <c r="BW83" s="523"/>
      <c r="BX83" s="523"/>
      <c r="BY83" s="523"/>
      <c r="BZ83" s="523"/>
      <c r="CA83" s="523"/>
      <c r="CB83" s="523"/>
      <c r="CC83" s="523"/>
      <c r="CD83" s="523"/>
      <c r="CE83" s="523"/>
      <c r="CF83" s="523"/>
      <c r="CG83" s="523"/>
      <c r="CH83" s="523"/>
      <c r="CI83" s="523">
        <f t="shared" si="20"/>
        <v>0</v>
      </c>
    </row>
    <row r="84" spans="1:87" ht="30" x14ac:dyDescent="0.2">
      <c r="A84" s="567" t="s">
        <v>1436</v>
      </c>
      <c r="B84" s="568" t="s">
        <v>2007</v>
      </c>
      <c r="C84" s="568" t="s">
        <v>1339</v>
      </c>
      <c r="D84" s="569" t="s">
        <v>1437</v>
      </c>
      <c r="E84" s="570" t="s">
        <v>81</v>
      </c>
      <c r="F84" s="577">
        <v>627.62</v>
      </c>
      <c r="G84" s="572">
        <v>48.24</v>
      </c>
      <c r="H84" s="570">
        <v>11.6</v>
      </c>
      <c r="I84" s="622">
        <f t="shared" si="21"/>
        <v>0</v>
      </c>
      <c r="J84" s="574">
        <f t="shared" si="22"/>
        <v>0</v>
      </c>
      <c r="K84" s="577">
        <f t="shared" ref="K84:K91" si="23">H84-J84</f>
        <v>11.6</v>
      </c>
      <c r="L84" s="575">
        <f t="shared" ref="L84:O86" si="24">ROUND(H84*$G84,2)</f>
        <v>559.58000000000004</v>
      </c>
      <c r="M84" s="575">
        <f t="shared" si="24"/>
        <v>0</v>
      </c>
      <c r="N84" s="575">
        <f t="shared" si="24"/>
        <v>0</v>
      </c>
      <c r="O84" s="575">
        <f t="shared" si="24"/>
        <v>559.58000000000004</v>
      </c>
      <c r="P84" s="576">
        <f t="shared" si="18"/>
        <v>0</v>
      </c>
      <c r="Q84" s="525"/>
      <c r="S84" s="189">
        <v>0</v>
      </c>
      <c r="T84" s="189">
        <v>0</v>
      </c>
      <c r="BT84" s="525"/>
      <c r="BU84" s="523">
        <v>0</v>
      </c>
      <c r="BV84" s="523">
        <v>0</v>
      </c>
      <c r="BW84" s="523">
        <v>0</v>
      </c>
      <c r="BX84" s="523">
        <v>0</v>
      </c>
      <c r="BY84" s="523"/>
      <c r="BZ84" s="523"/>
      <c r="CA84" s="523"/>
      <c r="CB84" s="523"/>
      <c r="CC84" s="523"/>
      <c r="CD84" s="523"/>
      <c r="CE84" s="523"/>
      <c r="CF84" s="523"/>
      <c r="CG84" s="523"/>
      <c r="CH84" s="523"/>
      <c r="CI84" s="523">
        <f t="shared" si="20"/>
        <v>0</v>
      </c>
    </row>
    <row r="85" spans="1:87" ht="30" x14ac:dyDescent="0.2">
      <c r="A85" s="567" t="s">
        <v>1438</v>
      </c>
      <c r="B85" s="568" t="s">
        <v>2007</v>
      </c>
      <c r="C85" s="568" t="s">
        <v>1339</v>
      </c>
      <c r="D85" s="569" t="s">
        <v>1439</v>
      </c>
      <c r="E85" s="570" t="s">
        <v>14</v>
      </c>
      <c r="F85" s="577">
        <v>358.64</v>
      </c>
      <c r="G85" s="572">
        <v>5.44</v>
      </c>
      <c r="H85" s="570">
        <v>4.3</v>
      </c>
      <c r="I85" s="622">
        <f t="shared" si="21"/>
        <v>0</v>
      </c>
      <c r="J85" s="574">
        <f t="shared" si="22"/>
        <v>0</v>
      </c>
      <c r="K85" s="577">
        <f t="shared" si="23"/>
        <v>4.3</v>
      </c>
      <c r="L85" s="575">
        <f t="shared" si="24"/>
        <v>23.39</v>
      </c>
      <c r="M85" s="575">
        <f t="shared" si="24"/>
        <v>0</v>
      </c>
      <c r="N85" s="575">
        <f t="shared" si="24"/>
        <v>0</v>
      </c>
      <c r="O85" s="575">
        <f t="shared" si="24"/>
        <v>23.39</v>
      </c>
      <c r="P85" s="576">
        <f t="shared" si="18"/>
        <v>0</v>
      </c>
      <c r="Q85" s="525"/>
      <c r="S85" s="189">
        <v>0</v>
      </c>
      <c r="T85" s="189">
        <v>0</v>
      </c>
      <c r="BT85" s="525"/>
      <c r="BU85" s="523">
        <v>0</v>
      </c>
      <c r="BV85" s="523">
        <v>0</v>
      </c>
      <c r="BW85" s="523">
        <v>0</v>
      </c>
      <c r="BX85" s="523">
        <v>0</v>
      </c>
      <c r="BY85" s="523"/>
      <c r="BZ85" s="523"/>
      <c r="CA85" s="523"/>
      <c r="CB85" s="523"/>
      <c r="CC85" s="523"/>
      <c r="CD85" s="523"/>
      <c r="CE85" s="523"/>
      <c r="CF85" s="523"/>
      <c r="CG85" s="523"/>
      <c r="CH85" s="523"/>
      <c r="CI85" s="523">
        <f t="shared" si="20"/>
        <v>0</v>
      </c>
    </row>
    <row r="86" spans="1:87" s="514" customFormat="1" ht="30" x14ac:dyDescent="0.2">
      <c r="A86" s="567" t="s">
        <v>1440</v>
      </c>
      <c r="B86" s="568" t="s">
        <v>1441</v>
      </c>
      <c r="C86" s="568" t="s">
        <v>1324</v>
      </c>
      <c r="D86" s="569" t="s">
        <v>1442</v>
      </c>
      <c r="E86" s="570" t="s">
        <v>102</v>
      </c>
      <c r="F86" s="577">
        <v>448.3</v>
      </c>
      <c r="G86" s="572">
        <v>31.72</v>
      </c>
      <c r="H86" s="570">
        <v>6</v>
      </c>
      <c r="I86" s="622">
        <f t="shared" si="21"/>
        <v>0</v>
      </c>
      <c r="J86" s="574">
        <f t="shared" si="22"/>
        <v>0</v>
      </c>
      <c r="K86" s="577">
        <f t="shared" si="23"/>
        <v>6</v>
      </c>
      <c r="L86" s="575">
        <f t="shared" si="24"/>
        <v>190.32</v>
      </c>
      <c r="M86" s="575">
        <f t="shared" si="24"/>
        <v>0</v>
      </c>
      <c r="N86" s="575">
        <f t="shared" si="24"/>
        <v>0</v>
      </c>
      <c r="O86" s="575">
        <f t="shared" si="24"/>
        <v>190.32</v>
      </c>
      <c r="P86" s="576">
        <f t="shared" si="18"/>
        <v>0</v>
      </c>
      <c r="Q86" s="525"/>
      <c r="S86" s="190">
        <v>0</v>
      </c>
      <c r="T86" s="190">
        <v>0</v>
      </c>
      <c r="BT86" s="525"/>
      <c r="BU86" s="523">
        <v>0</v>
      </c>
      <c r="BV86" s="523">
        <v>0</v>
      </c>
      <c r="BW86" s="523">
        <v>0</v>
      </c>
      <c r="BX86" s="523">
        <v>0</v>
      </c>
      <c r="BY86" s="523"/>
      <c r="BZ86" s="523"/>
      <c r="CA86" s="523"/>
      <c r="CB86" s="523"/>
      <c r="CC86" s="523"/>
      <c r="CD86" s="523"/>
      <c r="CE86" s="523"/>
      <c r="CF86" s="523"/>
      <c r="CG86" s="523"/>
      <c r="CH86" s="523"/>
      <c r="CI86" s="523">
        <f t="shared" si="20"/>
        <v>0</v>
      </c>
    </row>
    <row r="87" spans="1:87" ht="15.75" x14ac:dyDescent="0.2">
      <c r="A87" s="584" t="s">
        <v>1443</v>
      </c>
      <c r="B87" s="585"/>
      <c r="C87" s="585"/>
      <c r="D87" s="586" t="s">
        <v>1444</v>
      </c>
      <c r="E87" s="609"/>
      <c r="F87" s="609"/>
      <c r="G87" s="609"/>
      <c r="H87" s="609"/>
      <c r="I87" s="609"/>
      <c r="J87" s="609"/>
      <c r="K87" s="609"/>
      <c r="L87" s="623">
        <f>L89</f>
        <v>331.68</v>
      </c>
      <c r="M87" s="623">
        <f>M89</f>
        <v>0</v>
      </c>
      <c r="N87" s="623">
        <f>N89</f>
        <v>0</v>
      </c>
      <c r="O87" s="623">
        <f>O89</f>
        <v>331.68</v>
      </c>
      <c r="P87" s="592">
        <f t="shared" si="18"/>
        <v>0</v>
      </c>
      <c r="Q87" s="525"/>
      <c r="S87" s="189">
        <v>0</v>
      </c>
      <c r="T87" s="189">
        <v>0</v>
      </c>
      <c r="BT87" s="525"/>
      <c r="BU87" s="523">
        <v>0</v>
      </c>
      <c r="BV87" s="523">
        <v>0</v>
      </c>
      <c r="BW87" s="523"/>
      <c r="BX87" s="523"/>
      <c r="BY87" s="523"/>
      <c r="BZ87" s="523"/>
      <c r="CA87" s="523"/>
      <c r="CB87" s="523"/>
      <c r="CC87" s="523"/>
      <c r="CD87" s="523"/>
      <c r="CE87" s="523"/>
      <c r="CF87" s="523"/>
      <c r="CG87" s="523"/>
      <c r="CH87" s="523"/>
      <c r="CI87" s="523">
        <f t="shared" si="20"/>
        <v>0</v>
      </c>
    </row>
    <row r="88" spans="1:87" ht="30" x14ac:dyDescent="0.2">
      <c r="A88" s="567" t="s">
        <v>1445</v>
      </c>
      <c r="B88" s="568">
        <v>68052</v>
      </c>
      <c r="C88" s="568" t="s">
        <v>1324</v>
      </c>
      <c r="D88" s="624" t="s">
        <v>1446</v>
      </c>
      <c r="E88" s="570" t="s">
        <v>14</v>
      </c>
      <c r="F88" s="577">
        <v>390.13</v>
      </c>
      <c r="G88" s="572">
        <v>0</v>
      </c>
      <c r="H88" s="570">
        <v>10.8</v>
      </c>
      <c r="I88" s="622">
        <f t="shared" si="21"/>
        <v>0</v>
      </c>
      <c r="J88" s="574">
        <f t="shared" si="22"/>
        <v>0</v>
      </c>
      <c r="K88" s="577">
        <f t="shared" si="23"/>
        <v>10.8</v>
      </c>
      <c r="L88" s="575">
        <f t="shared" ref="L88:O89" si="25">ROUND(H88*$G88,2)</f>
        <v>0</v>
      </c>
      <c r="M88" s="575">
        <f t="shared" si="25"/>
        <v>0</v>
      </c>
      <c r="N88" s="575">
        <f t="shared" si="25"/>
        <v>0</v>
      </c>
      <c r="O88" s="575">
        <f t="shared" si="25"/>
        <v>0</v>
      </c>
      <c r="P88" s="576">
        <v>1</v>
      </c>
      <c r="Q88" s="525"/>
      <c r="S88" s="189">
        <v>0</v>
      </c>
      <c r="T88" s="189">
        <v>0</v>
      </c>
      <c r="BT88" s="525"/>
      <c r="BU88" s="523">
        <v>0</v>
      </c>
      <c r="BV88" s="523">
        <v>0</v>
      </c>
      <c r="BW88" s="523">
        <v>0</v>
      </c>
      <c r="BX88" s="523">
        <v>0</v>
      </c>
      <c r="BY88" s="523"/>
      <c r="BZ88" s="523"/>
      <c r="CA88" s="523"/>
      <c r="CB88" s="523"/>
      <c r="CC88" s="523"/>
      <c r="CD88" s="523"/>
      <c r="CE88" s="523"/>
      <c r="CF88" s="523"/>
      <c r="CG88" s="523"/>
      <c r="CH88" s="523"/>
      <c r="CI88" s="523">
        <f t="shared" si="20"/>
        <v>0</v>
      </c>
    </row>
    <row r="89" spans="1:87" s="514" customFormat="1" ht="30" x14ac:dyDescent="0.2">
      <c r="A89" s="567" t="s">
        <v>1447</v>
      </c>
      <c r="B89" s="568">
        <v>85010</v>
      </c>
      <c r="C89" s="568" t="s">
        <v>1324</v>
      </c>
      <c r="D89" s="569" t="s">
        <v>1448</v>
      </c>
      <c r="E89" s="570" t="s">
        <v>14</v>
      </c>
      <c r="F89" s="577">
        <v>975.33</v>
      </c>
      <c r="G89" s="572">
        <v>159.46</v>
      </c>
      <c r="H89" s="570">
        <v>2.08</v>
      </c>
      <c r="I89" s="622">
        <f t="shared" si="21"/>
        <v>0</v>
      </c>
      <c r="J89" s="574">
        <f t="shared" si="22"/>
        <v>0</v>
      </c>
      <c r="K89" s="577">
        <f t="shared" si="23"/>
        <v>2.08</v>
      </c>
      <c r="L89" s="575">
        <f t="shared" si="25"/>
        <v>331.68</v>
      </c>
      <c r="M89" s="575">
        <f t="shared" si="25"/>
        <v>0</v>
      </c>
      <c r="N89" s="575">
        <f t="shared" si="25"/>
        <v>0</v>
      </c>
      <c r="O89" s="575">
        <f t="shared" si="25"/>
        <v>331.68</v>
      </c>
      <c r="P89" s="576">
        <f t="shared" ref="P89:P139" si="26">N89/L89</f>
        <v>0</v>
      </c>
      <c r="Q89" s="525"/>
      <c r="S89" s="190">
        <v>0</v>
      </c>
      <c r="T89" s="190">
        <v>0</v>
      </c>
      <c r="BT89" s="525"/>
      <c r="BU89" s="523">
        <v>0</v>
      </c>
      <c r="BV89" s="523">
        <v>0</v>
      </c>
      <c r="BW89" s="523">
        <v>0</v>
      </c>
      <c r="BX89" s="523">
        <v>0</v>
      </c>
      <c r="BY89" s="523"/>
      <c r="BZ89" s="523"/>
      <c r="CA89" s="523"/>
      <c r="CB89" s="523"/>
      <c r="CC89" s="523"/>
      <c r="CD89" s="523"/>
      <c r="CE89" s="523"/>
      <c r="CF89" s="523"/>
      <c r="CG89" s="523"/>
      <c r="CH89" s="523"/>
      <c r="CI89" s="523">
        <f t="shared" si="20"/>
        <v>0</v>
      </c>
    </row>
    <row r="90" spans="1:87" ht="15.75" x14ac:dyDescent="0.2">
      <c r="A90" s="584" t="s">
        <v>1449</v>
      </c>
      <c r="B90" s="585"/>
      <c r="C90" s="585"/>
      <c r="D90" s="586" t="s">
        <v>184</v>
      </c>
      <c r="E90" s="609"/>
      <c r="F90" s="609"/>
      <c r="G90" s="609"/>
      <c r="H90" s="609"/>
      <c r="I90" s="609"/>
      <c r="J90" s="609"/>
      <c r="K90" s="609"/>
      <c r="L90" s="623">
        <f>L91</f>
        <v>1828.22</v>
      </c>
      <c r="M90" s="623">
        <f>M91</f>
        <v>0</v>
      </c>
      <c r="N90" s="623">
        <f>N91</f>
        <v>0</v>
      </c>
      <c r="O90" s="623">
        <f>O91</f>
        <v>1828.22</v>
      </c>
      <c r="P90" s="592">
        <f t="shared" si="26"/>
        <v>0</v>
      </c>
      <c r="Q90" s="525"/>
      <c r="S90" s="189">
        <v>0</v>
      </c>
      <c r="T90" s="189">
        <v>0</v>
      </c>
      <c r="BT90" s="525"/>
      <c r="BU90" s="523">
        <v>0</v>
      </c>
      <c r="BV90" s="523">
        <v>0</v>
      </c>
      <c r="BW90" s="523"/>
      <c r="BX90" s="523"/>
      <c r="BY90" s="523"/>
      <c r="BZ90" s="523"/>
      <c r="CA90" s="523"/>
      <c r="CB90" s="523"/>
      <c r="CC90" s="523"/>
      <c r="CD90" s="523"/>
      <c r="CE90" s="523"/>
      <c r="CF90" s="523"/>
      <c r="CG90" s="523"/>
      <c r="CH90" s="523"/>
      <c r="CI90" s="523">
        <f t="shared" si="20"/>
        <v>0</v>
      </c>
    </row>
    <row r="91" spans="1:87" ht="30" x14ac:dyDescent="0.2">
      <c r="A91" s="567" t="s">
        <v>1450</v>
      </c>
      <c r="B91" s="568" t="s">
        <v>1451</v>
      </c>
      <c r="C91" s="568" t="s">
        <v>1324</v>
      </c>
      <c r="D91" s="569" t="s">
        <v>1452</v>
      </c>
      <c r="E91" s="570" t="s">
        <v>14</v>
      </c>
      <c r="F91" s="577">
        <v>877.8</v>
      </c>
      <c r="G91" s="572">
        <v>423.2</v>
      </c>
      <c r="H91" s="570">
        <v>4.32</v>
      </c>
      <c r="I91" s="622">
        <f t="shared" si="21"/>
        <v>0</v>
      </c>
      <c r="J91" s="574">
        <f t="shared" si="22"/>
        <v>0</v>
      </c>
      <c r="K91" s="577">
        <f t="shared" si="23"/>
        <v>4.32</v>
      </c>
      <c r="L91" s="575">
        <f>ROUND(H91*$G91,2)</f>
        <v>1828.22</v>
      </c>
      <c r="M91" s="575">
        <f>ROUND(I91*$G91,2)</f>
        <v>0</v>
      </c>
      <c r="N91" s="575">
        <f>ROUND(J91*$G91,2)</f>
        <v>0</v>
      </c>
      <c r="O91" s="575">
        <f>ROUND(K91*$G91,2)</f>
        <v>1828.22</v>
      </c>
      <c r="P91" s="576">
        <f t="shared" si="26"/>
        <v>0</v>
      </c>
      <c r="Q91" s="525"/>
      <c r="S91" s="189">
        <v>0</v>
      </c>
      <c r="T91" s="189">
        <v>0</v>
      </c>
      <c r="BT91" s="525"/>
      <c r="BU91" s="523">
        <v>0</v>
      </c>
      <c r="BV91" s="523">
        <v>0</v>
      </c>
      <c r="BW91" s="523">
        <v>0</v>
      </c>
      <c r="BX91" s="523">
        <v>0</v>
      </c>
      <c r="BY91" s="523"/>
      <c r="BZ91" s="523"/>
      <c r="CA91" s="523"/>
      <c r="CB91" s="523"/>
      <c r="CC91" s="523"/>
      <c r="CD91" s="523"/>
      <c r="CE91" s="523"/>
      <c r="CF91" s="523"/>
      <c r="CG91" s="523"/>
      <c r="CH91" s="523"/>
      <c r="CI91" s="523">
        <f t="shared" si="20"/>
        <v>0</v>
      </c>
    </row>
    <row r="92" spans="1:87" ht="15.75" x14ac:dyDescent="0.2">
      <c r="A92" s="556">
        <v>7</v>
      </c>
      <c r="B92" s="557"/>
      <c r="C92" s="557"/>
      <c r="D92" s="558" t="s">
        <v>1453</v>
      </c>
      <c r="E92" s="559"/>
      <c r="F92" s="559"/>
      <c r="G92" s="559"/>
      <c r="H92" s="559"/>
      <c r="I92" s="559"/>
      <c r="J92" s="559"/>
      <c r="K92" s="559"/>
      <c r="L92" s="621">
        <f>SUM(L93:L94)</f>
        <v>173274.06</v>
      </c>
      <c r="M92" s="621">
        <f>SUM(M93:M94)</f>
        <v>0</v>
      </c>
      <c r="N92" s="621">
        <f>SUM(N93:N94)</f>
        <v>0</v>
      </c>
      <c r="O92" s="621">
        <f>SUM(O93:O94)</f>
        <v>173274.06</v>
      </c>
      <c r="P92" s="566">
        <f t="shared" si="26"/>
        <v>0</v>
      </c>
      <c r="Q92" s="525"/>
      <c r="S92" s="189">
        <v>0</v>
      </c>
      <c r="T92" s="189">
        <v>0</v>
      </c>
      <c r="BT92" s="525"/>
      <c r="BU92" s="523">
        <v>0</v>
      </c>
      <c r="BV92" s="523">
        <v>0</v>
      </c>
      <c r="BW92" s="523"/>
      <c r="BX92" s="523"/>
      <c r="BY92" s="523"/>
      <c r="BZ92" s="523"/>
      <c r="CA92" s="523"/>
      <c r="CB92" s="523"/>
      <c r="CC92" s="523"/>
      <c r="CD92" s="523"/>
      <c r="CE92" s="523"/>
      <c r="CF92" s="523"/>
      <c r="CG92" s="523"/>
      <c r="CH92" s="523"/>
      <c r="CI92" s="523">
        <f t="shared" si="20"/>
        <v>0</v>
      </c>
    </row>
    <row r="93" spans="1:87" ht="30" x14ac:dyDescent="0.2">
      <c r="A93" s="567" t="s">
        <v>193</v>
      </c>
      <c r="B93" s="568" t="s">
        <v>1454</v>
      </c>
      <c r="C93" s="568" t="s">
        <v>1324</v>
      </c>
      <c r="D93" s="569" t="s">
        <v>1455</v>
      </c>
      <c r="E93" s="570" t="s">
        <v>14</v>
      </c>
      <c r="F93" s="625">
        <v>1560.54</v>
      </c>
      <c r="G93" s="572">
        <v>51.14</v>
      </c>
      <c r="H93" s="570">
        <v>1030.4000000000001</v>
      </c>
      <c r="I93" s="622">
        <f t="shared" si="21"/>
        <v>0</v>
      </c>
      <c r="J93" s="574">
        <f t="shared" si="22"/>
        <v>0</v>
      </c>
      <c r="K93" s="577">
        <f>H93-J93</f>
        <v>1030.4000000000001</v>
      </c>
      <c r="L93" s="575">
        <f t="shared" ref="L93:O94" si="27">ROUND(H93*$G93,2)</f>
        <v>52694.66</v>
      </c>
      <c r="M93" s="575">
        <f t="shared" si="27"/>
        <v>0</v>
      </c>
      <c r="N93" s="575">
        <f t="shared" si="27"/>
        <v>0</v>
      </c>
      <c r="O93" s="575">
        <f t="shared" si="27"/>
        <v>52694.66</v>
      </c>
      <c r="P93" s="576">
        <f t="shared" si="26"/>
        <v>0</v>
      </c>
      <c r="Q93" s="525"/>
      <c r="S93" s="189">
        <v>0</v>
      </c>
      <c r="T93" s="189">
        <v>0</v>
      </c>
      <c r="BT93" s="525"/>
      <c r="BU93" s="523">
        <v>0</v>
      </c>
      <c r="BV93" s="523">
        <v>0</v>
      </c>
      <c r="BW93" s="523">
        <v>0</v>
      </c>
      <c r="BX93" s="523">
        <v>0</v>
      </c>
      <c r="BY93" s="523"/>
      <c r="BZ93" s="523"/>
      <c r="CA93" s="523"/>
      <c r="CB93" s="523"/>
      <c r="CC93" s="523"/>
      <c r="CD93" s="523"/>
      <c r="CE93" s="523"/>
      <c r="CF93" s="523"/>
      <c r="CG93" s="523"/>
      <c r="CH93" s="523"/>
      <c r="CI93" s="523">
        <f t="shared" si="20"/>
        <v>0</v>
      </c>
    </row>
    <row r="94" spans="1:87" s="110" customFormat="1" ht="15" x14ac:dyDescent="0.2">
      <c r="A94" s="567" t="s">
        <v>195</v>
      </c>
      <c r="B94" s="568">
        <v>72112</v>
      </c>
      <c r="C94" s="568" t="s">
        <v>1324</v>
      </c>
      <c r="D94" s="569" t="s">
        <v>1456</v>
      </c>
      <c r="E94" s="570" t="s">
        <v>14</v>
      </c>
      <c r="F94" s="625">
        <v>1950.67</v>
      </c>
      <c r="G94" s="572">
        <v>122.99</v>
      </c>
      <c r="H94" s="570">
        <v>980.4</v>
      </c>
      <c r="I94" s="622">
        <f t="shared" si="21"/>
        <v>0</v>
      </c>
      <c r="J94" s="574">
        <f t="shared" si="22"/>
        <v>0</v>
      </c>
      <c r="K94" s="577">
        <f>H94-J94</f>
        <v>980.4</v>
      </c>
      <c r="L94" s="575">
        <f t="shared" si="27"/>
        <v>120579.4</v>
      </c>
      <c r="M94" s="575">
        <f t="shared" si="27"/>
        <v>0</v>
      </c>
      <c r="N94" s="575">
        <f t="shared" si="27"/>
        <v>0</v>
      </c>
      <c r="O94" s="575">
        <f t="shared" si="27"/>
        <v>120579.4</v>
      </c>
      <c r="P94" s="576">
        <f t="shared" si="26"/>
        <v>0</v>
      </c>
      <c r="Q94" s="525"/>
      <c r="S94" s="192">
        <v>0</v>
      </c>
      <c r="T94" s="192">
        <v>0</v>
      </c>
      <c r="BT94" s="525"/>
      <c r="BU94" s="523">
        <v>0</v>
      </c>
      <c r="BV94" s="523">
        <v>0</v>
      </c>
      <c r="BW94" s="523">
        <v>0</v>
      </c>
      <c r="BX94" s="523">
        <v>0</v>
      </c>
      <c r="BY94" s="523"/>
      <c r="BZ94" s="523"/>
      <c r="CA94" s="523"/>
      <c r="CB94" s="523"/>
      <c r="CC94" s="523"/>
      <c r="CD94" s="523"/>
      <c r="CE94" s="523"/>
      <c r="CF94" s="523"/>
      <c r="CG94" s="523"/>
      <c r="CH94" s="523"/>
      <c r="CI94" s="523">
        <f t="shared" si="20"/>
        <v>0</v>
      </c>
    </row>
    <row r="95" spans="1:87" s="110" customFormat="1" ht="15.75" x14ac:dyDescent="0.2">
      <c r="A95" s="600">
        <v>8</v>
      </c>
      <c r="B95" s="601"/>
      <c r="C95" s="601"/>
      <c r="D95" s="602" t="s">
        <v>208</v>
      </c>
      <c r="E95" s="559"/>
      <c r="F95" s="559"/>
      <c r="G95" s="559"/>
      <c r="H95" s="559"/>
      <c r="I95" s="559"/>
      <c r="J95" s="559"/>
      <c r="K95" s="559"/>
      <c r="L95" s="626">
        <f>SUM(L96:L97)</f>
        <v>5634.27</v>
      </c>
      <c r="M95" s="603">
        <f>SUM(M96:M97)</f>
        <v>2048.5</v>
      </c>
      <c r="N95" s="627">
        <f>SUM(N96:N97)</f>
        <v>2048.5</v>
      </c>
      <c r="O95" s="628">
        <f>SUM(O96:O97)</f>
        <v>3585.77</v>
      </c>
      <c r="P95" s="604">
        <f t="shared" si="26"/>
        <v>0.36357860024457467</v>
      </c>
      <c r="Q95" s="525"/>
      <c r="S95" s="192">
        <v>265.61</v>
      </c>
      <c r="T95" s="192">
        <v>265.61</v>
      </c>
      <c r="BT95" s="525"/>
      <c r="BU95" s="523">
        <v>241</v>
      </c>
      <c r="BV95" s="523">
        <v>0</v>
      </c>
      <c r="BW95" s="523"/>
      <c r="BX95" s="523"/>
      <c r="BY95" s="523"/>
      <c r="BZ95" s="523"/>
      <c r="CA95" s="523"/>
      <c r="CB95" s="523"/>
      <c r="CC95" s="523"/>
      <c r="CD95" s="523"/>
      <c r="CE95" s="523"/>
      <c r="CF95" s="523"/>
      <c r="CG95" s="523"/>
      <c r="CH95" s="523"/>
      <c r="CI95" s="523">
        <f t="shared" si="20"/>
        <v>241</v>
      </c>
    </row>
    <row r="96" spans="1:87" ht="30" x14ac:dyDescent="0.2">
      <c r="A96" s="612" t="s">
        <v>210</v>
      </c>
      <c r="B96" s="613" t="s">
        <v>1457</v>
      </c>
      <c r="C96" s="613" t="s">
        <v>1324</v>
      </c>
      <c r="D96" s="614" t="s">
        <v>1458</v>
      </c>
      <c r="E96" s="615" t="s">
        <v>14</v>
      </c>
      <c r="F96" s="625">
        <v>3121.08</v>
      </c>
      <c r="G96" s="616">
        <v>8.5</v>
      </c>
      <c r="H96" s="615">
        <v>265.61</v>
      </c>
      <c r="I96" s="629">
        <f t="shared" si="21"/>
        <v>241</v>
      </c>
      <c r="J96" s="574">
        <f t="shared" si="22"/>
        <v>241</v>
      </c>
      <c r="K96" s="577">
        <f>H96-J96</f>
        <v>24.610000000000014</v>
      </c>
      <c r="L96" s="575">
        <f t="shared" ref="L96:O97" si="28">ROUND(H96*$G96,2)</f>
        <v>2257.69</v>
      </c>
      <c r="M96" s="575">
        <f t="shared" si="28"/>
        <v>2048.5</v>
      </c>
      <c r="N96" s="575">
        <f t="shared" si="28"/>
        <v>2048.5</v>
      </c>
      <c r="O96" s="575">
        <f t="shared" si="28"/>
        <v>209.19</v>
      </c>
      <c r="P96" s="617">
        <f t="shared" si="26"/>
        <v>0.90734334651790105</v>
      </c>
      <c r="Q96" s="525"/>
      <c r="S96" s="189">
        <v>0</v>
      </c>
      <c r="T96" s="189">
        <v>0</v>
      </c>
      <c r="BT96" s="525"/>
      <c r="BU96" s="523">
        <v>241</v>
      </c>
      <c r="BV96" s="523">
        <v>0</v>
      </c>
      <c r="BW96" s="523">
        <v>0</v>
      </c>
      <c r="BX96" s="523">
        <v>0</v>
      </c>
      <c r="BY96" s="523"/>
      <c r="BZ96" s="523"/>
      <c r="CA96" s="523"/>
      <c r="CB96" s="523"/>
      <c r="CC96" s="523"/>
      <c r="CD96" s="523"/>
      <c r="CE96" s="523"/>
      <c r="CF96" s="523"/>
      <c r="CG96" s="523"/>
      <c r="CH96" s="523"/>
      <c r="CI96" s="523">
        <f t="shared" si="20"/>
        <v>241</v>
      </c>
    </row>
    <row r="97" spans="1:87" s="517" customFormat="1" ht="30" x14ac:dyDescent="0.2">
      <c r="A97" s="567" t="s">
        <v>213</v>
      </c>
      <c r="B97" s="568">
        <v>68053</v>
      </c>
      <c r="C97" s="568" t="s">
        <v>1324</v>
      </c>
      <c r="D97" s="569" t="s">
        <v>1459</v>
      </c>
      <c r="E97" s="570" t="s">
        <v>14</v>
      </c>
      <c r="F97" s="625">
        <v>1137.9000000000001</v>
      </c>
      <c r="G97" s="572">
        <v>4.99</v>
      </c>
      <c r="H97" s="570">
        <v>676.67</v>
      </c>
      <c r="I97" s="622">
        <f t="shared" si="21"/>
        <v>0</v>
      </c>
      <c r="J97" s="574">
        <f t="shared" si="22"/>
        <v>0</v>
      </c>
      <c r="K97" s="577">
        <f>H97-J97</f>
        <v>676.67</v>
      </c>
      <c r="L97" s="575">
        <f t="shared" si="28"/>
        <v>3376.58</v>
      </c>
      <c r="M97" s="575">
        <f t="shared" si="28"/>
        <v>0</v>
      </c>
      <c r="N97" s="575">
        <f t="shared" si="28"/>
        <v>0</v>
      </c>
      <c r="O97" s="575">
        <f t="shared" si="28"/>
        <v>3376.58</v>
      </c>
      <c r="P97" s="576">
        <f t="shared" si="26"/>
        <v>0</v>
      </c>
      <c r="Q97" s="525"/>
      <c r="S97" s="191">
        <v>0</v>
      </c>
      <c r="T97" s="191">
        <v>0</v>
      </c>
      <c r="BT97" s="525"/>
      <c r="BU97" s="523">
        <v>0</v>
      </c>
      <c r="BV97" s="523">
        <v>0</v>
      </c>
      <c r="BW97" s="523">
        <v>0</v>
      </c>
      <c r="BX97" s="523">
        <v>0</v>
      </c>
      <c r="BY97" s="523"/>
      <c r="BZ97" s="523"/>
      <c r="CA97" s="523"/>
      <c r="CB97" s="523"/>
      <c r="CC97" s="523"/>
      <c r="CD97" s="523"/>
      <c r="CE97" s="523"/>
      <c r="CF97" s="523"/>
      <c r="CG97" s="523"/>
      <c r="CH97" s="523"/>
      <c r="CI97" s="523">
        <f t="shared" si="20"/>
        <v>0</v>
      </c>
    </row>
    <row r="98" spans="1:87" ht="15.75" x14ac:dyDescent="0.2">
      <c r="A98" s="600">
        <v>9</v>
      </c>
      <c r="B98" s="601"/>
      <c r="C98" s="601"/>
      <c r="D98" s="602" t="s">
        <v>1460</v>
      </c>
      <c r="E98" s="559"/>
      <c r="F98" s="559"/>
      <c r="G98" s="559"/>
      <c r="H98" s="559"/>
      <c r="I98" s="559"/>
      <c r="J98" s="559"/>
      <c r="K98" s="559"/>
      <c r="L98" s="626">
        <f>SUM(L99:L108)</f>
        <v>51794.2</v>
      </c>
      <c r="M98" s="626">
        <f>SUM(M99:M108)</f>
        <v>22206.5</v>
      </c>
      <c r="N98" s="626">
        <f>SUM(N99:N108)</f>
        <v>27113.380000000005</v>
      </c>
      <c r="O98" s="626">
        <f>SUM(O99:O108)</f>
        <v>24680.82</v>
      </c>
      <c r="P98" s="604">
        <f t="shared" si="26"/>
        <v>0.52348293824405057</v>
      </c>
      <c r="Q98" s="525"/>
      <c r="S98" s="189">
        <v>0</v>
      </c>
      <c r="T98" s="189">
        <v>803.09</v>
      </c>
      <c r="BT98" s="525"/>
      <c r="BU98" s="523">
        <v>0</v>
      </c>
      <c r="BV98" s="523">
        <v>803.09</v>
      </c>
      <c r="BW98" s="523"/>
      <c r="BX98" s="523"/>
      <c r="BY98" s="523"/>
      <c r="BZ98" s="523"/>
      <c r="CA98" s="523"/>
      <c r="CB98" s="523"/>
      <c r="CC98" s="523"/>
      <c r="CD98" s="523"/>
      <c r="CE98" s="523"/>
      <c r="CF98" s="523"/>
      <c r="CG98" s="523"/>
      <c r="CH98" s="523"/>
      <c r="CI98" s="523">
        <f t="shared" si="20"/>
        <v>803.09</v>
      </c>
    </row>
    <row r="99" spans="1:87" ht="15" x14ac:dyDescent="0.2">
      <c r="A99" s="567" t="s">
        <v>223</v>
      </c>
      <c r="B99" s="568">
        <v>87905</v>
      </c>
      <c r="C99" s="568" t="s">
        <v>1324</v>
      </c>
      <c r="D99" s="569" t="s">
        <v>1461</v>
      </c>
      <c r="E99" s="570" t="s">
        <v>14</v>
      </c>
      <c r="F99" s="577">
        <v>582.46</v>
      </c>
      <c r="G99" s="572">
        <v>6.11</v>
      </c>
      <c r="H99" s="570">
        <v>803.09</v>
      </c>
      <c r="I99" s="622">
        <f t="shared" si="21"/>
        <v>0</v>
      </c>
      <c r="J99" s="574">
        <f t="shared" si="22"/>
        <v>803.09</v>
      </c>
      <c r="K99" s="577">
        <f>H99-J99</f>
        <v>0</v>
      </c>
      <c r="L99" s="575">
        <f t="shared" ref="L99:O108" si="29">ROUND(H99*$G99,2)</f>
        <v>4906.88</v>
      </c>
      <c r="M99" s="575">
        <f t="shared" si="29"/>
        <v>0</v>
      </c>
      <c r="N99" s="575">
        <f t="shared" si="29"/>
        <v>4906.88</v>
      </c>
      <c r="O99" s="575">
        <f t="shared" si="29"/>
        <v>0</v>
      </c>
      <c r="P99" s="576">
        <f t="shared" si="26"/>
        <v>1</v>
      </c>
      <c r="Q99" s="525"/>
      <c r="S99" s="189">
        <v>0</v>
      </c>
      <c r="T99" s="189">
        <v>0</v>
      </c>
      <c r="BT99" s="525"/>
      <c r="BU99" s="523">
        <v>0</v>
      </c>
      <c r="BV99" s="523">
        <v>803.09</v>
      </c>
      <c r="BW99" s="523">
        <v>0</v>
      </c>
      <c r="BX99" s="523">
        <v>0</v>
      </c>
      <c r="BY99" s="523"/>
      <c r="BZ99" s="523"/>
      <c r="CA99" s="523"/>
      <c r="CB99" s="523"/>
      <c r="CC99" s="523"/>
      <c r="CD99" s="523"/>
      <c r="CE99" s="523"/>
      <c r="CF99" s="523"/>
      <c r="CG99" s="523"/>
      <c r="CH99" s="523"/>
      <c r="CI99" s="523">
        <f t="shared" si="20"/>
        <v>803.09</v>
      </c>
    </row>
    <row r="100" spans="1:87" s="110" customFormat="1" ht="15" x14ac:dyDescent="0.2">
      <c r="A100" s="567" t="s">
        <v>239</v>
      </c>
      <c r="B100" s="568">
        <v>87882</v>
      </c>
      <c r="C100" s="568" t="s">
        <v>1324</v>
      </c>
      <c r="D100" s="569" t="s">
        <v>1462</v>
      </c>
      <c r="E100" s="570" t="s">
        <v>14</v>
      </c>
      <c r="F100" s="571"/>
      <c r="G100" s="572">
        <v>4.03</v>
      </c>
      <c r="H100" s="570">
        <v>84.33</v>
      </c>
      <c r="I100" s="622">
        <f t="shared" si="21"/>
        <v>0</v>
      </c>
      <c r="J100" s="574">
        <f t="shared" si="22"/>
        <v>0</v>
      </c>
      <c r="K100" s="577">
        <f t="shared" ref="K100:K108" si="30">H100-J100</f>
        <v>84.33</v>
      </c>
      <c r="L100" s="575">
        <f t="shared" si="29"/>
        <v>339.85</v>
      </c>
      <c r="M100" s="575">
        <f t="shared" si="29"/>
        <v>0</v>
      </c>
      <c r="N100" s="575">
        <f t="shared" si="29"/>
        <v>0</v>
      </c>
      <c r="O100" s="575">
        <f t="shared" si="29"/>
        <v>339.85</v>
      </c>
      <c r="P100" s="576">
        <f t="shared" si="26"/>
        <v>0</v>
      </c>
      <c r="Q100" s="525"/>
      <c r="S100" s="192">
        <v>600</v>
      </c>
      <c r="T100" s="192">
        <v>600</v>
      </c>
      <c r="BT100" s="525"/>
      <c r="BU100" s="523">
        <v>0</v>
      </c>
      <c r="BV100" s="523">
        <v>0</v>
      </c>
      <c r="BW100" s="523">
        <v>0</v>
      </c>
      <c r="BX100" s="523">
        <v>0</v>
      </c>
      <c r="BY100" s="523"/>
      <c r="BZ100" s="523"/>
      <c r="CA100" s="523"/>
      <c r="CB100" s="523"/>
      <c r="CC100" s="523"/>
      <c r="CD100" s="523"/>
      <c r="CE100" s="523"/>
      <c r="CF100" s="523"/>
      <c r="CG100" s="523"/>
      <c r="CH100" s="523"/>
      <c r="CI100" s="523">
        <f t="shared" si="20"/>
        <v>0</v>
      </c>
    </row>
    <row r="101" spans="1:87" s="110" customFormat="1" ht="30" x14ac:dyDescent="0.2">
      <c r="A101" s="612" t="s">
        <v>1463</v>
      </c>
      <c r="B101" s="613">
        <v>87531</v>
      </c>
      <c r="C101" s="613" t="s">
        <v>1324</v>
      </c>
      <c r="D101" s="614" t="s">
        <v>1464</v>
      </c>
      <c r="E101" s="615" t="s">
        <v>14</v>
      </c>
      <c r="F101" s="577">
        <v>180.11</v>
      </c>
      <c r="G101" s="616">
        <v>26.27</v>
      </c>
      <c r="H101" s="615">
        <v>743.93</v>
      </c>
      <c r="I101" s="629">
        <f t="shared" si="21"/>
        <v>670</v>
      </c>
      <c r="J101" s="574">
        <f t="shared" si="22"/>
        <v>670</v>
      </c>
      <c r="K101" s="577">
        <f t="shared" si="30"/>
        <v>73.92999999999995</v>
      </c>
      <c r="L101" s="575">
        <f t="shared" si="29"/>
        <v>19543.04</v>
      </c>
      <c r="M101" s="575">
        <f t="shared" si="29"/>
        <v>17600.900000000001</v>
      </c>
      <c r="N101" s="575">
        <f t="shared" si="29"/>
        <v>17600.900000000001</v>
      </c>
      <c r="O101" s="575">
        <f t="shared" si="29"/>
        <v>1942.14</v>
      </c>
      <c r="P101" s="617">
        <f t="shared" si="26"/>
        <v>0.90062242107676194</v>
      </c>
      <c r="Q101" s="525"/>
      <c r="S101" s="192">
        <v>358.92</v>
      </c>
      <c r="T101" s="192">
        <v>358.92</v>
      </c>
      <c r="BT101" s="525"/>
      <c r="BU101" s="523">
        <v>670</v>
      </c>
      <c r="BV101" s="523">
        <v>0</v>
      </c>
      <c r="BW101" s="523">
        <v>0</v>
      </c>
      <c r="BX101" s="523">
        <v>0</v>
      </c>
      <c r="BY101" s="523"/>
      <c r="BZ101" s="523"/>
      <c r="CA101" s="523"/>
      <c r="CB101" s="523"/>
      <c r="CC101" s="523"/>
      <c r="CD101" s="523"/>
      <c r="CE101" s="523"/>
      <c r="CF101" s="523"/>
      <c r="CG101" s="523"/>
      <c r="CH101" s="523"/>
      <c r="CI101" s="523">
        <f t="shared" si="20"/>
        <v>670</v>
      </c>
    </row>
    <row r="102" spans="1:87" ht="15" x14ac:dyDescent="0.2">
      <c r="A102" s="612" t="s">
        <v>1465</v>
      </c>
      <c r="B102" s="613" t="s">
        <v>1466</v>
      </c>
      <c r="C102" s="613" t="s">
        <v>1324</v>
      </c>
      <c r="D102" s="614" t="s">
        <v>1467</v>
      </c>
      <c r="E102" s="615" t="s">
        <v>14</v>
      </c>
      <c r="F102" s="577">
        <v>327.47000000000003</v>
      </c>
      <c r="G102" s="616">
        <v>12.12</v>
      </c>
      <c r="H102" s="615">
        <v>445.04</v>
      </c>
      <c r="I102" s="629">
        <f t="shared" si="21"/>
        <v>380</v>
      </c>
      <c r="J102" s="574">
        <f t="shared" si="22"/>
        <v>380</v>
      </c>
      <c r="K102" s="577">
        <f t="shared" si="30"/>
        <v>65.04000000000002</v>
      </c>
      <c r="L102" s="575">
        <f t="shared" si="29"/>
        <v>5393.88</v>
      </c>
      <c r="M102" s="575">
        <f t="shared" si="29"/>
        <v>4605.6000000000004</v>
      </c>
      <c r="N102" s="575">
        <f t="shared" si="29"/>
        <v>4605.6000000000004</v>
      </c>
      <c r="O102" s="575">
        <f t="shared" si="29"/>
        <v>788.28</v>
      </c>
      <c r="P102" s="617">
        <f t="shared" si="26"/>
        <v>0.8538565930276536</v>
      </c>
      <c r="Q102" s="525"/>
      <c r="S102" s="189">
        <v>0</v>
      </c>
      <c r="T102" s="189">
        <v>0</v>
      </c>
      <c r="BT102" s="525"/>
      <c r="BU102" s="523">
        <v>380</v>
      </c>
      <c r="BV102" s="523">
        <v>0</v>
      </c>
      <c r="BW102" s="523">
        <v>0</v>
      </c>
      <c r="BX102" s="523">
        <v>0</v>
      </c>
      <c r="BY102" s="523"/>
      <c r="BZ102" s="523"/>
      <c r="CA102" s="523"/>
      <c r="CB102" s="523"/>
      <c r="CC102" s="523"/>
      <c r="CD102" s="523"/>
      <c r="CE102" s="523"/>
      <c r="CF102" s="523"/>
      <c r="CG102" s="523"/>
      <c r="CH102" s="523"/>
      <c r="CI102" s="523">
        <f t="shared" si="20"/>
        <v>380</v>
      </c>
    </row>
    <row r="103" spans="1:87" ht="15" x14ac:dyDescent="0.2">
      <c r="A103" s="567" t="s">
        <v>1468</v>
      </c>
      <c r="B103" s="568" t="s">
        <v>1466</v>
      </c>
      <c r="C103" s="568" t="s">
        <v>1324</v>
      </c>
      <c r="D103" s="569" t="s">
        <v>1469</v>
      </c>
      <c r="E103" s="570" t="s">
        <v>14</v>
      </c>
      <c r="F103" s="577">
        <v>381.87</v>
      </c>
      <c r="G103" s="572">
        <v>14.08</v>
      </c>
      <c r="H103" s="570">
        <v>84.33</v>
      </c>
      <c r="I103" s="622">
        <f t="shared" si="21"/>
        <v>0</v>
      </c>
      <c r="J103" s="574">
        <f t="shared" si="22"/>
        <v>0</v>
      </c>
      <c r="K103" s="577">
        <f t="shared" si="30"/>
        <v>84.33</v>
      </c>
      <c r="L103" s="575">
        <f t="shared" si="29"/>
        <v>1187.3699999999999</v>
      </c>
      <c r="M103" s="575">
        <f t="shared" si="29"/>
        <v>0</v>
      </c>
      <c r="N103" s="575">
        <f t="shared" si="29"/>
        <v>0</v>
      </c>
      <c r="O103" s="575">
        <f t="shared" si="29"/>
        <v>1187.3699999999999</v>
      </c>
      <c r="P103" s="576">
        <f t="shared" si="26"/>
        <v>0</v>
      </c>
      <c r="Q103" s="525"/>
      <c r="S103" s="189">
        <v>0</v>
      </c>
      <c r="T103" s="189">
        <v>0</v>
      </c>
      <c r="BT103" s="525"/>
      <c r="BU103" s="523">
        <v>0</v>
      </c>
      <c r="BV103" s="523">
        <v>0</v>
      </c>
      <c r="BW103" s="523">
        <v>0</v>
      </c>
      <c r="BX103" s="523">
        <v>0</v>
      </c>
      <c r="BY103" s="523"/>
      <c r="BZ103" s="523"/>
      <c r="CA103" s="523"/>
      <c r="CB103" s="523"/>
      <c r="CC103" s="523"/>
      <c r="CD103" s="523"/>
      <c r="CE103" s="523"/>
      <c r="CF103" s="523"/>
      <c r="CG103" s="523"/>
      <c r="CH103" s="523"/>
      <c r="CI103" s="523">
        <f t="shared" si="20"/>
        <v>0</v>
      </c>
    </row>
    <row r="104" spans="1:87" ht="15.75" x14ac:dyDescent="0.2">
      <c r="A104" s="567" t="s">
        <v>1470</v>
      </c>
      <c r="B104" s="568">
        <v>87905</v>
      </c>
      <c r="C104" s="568" t="s">
        <v>1324</v>
      </c>
      <c r="D104" s="569" t="s">
        <v>1471</v>
      </c>
      <c r="E104" s="570" t="s">
        <v>14</v>
      </c>
      <c r="F104" s="578"/>
      <c r="G104" s="572">
        <v>6.11</v>
      </c>
      <c r="H104" s="570">
        <v>140.33000000000001</v>
      </c>
      <c r="I104" s="622">
        <f t="shared" si="21"/>
        <v>0</v>
      </c>
      <c r="J104" s="574">
        <f t="shared" si="22"/>
        <v>0</v>
      </c>
      <c r="K104" s="577">
        <f t="shared" si="30"/>
        <v>140.33000000000001</v>
      </c>
      <c r="L104" s="575">
        <f t="shared" si="29"/>
        <v>857.42</v>
      </c>
      <c r="M104" s="575">
        <f t="shared" si="29"/>
        <v>0</v>
      </c>
      <c r="N104" s="575">
        <f t="shared" si="29"/>
        <v>0</v>
      </c>
      <c r="O104" s="575">
        <f t="shared" si="29"/>
        <v>857.42</v>
      </c>
      <c r="P104" s="576">
        <f t="shared" si="26"/>
        <v>0</v>
      </c>
      <c r="Q104" s="525"/>
      <c r="S104" s="189">
        <v>0</v>
      </c>
      <c r="T104" s="189">
        <v>0</v>
      </c>
      <c r="BT104" s="525"/>
      <c r="BU104" s="523">
        <v>0</v>
      </c>
      <c r="BV104" s="523">
        <v>0</v>
      </c>
      <c r="BW104" s="523">
        <v>0</v>
      </c>
      <c r="BX104" s="523">
        <v>0</v>
      </c>
      <c r="BY104" s="523"/>
      <c r="BZ104" s="523"/>
      <c r="CA104" s="523"/>
      <c r="CB104" s="523"/>
      <c r="CC104" s="523"/>
      <c r="CD104" s="523"/>
      <c r="CE104" s="523"/>
      <c r="CF104" s="523"/>
      <c r="CG104" s="523"/>
      <c r="CH104" s="523"/>
      <c r="CI104" s="523">
        <f t="shared" si="20"/>
        <v>0</v>
      </c>
    </row>
    <row r="105" spans="1:87" ht="30" x14ac:dyDescent="0.2">
      <c r="A105" s="567" t="s">
        <v>1472</v>
      </c>
      <c r="B105" s="568">
        <v>87531</v>
      </c>
      <c r="C105" s="568" t="s">
        <v>1324</v>
      </c>
      <c r="D105" s="569" t="s">
        <v>1473</v>
      </c>
      <c r="E105" s="570" t="s">
        <v>14</v>
      </c>
      <c r="F105" s="578"/>
      <c r="G105" s="572">
        <v>26.27</v>
      </c>
      <c r="H105" s="570">
        <v>140.33000000000001</v>
      </c>
      <c r="I105" s="622">
        <f t="shared" si="21"/>
        <v>0</v>
      </c>
      <c r="J105" s="574">
        <f t="shared" si="22"/>
        <v>0</v>
      </c>
      <c r="K105" s="577">
        <f t="shared" si="30"/>
        <v>140.33000000000001</v>
      </c>
      <c r="L105" s="575">
        <f t="shared" si="29"/>
        <v>3686.47</v>
      </c>
      <c r="M105" s="575">
        <f t="shared" si="29"/>
        <v>0</v>
      </c>
      <c r="N105" s="575">
        <f t="shared" si="29"/>
        <v>0</v>
      </c>
      <c r="O105" s="575">
        <f t="shared" si="29"/>
        <v>3686.47</v>
      </c>
      <c r="P105" s="576">
        <f t="shared" si="26"/>
        <v>0</v>
      </c>
      <c r="Q105" s="525"/>
      <c r="S105" s="189">
        <v>0</v>
      </c>
      <c r="T105" s="189">
        <v>0</v>
      </c>
      <c r="BT105" s="525"/>
      <c r="BU105" s="523">
        <v>0</v>
      </c>
      <c r="BV105" s="523">
        <v>0</v>
      </c>
      <c r="BW105" s="523">
        <v>0</v>
      </c>
      <c r="BX105" s="523">
        <v>0</v>
      </c>
      <c r="BY105" s="523"/>
      <c r="BZ105" s="523"/>
      <c r="CA105" s="523"/>
      <c r="CB105" s="523"/>
      <c r="CC105" s="523"/>
      <c r="CD105" s="523"/>
      <c r="CE105" s="523"/>
      <c r="CF105" s="523"/>
      <c r="CG105" s="523"/>
      <c r="CH105" s="523"/>
      <c r="CI105" s="523">
        <f t="shared" si="20"/>
        <v>0</v>
      </c>
    </row>
    <row r="106" spans="1:87" ht="30" x14ac:dyDescent="0.2">
      <c r="A106" s="567" t="s">
        <v>1474</v>
      </c>
      <c r="B106" s="568" t="s">
        <v>1466</v>
      </c>
      <c r="C106" s="568" t="s">
        <v>1324</v>
      </c>
      <c r="D106" s="569" t="s">
        <v>1475</v>
      </c>
      <c r="E106" s="570" t="s">
        <v>14</v>
      </c>
      <c r="F106" s="578"/>
      <c r="G106" s="572">
        <v>16.23</v>
      </c>
      <c r="H106" s="570">
        <v>140.33000000000001</v>
      </c>
      <c r="I106" s="622">
        <f t="shared" si="21"/>
        <v>0</v>
      </c>
      <c r="J106" s="574">
        <f t="shared" si="22"/>
        <v>0</v>
      </c>
      <c r="K106" s="577">
        <f t="shared" si="30"/>
        <v>140.33000000000001</v>
      </c>
      <c r="L106" s="575">
        <f t="shared" si="29"/>
        <v>2277.56</v>
      </c>
      <c r="M106" s="575">
        <f t="shared" si="29"/>
        <v>0</v>
      </c>
      <c r="N106" s="575">
        <f t="shared" si="29"/>
        <v>0</v>
      </c>
      <c r="O106" s="575">
        <f t="shared" si="29"/>
        <v>2277.56</v>
      </c>
      <c r="P106" s="576">
        <f t="shared" si="26"/>
        <v>0</v>
      </c>
      <c r="Q106" s="525"/>
      <c r="S106" s="189">
        <v>0</v>
      </c>
      <c r="T106" s="189">
        <v>0</v>
      </c>
      <c r="BT106" s="525"/>
      <c r="BU106" s="523">
        <v>0</v>
      </c>
      <c r="BV106" s="523">
        <v>0</v>
      </c>
      <c r="BW106" s="523">
        <v>0</v>
      </c>
      <c r="BX106" s="523">
        <v>0</v>
      </c>
      <c r="BY106" s="523"/>
      <c r="BZ106" s="523"/>
      <c r="CA106" s="523"/>
      <c r="CB106" s="523"/>
      <c r="CC106" s="523"/>
      <c r="CD106" s="523"/>
      <c r="CE106" s="523"/>
      <c r="CF106" s="523"/>
      <c r="CG106" s="523"/>
      <c r="CH106" s="523"/>
      <c r="CI106" s="523">
        <f t="shared" si="20"/>
        <v>0</v>
      </c>
    </row>
    <row r="107" spans="1:87" ht="30" x14ac:dyDescent="0.2">
      <c r="A107" s="567" t="s">
        <v>1476</v>
      </c>
      <c r="B107" s="568">
        <v>87272</v>
      </c>
      <c r="C107" s="568" t="s">
        <v>1324</v>
      </c>
      <c r="D107" s="569" t="s">
        <v>1477</v>
      </c>
      <c r="E107" s="570" t="s">
        <v>14</v>
      </c>
      <c r="F107" s="577">
        <v>319.5</v>
      </c>
      <c r="G107" s="572">
        <v>45.67</v>
      </c>
      <c r="H107" s="570">
        <v>210.5</v>
      </c>
      <c r="I107" s="622">
        <f t="shared" si="21"/>
        <v>0</v>
      </c>
      <c r="J107" s="574">
        <f t="shared" si="22"/>
        <v>0</v>
      </c>
      <c r="K107" s="577">
        <f t="shared" si="30"/>
        <v>210.5</v>
      </c>
      <c r="L107" s="575">
        <f t="shared" si="29"/>
        <v>9613.5400000000009</v>
      </c>
      <c r="M107" s="575">
        <f t="shared" si="29"/>
        <v>0</v>
      </c>
      <c r="N107" s="575">
        <f t="shared" si="29"/>
        <v>0</v>
      </c>
      <c r="O107" s="575">
        <f t="shared" si="29"/>
        <v>9613.5400000000009</v>
      </c>
      <c r="P107" s="576">
        <f t="shared" si="26"/>
        <v>0</v>
      </c>
      <c r="Q107" s="525"/>
      <c r="S107" s="189">
        <v>0</v>
      </c>
      <c r="T107" s="189">
        <v>0</v>
      </c>
      <c r="BT107" s="525"/>
      <c r="BU107" s="523">
        <v>0</v>
      </c>
      <c r="BV107" s="523">
        <v>0</v>
      </c>
      <c r="BW107" s="523">
        <v>0</v>
      </c>
      <c r="BX107" s="523">
        <v>0</v>
      </c>
      <c r="BY107" s="523"/>
      <c r="BZ107" s="523"/>
      <c r="CA107" s="523"/>
      <c r="CB107" s="523"/>
      <c r="CC107" s="523"/>
      <c r="CD107" s="523"/>
      <c r="CE107" s="523"/>
      <c r="CF107" s="523"/>
      <c r="CG107" s="523"/>
      <c r="CH107" s="523"/>
      <c r="CI107" s="523">
        <f t="shared" si="20"/>
        <v>0</v>
      </c>
    </row>
    <row r="108" spans="1:87" ht="30" x14ac:dyDescent="0.2">
      <c r="A108" s="567" t="s">
        <v>1478</v>
      </c>
      <c r="B108" s="568">
        <v>87267</v>
      </c>
      <c r="C108" s="568" t="s">
        <v>1324</v>
      </c>
      <c r="D108" s="569" t="s">
        <v>1479</v>
      </c>
      <c r="E108" s="570" t="s">
        <v>14</v>
      </c>
      <c r="F108" s="577">
        <v>347.14</v>
      </c>
      <c r="G108" s="572">
        <v>46.64</v>
      </c>
      <c r="H108" s="570">
        <v>85.51</v>
      </c>
      <c r="I108" s="622">
        <f t="shared" si="21"/>
        <v>0</v>
      </c>
      <c r="J108" s="574">
        <f t="shared" si="22"/>
        <v>0</v>
      </c>
      <c r="K108" s="577">
        <f t="shared" si="30"/>
        <v>85.51</v>
      </c>
      <c r="L108" s="575">
        <f t="shared" si="29"/>
        <v>3988.19</v>
      </c>
      <c r="M108" s="575">
        <f t="shared" si="29"/>
        <v>0</v>
      </c>
      <c r="N108" s="575">
        <f t="shared" si="29"/>
        <v>0</v>
      </c>
      <c r="O108" s="575">
        <f t="shared" si="29"/>
        <v>3988.19</v>
      </c>
      <c r="P108" s="576">
        <f t="shared" si="26"/>
        <v>0</v>
      </c>
      <c r="Q108" s="525"/>
      <c r="S108" s="189">
        <v>0</v>
      </c>
      <c r="T108" s="189">
        <v>0</v>
      </c>
      <c r="BT108" s="525"/>
      <c r="BU108" s="523">
        <v>0</v>
      </c>
      <c r="BV108" s="523">
        <v>0</v>
      </c>
      <c r="BW108" s="523">
        <v>0</v>
      </c>
      <c r="BX108" s="523">
        <v>0</v>
      </c>
      <c r="BY108" s="523"/>
      <c r="BZ108" s="523"/>
      <c r="CA108" s="523"/>
      <c r="CB108" s="523"/>
      <c r="CC108" s="523"/>
      <c r="CD108" s="523"/>
      <c r="CE108" s="523"/>
      <c r="CF108" s="523"/>
      <c r="CG108" s="523"/>
      <c r="CH108" s="523"/>
      <c r="CI108" s="523">
        <f t="shared" si="20"/>
        <v>0</v>
      </c>
    </row>
    <row r="109" spans="1:87" s="514" customFormat="1" ht="15.75" x14ac:dyDescent="0.2">
      <c r="A109" s="556">
        <v>10</v>
      </c>
      <c r="B109" s="557"/>
      <c r="C109" s="557"/>
      <c r="D109" s="558" t="s">
        <v>1480</v>
      </c>
      <c r="E109" s="559"/>
      <c r="F109" s="559"/>
      <c r="G109" s="559"/>
      <c r="H109" s="559"/>
      <c r="I109" s="559"/>
      <c r="J109" s="559"/>
      <c r="K109" s="559"/>
      <c r="L109" s="562">
        <f>SUM(L110,L116)</f>
        <v>60566.09</v>
      </c>
      <c r="M109" s="562">
        <f>SUM(M110,M116)</f>
        <v>7017.95</v>
      </c>
      <c r="N109" s="562">
        <f>SUM(N110,N116)</f>
        <v>7017.95</v>
      </c>
      <c r="O109" s="562">
        <f>SUM(O110,O116)</f>
        <v>53548.14</v>
      </c>
      <c r="P109" s="566">
        <f t="shared" si="26"/>
        <v>0.115872594714303</v>
      </c>
      <c r="Q109" s="525"/>
      <c r="S109" s="190">
        <v>0</v>
      </c>
      <c r="T109" s="190">
        <v>0</v>
      </c>
      <c r="BT109" s="525"/>
      <c r="BU109" s="523">
        <v>0</v>
      </c>
      <c r="BV109" s="523">
        <v>0</v>
      </c>
      <c r="BW109" s="523"/>
      <c r="BX109" s="523"/>
      <c r="BY109" s="523"/>
      <c r="BZ109" s="523"/>
      <c r="CA109" s="523"/>
      <c r="CB109" s="523"/>
      <c r="CC109" s="523"/>
      <c r="CD109" s="523"/>
      <c r="CE109" s="523"/>
      <c r="CF109" s="523"/>
      <c r="CG109" s="523"/>
      <c r="CH109" s="523"/>
      <c r="CI109" s="523">
        <f t="shared" si="20"/>
        <v>0</v>
      </c>
    </row>
    <row r="110" spans="1:87" ht="15.75" x14ac:dyDescent="0.2">
      <c r="A110" s="584" t="s">
        <v>254</v>
      </c>
      <c r="B110" s="585"/>
      <c r="C110" s="585"/>
      <c r="D110" s="586" t="s">
        <v>1481</v>
      </c>
      <c r="E110" s="609"/>
      <c r="F110" s="609"/>
      <c r="G110" s="609"/>
      <c r="H110" s="609"/>
      <c r="I110" s="609"/>
      <c r="J110" s="609"/>
      <c r="K110" s="609"/>
      <c r="L110" s="587">
        <f>SUM(L111:L115)</f>
        <v>54520.32</v>
      </c>
      <c r="M110" s="587">
        <f>SUM(M111:M115)</f>
        <v>7017.95</v>
      </c>
      <c r="N110" s="587">
        <f>SUM(N111:N115)</f>
        <v>7017.95</v>
      </c>
      <c r="O110" s="587">
        <f>SUM(O111:O115)</f>
        <v>47502.37</v>
      </c>
      <c r="P110" s="592">
        <f t="shared" si="26"/>
        <v>0.12872173164060666</v>
      </c>
      <c r="Q110" s="525"/>
      <c r="BT110" s="525"/>
      <c r="BU110" s="523">
        <v>0</v>
      </c>
      <c r="BV110" s="523">
        <v>0</v>
      </c>
      <c r="BW110" s="523"/>
      <c r="BX110" s="523"/>
      <c r="BY110" s="523"/>
      <c r="BZ110" s="523"/>
      <c r="CA110" s="523"/>
      <c r="CB110" s="523"/>
      <c r="CC110" s="523"/>
      <c r="CD110" s="523"/>
      <c r="CE110" s="523"/>
      <c r="CF110" s="523"/>
      <c r="CG110" s="523"/>
      <c r="CH110" s="523"/>
      <c r="CI110" s="523">
        <f t="shared" si="20"/>
        <v>0</v>
      </c>
    </row>
    <row r="111" spans="1:87" ht="15" x14ac:dyDescent="0.2">
      <c r="A111" s="567" t="s">
        <v>1482</v>
      </c>
      <c r="B111" s="568" t="s">
        <v>2007</v>
      </c>
      <c r="C111" s="568" t="s">
        <v>1339</v>
      </c>
      <c r="D111" s="569" t="s">
        <v>1483</v>
      </c>
      <c r="E111" s="570" t="s">
        <v>14</v>
      </c>
      <c r="F111" s="577">
        <v>52.1</v>
      </c>
      <c r="G111" s="572">
        <v>30.94</v>
      </c>
      <c r="H111" s="570">
        <v>64.91</v>
      </c>
      <c r="I111" s="622">
        <f t="shared" si="21"/>
        <v>0</v>
      </c>
      <c r="J111" s="574">
        <f t="shared" si="22"/>
        <v>0</v>
      </c>
      <c r="K111" s="577">
        <f>H111-J111</f>
        <v>64.91</v>
      </c>
      <c r="L111" s="575">
        <f t="shared" ref="L111:O115" si="31">ROUND(H111*$G111,2)</f>
        <v>2008.32</v>
      </c>
      <c r="M111" s="575">
        <f t="shared" si="31"/>
        <v>0</v>
      </c>
      <c r="N111" s="575">
        <f t="shared" si="31"/>
        <v>0</v>
      </c>
      <c r="O111" s="575">
        <f t="shared" si="31"/>
        <v>2008.32</v>
      </c>
      <c r="P111" s="576">
        <f t="shared" si="26"/>
        <v>0</v>
      </c>
      <c r="Q111" s="525"/>
      <c r="BT111" s="525"/>
      <c r="BU111" s="523">
        <v>0</v>
      </c>
      <c r="BV111" s="523">
        <v>0</v>
      </c>
      <c r="BW111" s="523">
        <v>0</v>
      </c>
      <c r="BX111" s="523">
        <v>0</v>
      </c>
      <c r="BY111" s="523"/>
      <c r="BZ111" s="523"/>
      <c r="CA111" s="523"/>
      <c r="CB111" s="523"/>
      <c r="CC111" s="523"/>
      <c r="CD111" s="523"/>
      <c r="CE111" s="523"/>
      <c r="CF111" s="523"/>
      <c r="CG111" s="523"/>
      <c r="CH111" s="523"/>
      <c r="CI111" s="523">
        <f t="shared" si="20"/>
        <v>0</v>
      </c>
    </row>
    <row r="112" spans="1:87" ht="15" x14ac:dyDescent="0.2">
      <c r="A112" s="567" t="s">
        <v>1484</v>
      </c>
      <c r="B112" s="568">
        <v>87630</v>
      </c>
      <c r="C112" s="568" t="s">
        <v>1324</v>
      </c>
      <c r="D112" s="569" t="s">
        <v>1485</v>
      </c>
      <c r="E112" s="570" t="s">
        <v>14</v>
      </c>
      <c r="F112" s="577">
        <v>15.24</v>
      </c>
      <c r="G112" s="572">
        <v>30.71</v>
      </c>
      <c r="H112" s="570">
        <v>64.91</v>
      </c>
      <c r="I112" s="622">
        <f t="shared" si="21"/>
        <v>0</v>
      </c>
      <c r="J112" s="574">
        <f t="shared" si="22"/>
        <v>0</v>
      </c>
      <c r="K112" s="577">
        <f>H112-J112</f>
        <v>64.91</v>
      </c>
      <c r="L112" s="575">
        <f t="shared" si="31"/>
        <v>1993.39</v>
      </c>
      <c r="M112" s="575">
        <f t="shared" si="31"/>
        <v>0</v>
      </c>
      <c r="N112" s="575">
        <f t="shared" si="31"/>
        <v>0</v>
      </c>
      <c r="O112" s="575">
        <f t="shared" si="31"/>
        <v>1993.39</v>
      </c>
      <c r="P112" s="576">
        <f t="shared" si="26"/>
        <v>0</v>
      </c>
      <c r="Q112" s="525"/>
      <c r="BT112" s="525"/>
      <c r="BU112" s="523">
        <v>0</v>
      </c>
      <c r="BV112" s="523">
        <v>0</v>
      </c>
      <c r="BW112" s="523">
        <v>0</v>
      </c>
      <c r="BX112" s="523">
        <v>0</v>
      </c>
      <c r="BY112" s="523"/>
      <c r="BZ112" s="523"/>
      <c r="CA112" s="523"/>
      <c r="CB112" s="523"/>
      <c r="CC112" s="523"/>
      <c r="CD112" s="523"/>
      <c r="CE112" s="523"/>
      <c r="CF112" s="523"/>
      <c r="CG112" s="523"/>
      <c r="CH112" s="523"/>
      <c r="CI112" s="523">
        <f t="shared" si="20"/>
        <v>0</v>
      </c>
    </row>
    <row r="113" spans="1:87" ht="45" x14ac:dyDescent="0.2">
      <c r="A113" s="567" t="s">
        <v>1486</v>
      </c>
      <c r="B113" s="568">
        <v>72136</v>
      </c>
      <c r="C113" s="568" t="s">
        <v>1324</v>
      </c>
      <c r="D113" s="569" t="s">
        <v>1487</v>
      </c>
      <c r="E113" s="570" t="s">
        <v>14</v>
      </c>
      <c r="F113" s="577">
        <v>584.54999999999995</v>
      </c>
      <c r="G113" s="572">
        <v>71.489999999999995</v>
      </c>
      <c r="H113" s="570">
        <v>676.67</v>
      </c>
      <c r="I113" s="622">
        <f t="shared" si="21"/>
        <v>98.166899999999998</v>
      </c>
      <c r="J113" s="574">
        <f t="shared" si="22"/>
        <v>98.166899999999998</v>
      </c>
      <c r="K113" s="577">
        <f>H113-J113</f>
        <v>578.5030999999999</v>
      </c>
      <c r="L113" s="575">
        <f t="shared" si="31"/>
        <v>48375.14</v>
      </c>
      <c r="M113" s="575">
        <f t="shared" si="31"/>
        <v>7017.95</v>
      </c>
      <c r="N113" s="575">
        <f t="shared" si="31"/>
        <v>7017.95</v>
      </c>
      <c r="O113" s="575">
        <f t="shared" si="31"/>
        <v>41357.19</v>
      </c>
      <c r="P113" s="576">
        <f t="shared" si="26"/>
        <v>0.14507348195788167</v>
      </c>
      <c r="Q113" s="525"/>
      <c r="BT113" s="525"/>
      <c r="BU113" s="523">
        <v>98.166899999999998</v>
      </c>
      <c r="BV113" s="523">
        <v>0</v>
      </c>
      <c r="BW113" s="523">
        <v>0</v>
      </c>
      <c r="BX113" s="523">
        <v>0</v>
      </c>
      <c r="BY113" s="523"/>
      <c r="BZ113" s="523"/>
      <c r="CA113" s="523"/>
      <c r="CB113" s="523"/>
      <c r="CC113" s="523"/>
      <c r="CD113" s="523"/>
      <c r="CE113" s="523"/>
      <c r="CF113" s="523"/>
      <c r="CG113" s="523"/>
      <c r="CH113" s="523"/>
      <c r="CI113" s="523">
        <f t="shared" si="20"/>
        <v>98.166899999999998</v>
      </c>
    </row>
    <row r="114" spans="1:87" ht="30" x14ac:dyDescent="0.2">
      <c r="A114" s="567" t="s">
        <v>1488</v>
      </c>
      <c r="B114" s="568">
        <v>87251</v>
      </c>
      <c r="C114" s="568" t="s">
        <v>1324</v>
      </c>
      <c r="D114" s="569" t="s">
        <v>1489</v>
      </c>
      <c r="E114" s="570" t="s">
        <v>14</v>
      </c>
      <c r="F114" s="577">
        <v>18.86</v>
      </c>
      <c r="G114" s="572">
        <v>31.13</v>
      </c>
      <c r="H114" s="570">
        <v>64.91</v>
      </c>
      <c r="I114" s="622">
        <f t="shared" si="21"/>
        <v>0</v>
      </c>
      <c r="J114" s="574">
        <f t="shared" si="22"/>
        <v>0</v>
      </c>
      <c r="K114" s="577">
        <f>H114-J114</f>
        <v>64.91</v>
      </c>
      <c r="L114" s="575">
        <f t="shared" si="31"/>
        <v>2020.65</v>
      </c>
      <c r="M114" s="575">
        <f t="shared" si="31"/>
        <v>0</v>
      </c>
      <c r="N114" s="575">
        <f t="shared" si="31"/>
        <v>0</v>
      </c>
      <c r="O114" s="575">
        <f t="shared" si="31"/>
        <v>2020.65</v>
      </c>
      <c r="P114" s="576">
        <f t="shared" si="26"/>
        <v>0</v>
      </c>
      <c r="Q114" s="525"/>
      <c r="BT114" s="525"/>
      <c r="BU114" s="523">
        <v>0</v>
      </c>
      <c r="BV114" s="523">
        <v>0</v>
      </c>
      <c r="BW114" s="523">
        <v>0</v>
      </c>
      <c r="BX114" s="523">
        <v>0</v>
      </c>
      <c r="BY114" s="523"/>
      <c r="BZ114" s="523"/>
      <c r="CA114" s="523"/>
      <c r="CB114" s="523"/>
      <c r="CC114" s="523"/>
      <c r="CD114" s="523"/>
      <c r="CE114" s="523"/>
      <c r="CF114" s="523"/>
      <c r="CG114" s="523"/>
      <c r="CH114" s="523"/>
      <c r="CI114" s="523">
        <f t="shared" si="20"/>
        <v>0</v>
      </c>
    </row>
    <row r="115" spans="1:87" s="514" customFormat="1" ht="15" x14ac:dyDescent="0.2">
      <c r="A115" s="567" t="s">
        <v>1490</v>
      </c>
      <c r="B115" s="568" t="s">
        <v>2007</v>
      </c>
      <c r="C115" s="568" t="s">
        <v>1339</v>
      </c>
      <c r="D115" s="569" t="s">
        <v>1491</v>
      </c>
      <c r="E115" s="570" t="s">
        <v>81</v>
      </c>
      <c r="F115" s="577">
        <v>42.78</v>
      </c>
      <c r="G115" s="572">
        <v>45.49</v>
      </c>
      <c r="H115" s="570">
        <v>2.7</v>
      </c>
      <c r="I115" s="622">
        <f t="shared" si="21"/>
        <v>0</v>
      </c>
      <c r="J115" s="574">
        <f t="shared" si="22"/>
        <v>0</v>
      </c>
      <c r="K115" s="577">
        <f>H115-J115</f>
        <v>2.7</v>
      </c>
      <c r="L115" s="575">
        <f t="shared" si="31"/>
        <v>122.82</v>
      </c>
      <c r="M115" s="575">
        <f t="shared" si="31"/>
        <v>0</v>
      </c>
      <c r="N115" s="575">
        <f t="shared" si="31"/>
        <v>0</v>
      </c>
      <c r="O115" s="575">
        <f t="shared" si="31"/>
        <v>122.82</v>
      </c>
      <c r="P115" s="576">
        <f t="shared" si="26"/>
        <v>0</v>
      </c>
      <c r="Q115" s="525"/>
      <c r="S115" s="190">
        <v>0</v>
      </c>
      <c r="T115" s="190">
        <v>0</v>
      </c>
      <c r="BT115" s="525"/>
      <c r="BU115" s="523">
        <v>0</v>
      </c>
      <c r="BV115" s="523">
        <v>0</v>
      </c>
      <c r="BW115" s="523">
        <v>0</v>
      </c>
      <c r="BX115" s="523">
        <v>0</v>
      </c>
      <c r="BY115" s="523"/>
      <c r="BZ115" s="523"/>
      <c r="CA115" s="523"/>
      <c r="CB115" s="523"/>
      <c r="CC115" s="523"/>
      <c r="CD115" s="523"/>
      <c r="CE115" s="523"/>
      <c r="CF115" s="523"/>
      <c r="CG115" s="523"/>
      <c r="CH115" s="523"/>
      <c r="CI115" s="523">
        <f t="shared" si="20"/>
        <v>0</v>
      </c>
    </row>
    <row r="116" spans="1:87" ht="15.75" x14ac:dyDescent="0.2">
      <c r="A116" s="584" t="s">
        <v>256</v>
      </c>
      <c r="B116" s="585"/>
      <c r="C116" s="585"/>
      <c r="D116" s="586" t="s">
        <v>1256</v>
      </c>
      <c r="E116" s="609"/>
      <c r="F116" s="609"/>
      <c r="G116" s="609"/>
      <c r="H116" s="609"/>
      <c r="I116" s="609"/>
      <c r="J116" s="609"/>
      <c r="K116" s="609"/>
      <c r="L116" s="587">
        <f>SUM(L117:L119)</f>
        <v>6045.77</v>
      </c>
      <c r="M116" s="587">
        <f>SUM(M117:M119)</f>
        <v>0</v>
      </c>
      <c r="N116" s="587">
        <f>SUM(N117:N119)</f>
        <v>0</v>
      </c>
      <c r="O116" s="587">
        <f>SUM(O117:O119)</f>
        <v>6045.77</v>
      </c>
      <c r="P116" s="592">
        <f t="shared" si="26"/>
        <v>0</v>
      </c>
      <c r="Q116" s="525"/>
      <c r="S116" s="189">
        <v>0</v>
      </c>
      <c r="T116" s="189">
        <v>0</v>
      </c>
      <c r="BT116" s="525"/>
      <c r="BU116" s="523">
        <v>0</v>
      </c>
      <c r="BV116" s="523">
        <v>0</v>
      </c>
      <c r="BW116" s="523"/>
      <c r="BX116" s="523"/>
      <c r="BY116" s="523"/>
      <c r="BZ116" s="523"/>
      <c r="CA116" s="523"/>
      <c r="CB116" s="523"/>
      <c r="CC116" s="523"/>
      <c r="CD116" s="523"/>
      <c r="CE116" s="523"/>
      <c r="CF116" s="523"/>
      <c r="CG116" s="523"/>
      <c r="CH116" s="523"/>
      <c r="CI116" s="523">
        <f t="shared" si="20"/>
        <v>0</v>
      </c>
    </row>
    <row r="117" spans="1:87" ht="15" x14ac:dyDescent="0.2">
      <c r="A117" s="567" t="s">
        <v>1492</v>
      </c>
      <c r="B117" s="568">
        <v>85181</v>
      </c>
      <c r="C117" s="568" t="s">
        <v>1324</v>
      </c>
      <c r="D117" s="569" t="s">
        <v>1493</v>
      </c>
      <c r="E117" s="570" t="s">
        <v>14</v>
      </c>
      <c r="F117" s="630"/>
      <c r="G117" s="572">
        <v>523.70000000000005</v>
      </c>
      <c r="H117" s="570">
        <v>9.7899999999999991</v>
      </c>
      <c r="I117" s="622">
        <f t="shared" si="21"/>
        <v>0</v>
      </c>
      <c r="J117" s="574">
        <f t="shared" si="22"/>
        <v>0</v>
      </c>
      <c r="K117" s="577">
        <f>H117-J117</f>
        <v>9.7899999999999991</v>
      </c>
      <c r="L117" s="575">
        <f t="shared" ref="L117:O119" si="32">ROUND(H117*$G117,2)</f>
        <v>5127.0200000000004</v>
      </c>
      <c r="M117" s="575">
        <f t="shared" si="32"/>
        <v>0</v>
      </c>
      <c r="N117" s="575">
        <f t="shared" si="32"/>
        <v>0</v>
      </c>
      <c r="O117" s="575">
        <f t="shared" si="32"/>
        <v>5127.0200000000004</v>
      </c>
      <c r="P117" s="576">
        <f t="shared" si="26"/>
        <v>0</v>
      </c>
      <c r="Q117" s="525"/>
      <c r="S117" s="189">
        <v>0</v>
      </c>
      <c r="T117" s="189">
        <v>0</v>
      </c>
      <c r="BT117" s="525"/>
      <c r="BU117" s="523">
        <v>0</v>
      </c>
      <c r="BV117" s="523">
        <v>0</v>
      </c>
      <c r="BW117" s="523">
        <v>0</v>
      </c>
      <c r="BX117" s="523">
        <v>0</v>
      </c>
      <c r="BY117" s="523"/>
      <c r="BZ117" s="523"/>
      <c r="CA117" s="523"/>
      <c r="CB117" s="523"/>
      <c r="CC117" s="523"/>
      <c r="CD117" s="523"/>
      <c r="CE117" s="523"/>
      <c r="CF117" s="523"/>
      <c r="CG117" s="523"/>
      <c r="CH117" s="523"/>
      <c r="CI117" s="523">
        <f t="shared" si="20"/>
        <v>0</v>
      </c>
    </row>
    <row r="118" spans="1:87" ht="15" x14ac:dyDescent="0.2">
      <c r="A118" s="567" t="s">
        <v>1494</v>
      </c>
      <c r="B118" s="568">
        <v>5652</v>
      </c>
      <c r="C118" s="568" t="s">
        <v>1324</v>
      </c>
      <c r="D118" s="569" t="s">
        <v>1495</v>
      </c>
      <c r="E118" s="570" t="s">
        <v>48</v>
      </c>
      <c r="F118" s="630"/>
      <c r="G118" s="572">
        <v>276.27</v>
      </c>
      <c r="H118" s="570">
        <v>1.82</v>
      </c>
      <c r="I118" s="622">
        <f t="shared" si="21"/>
        <v>0</v>
      </c>
      <c r="J118" s="574">
        <f t="shared" si="22"/>
        <v>0</v>
      </c>
      <c r="K118" s="577">
        <f>H118-J118</f>
        <v>1.82</v>
      </c>
      <c r="L118" s="575">
        <f t="shared" si="32"/>
        <v>502.81</v>
      </c>
      <c r="M118" s="575">
        <f t="shared" si="32"/>
        <v>0</v>
      </c>
      <c r="N118" s="575">
        <f t="shared" si="32"/>
        <v>0</v>
      </c>
      <c r="O118" s="575">
        <f t="shared" si="32"/>
        <v>502.81</v>
      </c>
      <c r="P118" s="576">
        <f t="shared" si="26"/>
        <v>0</v>
      </c>
      <c r="Q118" s="525"/>
      <c r="S118" s="189">
        <v>0</v>
      </c>
      <c r="T118" s="189">
        <v>0</v>
      </c>
      <c r="BT118" s="525"/>
      <c r="BU118" s="523">
        <v>0</v>
      </c>
      <c r="BV118" s="523">
        <v>0</v>
      </c>
      <c r="BW118" s="523">
        <v>0</v>
      </c>
      <c r="BX118" s="523">
        <v>0</v>
      </c>
      <c r="BY118" s="523"/>
      <c r="BZ118" s="523"/>
      <c r="CA118" s="523"/>
      <c r="CB118" s="523"/>
      <c r="CC118" s="523"/>
      <c r="CD118" s="523"/>
      <c r="CE118" s="523"/>
      <c r="CF118" s="523"/>
      <c r="CG118" s="523"/>
      <c r="CH118" s="523"/>
      <c r="CI118" s="523">
        <f t="shared" si="20"/>
        <v>0</v>
      </c>
    </row>
    <row r="119" spans="1:87" s="514" customFormat="1" ht="30" x14ac:dyDescent="0.2">
      <c r="A119" s="567" t="s">
        <v>1496</v>
      </c>
      <c r="B119" s="568" t="s">
        <v>2007</v>
      </c>
      <c r="C119" s="568" t="s">
        <v>1339</v>
      </c>
      <c r="D119" s="569" t="s">
        <v>1497</v>
      </c>
      <c r="E119" s="570" t="s">
        <v>14</v>
      </c>
      <c r="F119" s="577">
        <v>7.73</v>
      </c>
      <c r="G119" s="572">
        <v>71.099999999999994</v>
      </c>
      <c r="H119" s="570">
        <v>5.85</v>
      </c>
      <c r="I119" s="622">
        <f t="shared" si="21"/>
        <v>0</v>
      </c>
      <c r="J119" s="574">
        <f t="shared" si="22"/>
        <v>0</v>
      </c>
      <c r="K119" s="577">
        <f>H119-J119</f>
        <v>5.85</v>
      </c>
      <c r="L119" s="575">
        <f t="shared" si="32"/>
        <v>415.94</v>
      </c>
      <c r="M119" s="575">
        <f t="shared" si="32"/>
        <v>0</v>
      </c>
      <c r="N119" s="575">
        <f t="shared" si="32"/>
        <v>0</v>
      </c>
      <c r="O119" s="575">
        <f t="shared" si="32"/>
        <v>415.94</v>
      </c>
      <c r="P119" s="576">
        <f t="shared" si="26"/>
        <v>0</v>
      </c>
      <c r="Q119" s="525"/>
      <c r="S119" s="190">
        <v>0</v>
      </c>
      <c r="T119" s="190">
        <v>0</v>
      </c>
      <c r="BT119" s="525"/>
      <c r="BU119" s="523">
        <v>0</v>
      </c>
      <c r="BV119" s="523">
        <v>0</v>
      </c>
      <c r="BW119" s="523">
        <v>0</v>
      </c>
      <c r="BX119" s="523">
        <v>0</v>
      </c>
      <c r="BY119" s="523"/>
      <c r="BZ119" s="523"/>
      <c r="CA119" s="523"/>
      <c r="CB119" s="523"/>
      <c r="CC119" s="523"/>
      <c r="CD119" s="523"/>
      <c r="CE119" s="523"/>
      <c r="CF119" s="523"/>
      <c r="CG119" s="523"/>
      <c r="CH119" s="523"/>
      <c r="CI119" s="523">
        <f t="shared" si="20"/>
        <v>0</v>
      </c>
    </row>
    <row r="120" spans="1:87" ht="15.75" x14ac:dyDescent="0.2">
      <c r="A120" s="556">
        <v>11</v>
      </c>
      <c r="B120" s="557"/>
      <c r="C120" s="557"/>
      <c r="D120" s="558" t="s">
        <v>1498</v>
      </c>
      <c r="E120" s="559"/>
      <c r="F120" s="559"/>
      <c r="G120" s="559"/>
      <c r="H120" s="559"/>
      <c r="I120" s="559"/>
      <c r="J120" s="559"/>
      <c r="K120" s="559"/>
      <c r="L120" s="621">
        <f>SUM(L121:L128)</f>
        <v>62088.5</v>
      </c>
      <c r="M120" s="621">
        <f>SUM(M121:M128)</f>
        <v>0</v>
      </c>
      <c r="N120" s="621">
        <f>SUM(N121:N128)</f>
        <v>0</v>
      </c>
      <c r="O120" s="621">
        <f>SUM(O121:O128)</f>
        <v>62088.5</v>
      </c>
      <c r="P120" s="566">
        <f t="shared" si="26"/>
        <v>0</v>
      </c>
      <c r="Q120" s="525"/>
      <c r="S120" s="189">
        <v>0</v>
      </c>
      <c r="T120" s="189">
        <v>0</v>
      </c>
      <c r="BT120" s="525"/>
      <c r="BU120" s="523">
        <v>0</v>
      </c>
      <c r="BV120" s="523">
        <v>0</v>
      </c>
      <c r="BW120" s="523"/>
      <c r="BX120" s="523"/>
      <c r="BY120" s="523"/>
      <c r="BZ120" s="523"/>
      <c r="CA120" s="523"/>
      <c r="CB120" s="523"/>
      <c r="CC120" s="523"/>
      <c r="CD120" s="523"/>
      <c r="CE120" s="523"/>
      <c r="CF120" s="523"/>
      <c r="CG120" s="523"/>
      <c r="CH120" s="523"/>
      <c r="CI120" s="523">
        <f t="shared" si="20"/>
        <v>0</v>
      </c>
    </row>
    <row r="121" spans="1:87" ht="30" x14ac:dyDescent="0.2">
      <c r="A121" s="567" t="s">
        <v>274</v>
      </c>
      <c r="B121" s="568" t="s">
        <v>2007</v>
      </c>
      <c r="C121" s="568" t="s">
        <v>1339</v>
      </c>
      <c r="D121" s="569" t="s">
        <v>1499</v>
      </c>
      <c r="E121" s="570" t="s">
        <v>14</v>
      </c>
      <c r="F121" s="577">
        <v>14.07</v>
      </c>
      <c r="G121" s="572">
        <v>7.03</v>
      </c>
      <c r="H121" s="570">
        <v>529.37</v>
      </c>
      <c r="I121" s="622">
        <f t="shared" si="21"/>
        <v>0</v>
      </c>
      <c r="J121" s="574">
        <f t="shared" si="22"/>
        <v>0</v>
      </c>
      <c r="K121" s="577">
        <f t="shared" ref="K121:K128" si="33">H121-J121</f>
        <v>529.37</v>
      </c>
      <c r="L121" s="575">
        <f t="shared" ref="L121:O128" si="34">ROUND(H121*$G121,2)</f>
        <v>3721.47</v>
      </c>
      <c r="M121" s="575">
        <f t="shared" si="34"/>
        <v>0</v>
      </c>
      <c r="N121" s="575">
        <f t="shared" si="34"/>
        <v>0</v>
      </c>
      <c r="O121" s="575">
        <f t="shared" si="34"/>
        <v>3721.47</v>
      </c>
      <c r="P121" s="576">
        <f t="shared" si="26"/>
        <v>0</v>
      </c>
      <c r="Q121" s="525"/>
      <c r="S121" s="189">
        <v>0</v>
      </c>
      <c r="T121" s="189">
        <v>0</v>
      </c>
      <c r="BT121" s="525"/>
      <c r="BU121" s="523">
        <v>0</v>
      </c>
      <c r="BV121" s="523">
        <v>0</v>
      </c>
      <c r="BW121" s="523">
        <v>0</v>
      </c>
      <c r="BX121" s="523">
        <v>0</v>
      </c>
      <c r="BY121" s="523"/>
      <c r="BZ121" s="523"/>
      <c r="CA121" s="523"/>
      <c r="CB121" s="523"/>
      <c r="CC121" s="523"/>
      <c r="CD121" s="523"/>
      <c r="CE121" s="523"/>
      <c r="CF121" s="523"/>
      <c r="CG121" s="523"/>
      <c r="CH121" s="523"/>
      <c r="CI121" s="523">
        <f t="shared" si="20"/>
        <v>0</v>
      </c>
    </row>
    <row r="122" spans="1:87" ht="30" x14ac:dyDescent="0.2">
      <c r="A122" s="567" t="s">
        <v>276</v>
      </c>
      <c r="B122" s="568">
        <v>88489</v>
      </c>
      <c r="C122" s="568" t="s">
        <v>1324</v>
      </c>
      <c r="D122" s="569" t="s">
        <v>1500</v>
      </c>
      <c r="E122" s="570" t="s">
        <v>14</v>
      </c>
      <c r="F122" s="577">
        <v>14.07</v>
      </c>
      <c r="G122" s="572">
        <v>9.48</v>
      </c>
      <c r="H122" s="570">
        <v>445.04</v>
      </c>
      <c r="I122" s="622">
        <f t="shared" si="21"/>
        <v>0</v>
      </c>
      <c r="J122" s="574">
        <f t="shared" si="22"/>
        <v>0</v>
      </c>
      <c r="K122" s="577">
        <f t="shared" si="33"/>
        <v>445.04</v>
      </c>
      <c r="L122" s="575">
        <f t="shared" si="34"/>
        <v>4218.9799999999996</v>
      </c>
      <c r="M122" s="575">
        <f t="shared" si="34"/>
        <v>0</v>
      </c>
      <c r="N122" s="575">
        <f t="shared" si="34"/>
        <v>0</v>
      </c>
      <c r="O122" s="575">
        <f t="shared" si="34"/>
        <v>4218.9799999999996</v>
      </c>
      <c r="P122" s="576">
        <f t="shared" si="26"/>
        <v>0</v>
      </c>
      <c r="Q122" s="525"/>
      <c r="S122" s="189">
        <v>0</v>
      </c>
      <c r="T122" s="189">
        <v>0</v>
      </c>
      <c r="BT122" s="525"/>
      <c r="BU122" s="523">
        <v>0</v>
      </c>
      <c r="BV122" s="523">
        <v>0</v>
      </c>
      <c r="BW122" s="523">
        <v>0</v>
      </c>
      <c r="BX122" s="523">
        <v>0</v>
      </c>
      <c r="BY122" s="523"/>
      <c r="BZ122" s="523"/>
      <c r="CA122" s="523"/>
      <c r="CB122" s="523"/>
      <c r="CC122" s="523"/>
      <c r="CD122" s="523"/>
      <c r="CE122" s="523"/>
      <c r="CF122" s="523"/>
      <c r="CG122" s="523"/>
      <c r="CH122" s="523"/>
      <c r="CI122" s="523">
        <f t="shared" si="20"/>
        <v>0</v>
      </c>
    </row>
    <row r="123" spans="1:87" ht="15.75" x14ac:dyDescent="0.2">
      <c r="A123" s="567" t="s">
        <v>278</v>
      </c>
      <c r="B123" s="568">
        <v>88486</v>
      </c>
      <c r="C123" s="568" t="s">
        <v>1324</v>
      </c>
      <c r="D123" s="569" t="s">
        <v>1501</v>
      </c>
      <c r="E123" s="570" t="s">
        <v>14</v>
      </c>
      <c r="F123" s="578"/>
      <c r="G123" s="572">
        <v>8.2899999999999991</v>
      </c>
      <c r="H123" s="570">
        <v>84.33</v>
      </c>
      <c r="I123" s="622">
        <f t="shared" si="21"/>
        <v>0</v>
      </c>
      <c r="J123" s="574">
        <f t="shared" si="22"/>
        <v>0</v>
      </c>
      <c r="K123" s="577">
        <f t="shared" si="33"/>
        <v>84.33</v>
      </c>
      <c r="L123" s="575">
        <f t="shared" si="34"/>
        <v>699.1</v>
      </c>
      <c r="M123" s="575">
        <f t="shared" si="34"/>
        <v>0</v>
      </c>
      <c r="N123" s="575">
        <f t="shared" si="34"/>
        <v>0</v>
      </c>
      <c r="O123" s="575">
        <f t="shared" si="34"/>
        <v>699.1</v>
      </c>
      <c r="P123" s="576">
        <f t="shared" si="26"/>
        <v>0</v>
      </c>
      <c r="Q123" s="525"/>
      <c r="S123" s="189">
        <v>0</v>
      </c>
      <c r="T123" s="189">
        <v>0</v>
      </c>
      <c r="BT123" s="525"/>
      <c r="BU123" s="523">
        <v>0</v>
      </c>
      <c r="BV123" s="523">
        <v>0</v>
      </c>
      <c r="BW123" s="523">
        <v>0</v>
      </c>
      <c r="BX123" s="523">
        <v>0</v>
      </c>
      <c r="BY123" s="523"/>
      <c r="BZ123" s="523"/>
      <c r="CA123" s="523"/>
      <c r="CB123" s="523"/>
      <c r="CC123" s="523"/>
      <c r="CD123" s="523"/>
      <c r="CE123" s="523"/>
      <c r="CF123" s="523"/>
      <c r="CG123" s="523"/>
      <c r="CH123" s="523"/>
      <c r="CI123" s="523">
        <f t="shared" si="20"/>
        <v>0</v>
      </c>
    </row>
    <row r="124" spans="1:87" ht="15.75" x14ac:dyDescent="0.2">
      <c r="A124" s="567" t="s">
        <v>281</v>
      </c>
      <c r="B124" s="568">
        <v>72815</v>
      </c>
      <c r="C124" s="568" t="s">
        <v>1324</v>
      </c>
      <c r="D124" s="569" t="s">
        <v>1502</v>
      </c>
      <c r="E124" s="570" t="s">
        <v>14</v>
      </c>
      <c r="F124" s="578"/>
      <c r="G124" s="572">
        <v>43.08</v>
      </c>
      <c r="H124" s="570">
        <v>483.8</v>
      </c>
      <c r="I124" s="622">
        <f t="shared" si="21"/>
        <v>0</v>
      </c>
      <c r="J124" s="574">
        <f t="shared" si="22"/>
        <v>0</v>
      </c>
      <c r="K124" s="577">
        <f t="shared" si="33"/>
        <v>483.8</v>
      </c>
      <c r="L124" s="575">
        <f t="shared" si="34"/>
        <v>20842.099999999999</v>
      </c>
      <c r="M124" s="575">
        <f t="shared" si="34"/>
        <v>0</v>
      </c>
      <c r="N124" s="575">
        <f t="shared" si="34"/>
        <v>0</v>
      </c>
      <c r="O124" s="575">
        <f t="shared" si="34"/>
        <v>20842.099999999999</v>
      </c>
      <c r="P124" s="576">
        <f t="shared" si="26"/>
        <v>0</v>
      </c>
      <c r="Q124" s="525"/>
      <c r="S124" s="189">
        <v>0</v>
      </c>
      <c r="T124" s="189">
        <v>0</v>
      </c>
      <c r="BT124" s="525"/>
      <c r="BU124" s="523">
        <v>0</v>
      </c>
      <c r="BV124" s="523">
        <v>0</v>
      </c>
      <c r="BW124" s="523">
        <v>0</v>
      </c>
      <c r="BX124" s="523">
        <v>0</v>
      </c>
      <c r="BY124" s="523"/>
      <c r="BZ124" s="523"/>
      <c r="CA124" s="523"/>
      <c r="CB124" s="523"/>
      <c r="CC124" s="523"/>
      <c r="CD124" s="523"/>
      <c r="CE124" s="523"/>
      <c r="CF124" s="523"/>
      <c r="CG124" s="523"/>
      <c r="CH124" s="523"/>
      <c r="CI124" s="523">
        <f t="shared" si="20"/>
        <v>0</v>
      </c>
    </row>
    <row r="125" spans="1:87" ht="15.75" x14ac:dyDescent="0.2">
      <c r="A125" s="567" t="s">
        <v>1503</v>
      </c>
      <c r="B125" s="568">
        <v>41595</v>
      </c>
      <c r="C125" s="568" t="s">
        <v>1324</v>
      </c>
      <c r="D125" s="569" t="s">
        <v>1504</v>
      </c>
      <c r="E125" s="570" t="s">
        <v>81</v>
      </c>
      <c r="F125" s="578"/>
      <c r="G125" s="572">
        <v>8.86</v>
      </c>
      <c r="H125" s="570">
        <v>275.60000000000002</v>
      </c>
      <c r="I125" s="622">
        <f t="shared" si="21"/>
        <v>0</v>
      </c>
      <c r="J125" s="574">
        <f t="shared" si="22"/>
        <v>0</v>
      </c>
      <c r="K125" s="577">
        <f t="shared" si="33"/>
        <v>275.60000000000002</v>
      </c>
      <c r="L125" s="575">
        <f t="shared" si="34"/>
        <v>2441.8200000000002</v>
      </c>
      <c r="M125" s="575">
        <f t="shared" si="34"/>
        <v>0</v>
      </c>
      <c r="N125" s="575">
        <f t="shared" si="34"/>
        <v>0</v>
      </c>
      <c r="O125" s="575">
        <f t="shared" si="34"/>
        <v>2441.8200000000002</v>
      </c>
      <c r="P125" s="576">
        <f t="shared" si="26"/>
        <v>0</v>
      </c>
      <c r="Q125" s="525"/>
      <c r="S125" s="189">
        <v>0</v>
      </c>
      <c r="T125" s="189">
        <v>0</v>
      </c>
      <c r="BT125" s="525"/>
      <c r="BU125" s="523">
        <v>0</v>
      </c>
      <c r="BV125" s="523">
        <v>0</v>
      </c>
      <c r="BW125" s="523">
        <v>0</v>
      </c>
      <c r="BX125" s="523">
        <v>0</v>
      </c>
      <c r="BY125" s="523"/>
      <c r="BZ125" s="523"/>
      <c r="CA125" s="523"/>
      <c r="CB125" s="523"/>
      <c r="CC125" s="523"/>
      <c r="CD125" s="523"/>
      <c r="CE125" s="523"/>
      <c r="CF125" s="523"/>
      <c r="CG125" s="523"/>
      <c r="CH125" s="523"/>
      <c r="CI125" s="523">
        <f t="shared" si="20"/>
        <v>0</v>
      </c>
    </row>
    <row r="126" spans="1:87" ht="15" x14ac:dyDescent="0.2">
      <c r="A126" s="567" t="s">
        <v>1505</v>
      </c>
      <c r="B126" s="568" t="s">
        <v>1506</v>
      </c>
      <c r="C126" s="568" t="s">
        <v>1324</v>
      </c>
      <c r="D126" s="569" t="s">
        <v>1507</v>
      </c>
      <c r="E126" s="570" t="s">
        <v>14</v>
      </c>
      <c r="F126" s="571"/>
      <c r="G126" s="572">
        <v>7.25</v>
      </c>
      <c r="H126" s="570">
        <v>366.82</v>
      </c>
      <c r="I126" s="622">
        <f t="shared" si="21"/>
        <v>0</v>
      </c>
      <c r="J126" s="574">
        <f t="shared" si="22"/>
        <v>0</v>
      </c>
      <c r="K126" s="577">
        <f t="shared" si="33"/>
        <v>366.82</v>
      </c>
      <c r="L126" s="575">
        <f t="shared" si="34"/>
        <v>2659.45</v>
      </c>
      <c r="M126" s="575">
        <f t="shared" si="34"/>
        <v>0</v>
      </c>
      <c r="N126" s="575">
        <f t="shared" si="34"/>
        <v>0</v>
      </c>
      <c r="O126" s="575">
        <f t="shared" si="34"/>
        <v>2659.45</v>
      </c>
      <c r="P126" s="576">
        <f t="shared" si="26"/>
        <v>0</v>
      </c>
      <c r="Q126" s="525"/>
      <c r="S126" s="189">
        <v>0</v>
      </c>
      <c r="T126" s="189">
        <v>0</v>
      </c>
      <c r="BT126" s="525"/>
      <c r="BU126" s="523">
        <v>0</v>
      </c>
      <c r="BV126" s="523">
        <v>0</v>
      </c>
      <c r="BW126" s="523">
        <v>0</v>
      </c>
      <c r="BX126" s="523">
        <v>0</v>
      </c>
      <c r="BY126" s="523"/>
      <c r="BZ126" s="523"/>
      <c r="CA126" s="523"/>
      <c r="CB126" s="523"/>
      <c r="CC126" s="523"/>
      <c r="CD126" s="523"/>
      <c r="CE126" s="523"/>
      <c r="CF126" s="523"/>
      <c r="CG126" s="523"/>
      <c r="CH126" s="523"/>
      <c r="CI126" s="523">
        <f t="shared" si="20"/>
        <v>0</v>
      </c>
    </row>
    <row r="127" spans="1:87" ht="15" x14ac:dyDescent="0.2">
      <c r="A127" s="567" t="s">
        <v>1508</v>
      </c>
      <c r="B127" s="568" t="s">
        <v>1509</v>
      </c>
      <c r="C127" s="568" t="s">
        <v>1324</v>
      </c>
      <c r="D127" s="569" t="s">
        <v>1510</v>
      </c>
      <c r="E127" s="570" t="s">
        <v>14</v>
      </c>
      <c r="F127" s="577">
        <v>37.78</v>
      </c>
      <c r="G127" s="572">
        <v>21.62</v>
      </c>
      <c r="H127" s="570">
        <v>567.82000000000005</v>
      </c>
      <c r="I127" s="622">
        <f t="shared" si="21"/>
        <v>0</v>
      </c>
      <c r="J127" s="574">
        <f t="shared" si="22"/>
        <v>0</v>
      </c>
      <c r="K127" s="577">
        <f t="shared" si="33"/>
        <v>567.82000000000005</v>
      </c>
      <c r="L127" s="575">
        <f t="shared" si="34"/>
        <v>12276.27</v>
      </c>
      <c r="M127" s="575">
        <f t="shared" si="34"/>
        <v>0</v>
      </c>
      <c r="N127" s="575">
        <f t="shared" si="34"/>
        <v>0</v>
      </c>
      <c r="O127" s="575">
        <f t="shared" si="34"/>
        <v>12276.27</v>
      </c>
      <c r="P127" s="576">
        <f t="shared" si="26"/>
        <v>0</v>
      </c>
      <c r="Q127" s="525"/>
      <c r="S127" s="189">
        <v>0</v>
      </c>
      <c r="T127" s="189">
        <v>0</v>
      </c>
      <c r="BT127" s="525"/>
      <c r="BU127" s="523">
        <v>0</v>
      </c>
      <c r="BV127" s="523">
        <v>0</v>
      </c>
      <c r="BW127" s="523">
        <v>0</v>
      </c>
      <c r="BX127" s="523">
        <v>0</v>
      </c>
      <c r="BY127" s="523"/>
      <c r="BZ127" s="523"/>
      <c r="CA127" s="523"/>
      <c r="CB127" s="523"/>
      <c r="CC127" s="523"/>
      <c r="CD127" s="523"/>
      <c r="CE127" s="523"/>
      <c r="CF127" s="523"/>
      <c r="CG127" s="523"/>
      <c r="CH127" s="523"/>
      <c r="CI127" s="523">
        <f t="shared" si="20"/>
        <v>0</v>
      </c>
    </row>
    <row r="128" spans="1:87" ht="30" x14ac:dyDescent="0.2">
      <c r="A128" s="567" t="s">
        <v>1511</v>
      </c>
      <c r="B128" s="568" t="s">
        <v>1512</v>
      </c>
      <c r="C128" s="568" t="s">
        <v>1324</v>
      </c>
      <c r="D128" s="569" t="s">
        <v>1513</v>
      </c>
      <c r="E128" s="570" t="s">
        <v>14</v>
      </c>
      <c r="F128" s="577">
        <v>21.63</v>
      </c>
      <c r="G128" s="572">
        <v>14.78</v>
      </c>
      <c r="H128" s="570">
        <v>1030.4000000000001</v>
      </c>
      <c r="I128" s="622">
        <f t="shared" si="21"/>
        <v>0</v>
      </c>
      <c r="J128" s="574">
        <f t="shared" si="22"/>
        <v>0</v>
      </c>
      <c r="K128" s="577">
        <f t="shared" si="33"/>
        <v>1030.4000000000001</v>
      </c>
      <c r="L128" s="575">
        <f t="shared" si="34"/>
        <v>15229.31</v>
      </c>
      <c r="M128" s="575">
        <f t="shared" si="34"/>
        <v>0</v>
      </c>
      <c r="N128" s="575">
        <f t="shared" si="34"/>
        <v>0</v>
      </c>
      <c r="O128" s="575">
        <f t="shared" si="34"/>
        <v>15229.31</v>
      </c>
      <c r="P128" s="576">
        <f t="shared" si="26"/>
        <v>0</v>
      </c>
      <c r="Q128" s="525"/>
      <c r="S128" s="189">
        <v>0</v>
      </c>
      <c r="T128" s="189">
        <v>271</v>
      </c>
      <c r="BT128" s="525"/>
      <c r="BU128" s="523">
        <v>0</v>
      </c>
      <c r="BV128" s="523">
        <v>0</v>
      </c>
      <c r="BW128" s="523">
        <v>0</v>
      </c>
      <c r="BX128" s="523">
        <v>0</v>
      </c>
      <c r="BY128" s="523"/>
      <c r="BZ128" s="523"/>
      <c r="CA128" s="523"/>
      <c r="CB128" s="523"/>
      <c r="CC128" s="523"/>
      <c r="CD128" s="523"/>
      <c r="CE128" s="523"/>
      <c r="CF128" s="523"/>
      <c r="CG128" s="523"/>
      <c r="CH128" s="523"/>
      <c r="CI128" s="523">
        <f t="shared" si="20"/>
        <v>0</v>
      </c>
    </row>
    <row r="129" spans="1:87" s="514" customFormat="1" ht="15.75" x14ac:dyDescent="0.2">
      <c r="A129" s="556">
        <v>12</v>
      </c>
      <c r="B129" s="557"/>
      <c r="C129" s="557"/>
      <c r="D129" s="558" t="s">
        <v>1514</v>
      </c>
      <c r="E129" s="559"/>
      <c r="F129" s="559"/>
      <c r="G129" s="559"/>
      <c r="H129" s="559"/>
      <c r="I129" s="559"/>
      <c r="J129" s="559"/>
      <c r="K129" s="559"/>
      <c r="L129" s="562">
        <f>SUM(L130,L152)</f>
        <v>4556.04</v>
      </c>
      <c r="M129" s="562">
        <f>SUM(M130,M152)</f>
        <v>0</v>
      </c>
      <c r="N129" s="562">
        <f>SUM(N130,N152)</f>
        <v>1885.7800000000002</v>
      </c>
      <c r="O129" s="562">
        <f>SUM(O130,O152)</f>
        <v>2670.26</v>
      </c>
      <c r="P129" s="566">
        <f t="shared" si="26"/>
        <v>0.4139076917674121</v>
      </c>
      <c r="Q129" s="525"/>
      <c r="S129" s="190">
        <v>0</v>
      </c>
      <c r="T129" s="190">
        <v>237</v>
      </c>
      <c r="BT129" s="525"/>
      <c r="BU129" s="523">
        <v>0</v>
      </c>
      <c r="BV129" s="523">
        <v>271</v>
      </c>
      <c r="BW129" s="523"/>
      <c r="BX129" s="523"/>
      <c r="BY129" s="523"/>
      <c r="BZ129" s="523"/>
      <c r="CA129" s="523"/>
      <c r="CB129" s="523"/>
      <c r="CC129" s="523"/>
      <c r="CD129" s="523"/>
      <c r="CE129" s="523"/>
      <c r="CF129" s="523"/>
      <c r="CG129" s="523"/>
      <c r="CH129" s="523"/>
      <c r="CI129" s="523">
        <f t="shared" si="20"/>
        <v>271</v>
      </c>
    </row>
    <row r="130" spans="1:87" ht="15.75" x14ac:dyDescent="0.2">
      <c r="A130" s="584" t="s">
        <v>1515</v>
      </c>
      <c r="B130" s="585"/>
      <c r="C130" s="585"/>
      <c r="D130" s="586" t="s">
        <v>1516</v>
      </c>
      <c r="E130" s="609"/>
      <c r="F130" s="609"/>
      <c r="G130" s="609"/>
      <c r="H130" s="609"/>
      <c r="I130" s="609"/>
      <c r="J130" s="609"/>
      <c r="K130" s="609"/>
      <c r="L130" s="587">
        <f>SUM(L131:L151)</f>
        <v>1719.64</v>
      </c>
      <c r="M130" s="587">
        <f>SUM(M131:M151)</f>
        <v>0</v>
      </c>
      <c r="N130" s="587">
        <f>SUM(N131:N151)</f>
        <v>1719.64</v>
      </c>
      <c r="O130" s="587">
        <f>SUM(O131:O151)</f>
        <v>0</v>
      </c>
      <c r="P130" s="592">
        <f t="shared" si="26"/>
        <v>1</v>
      </c>
      <c r="Q130" s="525"/>
      <c r="S130" s="189">
        <v>0</v>
      </c>
      <c r="T130" s="189">
        <v>12</v>
      </c>
      <c r="BT130" s="525"/>
      <c r="BU130" s="523">
        <v>0</v>
      </c>
      <c r="BV130" s="523">
        <v>237</v>
      </c>
      <c r="BW130" s="523"/>
      <c r="BX130" s="523"/>
      <c r="BY130" s="523"/>
      <c r="BZ130" s="523"/>
      <c r="CA130" s="523"/>
      <c r="CB130" s="523"/>
      <c r="CC130" s="523"/>
      <c r="CD130" s="523"/>
      <c r="CE130" s="523"/>
      <c r="CF130" s="523"/>
      <c r="CG130" s="523"/>
      <c r="CH130" s="523"/>
      <c r="CI130" s="523">
        <f t="shared" si="20"/>
        <v>237</v>
      </c>
    </row>
    <row r="131" spans="1:87" ht="15" x14ac:dyDescent="0.2">
      <c r="A131" s="567" t="s">
        <v>1517</v>
      </c>
      <c r="B131" s="568">
        <v>89401</v>
      </c>
      <c r="C131" s="568" t="s">
        <v>1324</v>
      </c>
      <c r="D131" s="569" t="s">
        <v>1518</v>
      </c>
      <c r="E131" s="570" t="s">
        <v>81</v>
      </c>
      <c r="F131" s="577">
        <v>22.03</v>
      </c>
      <c r="G131" s="572">
        <v>5.29</v>
      </c>
      <c r="H131" s="570">
        <v>12</v>
      </c>
      <c r="I131" s="622">
        <f t="shared" si="21"/>
        <v>0</v>
      </c>
      <c r="J131" s="574">
        <f t="shared" si="22"/>
        <v>12</v>
      </c>
      <c r="K131" s="655">
        <f t="shared" ref="K131:K193" si="35">H131-J131</f>
        <v>0</v>
      </c>
      <c r="L131" s="575">
        <f t="shared" ref="L131:O151" si="36">ROUND(H131*$G131,2)</f>
        <v>63.48</v>
      </c>
      <c r="M131" s="575">
        <f t="shared" si="36"/>
        <v>0</v>
      </c>
      <c r="N131" s="575">
        <f t="shared" si="36"/>
        <v>63.48</v>
      </c>
      <c r="O131" s="575">
        <f t="shared" si="36"/>
        <v>0</v>
      </c>
      <c r="P131" s="576">
        <f t="shared" si="26"/>
        <v>1</v>
      </c>
      <c r="Q131" s="525"/>
      <c r="S131" s="189">
        <v>0</v>
      </c>
      <c r="T131" s="189">
        <v>42</v>
      </c>
      <c r="BT131" s="525"/>
      <c r="BU131" s="523">
        <v>0</v>
      </c>
      <c r="BV131" s="523">
        <v>12</v>
      </c>
      <c r="BW131" s="523">
        <v>0</v>
      </c>
      <c r="BX131" s="523">
        <v>0</v>
      </c>
      <c r="BY131" s="523"/>
      <c r="BZ131" s="523"/>
      <c r="CA131" s="523"/>
      <c r="CB131" s="523"/>
      <c r="CC131" s="523"/>
      <c r="CD131" s="523"/>
      <c r="CE131" s="523"/>
      <c r="CF131" s="523"/>
      <c r="CG131" s="523"/>
      <c r="CH131" s="523"/>
      <c r="CI131" s="523">
        <f t="shared" si="20"/>
        <v>12</v>
      </c>
    </row>
    <row r="132" spans="1:87" ht="15.75" x14ac:dyDescent="0.2">
      <c r="A132" s="567" t="s">
        <v>1519</v>
      </c>
      <c r="B132" s="568">
        <v>89446</v>
      </c>
      <c r="C132" s="568" t="s">
        <v>1324</v>
      </c>
      <c r="D132" s="569" t="s">
        <v>1520</v>
      </c>
      <c r="E132" s="570" t="s">
        <v>81</v>
      </c>
      <c r="F132" s="578"/>
      <c r="G132" s="572">
        <v>3.19</v>
      </c>
      <c r="H132" s="570">
        <v>42</v>
      </c>
      <c r="I132" s="622">
        <f t="shared" si="21"/>
        <v>0</v>
      </c>
      <c r="J132" s="574">
        <f t="shared" si="22"/>
        <v>42</v>
      </c>
      <c r="K132" s="570">
        <f t="shared" si="35"/>
        <v>0</v>
      </c>
      <c r="L132" s="575">
        <f t="shared" si="36"/>
        <v>133.97999999999999</v>
      </c>
      <c r="M132" s="575">
        <f t="shared" si="36"/>
        <v>0</v>
      </c>
      <c r="N132" s="575">
        <f t="shared" si="36"/>
        <v>133.97999999999999</v>
      </c>
      <c r="O132" s="575">
        <f t="shared" si="36"/>
        <v>0</v>
      </c>
      <c r="P132" s="576">
        <f t="shared" si="26"/>
        <v>1</v>
      </c>
      <c r="Q132" s="525"/>
      <c r="S132" s="189">
        <v>0</v>
      </c>
      <c r="T132" s="189">
        <v>28</v>
      </c>
      <c r="BT132" s="525"/>
      <c r="BU132" s="523">
        <v>0</v>
      </c>
      <c r="BV132" s="523">
        <v>42</v>
      </c>
      <c r="BW132" s="523">
        <v>0</v>
      </c>
      <c r="BX132" s="523">
        <v>0</v>
      </c>
      <c r="BY132" s="523"/>
      <c r="BZ132" s="523"/>
      <c r="CA132" s="523"/>
      <c r="CB132" s="523"/>
      <c r="CC132" s="523"/>
      <c r="CD132" s="523"/>
      <c r="CE132" s="523"/>
      <c r="CF132" s="523"/>
      <c r="CG132" s="523"/>
      <c r="CH132" s="523"/>
      <c r="CI132" s="523">
        <f t="shared" si="20"/>
        <v>42</v>
      </c>
    </row>
    <row r="133" spans="1:87" ht="15.75" x14ac:dyDescent="0.2">
      <c r="A133" s="567" t="s">
        <v>1521</v>
      </c>
      <c r="B133" s="568">
        <v>89447</v>
      </c>
      <c r="C133" s="568" t="s">
        <v>1324</v>
      </c>
      <c r="D133" s="569" t="s">
        <v>1522</v>
      </c>
      <c r="E133" s="570" t="s">
        <v>81</v>
      </c>
      <c r="F133" s="578"/>
      <c r="G133" s="572">
        <v>6.33</v>
      </c>
      <c r="H133" s="570">
        <v>28</v>
      </c>
      <c r="I133" s="622">
        <f t="shared" si="21"/>
        <v>0</v>
      </c>
      <c r="J133" s="574">
        <f t="shared" si="22"/>
        <v>28</v>
      </c>
      <c r="K133" s="570">
        <f t="shared" si="35"/>
        <v>0</v>
      </c>
      <c r="L133" s="575">
        <f t="shared" si="36"/>
        <v>177.24</v>
      </c>
      <c r="M133" s="575">
        <f t="shared" si="36"/>
        <v>0</v>
      </c>
      <c r="N133" s="575">
        <f t="shared" si="36"/>
        <v>177.24</v>
      </c>
      <c r="O133" s="575">
        <f t="shared" si="36"/>
        <v>0</v>
      </c>
      <c r="P133" s="576">
        <f t="shared" si="26"/>
        <v>1</v>
      </c>
      <c r="Q133" s="525"/>
      <c r="S133" s="189">
        <v>0</v>
      </c>
      <c r="T133" s="189">
        <v>30</v>
      </c>
      <c r="BT133" s="525"/>
      <c r="BU133" s="523">
        <v>0</v>
      </c>
      <c r="BV133" s="523">
        <v>28</v>
      </c>
      <c r="BW133" s="523">
        <v>0</v>
      </c>
      <c r="BX133" s="523">
        <v>0</v>
      </c>
      <c r="BY133" s="523"/>
      <c r="BZ133" s="523"/>
      <c r="CA133" s="523"/>
      <c r="CB133" s="523"/>
      <c r="CC133" s="523"/>
      <c r="CD133" s="523"/>
      <c r="CE133" s="523"/>
      <c r="CF133" s="523"/>
      <c r="CG133" s="523"/>
      <c r="CH133" s="523"/>
      <c r="CI133" s="523">
        <f t="shared" si="20"/>
        <v>28</v>
      </c>
    </row>
    <row r="134" spans="1:87" ht="15" x14ac:dyDescent="0.2">
      <c r="A134" s="567" t="s">
        <v>1523</v>
      </c>
      <c r="B134" s="568">
        <v>89448</v>
      </c>
      <c r="C134" s="568" t="s">
        <v>1324</v>
      </c>
      <c r="D134" s="569" t="s">
        <v>1524</v>
      </c>
      <c r="E134" s="570" t="s">
        <v>81</v>
      </c>
      <c r="F134" s="571"/>
      <c r="G134" s="572">
        <v>10.15</v>
      </c>
      <c r="H134" s="570">
        <v>30</v>
      </c>
      <c r="I134" s="622">
        <f t="shared" si="21"/>
        <v>0</v>
      </c>
      <c r="J134" s="574">
        <f t="shared" si="22"/>
        <v>30</v>
      </c>
      <c r="K134" s="570">
        <f t="shared" si="35"/>
        <v>0</v>
      </c>
      <c r="L134" s="575">
        <f t="shared" si="36"/>
        <v>304.5</v>
      </c>
      <c r="M134" s="575">
        <f t="shared" si="36"/>
        <v>0</v>
      </c>
      <c r="N134" s="575">
        <f t="shared" si="36"/>
        <v>304.5</v>
      </c>
      <c r="O134" s="575">
        <f t="shared" si="36"/>
        <v>0</v>
      </c>
      <c r="P134" s="576">
        <f t="shared" si="26"/>
        <v>1</v>
      </c>
      <c r="Q134" s="525"/>
      <c r="S134" s="189">
        <v>0</v>
      </c>
      <c r="T134" s="189">
        <v>36</v>
      </c>
      <c r="BT134" s="525"/>
      <c r="BU134" s="523">
        <v>0</v>
      </c>
      <c r="BV134" s="523">
        <v>30</v>
      </c>
      <c r="BW134" s="523">
        <v>0</v>
      </c>
      <c r="BX134" s="523">
        <v>0</v>
      </c>
      <c r="BY134" s="523"/>
      <c r="BZ134" s="523"/>
      <c r="CA134" s="523"/>
      <c r="CB134" s="523"/>
      <c r="CC134" s="523"/>
      <c r="CD134" s="523"/>
      <c r="CE134" s="523"/>
      <c r="CF134" s="523"/>
      <c r="CG134" s="523"/>
      <c r="CH134" s="523"/>
      <c r="CI134" s="523">
        <f t="shared" si="20"/>
        <v>30</v>
      </c>
    </row>
    <row r="135" spans="1:87" ht="15" x14ac:dyDescent="0.2">
      <c r="A135" s="567" t="s">
        <v>1525</v>
      </c>
      <c r="B135" s="568">
        <v>89449</v>
      </c>
      <c r="C135" s="568" t="s">
        <v>1324</v>
      </c>
      <c r="D135" s="569" t="s">
        <v>1526</v>
      </c>
      <c r="E135" s="570" t="s">
        <v>81</v>
      </c>
      <c r="F135" s="577">
        <v>5.81</v>
      </c>
      <c r="G135" s="572">
        <v>11.27</v>
      </c>
      <c r="H135" s="570">
        <v>36</v>
      </c>
      <c r="I135" s="622">
        <f t="shared" si="21"/>
        <v>0</v>
      </c>
      <c r="J135" s="574">
        <f t="shared" si="22"/>
        <v>36</v>
      </c>
      <c r="K135" s="570">
        <f t="shared" si="35"/>
        <v>0</v>
      </c>
      <c r="L135" s="575">
        <f t="shared" si="36"/>
        <v>405.72</v>
      </c>
      <c r="M135" s="575">
        <f t="shared" si="36"/>
        <v>0</v>
      </c>
      <c r="N135" s="575">
        <f t="shared" si="36"/>
        <v>405.72</v>
      </c>
      <c r="O135" s="575">
        <f t="shared" si="36"/>
        <v>0</v>
      </c>
      <c r="P135" s="576">
        <f t="shared" si="26"/>
        <v>1</v>
      </c>
      <c r="Q135" s="525"/>
      <c r="S135" s="189">
        <v>0</v>
      </c>
      <c r="T135" s="189">
        <v>15</v>
      </c>
      <c r="BT135" s="525"/>
      <c r="BU135" s="523">
        <v>0</v>
      </c>
      <c r="BV135" s="523">
        <v>36</v>
      </c>
      <c r="BW135" s="523">
        <v>0</v>
      </c>
      <c r="BX135" s="523">
        <v>0</v>
      </c>
      <c r="BY135" s="523"/>
      <c r="BZ135" s="523"/>
      <c r="CA135" s="523"/>
      <c r="CB135" s="523"/>
      <c r="CC135" s="523"/>
      <c r="CD135" s="523"/>
      <c r="CE135" s="523"/>
      <c r="CF135" s="523"/>
      <c r="CG135" s="523"/>
      <c r="CH135" s="523"/>
      <c r="CI135" s="523">
        <f t="shared" si="20"/>
        <v>36</v>
      </c>
    </row>
    <row r="136" spans="1:87" ht="15" x14ac:dyDescent="0.2">
      <c r="A136" s="567" t="s">
        <v>1527</v>
      </c>
      <c r="B136" s="568">
        <v>89408</v>
      </c>
      <c r="C136" s="568" t="s">
        <v>1324</v>
      </c>
      <c r="D136" s="569" t="s">
        <v>1528</v>
      </c>
      <c r="E136" s="570" t="s">
        <v>102</v>
      </c>
      <c r="F136" s="577">
        <v>37.78</v>
      </c>
      <c r="G136" s="572">
        <v>4.28</v>
      </c>
      <c r="H136" s="570">
        <v>15</v>
      </c>
      <c r="I136" s="622">
        <f t="shared" si="21"/>
        <v>0</v>
      </c>
      <c r="J136" s="574">
        <f t="shared" si="22"/>
        <v>15</v>
      </c>
      <c r="K136" s="570">
        <f t="shared" si="35"/>
        <v>0</v>
      </c>
      <c r="L136" s="575">
        <f t="shared" si="36"/>
        <v>64.2</v>
      </c>
      <c r="M136" s="575">
        <f t="shared" si="36"/>
        <v>0</v>
      </c>
      <c r="N136" s="575">
        <f t="shared" si="36"/>
        <v>64.2</v>
      </c>
      <c r="O136" s="575">
        <f t="shared" si="36"/>
        <v>0</v>
      </c>
      <c r="P136" s="576">
        <f t="shared" si="26"/>
        <v>1</v>
      </c>
      <c r="Q136" s="525"/>
      <c r="S136" s="189">
        <v>0</v>
      </c>
      <c r="T136" s="189">
        <v>8</v>
      </c>
      <c r="BT136" s="525"/>
      <c r="BU136" s="523">
        <v>0</v>
      </c>
      <c r="BV136" s="523">
        <v>15</v>
      </c>
      <c r="BW136" s="523">
        <v>0</v>
      </c>
      <c r="BX136" s="523">
        <v>0</v>
      </c>
      <c r="BY136" s="523"/>
      <c r="BZ136" s="523"/>
      <c r="CA136" s="523"/>
      <c r="CB136" s="523"/>
      <c r="CC136" s="523"/>
      <c r="CD136" s="523"/>
      <c r="CE136" s="523"/>
      <c r="CF136" s="523"/>
      <c r="CG136" s="523"/>
      <c r="CH136" s="523"/>
      <c r="CI136" s="523">
        <f t="shared" si="20"/>
        <v>15</v>
      </c>
    </row>
    <row r="137" spans="1:87" ht="15" x14ac:dyDescent="0.2">
      <c r="A137" s="631" t="s">
        <v>1529</v>
      </c>
      <c r="B137" s="632">
        <v>89492</v>
      </c>
      <c r="C137" s="632" t="s">
        <v>1324</v>
      </c>
      <c r="D137" s="624" t="s">
        <v>1530</v>
      </c>
      <c r="E137" s="633" t="s">
        <v>102</v>
      </c>
      <c r="F137" s="634">
        <v>21.63</v>
      </c>
      <c r="G137" s="635">
        <v>4.79</v>
      </c>
      <c r="H137" s="633">
        <v>8</v>
      </c>
      <c r="I137" s="636">
        <f t="shared" si="21"/>
        <v>0</v>
      </c>
      <c r="J137" s="637">
        <f t="shared" si="22"/>
        <v>8</v>
      </c>
      <c r="K137" s="633">
        <f t="shared" si="35"/>
        <v>0</v>
      </c>
      <c r="L137" s="575">
        <f t="shared" si="36"/>
        <v>38.32</v>
      </c>
      <c r="M137" s="575">
        <f t="shared" si="36"/>
        <v>0</v>
      </c>
      <c r="N137" s="575">
        <f t="shared" si="36"/>
        <v>38.32</v>
      </c>
      <c r="O137" s="575">
        <f t="shared" si="36"/>
        <v>0</v>
      </c>
      <c r="P137" s="638">
        <f t="shared" si="26"/>
        <v>1</v>
      </c>
      <c r="Q137" s="525"/>
      <c r="S137" s="189">
        <v>0</v>
      </c>
      <c r="T137" s="189">
        <v>6</v>
      </c>
      <c r="BT137" s="525"/>
      <c r="BU137" s="523">
        <v>0</v>
      </c>
      <c r="BV137" s="523">
        <v>8</v>
      </c>
      <c r="BW137" s="523">
        <v>0</v>
      </c>
      <c r="BX137" s="523">
        <v>0</v>
      </c>
      <c r="BY137" s="523"/>
      <c r="BZ137" s="523"/>
      <c r="CA137" s="523"/>
      <c r="CB137" s="523"/>
      <c r="CC137" s="523"/>
      <c r="CD137" s="523"/>
      <c r="CE137" s="523"/>
      <c r="CF137" s="523"/>
      <c r="CG137" s="523"/>
      <c r="CH137" s="523"/>
      <c r="CI137" s="523">
        <f t="shared" si="20"/>
        <v>8</v>
      </c>
    </row>
    <row r="138" spans="1:87" ht="15" x14ac:dyDescent="0.2">
      <c r="A138" s="631" t="s">
        <v>1531</v>
      </c>
      <c r="B138" s="632">
        <v>89501</v>
      </c>
      <c r="C138" s="632" t="s">
        <v>1324</v>
      </c>
      <c r="D138" s="624" t="s">
        <v>1532</v>
      </c>
      <c r="E138" s="633" t="s">
        <v>102</v>
      </c>
      <c r="F138" s="634">
        <v>38.770000000000003</v>
      </c>
      <c r="G138" s="635">
        <v>9.3800000000000008</v>
      </c>
      <c r="H138" s="633">
        <v>6</v>
      </c>
      <c r="I138" s="636">
        <f t="shared" si="21"/>
        <v>0</v>
      </c>
      <c r="J138" s="637">
        <f t="shared" si="22"/>
        <v>6</v>
      </c>
      <c r="K138" s="633">
        <f t="shared" si="35"/>
        <v>0</v>
      </c>
      <c r="L138" s="575">
        <f t="shared" si="36"/>
        <v>56.28</v>
      </c>
      <c r="M138" s="575">
        <f t="shared" si="36"/>
        <v>0</v>
      </c>
      <c r="N138" s="575">
        <f t="shared" si="36"/>
        <v>56.28</v>
      </c>
      <c r="O138" s="575">
        <f t="shared" si="36"/>
        <v>0</v>
      </c>
      <c r="P138" s="638">
        <f t="shared" si="26"/>
        <v>1</v>
      </c>
      <c r="Q138" s="525"/>
      <c r="S138" s="189">
        <v>0</v>
      </c>
      <c r="T138" s="189">
        <v>2</v>
      </c>
      <c r="BT138" s="525"/>
      <c r="BU138" s="523">
        <v>0</v>
      </c>
      <c r="BV138" s="523">
        <v>6</v>
      </c>
      <c r="BW138" s="523">
        <v>0</v>
      </c>
      <c r="BX138" s="523">
        <v>0</v>
      </c>
      <c r="BY138" s="523"/>
      <c r="BZ138" s="523"/>
      <c r="CA138" s="523"/>
      <c r="CB138" s="523"/>
      <c r="CC138" s="523"/>
      <c r="CD138" s="523"/>
      <c r="CE138" s="523"/>
      <c r="CF138" s="523"/>
      <c r="CG138" s="523"/>
      <c r="CH138" s="523"/>
      <c r="CI138" s="523">
        <f t="shared" si="20"/>
        <v>6</v>
      </c>
    </row>
    <row r="139" spans="1:87" ht="30" x14ac:dyDescent="0.2">
      <c r="A139" s="631" t="s">
        <v>1533</v>
      </c>
      <c r="B139" s="632">
        <v>90373</v>
      </c>
      <c r="C139" s="632" t="s">
        <v>1324</v>
      </c>
      <c r="D139" s="624" t="s">
        <v>1534</v>
      </c>
      <c r="E139" s="633" t="s">
        <v>102</v>
      </c>
      <c r="F139" s="578"/>
      <c r="G139" s="635">
        <v>10.06</v>
      </c>
      <c r="H139" s="633">
        <v>2</v>
      </c>
      <c r="I139" s="636">
        <f t="shared" si="21"/>
        <v>0</v>
      </c>
      <c r="J139" s="637">
        <f t="shared" si="22"/>
        <v>2</v>
      </c>
      <c r="K139" s="633">
        <f t="shared" si="35"/>
        <v>0</v>
      </c>
      <c r="L139" s="575">
        <f t="shared" si="36"/>
        <v>20.12</v>
      </c>
      <c r="M139" s="575">
        <f t="shared" si="36"/>
        <v>0</v>
      </c>
      <c r="N139" s="575">
        <f t="shared" si="36"/>
        <v>20.12</v>
      </c>
      <c r="O139" s="575">
        <f t="shared" si="36"/>
        <v>0</v>
      </c>
      <c r="P139" s="638">
        <f t="shared" si="26"/>
        <v>1</v>
      </c>
      <c r="Q139" s="525"/>
      <c r="S139" s="189">
        <v>0</v>
      </c>
      <c r="T139" s="189">
        <v>4</v>
      </c>
      <c r="BT139" s="525"/>
      <c r="BU139" s="523">
        <v>0</v>
      </c>
      <c r="BV139" s="523">
        <v>2</v>
      </c>
      <c r="BW139" s="523">
        <v>0</v>
      </c>
      <c r="BX139" s="523">
        <v>0</v>
      </c>
      <c r="BY139" s="523"/>
      <c r="BZ139" s="523"/>
      <c r="CA139" s="523"/>
      <c r="CB139" s="523"/>
      <c r="CC139" s="523"/>
      <c r="CD139" s="523"/>
      <c r="CE139" s="523"/>
      <c r="CF139" s="523"/>
      <c r="CG139" s="523"/>
      <c r="CH139" s="523"/>
      <c r="CI139" s="523">
        <f t="shared" si="20"/>
        <v>2</v>
      </c>
    </row>
    <row r="140" spans="1:87" ht="30" x14ac:dyDescent="0.2">
      <c r="A140" s="631" t="s">
        <v>1535</v>
      </c>
      <c r="B140" s="632" t="s">
        <v>2007</v>
      </c>
      <c r="C140" s="632" t="s">
        <v>1339</v>
      </c>
      <c r="D140" s="624" t="s">
        <v>1536</v>
      </c>
      <c r="E140" s="633" t="s">
        <v>102</v>
      </c>
      <c r="F140" s="578"/>
      <c r="G140" s="635">
        <v>0</v>
      </c>
      <c r="H140" s="633">
        <v>4</v>
      </c>
      <c r="I140" s="636">
        <f t="shared" si="21"/>
        <v>0</v>
      </c>
      <c r="J140" s="637">
        <f t="shared" si="22"/>
        <v>4</v>
      </c>
      <c r="K140" s="633">
        <f t="shared" si="35"/>
        <v>0</v>
      </c>
      <c r="L140" s="575">
        <f t="shared" si="36"/>
        <v>0</v>
      </c>
      <c r="M140" s="575">
        <f t="shared" si="36"/>
        <v>0</v>
      </c>
      <c r="N140" s="575">
        <f t="shared" si="36"/>
        <v>0</v>
      </c>
      <c r="O140" s="575">
        <f t="shared" si="36"/>
        <v>0</v>
      </c>
      <c r="P140" s="638">
        <v>0</v>
      </c>
      <c r="Q140" s="525"/>
      <c r="S140" s="189">
        <v>0</v>
      </c>
      <c r="T140" s="189">
        <v>16</v>
      </c>
      <c r="BT140" s="525"/>
      <c r="BU140" s="523">
        <v>0</v>
      </c>
      <c r="BV140" s="523">
        <v>4</v>
      </c>
      <c r="BW140" s="523">
        <v>0</v>
      </c>
      <c r="BX140" s="523">
        <v>0</v>
      </c>
      <c r="BY140" s="523"/>
      <c r="BZ140" s="523"/>
      <c r="CA140" s="523"/>
      <c r="CB140" s="523"/>
      <c r="CC140" s="523"/>
      <c r="CD140" s="523"/>
      <c r="CE140" s="523"/>
      <c r="CF140" s="523"/>
      <c r="CG140" s="523"/>
      <c r="CH140" s="523"/>
      <c r="CI140" s="523">
        <f t="shared" si="20"/>
        <v>4</v>
      </c>
    </row>
    <row r="141" spans="1:87" ht="30" x14ac:dyDescent="0.2">
      <c r="A141" s="631" t="s">
        <v>1537</v>
      </c>
      <c r="B141" s="632">
        <v>90373</v>
      </c>
      <c r="C141" s="632" t="s">
        <v>1324</v>
      </c>
      <c r="D141" s="624" t="s">
        <v>1538</v>
      </c>
      <c r="E141" s="633" t="s">
        <v>102</v>
      </c>
      <c r="F141" s="578"/>
      <c r="G141" s="635">
        <v>10.06</v>
      </c>
      <c r="H141" s="633">
        <v>16</v>
      </c>
      <c r="I141" s="636">
        <f t="shared" si="21"/>
        <v>0</v>
      </c>
      <c r="J141" s="637">
        <f t="shared" si="22"/>
        <v>16</v>
      </c>
      <c r="K141" s="633">
        <f t="shared" si="35"/>
        <v>0</v>
      </c>
      <c r="L141" s="575">
        <f t="shared" si="36"/>
        <v>160.96</v>
      </c>
      <c r="M141" s="575">
        <f t="shared" si="36"/>
        <v>0</v>
      </c>
      <c r="N141" s="575">
        <f t="shared" si="36"/>
        <v>160.96</v>
      </c>
      <c r="O141" s="575">
        <f t="shared" si="36"/>
        <v>0</v>
      </c>
      <c r="P141" s="638">
        <f t="shared" ref="P141:P204" si="37">N141/L141</f>
        <v>1</v>
      </c>
      <c r="Q141" s="525"/>
      <c r="S141" s="189">
        <v>0</v>
      </c>
      <c r="T141" s="189">
        <v>4</v>
      </c>
      <c r="BT141" s="525"/>
      <c r="BU141" s="523">
        <v>0</v>
      </c>
      <c r="BV141" s="523">
        <v>16</v>
      </c>
      <c r="BW141" s="523">
        <v>0</v>
      </c>
      <c r="BX141" s="523">
        <v>0</v>
      </c>
      <c r="BY141" s="523"/>
      <c r="BZ141" s="523"/>
      <c r="CA141" s="523"/>
      <c r="CB141" s="523"/>
      <c r="CC141" s="523"/>
      <c r="CD141" s="523"/>
      <c r="CE141" s="523"/>
      <c r="CF141" s="523"/>
      <c r="CG141" s="523"/>
      <c r="CH141" s="523"/>
      <c r="CI141" s="523">
        <f t="shared" si="20"/>
        <v>16</v>
      </c>
    </row>
    <row r="142" spans="1:87" ht="30" x14ac:dyDescent="0.2">
      <c r="A142" s="631" t="s">
        <v>1539</v>
      </c>
      <c r="B142" s="632">
        <v>89622</v>
      </c>
      <c r="C142" s="632" t="s">
        <v>1324</v>
      </c>
      <c r="D142" s="624" t="s">
        <v>1540</v>
      </c>
      <c r="E142" s="633" t="s">
        <v>102</v>
      </c>
      <c r="F142" s="634">
        <v>29.86</v>
      </c>
      <c r="G142" s="635">
        <v>9.23</v>
      </c>
      <c r="H142" s="633">
        <v>4</v>
      </c>
      <c r="I142" s="636">
        <f t="shared" si="21"/>
        <v>0</v>
      </c>
      <c r="J142" s="637">
        <f t="shared" si="22"/>
        <v>4</v>
      </c>
      <c r="K142" s="633">
        <f t="shared" si="35"/>
        <v>0</v>
      </c>
      <c r="L142" s="575">
        <f t="shared" si="36"/>
        <v>36.92</v>
      </c>
      <c r="M142" s="575">
        <f t="shared" si="36"/>
        <v>0</v>
      </c>
      <c r="N142" s="575">
        <f t="shared" si="36"/>
        <v>36.92</v>
      </c>
      <c r="O142" s="575">
        <f t="shared" si="36"/>
        <v>0</v>
      </c>
      <c r="P142" s="638">
        <f t="shared" si="37"/>
        <v>1</v>
      </c>
      <c r="Q142" s="525"/>
      <c r="S142" s="189">
        <v>0</v>
      </c>
      <c r="T142" s="189">
        <v>2</v>
      </c>
      <c r="BT142" s="525"/>
      <c r="BU142" s="523">
        <v>0</v>
      </c>
      <c r="BV142" s="523">
        <v>4</v>
      </c>
      <c r="BW142" s="523">
        <v>0</v>
      </c>
      <c r="BX142" s="523">
        <v>0</v>
      </c>
      <c r="BY142" s="523"/>
      <c r="BZ142" s="523"/>
      <c r="CA142" s="523"/>
      <c r="CB142" s="523"/>
      <c r="CC142" s="523"/>
      <c r="CD142" s="523"/>
      <c r="CE142" s="523"/>
      <c r="CF142" s="523"/>
      <c r="CG142" s="523"/>
      <c r="CH142" s="523"/>
      <c r="CI142" s="523">
        <f t="shared" si="20"/>
        <v>4</v>
      </c>
    </row>
    <row r="143" spans="1:87" ht="30" x14ac:dyDescent="0.2">
      <c r="A143" s="631" t="s">
        <v>1541</v>
      </c>
      <c r="B143" s="632">
        <v>89626</v>
      </c>
      <c r="C143" s="632" t="s">
        <v>1324</v>
      </c>
      <c r="D143" s="624" t="s">
        <v>1542</v>
      </c>
      <c r="E143" s="633" t="s">
        <v>102</v>
      </c>
      <c r="F143" s="634">
        <v>32.090000000000003</v>
      </c>
      <c r="G143" s="635">
        <v>17.79</v>
      </c>
      <c r="H143" s="633">
        <v>2</v>
      </c>
      <c r="I143" s="636">
        <f t="shared" si="21"/>
        <v>0</v>
      </c>
      <c r="J143" s="637">
        <f t="shared" si="22"/>
        <v>2</v>
      </c>
      <c r="K143" s="633">
        <f t="shared" si="35"/>
        <v>0</v>
      </c>
      <c r="L143" s="575">
        <f t="shared" si="36"/>
        <v>35.58</v>
      </c>
      <c r="M143" s="575">
        <f t="shared" si="36"/>
        <v>0</v>
      </c>
      <c r="N143" s="575">
        <f t="shared" si="36"/>
        <v>35.58</v>
      </c>
      <c r="O143" s="575">
        <f t="shared" si="36"/>
        <v>0</v>
      </c>
      <c r="P143" s="638">
        <f t="shared" si="37"/>
        <v>1</v>
      </c>
      <c r="Q143" s="525"/>
      <c r="S143" s="189">
        <v>0</v>
      </c>
      <c r="T143" s="189">
        <v>8</v>
      </c>
      <c r="BT143" s="525"/>
      <c r="BU143" s="523">
        <v>0</v>
      </c>
      <c r="BV143" s="523">
        <v>2</v>
      </c>
      <c r="BW143" s="523">
        <v>0</v>
      </c>
      <c r="BX143" s="523">
        <v>0</v>
      </c>
      <c r="BY143" s="523"/>
      <c r="BZ143" s="523"/>
      <c r="CA143" s="523"/>
      <c r="CB143" s="523"/>
      <c r="CC143" s="523"/>
      <c r="CD143" s="523"/>
      <c r="CE143" s="523"/>
      <c r="CF143" s="523"/>
      <c r="CG143" s="523"/>
      <c r="CH143" s="523"/>
      <c r="CI143" s="523">
        <f t="shared" ref="CI143:CI206" si="38">SUM(BU143:CH143)</f>
        <v>2</v>
      </c>
    </row>
    <row r="144" spans="1:87" ht="15" x14ac:dyDescent="0.2">
      <c r="A144" s="631" t="s">
        <v>1543</v>
      </c>
      <c r="B144" s="632">
        <v>89534</v>
      </c>
      <c r="C144" s="632" t="s">
        <v>1324</v>
      </c>
      <c r="D144" s="624" t="s">
        <v>1544</v>
      </c>
      <c r="E144" s="633" t="s">
        <v>102</v>
      </c>
      <c r="F144" s="634">
        <v>46.88</v>
      </c>
      <c r="G144" s="635">
        <v>2.9</v>
      </c>
      <c r="H144" s="633">
        <v>8</v>
      </c>
      <c r="I144" s="636">
        <f t="shared" ref="I144:I207" si="39">BU144</f>
        <v>0</v>
      </c>
      <c r="J144" s="637">
        <f t="shared" ref="J144:J207" si="40">CI144</f>
        <v>8</v>
      </c>
      <c r="K144" s="633">
        <f t="shared" si="35"/>
        <v>0</v>
      </c>
      <c r="L144" s="575">
        <f t="shared" si="36"/>
        <v>23.2</v>
      </c>
      <c r="M144" s="575">
        <f t="shared" si="36"/>
        <v>0</v>
      </c>
      <c r="N144" s="575">
        <f t="shared" si="36"/>
        <v>23.2</v>
      </c>
      <c r="O144" s="575">
        <f t="shared" si="36"/>
        <v>0</v>
      </c>
      <c r="P144" s="638">
        <f t="shared" si="37"/>
        <v>1</v>
      </c>
      <c r="Q144" s="525"/>
      <c r="S144" s="189">
        <v>0</v>
      </c>
      <c r="T144" s="189">
        <v>4</v>
      </c>
      <c r="BT144" s="525"/>
      <c r="BU144" s="523">
        <v>0</v>
      </c>
      <c r="BV144" s="523">
        <v>8</v>
      </c>
      <c r="BW144" s="523">
        <v>0</v>
      </c>
      <c r="BX144" s="523">
        <v>0</v>
      </c>
      <c r="BY144" s="523"/>
      <c r="BZ144" s="523"/>
      <c r="CA144" s="523"/>
      <c r="CB144" s="523"/>
      <c r="CC144" s="523"/>
      <c r="CD144" s="523"/>
      <c r="CE144" s="523"/>
      <c r="CF144" s="523"/>
      <c r="CG144" s="523"/>
      <c r="CH144" s="523"/>
      <c r="CI144" s="523">
        <f t="shared" si="38"/>
        <v>8</v>
      </c>
    </row>
    <row r="145" spans="1:87" ht="15" x14ac:dyDescent="0.2">
      <c r="A145" s="631" t="s">
        <v>1545</v>
      </c>
      <c r="B145" s="632">
        <v>89386</v>
      </c>
      <c r="C145" s="632" t="s">
        <v>1324</v>
      </c>
      <c r="D145" s="624" t="s">
        <v>1546</v>
      </c>
      <c r="E145" s="633" t="s">
        <v>102</v>
      </c>
      <c r="F145" s="634">
        <v>31.2</v>
      </c>
      <c r="G145" s="635">
        <v>6</v>
      </c>
      <c r="H145" s="633">
        <v>4</v>
      </c>
      <c r="I145" s="636">
        <f t="shared" si="39"/>
        <v>0</v>
      </c>
      <c r="J145" s="637">
        <f t="shared" si="40"/>
        <v>4</v>
      </c>
      <c r="K145" s="633">
        <f t="shared" si="35"/>
        <v>0</v>
      </c>
      <c r="L145" s="575">
        <f t="shared" si="36"/>
        <v>24</v>
      </c>
      <c r="M145" s="575">
        <f t="shared" si="36"/>
        <v>0</v>
      </c>
      <c r="N145" s="575">
        <f t="shared" si="36"/>
        <v>24</v>
      </c>
      <c r="O145" s="575">
        <f t="shared" si="36"/>
        <v>0</v>
      </c>
      <c r="P145" s="638">
        <f t="shared" si="37"/>
        <v>1</v>
      </c>
      <c r="Q145" s="525"/>
      <c r="S145" s="189">
        <v>0</v>
      </c>
      <c r="T145" s="189">
        <v>4</v>
      </c>
      <c r="BT145" s="525"/>
      <c r="BU145" s="523">
        <v>0</v>
      </c>
      <c r="BV145" s="523">
        <v>4</v>
      </c>
      <c r="BW145" s="523">
        <v>0</v>
      </c>
      <c r="BX145" s="523">
        <v>0</v>
      </c>
      <c r="BY145" s="523"/>
      <c r="BZ145" s="523"/>
      <c r="CA145" s="523"/>
      <c r="CB145" s="523"/>
      <c r="CC145" s="523"/>
      <c r="CD145" s="523"/>
      <c r="CE145" s="523"/>
      <c r="CF145" s="523"/>
      <c r="CG145" s="523"/>
      <c r="CH145" s="523"/>
      <c r="CI145" s="523">
        <f t="shared" si="38"/>
        <v>4</v>
      </c>
    </row>
    <row r="146" spans="1:87" ht="15" x14ac:dyDescent="0.2">
      <c r="A146" s="631" t="s">
        <v>1547</v>
      </c>
      <c r="B146" s="632">
        <v>89433</v>
      </c>
      <c r="C146" s="632" t="s">
        <v>1324</v>
      </c>
      <c r="D146" s="624" t="s">
        <v>1548</v>
      </c>
      <c r="E146" s="633" t="s">
        <v>102</v>
      </c>
      <c r="F146" s="634">
        <v>19.170000000000002</v>
      </c>
      <c r="G146" s="635">
        <v>5.63</v>
      </c>
      <c r="H146" s="633">
        <v>4</v>
      </c>
      <c r="I146" s="636">
        <f t="shared" si="39"/>
        <v>0</v>
      </c>
      <c r="J146" s="637">
        <f t="shared" si="40"/>
        <v>4</v>
      </c>
      <c r="K146" s="633">
        <f t="shared" si="35"/>
        <v>0</v>
      </c>
      <c r="L146" s="575">
        <f t="shared" si="36"/>
        <v>22.52</v>
      </c>
      <c r="M146" s="575">
        <f t="shared" si="36"/>
        <v>0</v>
      </c>
      <c r="N146" s="575">
        <f t="shared" si="36"/>
        <v>22.52</v>
      </c>
      <c r="O146" s="575">
        <f t="shared" si="36"/>
        <v>0</v>
      </c>
      <c r="P146" s="638">
        <f t="shared" si="37"/>
        <v>1</v>
      </c>
      <c r="Q146" s="525"/>
      <c r="S146" s="189">
        <v>0</v>
      </c>
      <c r="T146" s="189">
        <v>2</v>
      </c>
      <c r="BT146" s="525"/>
      <c r="BU146" s="523">
        <v>0</v>
      </c>
      <c r="BV146" s="523">
        <v>4</v>
      </c>
      <c r="BW146" s="523">
        <v>0</v>
      </c>
      <c r="BX146" s="523">
        <v>0</v>
      </c>
      <c r="BY146" s="523"/>
      <c r="BZ146" s="523"/>
      <c r="CA146" s="523"/>
      <c r="CB146" s="523"/>
      <c r="CC146" s="523"/>
      <c r="CD146" s="523"/>
      <c r="CE146" s="523"/>
      <c r="CF146" s="523"/>
      <c r="CG146" s="523"/>
      <c r="CH146" s="523"/>
      <c r="CI146" s="523">
        <f t="shared" si="38"/>
        <v>4</v>
      </c>
    </row>
    <row r="147" spans="1:87" ht="15" x14ac:dyDescent="0.2">
      <c r="A147" s="567" t="s">
        <v>1549</v>
      </c>
      <c r="B147" s="568">
        <v>89605</v>
      </c>
      <c r="C147" s="568" t="s">
        <v>1324</v>
      </c>
      <c r="D147" s="569" t="s">
        <v>1550</v>
      </c>
      <c r="E147" s="570" t="s">
        <v>102</v>
      </c>
      <c r="F147" s="577">
        <v>98.11</v>
      </c>
      <c r="G147" s="572">
        <v>11.65</v>
      </c>
      <c r="H147" s="570">
        <v>2</v>
      </c>
      <c r="I147" s="622">
        <f t="shared" si="39"/>
        <v>0</v>
      </c>
      <c r="J147" s="574">
        <f t="shared" si="40"/>
        <v>2</v>
      </c>
      <c r="K147" s="570">
        <f t="shared" si="35"/>
        <v>0</v>
      </c>
      <c r="L147" s="575">
        <f t="shared" si="36"/>
        <v>23.3</v>
      </c>
      <c r="M147" s="575">
        <f t="shared" si="36"/>
        <v>0</v>
      </c>
      <c r="N147" s="575">
        <f t="shared" si="36"/>
        <v>23.3</v>
      </c>
      <c r="O147" s="575">
        <f t="shared" si="36"/>
        <v>0</v>
      </c>
      <c r="P147" s="576">
        <f t="shared" si="37"/>
        <v>1</v>
      </c>
      <c r="Q147" s="525"/>
      <c r="S147" s="189">
        <v>0</v>
      </c>
      <c r="T147" s="189">
        <v>2</v>
      </c>
      <c r="BT147" s="525"/>
      <c r="BU147" s="523">
        <v>0</v>
      </c>
      <c r="BV147" s="523">
        <v>2</v>
      </c>
      <c r="BW147" s="523">
        <v>0</v>
      </c>
      <c r="BX147" s="523">
        <v>0</v>
      </c>
      <c r="BY147" s="523"/>
      <c r="BZ147" s="523"/>
      <c r="CA147" s="523"/>
      <c r="CB147" s="523"/>
      <c r="CC147" s="523"/>
      <c r="CD147" s="523"/>
      <c r="CE147" s="523"/>
      <c r="CF147" s="523"/>
      <c r="CG147" s="523"/>
      <c r="CH147" s="523"/>
      <c r="CI147" s="523">
        <f t="shared" si="38"/>
        <v>2</v>
      </c>
    </row>
    <row r="148" spans="1:87" ht="30" x14ac:dyDescent="0.2">
      <c r="A148" s="567" t="s">
        <v>1551</v>
      </c>
      <c r="B148" s="568">
        <v>90375</v>
      </c>
      <c r="C148" s="568" t="s">
        <v>1324</v>
      </c>
      <c r="D148" s="569" t="s">
        <v>1552</v>
      </c>
      <c r="E148" s="570" t="s">
        <v>102</v>
      </c>
      <c r="F148" s="577">
        <v>174.65</v>
      </c>
      <c r="G148" s="572">
        <v>6.61</v>
      </c>
      <c r="H148" s="570">
        <v>2</v>
      </c>
      <c r="I148" s="622">
        <f t="shared" si="39"/>
        <v>0</v>
      </c>
      <c r="J148" s="574">
        <f t="shared" si="40"/>
        <v>2</v>
      </c>
      <c r="K148" s="570">
        <f t="shared" si="35"/>
        <v>0</v>
      </c>
      <c r="L148" s="575">
        <f t="shared" si="36"/>
        <v>13.22</v>
      </c>
      <c r="M148" s="575">
        <f t="shared" si="36"/>
        <v>0</v>
      </c>
      <c r="N148" s="575">
        <f t="shared" si="36"/>
        <v>13.22</v>
      </c>
      <c r="O148" s="575">
        <f t="shared" si="36"/>
        <v>0</v>
      </c>
      <c r="P148" s="576">
        <f t="shared" si="37"/>
        <v>1</v>
      </c>
      <c r="Q148" s="525"/>
      <c r="S148" s="189">
        <v>0</v>
      </c>
      <c r="T148" s="189">
        <v>4</v>
      </c>
      <c r="BT148" s="525"/>
      <c r="BU148" s="523">
        <v>0</v>
      </c>
      <c r="BV148" s="523">
        <v>2</v>
      </c>
      <c r="BW148" s="523">
        <v>0</v>
      </c>
      <c r="BX148" s="523">
        <v>0</v>
      </c>
      <c r="BY148" s="523"/>
      <c r="BZ148" s="523"/>
      <c r="CA148" s="523"/>
      <c r="CB148" s="523"/>
      <c r="CC148" s="523"/>
      <c r="CD148" s="523"/>
      <c r="CE148" s="523"/>
      <c r="CF148" s="523"/>
      <c r="CG148" s="523"/>
      <c r="CH148" s="523"/>
      <c r="CI148" s="523">
        <f t="shared" si="38"/>
        <v>2</v>
      </c>
    </row>
    <row r="149" spans="1:87" ht="30" x14ac:dyDescent="0.2">
      <c r="A149" s="567" t="s">
        <v>1553</v>
      </c>
      <c r="B149" s="568">
        <v>90375</v>
      </c>
      <c r="C149" s="568" t="s">
        <v>1324</v>
      </c>
      <c r="D149" s="569" t="s">
        <v>1554</v>
      </c>
      <c r="E149" s="570" t="s">
        <v>102</v>
      </c>
      <c r="F149" s="578"/>
      <c r="G149" s="572">
        <v>6.61</v>
      </c>
      <c r="H149" s="570">
        <v>4</v>
      </c>
      <c r="I149" s="622">
        <f t="shared" si="39"/>
        <v>0</v>
      </c>
      <c r="J149" s="574">
        <f t="shared" si="40"/>
        <v>4</v>
      </c>
      <c r="K149" s="570">
        <f t="shared" si="35"/>
        <v>0</v>
      </c>
      <c r="L149" s="575">
        <f t="shared" si="36"/>
        <v>26.44</v>
      </c>
      <c r="M149" s="575">
        <f t="shared" si="36"/>
        <v>0</v>
      </c>
      <c r="N149" s="575">
        <f t="shared" si="36"/>
        <v>26.44</v>
      </c>
      <c r="O149" s="575">
        <f t="shared" si="36"/>
        <v>0</v>
      </c>
      <c r="P149" s="576">
        <f t="shared" si="37"/>
        <v>1</v>
      </c>
      <c r="Q149" s="525"/>
      <c r="S149" s="189">
        <v>0</v>
      </c>
      <c r="T149" s="189">
        <v>6</v>
      </c>
      <c r="BT149" s="525"/>
      <c r="BU149" s="523">
        <v>0</v>
      </c>
      <c r="BV149" s="523">
        <v>4</v>
      </c>
      <c r="BW149" s="523">
        <v>0</v>
      </c>
      <c r="BX149" s="523">
        <v>0</v>
      </c>
      <c r="BY149" s="523"/>
      <c r="BZ149" s="523"/>
      <c r="CA149" s="523"/>
      <c r="CB149" s="523"/>
      <c r="CC149" s="523"/>
      <c r="CD149" s="523"/>
      <c r="CE149" s="523"/>
      <c r="CF149" s="523"/>
      <c r="CG149" s="523"/>
      <c r="CH149" s="523"/>
      <c r="CI149" s="523">
        <f t="shared" si="38"/>
        <v>4</v>
      </c>
    </row>
    <row r="150" spans="1:87" ht="15.75" x14ac:dyDescent="0.2">
      <c r="A150" s="567" t="s">
        <v>1555</v>
      </c>
      <c r="B150" s="568">
        <v>89375</v>
      </c>
      <c r="C150" s="568" t="s">
        <v>1324</v>
      </c>
      <c r="D150" s="569" t="s">
        <v>1556</v>
      </c>
      <c r="E150" s="570" t="s">
        <v>102</v>
      </c>
      <c r="F150" s="578"/>
      <c r="G150" s="572">
        <v>7.45</v>
      </c>
      <c r="H150" s="570">
        <v>6</v>
      </c>
      <c r="I150" s="622">
        <f t="shared" si="39"/>
        <v>0</v>
      </c>
      <c r="J150" s="574">
        <f t="shared" si="40"/>
        <v>6</v>
      </c>
      <c r="K150" s="570">
        <f t="shared" si="35"/>
        <v>0</v>
      </c>
      <c r="L150" s="575">
        <f t="shared" si="36"/>
        <v>44.7</v>
      </c>
      <c r="M150" s="575">
        <f t="shared" si="36"/>
        <v>0</v>
      </c>
      <c r="N150" s="575">
        <f t="shared" si="36"/>
        <v>44.7</v>
      </c>
      <c r="O150" s="575">
        <f t="shared" si="36"/>
        <v>0</v>
      </c>
      <c r="P150" s="576">
        <f t="shared" si="37"/>
        <v>1</v>
      </c>
      <c r="Q150" s="525"/>
      <c r="S150" s="189">
        <v>0</v>
      </c>
      <c r="T150" s="189">
        <v>2</v>
      </c>
      <c r="BT150" s="525"/>
      <c r="BU150" s="523">
        <v>0</v>
      </c>
      <c r="BV150" s="523">
        <v>6</v>
      </c>
      <c r="BW150" s="523">
        <v>0</v>
      </c>
      <c r="BX150" s="523">
        <v>0</v>
      </c>
      <c r="BY150" s="523"/>
      <c r="BZ150" s="523"/>
      <c r="CA150" s="523"/>
      <c r="CB150" s="523"/>
      <c r="CC150" s="523"/>
      <c r="CD150" s="523"/>
      <c r="CE150" s="523"/>
      <c r="CF150" s="523"/>
      <c r="CG150" s="523"/>
      <c r="CH150" s="523"/>
      <c r="CI150" s="523">
        <f t="shared" si="38"/>
        <v>6</v>
      </c>
    </row>
    <row r="151" spans="1:87" s="514" customFormat="1" ht="15" x14ac:dyDescent="0.2">
      <c r="A151" s="567" t="s">
        <v>1557</v>
      </c>
      <c r="B151" s="568">
        <v>89594</v>
      </c>
      <c r="C151" s="568" t="s">
        <v>1324</v>
      </c>
      <c r="D151" s="569" t="s">
        <v>1558</v>
      </c>
      <c r="E151" s="570" t="s">
        <v>102</v>
      </c>
      <c r="F151" s="577">
        <v>33.909999999999997</v>
      </c>
      <c r="G151" s="572">
        <v>22.48</v>
      </c>
      <c r="H151" s="570">
        <v>2</v>
      </c>
      <c r="I151" s="622">
        <f t="shared" si="39"/>
        <v>0</v>
      </c>
      <c r="J151" s="574">
        <f t="shared" si="40"/>
        <v>2</v>
      </c>
      <c r="K151" s="570">
        <f t="shared" si="35"/>
        <v>0</v>
      </c>
      <c r="L151" s="575">
        <f t="shared" si="36"/>
        <v>44.96</v>
      </c>
      <c r="M151" s="575">
        <f t="shared" si="36"/>
        <v>0</v>
      </c>
      <c r="N151" s="575">
        <f t="shared" si="36"/>
        <v>44.96</v>
      </c>
      <c r="O151" s="575">
        <f t="shared" si="36"/>
        <v>0</v>
      </c>
      <c r="P151" s="576">
        <f t="shared" si="37"/>
        <v>1</v>
      </c>
      <c r="Q151" s="525"/>
      <c r="S151" s="190">
        <v>0</v>
      </c>
      <c r="T151" s="190">
        <v>34</v>
      </c>
      <c r="BT151" s="525"/>
      <c r="BU151" s="523">
        <v>0</v>
      </c>
      <c r="BV151" s="523">
        <v>2</v>
      </c>
      <c r="BW151" s="523">
        <v>0</v>
      </c>
      <c r="BX151" s="523">
        <v>0</v>
      </c>
      <c r="BY151" s="523"/>
      <c r="BZ151" s="523"/>
      <c r="CA151" s="523"/>
      <c r="CB151" s="523"/>
      <c r="CC151" s="523"/>
      <c r="CD151" s="523"/>
      <c r="CE151" s="523"/>
      <c r="CF151" s="523"/>
      <c r="CG151" s="523"/>
      <c r="CH151" s="523"/>
      <c r="CI151" s="523">
        <f t="shared" si="38"/>
        <v>2</v>
      </c>
    </row>
    <row r="152" spans="1:87" ht="15.75" x14ac:dyDescent="0.2">
      <c r="A152" s="584" t="s">
        <v>290</v>
      </c>
      <c r="B152" s="585"/>
      <c r="C152" s="585"/>
      <c r="D152" s="586" t="s">
        <v>1559</v>
      </c>
      <c r="E152" s="609"/>
      <c r="F152" s="618"/>
      <c r="G152" s="609"/>
      <c r="H152" s="609"/>
      <c r="I152" s="609"/>
      <c r="J152" s="609"/>
      <c r="K152" s="609"/>
      <c r="L152" s="587">
        <f>SUM(L153:L167)</f>
        <v>2836.4</v>
      </c>
      <c r="M152" s="587">
        <f>SUM(M153:M167)</f>
        <v>0</v>
      </c>
      <c r="N152" s="587">
        <f>SUM(N153:N167)</f>
        <v>166.14000000000001</v>
      </c>
      <c r="O152" s="587">
        <f>SUM(O153:O167)</f>
        <v>2670.26</v>
      </c>
      <c r="P152" s="592">
        <f t="shared" si="37"/>
        <v>5.8574249048089132E-2</v>
      </c>
      <c r="Q152" s="525"/>
      <c r="S152" s="189">
        <v>0</v>
      </c>
      <c r="T152" s="189">
        <v>0</v>
      </c>
      <c r="BT152" s="525"/>
      <c r="BU152" s="523">
        <v>0</v>
      </c>
      <c r="BV152" s="523">
        <v>34</v>
      </c>
      <c r="BW152" s="523"/>
      <c r="BX152" s="523"/>
      <c r="BY152" s="523"/>
      <c r="BZ152" s="523"/>
      <c r="CA152" s="523"/>
      <c r="CB152" s="523"/>
      <c r="CC152" s="523"/>
      <c r="CD152" s="523"/>
      <c r="CE152" s="523"/>
      <c r="CF152" s="523"/>
      <c r="CG152" s="523"/>
      <c r="CH152" s="523"/>
      <c r="CI152" s="523">
        <f t="shared" si="38"/>
        <v>34</v>
      </c>
    </row>
    <row r="153" spans="1:87" ht="15" x14ac:dyDescent="0.2">
      <c r="A153" s="567" t="s">
        <v>1560</v>
      </c>
      <c r="B153" s="568">
        <v>89353</v>
      </c>
      <c r="C153" s="568" t="s">
        <v>1324</v>
      </c>
      <c r="D153" s="569" t="s">
        <v>1561</v>
      </c>
      <c r="E153" s="570" t="s">
        <v>102</v>
      </c>
      <c r="F153" s="577">
        <v>9.81</v>
      </c>
      <c r="G153" s="572">
        <v>30.67</v>
      </c>
      <c r="H153" s="570">
        <v>1</v>
      </c>
      <c r="I153" s="622">
        <f t="shared" si="39"/>
        <v>0</v>
      </c>
      <c r="J153" s="574">
        <f t="shared" si="40"/>
        <v>0</v>
      </c>
      <c r="K153" s="570">
        <f t="shared" si="35"/>
        <v>1</v>
      </c>
      <c r="L153" s="575">
        <f t="shared" ref="L153:O167" si="41">ROUND(H153*$G153,2)</f>
        <v>30.67</v>
      </c>
      <c r="M153" s="575">
        <f t="shared" si="41"/>
        <v>0</v>
      </c>
      <c r="N153" s="575">
        <f t="shared" si="41"/>
        <v>0</v>
      </c>
      <c r="O153" s="575">
        <f t="shared" si="41"/>
        <v>30.67</v>
      </c>
      <c r="P153" s="576">
        <f t="shared" si="37"/>
        <v>0</v>
      </c>
      <c r="Q153" s="525"/>
      <c r="S153" s="189">
        <v>0</v>
      </c>
      <c r="T153" s="189">
        <v>0</v>
      </c>
      <c r="BT153" s="525"/>
      <c r="BU153" s="523">
        <v>0</v>
      </c>
      <c r="BV153" s="523">
        <v>0</v>
      </c>
      <c r="BW153" s="523">
        <v>0</v>
      </c>
      <c r="BX153" s="523">
        <v>0</v>
      </c>
      <c r="BY153" s="523"/>
      <c r="BZ153" s="523"/>
      <c r="CA153" s="523"/>
      <c r="CB153" s="523"/>
      <c r="CC153" s="523"/>
      <c r="CD153" s="523"/>
      <c r="CE153" s="523"/>
      <c r="CF153" s="523"/>
      <c r="CG153" s="523"/>
      <c r="CH153" s="523"/>
      <c r="CI153" s="523">
        <f t="shared" si="38"/>
        <v>0</v>
      </c>
    </row>
    <row r="154" spans="1:87" ht="15" x14ac:dyDescent="0.2">
      <c r="A154" s="567" t="s">
        <v>1562</v>
      </c>
      <c r="B154" s="568" t="s">
        <v>1563</v>
      </c>
      <c r="C154" s="568" t="s">
        <v>1324</v>
      </c>
      <c r="D154" s="569" t="s">
        <v>1564</v>
      </c>
      <c r="E154" s="570" t="s">
        <v>102</v>
      </c>
      <c r="F154" s="577">
        <v>12.72</v>
      </c>
      <c r="G154" s="572">
        <v>86.64</v>
      </c>
      <c r="H154" s="570">
        <v>2</v>
      </c>
      <c r="I154" s="622">
        <f t="shared" si="39"/>
        <v>0</v>
      </c>
      <c r="J154" s="574">
        <f t="shared" si="40"/>
        <v>0</v>
      </c>
      <c r="K154" s="570">
        <f t="shared" si="35"/>
        <v>2</v>
      </c>
      <c r="L154" s="575">
        <f t="shared" si="41"/>
        <v>173.28</v>
      </c>
      <c r="M154" s="575">
        <f t="shared" si="41"/>
        <v>0</v>
      </c>
      <c r="N154" s="575">
        <f t="shared" si="41"/>
        <v>0</v>
      </c>
      <c r="O154" s="575">
        <f t="shared" si="41"/>
        <v>173.28</v>
      </c>
      <c r="P154" s="576">
        <f t="shared" si="37"/>
        <v>0</v>
      </c>
      <c r="Q154" s="525"/>
      <c r="S154" s="189">
        <v>0</v>
      </c>
      <c r="T154" s="189">
        <v>0</v>
      </c>
      <c r="BT154" s="525"/>
      <c r="BU154" s="523">
        <v>0</v>
      </c>
      <c r="BV154" s="523">
        <v>0</v>
      </c>
      <c r="BW154" s="523">
        <v>0</v>
      </c>
      <c r="BX154" s="523">
        <v>0</v>
      </c>
      <c r="BY154" s="523"/>
      <c r="BZ154" s="523"/>
      <c r="CA154" s="523"/>
      <c r="CB154" s="523"/>
      <c r="CC154" s="523"/>
      <c r="CD154" s="523"/>
      <c r="CE154" s="523"/>
      <c r="CF154" s="523"/>
      <c r="CG154" s="523"/>
      <c r="CH154" s="523"/>
      <c r="CI154" s="523">
        <f t="shared" si="38"/>
        <v>0</v>
      </c>
    </row>
    <row r="155" spans="1:87" ht="30" x14ac:dyDescent="0.2">
      <c r="A155" s="567" t="s">
        <v>1565</v>
      </c>
      <c r="B155" s="568" t="s">
        <v>1566</v>
      </c>
      <c r="C155" s="568" t="s">
        <v>1324</v>
      </c>
      <c r="D155" s="569" t="s">
        <v>1567</v>
      </c>
      <c r="E155" s="570" t="s">
        <v>102</v>
      </c>
      <c r="F155" s="578"/>
      <c r="G155" s="572">
        <v>52.59</v>
      </c>
      <c r="H155" s="570">
        <v>2</v>
      </c>
      <c r="I155" s="622">
        <f t="shared" si="39"/>
        <v>0</v>
      </c>
      <c r="J155" s="574">
        <f t="shared" si="40"/>
        <v>0</v>
      </c>
      <c r="K155" s="570">
        <f t="shared" si="35"/>
        <v>2</v>
      </c>
      <c r="L155" s="575">
        <f t="shared" si="41"/>
        <v>105.18</v>
      </c>
      <c r="M155" s="575">
        <f t="shared" si="41"/>
        <v>0</v>
      </c>
      <c r="N155" s="575">
        <f t="shared" si="41"/>
        <v>0</v>
      </c>
      <c r="O155" s="575">
        <f t="shared" si="41"/>
        <v>105.18</v>
      </c>
      <c r="P155" s="576">
        <f t="shared" si="37"/>
        <v>0</v>
      </c>
      <c r="Q155" s="525"/>
      <c r="S155" s="189">
        <v>0</v>
      </c>
      <c r="T155" s="189">
        <v>0</v>
      </c>
      <c r="BT155" s="525"/>
      <c r="BU155" s="523">
        <v>0</v>
      </c>
      <c r="BV155" s="523">
        <v>0</v>
      </c>
      <c r="BW155" s="523">
        <v>0</v>
      </c>
      <c r="BX155" s="523">
        <v>0</v>
      </c>
      <c r="BY155" s="523"/>
      <c r="BZ155" s="523"/>
      <c r="CA155" s="523"/>
      <c r="CB155" s="523"/>
      <c r="CC155" s="523"/>
      <c r="CD155" s="523"/>
      <c r="CE155" s="523"/>
      <c r="CF155" s="523"/>
      <c r="CG155" s="523"/>
      <c r="CH155" s="523"/>
      <c r="CI155" s="523">
        <f t="shared" si="38"/>
        <v>0</v>
      </c>
    </row>
    <row r="156" spans="1:87" ht="30" x14ac:dyDescent="0.2">
      <c r="A156" s="567" t="s">
        <v>1568</v>
      </c>
      <c r="B156" s="568" t="s">
        <v>1569</v>
      </c>
      <c r="C156" s="568" t="s">
        <v>1324</v>
      </c>
      <c r="D156" s="569" t="s">
        <v>1570</v>
      </c>
      <c r="E156" s="570" t="s">
        <v>102</v>
      </c>
      <c r="F156" s="578"/>
      <c r="G156" s="572">
        <v>120.21</v>
      </c>
      <c r="H156" s="570">
        <v>2</v>
      </c>
      <c r="I156" s="622">
        <f t="shared" si="39"/>
        <v>0</v>
      </c>
      <c r="J156" s="574">
        <f t="shared" si="40"/>
        <v>0</v>
      </c>
      <c r="K156" s="570">
        <f t="shared" si="35"/>
        <v>2</v>
      </c>
      <c r="L156" s="575">
        <f t="shared" si="41"/>
        <v>240.42</v>
      </c>
      <c r="M156" s="575">
        <f t="shared" si="41"/>
        <v>0</v>
      </c>
      <c r="N156" s="575">
        <f t="shared" si="41"/>
        <v>0</v>
      </c>
      <c r="O156" s="575">
        <f t="shared" si="41"/>
        <v>240.42</v>
      </c>
      <c r="P156" s="576">
        <f t="shared" si="37"/>
        <v>0</v>
      </c>
      <c r="Q156" s="525"/>
      <c r="S156" s="189">
        <v>0</v>
      </c>
      <c r="T156" s="189">
        <v>0</v>
      </c>
      <c r="BT156" s="525"/>
      <c r="BU156" s="523">
        <v>0</v>
      </c>
      <c r="BV156" s="523">
        <v>0</v>
      </c>
      <c r="BW156" s="523">
        <v>0</v>
      </c>
      <c r="BX156" s="523">
        <v>0</v>
      </c>
      <c r="BY156" s="523"/>
      <c r="BZ156" s="523"/>
      <c r="CA156" s="523"/>
      <c r="CB156" s="523"/>
      <c r="CC156" s="523"/>
      <c r="CD156" s="523"/>
      <c r="CE156" s="523"/>
      <c r="CF156" s="523"/>
      <c r="CG156" s="523"/>
      <c r="CH156" s="523"/>
      <c r="CI156" s="523">
        <f t="shared" si="38"/>
        <v>0</v>
      </c>
    </row>
    <row r="157" spans="1:87" ht="30" x14ac:dyDescent="0.2">
      <c r="A157" s="567" t="s">
        <v>1571</v>
      </c>
      <c r="B157" s="568" t="s">
        <v>1572</v>
      </c>
      <c r="C157" s="568" t="s">
        <v>1324</v>
      </c>
      <c r="D157" s="569" t="s">
        <v>1573</v>
      </c>
      <c r="E157" s="570" t="s">
        <v>102</v>
      </c>
      <c r="F157" s="571"/>
      <c r="G157" s="572">
        <v>67.349999999999994</v>
      </c>
      <c r="H157" s="570">
        <v>2</v>
      </c>
      <c r="I157" s="622">
        <f t="shared" si="39"/>
        <v>0</v>
      </c>
      <c r="J157" s="574">
        <f t="shared" si="40"/>
        <v>0</v>
      </c>
      <c r="K157" s="570">
        <f t="shared" si="35"/>
        <v>2</v>
      </c>
      <c r="L157" s="575">
        <f t="shared" si="41"/>
        <v>134.69999999999999</v>
      </c>
      <c r="M157" s="575">
        <f t="shared" si="41"/>
        <v>0</v>
      </c>
      <c r="N157" s="575">
        <f t="shared" si="41"/>
        <v>0</v>
      </c>
      <c r="O157" s="575">
        <f t="shared" si="41"/>
        <v>134.69999999999999</v>
      </c>
      <c r="P157" s="576">
        <f t="shared" si="37"/>
        <v>0</v>
      </c>
      <c r="Q157" s="525"/>
      <c r="S157" s="189">
        <v>0</v>
      </c>
      <c r="T157" s="189">
        <v>0</v>
      </c>
      <c r="BT157" s="525"/>
      <c r="BU157" s="523">
        <v>0</v>
      </c>
      <c r="BV157" s="523">
        <v>0</v>
      </c>
      <c r="BW157" s="523">
        <v>0</v>
      </c>
      <c r="BX157" s="523">
        <v>0</v>
      </c>
      <c r="BY157" s="523"/>
      <c r="BZ157" s="523"/>
      <c r="CA157" s="523"/>
      <c r="CB157" s="523"/>
      <c r="CC157" s="523"/>
      <c r="CD157" s="523"/>
      <c r="CE157" s="523"/>
      <c r="CF157" s="523"/>
      <c r="CG157" s="523"/>
      <c r="CH157" s="523"/>
      <c r="CI157" s="523">
        <f t="shared" si="38"/>
        <v>0</v>
      </c>
    </row>
    <row r="158" spans="1:87" ht="30" x14ac:dyDescent="0.2">
      <c r="A158" s="567" t="s">
        <v>1574</v>
      </c>
      <c r="B158" s="568">
        <v>89987</v>
      </c>
      <c r="C158" s="568" t="s">
        <v>1324</v>
      </c>
      <c r="D158" s="569" t="s">
        <v>1575</v>
      </c>
      <c r="E158" s="570" t="s">
        <v>102</v>
      </c>
      <c r="F158" s="577">
        <v>8.41</v>
      </c>
      <c r="G158" s="572">
        <v>35.92</v>
      </c>
      <c r="H158" s="570">
        <v>2</v>
      </c>
      <c r="I158" s="622">
        <f t="shared" si="39"/>
        <v>0</v>
      </c>
      <c r="J158" s="574">
        <f t="shared" si="40"/>
        <v>0</v>
      </c>
      <c r="K158" s="570">
        <f t="shared" si="35"/>
        <v>2</v>
      </c>
      <c r="L158" s="575">
        <f t="shared" si="41"/>
        <v>71.84</v>
      </c>
      <c r="M158" s="575">
        <f t="shared" si="41"/>
        <v>0</v>
      </c>
      <c r="N158" s="575">
        <f t="shared" si="41"/>
        <v>0</v>
      </c>
      <c r="O158" s="575">
        <f t="shared" si="41"/>
        <v>71.84</v>
      </c>
      <c r="P158" s="576">
        <f t="shared" si="37"/>
        <v>0</v>
      </c>
      <c r="Q158" s="525"/>
      <c r="S158" s="189">
        <v>0</v>
      </c>
      <c r="T158" s="189">
        <v>0</v>
      </c>
      <c r="BT158" s="525"/>
      <c r="BU158" s="523">
        <v>0</v>
      </c>
      <c r="BV158" s="523">
        <v>0</v>
      </c>
      <c r="BW158" s="523">
        <v>0</v>
      </c>
      <c r="BX158" s="523">
        <v>0</v>
      </c>
      <c r="BY158" s="523"/>
      <c r="BZ158" s="523"/>
      <c r="CA158" s="523"/>
      <c r="CB158" s="523"/>
      <c r="CC158" s="523"/>
      <c r="CD158" s="523"/>
      <c r="CE158" s="523"/>
      <c r="CF158" s="523"/>
      <c r="CG158" s="523"/>
      <c r="CH158" s="523"/>
      <c r="CI158" s="523">
        <f t="shared" si="38"/>
        <v>0</v>
      </c>
    </row>
    <row r="159" spans="1:87" ht="15" x14ac:dyDescent="0.2">
      <c r="A159" s="567" t="s">
        <v>1576</v>
      </c>
      <c r="B159" s="568">
        <v>89985</v>
      </c>
      <c r="C159" s="568" t="s">
        <v>1324</v>
      </c>
      <c r="D159" s="569" t="s">
        <v>1577</v>
      </c>
      <c r="E159" s="570" t="s">
        <v>102</v>
      </c>
      <c r="F159" s="577">
        <v>9.49</v>
      </c>
      <c r="G159" s="572">
        <v>64.02</v>
      </c>
      <c r="H159" s="570">
        <v>8</v>
      </c>
      <c r="I159" s="622">
        <f t="shared" si="39"/>
        <v>0</v>
      </c>
      <c r="J159" s="574">
        <f t="shared" si="40"/>
        <v>0</v>
      </c>
      <c r="K159" s="570">
        <f t="shared" si="35"/>
        <v>8</v>
      </c>
      <c r="L159" s="575">
        <f t="shared" si="41"/>
        <v>512.16</v>
      </c>
      <c r="M159" s="575">
        <f t="shared" si="41"/>
        <v>0</v>
      </c>
      <c r="N159" s="575">
        <f t="shared" si="41"/>
        <v>0</v>
      </c>
      <c r="O159" s="575">
        <f t="shared" si="41"/>
        <v>512.16</v>
      </c>
      <c r="P159" s="576">
        <f t="shared" si="37"/>
        <v>0</v>
      </c>
      <c r="Q159" s="525"/>
      <c r="S159" s="189">
        <v>0</v>
      </c>
      <c r="T159" s="189">
        <v>12</v>
      </c>
      <c r="BT159" s="525"/>
      <c r="BU159" s="523">
        <v>0</v>
      </c>
      <c r="BV159" s="523">
        <v>0</v>
      </c>
      <c r="BW159" s="523">
        <v>0</v>
      </c>
      <c r="BX159" s="523">
        <v>0</v>
      </c>
      <c r="BY159" s="523"/>
      <c r="BZ159" s="523"/>
      <c r="CA159" s="523"/>
      <c r="CB159" s="523"/>
      <c r="CC159" s="523"/>
      <c r="CD159" s="523"/>
      <c r="CE159" s="523"/>
      <c r="CF159" s="523"/>
      <c r="CG159" s="523"/>
      <c r="CH159" s="523"/>
      <c r="CI159" s="523">
        <f t="shared" si="38"/>
        <v>0</v>
      </c>
    </row>
    <row r="160" spans="1:87" ht="30" x14ac:dyDescent="0.2">
      <c r="A160" s="567" t="s">
        <v>1578</v>
      </c>
      <c r="B160" s="568">
        <v>89538</v>
      </c>
      <c r="C160" s="568" t="s">
        <v>1324</v>
      </c>
      <c r="D160" s="569" t="s">
        <v>1579</v>
      </c>
      <c r="E160" s="570" t="s">
        <v>102</v>
      </c>
      <c r="F160" s="577">
        <v>6.56</v>
      </c>
      <c r="G160" s="572">
        <v>2.75</v>
      </c>
      <c r="H160" s="570">
        <v>12</v>
      </c>
      <c r="I160" s="622">
        <f t="shared" si="39"/>
        <v>0</v>
      </c>
      <c r="J160" s="574">
        <f t="shared" si="40"/>
        <v>12</v>
      </c>
      <c r="K160" s="570">
        <f t="shared" si="35"/>
        <v>0</v>
      </c>
      <c r="L160" s="575">
        <f t="shared" si="41"/>
        <v>33</v>
      </c>
      <c r="M160" s="575">
        <f t="shared" si="41"/>
        <v>0</v>
      </c>
      <c r="N160" s="575">
        <f t="shared" si="41"/>
        <v>33</v>
      </c>
      <c r="O160" s="575">
        <f t="shared" si="41"/>
        <v>0</v>
      </c>
      <c r="P160" s="576">
        <f t="shared" si="37"/>
        <v>1</v>
      </c>
      <c r="Q160" s="525"/>
      <c r="S160" s="189">
        <v>0</v>
      </c>
      <c r="T160" s="189">
        <v>4</v>
      </c>
      <c r="BT160" s="525"/>
      <c r="BU160" s="523">
        <v>0</v>
      </c>
      <c r="BV160" s="523">
        <v>12</v>
      </c>
      <c r="BW160" s="523">
        <v>0</v>
      </c>
      <c r="BX160" s="523">
        <v>0</v>
      </c>
      <c r="BY160" s="523"/>
      <c r="BZ160" s="523"/>
      <c r="CA160" s="523"/>
      <c r="CB160" s="523"/>
      <c r="CC160" s="523"/>
      <c r="CD160" s="523"/>
      <c r="CE160" s="523"/>
      <c r="CF160" s="523"/>
      <c r="CG160" s="523"/>
      <c r="CH160" s="523"/>
      <c r="CI160" s="523">
        <f t="shared" si="38"/>
        <v>12</v>
      </c>
    </row>
    <row r="161" spans="1:87" ht="30" x14ac:dyDescent="0.2">
      <c r="A161" s="567" t="s">
        <v>1580</v>
      </c>
      <c r="B161" s="568">
        <v>89553</v>
      </c>
      <c r="C161" s="568" t="s">
        <v>1324</v>
      </c>
      <c r="D161" s="569" t="s">
        <v>1581</v>
      </c>
      <c r="E161" s="570" t="s">
        <v>102</v>
      </c>
      <c r="F161" s="578"/>
      <c r="G161" s="572">
        <v>4.01</v>
      </c>
      <c r="H161" s="570">
        <v>4</v>
      </c>
      <c r="I161" s="622">
        <f t="shared" si="39"/>
        <v>0</v>
      </c>
      <c r="J161" s="574">
        <f t="shared" si="40"/>
        <v>4</v>
      </c>
      <c r="K161" s="570">
        <f t="shared" si="35"/>
        <v>0</v>
      </c>
      <c r="L161" s="575">
        <f t="shared" si="41"/>
        <v>16.04</v>
      </c>
      <c r="M161" s="575">
        <f t="shared" si="41"/>
        <v>0</v>
      </c>
      <c r="N161" s="575">
        <f t="shared" si="41"/>
        <v>16.04</v>
      </c>
      <c r="O161" s="575">
        <f t="shared" si="41"/>
        <v>0</v>
      </c>
      <c r="P161" s="576">
        <f t="shared" si="37"/>
        <v>1</v>
      </c>
      <c r="Q161" s="525"/>
      <c r="S161" s="189">
        <v>0</v>
      </c>
      <c r="T161" s="189">
        <v>4</v>
      </c>
      <c r="BT161" s="525"/>
      <c r="BU161" s="523">
        <v>0</v>
      </c>
      <c r="BV161" s="523">
        <v>4</v>
      </c>
      <c r="BW161" s="523">
        <v>0</v>
      </c>
      <c r="BX161" s="523">
        <v>0</v>
      </c>
      <c r="BY161" s="523"/>
      <c r="BZ161" s="523"/>
      <c r="CA161" s="523"/>
      <c r="CB161" s="523"/>
      <c r="CC161" s="523"/>
      <c r="CD161" s="523"/>
      <c r="CE161" s="523"/>
      <c r="CF161" s="523"/>
      <c r="CG161" s="523"/>
      <c r="CH161" s="523"/>
      <c r="CI161" s="523">
        <f t="shared" si="38"/>
        <v>4</v>
      </c>
    </row>
    <row r="162" spans="1:87" ht="30" x14ac:dyDescent="0.2">
      <c r="A162" s="567" t="s">
        <v>1582</v>
      </c>
      <c r="B162" s="568">
        <v>89570</v>
      </c>
      <c r="C162" s="568" t="s">
        <v>1324</v>
      </c>
      <c r="D162" s="569" t="s">
        <v>1583</v>
      </c>
      <c r="E162" s="570" t="s">
        <v>102</v>
      </c>
      <c r="F162" s="577">
        <v>8.41</v>
      </c>
      <c r="G162" s="572">
        <v>6.66</v>
      </c>
      <c r="H162" s="570">
        <v>4</v>
      </c>
      <c r="I162" s="622">
        <f t="shared" si="39"/>
        <v>0</v>
      </c>
      <c r="J162" s="574">
        <f t="shared" si="40"/>
        <v>4</v>
      </c>
      <c r="K162" s="570">
        <f t="shared" si="35"/>
        <v>0</v>
      </c>
      <c r="L162" s="575">
        <f t="shared" si="41"/>
        <v>26.64</v>
      </c>
      <c r="M162" s="575">
        <f t="shared" si="41"/>
        <v>0</v>
      </c>
      <c r="N162" s="575">
        <f t="shared" si="41"/>
        <v>26.64</v>
      </c>
      <c r="O162" s="575">
        <f t="shared" si="41"/>
        <v>0</v>
      </c>
      <c r="P162" s="576">
        <f t="shared" si="37"/>
        <v>1</v>
      </c>
      <c r="Q162" s="525"/>
      <c r="S162" s="189">
        <v>0</v>
      </c>
      <c r="T162" s="189">
        <v>4</v>
      </c>
      <c r="BT162" s="525"/>
      <c r="BU162" s="523">
        <v>0</v>
      </c>
      <c r="BV162" s="523">
        <v>4</v>
      </c>
      <c r="BW162" s="523">
        <v>0</v>
      </c>
      <c r="BX162" s="523">
        <v>0</v>
      </c>
      <c r="BY162" s="523"/>
      <c r="BZ162" s="523"/>
      <c r="CA162" s="523"/>
      <c r="CB162" s="523"/>
      <c r="CC162" s="523"/>
      <c r="CD162" s="523"/>
      <c r="CE162" s="523"/>
      <c r="CF162" s="523"/>
      <c r="CG162" s="523"/>
      <c r="CH162" s="523"/>
      <c r="CI162" s="523">
        <f t="shared" si="38"/>
        <v>4</v>
      </c>
    </row>
    <row r="163" spans="1:87" ht="30" x14ac:dyDescent="0.2">
      <c r="A163" s="567" t="s">
        <v>1584</v>
      </c>
      <c r="B163" s="568">
        <v>89596</v>
      </c>
      <c r="C163" s="568" t="s">
        <v>1324</v>
      </c>
      <c r="D163" s="569" t="s">
        <v>1585</v>
      </c>
      <c r="E163" s="570" t="s">
        <v>102</v>
      </c>
      <c r="F163" s="578"/>
      <c r="G163" s="572">
        <v>7.49</v>
      </c>
      <c r="H163" s="570">
        <v>4</v>
      </c>
      <c r="I163" s="622">
        <f t="shared" si="39"/>
        <v>0</v>
      </c>
      <c r="J163" s="574">
        <f t="shared" si="40"/>
        <v>4</v>
      </c>
      <c r="K163" s="570">
        <f t="shared" si="35"/>
        <v>0</v>
      </c>
      <c r="L163" s="575">
        <f t="shared" si="41"/>
        <v>29.96</v>
      </c>
      <c r="M163" s="575">
        <f t="shared" si="41"/>
        <v>0</v>
      </c>
      <c r="N163" s="575">
        <f t="shared" si="41"/>
        <v>29.96</v>
      </c>
      <c r="O163" s="575">
        <f t="shared" si="41"/>
        <v>0</v>
      </c>
      <c r="P163" s="576">
        <f t="shared" si="37"/>
        <v>1</v>
      </c>
      <c r="Q163" s="525"/>
      <c r="S163" s="189">
        <v>0</v>
      </c>
      <c r="T163" s="189">
        <v>10</v>
      </c>
      <c r="BT163" s="525"/>
      <c r="BU163" s="523">
        <v>0</v>
      </c>
      <c r="BV163" s="523">
        <v>4</v>
      </c>
      <c r="BW163" s="523">
        <v>0</v>
      </c>
      <c r="BX163" s="523">
        <v>0</v>
      </c>
      <c r="BY163" s="523"/>
      <c r="BZ163" s="523"/>
      <c r="CA163" s="523"/>
      <c r="CB163" s="523"/>
      <c r="CC163" s="523"/>
      <c r="CD163" s="523"/>
      <c r="CE163" s="523"/>
      <c r="CF163" s="523"/>
      <c r="CG163" s="523"/>
      <c r="CH163" s="523"/>
      <c r="CI163" s="523">
        <f t="shared" si="38"/>
        <v>4</v>
      </c>
    </row>
    <row r="164" spans="1:87" ht="15" x14ac:dyDescent="0.2">
      <c r="A164" s="567" t="s">
        <v>1586</v>
      </c>
      <c r="B164" s="568">
        <v>86884</v>
      </c>
      <c r="C164" s="568" t="s">
        <v>1324</v>
      </c>
      <c r="D164" s="569" t="s">
        <v>1587</v>
      </c>
      <c r="E164" s="570" t="s">
        <v>102</v>
      </c>
      <c r="F164" s="577">
        <v>6.56</v>
      </c>
      <c r="G164" s="572">
        <v>6.05</v>
      </c>
      <c r="H164" s="570">
        <v>10</v>
      </c>
      <c r="I164" s="622">
        <f t="shared" si="39"/>
        <v>0</v>
      </c>
      <c r="J164" s="574">
        <f t="shared" si="40"/>
        <v>10</v>
      </c>
      <c r="K164" s="570">
        <f t="shared" si="35"/>
        <v>0</v>
      </c>
      <c r="L164" s="575">
        <f t="shared" si="41"/>
        <v>60.5</v>
      </c>
      <c r="M164" s="575">
        <f t="shared" si="41"/>
        <v>0</v>
      </c>
      <c r="N164" s="575">
        <f t="shared" si="41"/>
        <v>60.5</v>
      </c>
      <c r="O164" s="575">
        <f t="shared" si="41"/>
        <v>0</v>
      </c>
      <c r="P164" s="576">
        <f t="shared" si="37"/>
        <v>1</v>
      </c>
      <c r="Q164" s="525"/>
      <c r="S164" s="189">
        <v>0</v>
      </c>
      <c r="T164" s="189">
        <v>0</v>
      </c>
      <c r="BT164" s="525"/>
      <c r="BU164" s="523">
        <v>0</v>
      </c>
      <c r="BV164" s="523">
        <v>10</v>
      </c>
      <c r="BW164" s="523">
        <v>0</v>
      </c>
      <c r="BX164" s="523">
        <v>0</v>
      </c>
      <c r="BY164" s="523"/>
      <c r="BZ164" s="523"/>
      <c r="CA164" s="523"/>
      <c r="CB164" s="523"/>
      <c r="CC164" s="523"/>
      <c r="CD164" s="523"/>
      <c r="CE164" s="523"/>
      <c r="CF164" s="523"/>
      <c r="CG164" s="523"/>
      <c r="CH164" s="523"/>
      <c r="CI164" s="523">
        <f t="shared" si="38"/>
        <v>10</v>
      </c>
    </row>
    <row r="165" spans="1:87" ht="15" x14ac:dyDescent="0.2">
      <c r="A165" s="567" t="s">
        <v>1588</v>
      </c>
      <c r="B165" s="568">
        <v>72789</v>
      </c>
      <c r="C165" s="568" t="s">
        <v>1324</v>
      </c>
      <c r="D165" s="569" t="s">
        <v>1589</v>
      </c>
      <c r="E165" s="570" t="s">
        <v>102</v>
      </c>
      <c r="F165" s="577">
        <v>9.49</v>
      </c>
      <c r="G165" s="572">
        <v>16.59</v>
      </c>
      <c r="H165" s="570">
        <v>3</v>
      </c>
      <c r="I165" s="622">
        <f t="shared" si="39"/>
        <v>0</v>
      </c>
      <c r="J165" s="574">
        <f t="shared" si="40"/>
        <v>0</v>
      </c>
      <c r="K165" s="570">
        <f t="shared" si="35"/>
        <v>3</v>
      </c>
      <c r="L165" s="575">
        <f t="shared" si="41"/>
        <v>49.77</v>
      </c>
      <c r="M165" s="575">
        <f t="shared" si="41"/>
        <v>0</v>
      </c>
      <c r="N165" s="575">
        <f t="shared" si="41"/>
        <v>0</v>
      </c>
      <c r="O165" s="575">
        <f t="shared" si="41"/>
        <v>49.77</v>
      </c>
      <c r="P165" s="576">
        <f t="shared" si="37"/>
        <v>0</v>
      </c>
      <c r="Q165" s="525"/>
      <c r="S165" s="189">
        <v>0</v>
      </c>
      <c r="T165" s="189">
        <v>0</v>
      </c>
      <c r="BT165" s="525"/>
      <c r="BU165" s="523">
        <v>0</v>
      </c>
      <c r="BV165" s="523">
        <v>0</v>
      </c>
      <c r="BW165" s="523">
        <v>0</v>
      </c>
      <c r="BX165" s="523">
        <v>0</v>
      </c>
      <c r="BY165" s="523"/>
      <c r="BZ165" s="523"/>
      <c r="CA165" s="523"/>
      <c r="CB165" s="523"/>
      <c r="CC165" s="523"/>
      <c r="CD165" s="523"/>
      <c r="CE165" s="523"/>
      <c r="CF165" s="523"/>
      <c r="CG165" s="523"/>
      <c r="CH165" s="523"/>
      <c r="CI165" s="523">
        <f t="shared" si="38"/>
        <v>0</v>
      </c>
    </row>
    <row r="166" spans="1:87" ht="15.75" x14ac:dyDescent="0.2">
      <c r="A166" s="567" t="s">
        <v>1590</v>
      </c>
      <c r="B166" s="568">
        <v>72792</v>
      </c>
      <c r="C166" s="568" t="s">
        <v>1324</v>
      </c>
      <c r="D166" s="569" t="s">
        <v>1591</v>
      </c>
      <c r="E166" s="570" t="s">
        <v>102</v>
      </c>
      <c r="F166" s="578"/>
      <c r="G166" s="572">
        <v>32.79</v>
      </c>
      <c r="H166" s="570">
        <v>2</v>
      </c>
      <c r="I166" s="622">
        <f t="shared" si="39"/>
        <v>0</v>
      </c>
      <c r="J166" s="574">
        <f t="shared" si="40"/>
        <v>0</v>
      </c>
      <c r="K166" s="570">
        <f t="shared" si="35"/>
        <v>2</v>
      </c>
      <c r="L166" s="575">
        <f t="shared" si="41"/>
        <v>65.58</v>
      </c>
      <c r="M166" s="575">
        <f t="shared" si="41"/>
        <v>0</v>
      </c>
      <c r="N166" s="575">
        <f t="shared" si="41"/>
        <v>0</v>
      </c>
      <c r="O166" s="575">
        <f t="shared" si="41"/>
        <v>65.58</v>
      </c>
      <c r="P166" s="576">
        <f t="shared" si="37"/>
        <v>0</v>
      </c>
      <c r="Q166" s="525"/>
      <c r="S166" s="189">
        <v>0</v>
      </c>
      <c r="T166" s="189">
        <v>0</v>
      </c>
      <c r="BT166" s="525"/>
      <c r="BU166" s="523">
        <v>0</v>
      </c>
      <c r="BV166" s="523">
        <v>0</v>
      </c>
      <c r="BW166" s="523">
        <v>0</v>
      </c>
      <c r="BX166" s="523">
        <v>0</v>
      </c>
      <c r="BY166" s="523"/>
      <c r="BZ166" s="523"/>
      <c r="CA166" s="523"/>
      <c r="CB166" s="523"/>
      <c r="CC166" s="523"/>
      <c r="CD166" s="523"/>
      <c r="CE166" s="523"/>
      <c r="CF166" s="523"/>
      <c r="CG166" s="523"/>
      <c r="CH166" s="523"/>
      <c r="CI166" s="523">
        <f t="shared" si="38"/>
        <v>0</v>
      </c>
    </row>
    <row r="167" spans="1:87" ht="30" x14ac:dyDescent="0.2">
      <c r="A167" s="567" t="s">
        <v>1592</v>
      </c>
      <c r="B167" s="568" t="s">
        <v>2007</v>
      </c>
      <c r="C167" s="568" t="s">
        <v>1339</v>
      </c>
      <c r="D167" s="569" t="s">
        <v>1593</v>
      </c>
      <c r="E167" s="570" t="s">
        <v>102</v>
      </c>
      <c r="F167" s="577">
        <v>13.87</v>
      </c>
      <c r="G167" s="572">
        <v>1286.6600000000001</v>
      </c>
      <c r="H167" s="570">
        <v>1</v>
      </c>
      <c r="I167" s="622">
        <f t="shared" si="39"/>
        <v>0</v>
      </c>
      <c r="J167" s="574">
        <f t="shared" si="40"/>
        <v>0</v>
      </c>
      <c r="K167" s="570">
        <f t="shared" si="35"/>
        <v>1</v>
      </c>
      <c r="L167" s="575">
        <f t="shared" si="41"/>
        <v>1286.6600000000001</v>
      </c>
      <c r="M167" s="575">
        <f t="shared" si="41"/>
        <v>0</v>
      </c>
      <c r="N167" s="575">
        <f t="shared" si="41"/>
        <v>0</v>
      </c>
      <c r="O167" s="575">
        <f t="shared" si="41"/>
        <v>1286.6600000000001</v>
      </c>
      <c r="P167" s="576">
        <f t="shared" si="37"/>
        <v>0</v>
      </c>
      <c r="Q167" s="525"/>
      <c r="S167" s="189">
        <v>0</v>
      </c>
      <c r="T167" s="189">
        <v>0</v>
      </c>
      <c r="BT167" s="525"/>
      <c r="BU167" s="523">
        <v>0</v>
      </c>
      <c r="BV167" s="523">
        <v>0</v>
      </c>
      <c r="BW167" s="523">
        <v>0</v>
      </c>
      <c r="BX167" s="523">
        <v>0</v>
      </c>
      <c r="BY167" s="523"/>
      <c r="BZ167" s="523"/>
      <c r="CA167" s="523"/>
      <c r="CB167" s="523"/>
      <c r="CC167" s="523"/>
      <c r="CD167" s="523"/>
      <c r="CE167" s="523"/>
      <c r="CF167" s="523"/>
      <c r="CG167" s="523"/>
      <c r="CH167" s="523"/>
      <c r="CI167" s="523">
        <f t="shared" si="38"/>
        <v>0</v>
      </c>
    </row>
    <row r="168" spans="1:87" s="514" customFormat="1" ht="15.75" x14ac:dyDescent="0.2">
      <c r="A168" s="556">
        <v>13</v>
      </c>
      <c r="B168" s="557"/>
      <c r="C168" s="557"/>
      <c r="D168" s="558" t="s">
        <v>1594</v>
      </c>
      <c r="E168" s="559"/>
      <c r="F168" s="559"/>
      <c r="G168" s="559"/>
      <c r="H168" s="559"/>
      <c r="I168" s="559"/>
      <c r="J168" s="559"/>
      <c r="K168" s="559"/>
      <c r="L168" s="562">
        <f>SUM(L169,L181)</f>
        <v>16232.49</v>
      </c>
      <c r="M168" s="562">
        <f>SUM(M169,M181)</f>
        <v>-619.4</v>
      </c>
      <c r="N168" s="562">
        <f>SUM(N169,N181)</f>
        <v>2433.5100000000002</v>
      </c>
      <c r="O168" s="562">
        <f>SUM(O169,O181)</f>
        <v>13798.98</v>
      </c>
      <c r="P168" s="566">
        <f t="shared" si="37"/>
        <v>0.14991600179639725</v>
      </c>
      <c r="Q168" s="525"/>
      <c r="S168" s="190">
        <v>0</v>
      </c>
      <c r="T168" s="190">
        <v>0</v>
      </c>
      <c r="BT168" s="525"/>
      <c r="BU168" s="523">
        <v>0</v>
      </c>
      <c r="BV168" s="523">
        <v>161</v>
      </c>
      <c r="BW168" s="523"/>
      <c r="BX168" s="523"/>
      <c r="BY168" s="523"/>
      <c r="BZ168" s="523"/>
      <c r="CA168" s="523"/>
      <c r="CB168" s="523"/>
      <c r="CC168" s="523"/>
      <c r="CD168" s="523"/>
      <c r="CE168" s="523"/>
      <c r="CF168" s="523"/>
      <c r="CG168" s="523"/>
      <c r="CH168" s="523"/>
      <c r="CI168" s="523">
        <f t="shared" si="38"/>
        <v>161</v>
      </c>
    </row>
    <row r="169" spans="1:87" ht="15.75" x14ac:dyDescent="0.2">
      <c r="A169" s="584" t="s">
        <v>306</v>
      </c>
      <c r="B169" s="585"/>
      <c r="C169" s="585"/>
      <c r="D169" s="586" t="s">
        <v>1516</v>
      </c>
      <c r="E169" s="587"/>
      <c r="F169" s="587"/>
      <c r="G169" s="587"/>
      <c r="H169" s="587"/>
      <c r="I169" s="587"/>
      <c r="J169" s="587"/>
      <c r="K169" s="587"/>
      <c r="L169" s="639">
        <f>SUM(L170:L180)</f>
        <v>2433.5100000000002</v>
      </c>
      <c r="M169" s="639">
        <f t="shared" ref="M169:O169" si="42">SUM(M170:M180)</f>
        <v>-619.4</v>
      </c>
      <c r="N169" s="639">
        <f t="shared" si="42"/>
        <v>2433.5100000000002</v>
      </c>
      <c r="O169" s="639">
        <f t="shared" si="42"/>
        <v>0</v>
      </c>
      <c r="P169" s="592">
        <f t="shared" si="37"/>
        <v>1</v>
      </c>
      <c r="Q169" s="525"/>
      <c r="S169" s="189">
        <v>0</v>
      </c>
      <c r="T169" s="189">
        <v>47.5</v>
      </c>
      <c r="BT169" s="525"/>
      <c r="BU169" s="523">
        <v>0</v>
      </c>
      <c r="BV169" s="523">
        <v>161</v>
      </c>
      <c r="BW169" s="523"/>
      <c r="BX169" s="523"/>
      <c r="BY169" s="523"/>
      <c r="BZ169" s="523"/>
      <c r="CA169" s="523"/>
      <c r="CB169" s="523"/>
      <c r="CC169" s="523"/>
      <c r="CD169" s="523"/>
      <c r="CE169" s="523"/>
      <c r="CF169" s="523"/>
      <c r="CG169" s="523"/>
      <c r="CH169" s="523"/>
      <c r="CI169" s="523">
        <f t="shared" si="38"/>
        <v>161</v>
      </c>
    </row>
    <row r="170" spans="1:87" ht="15.75" x14ac:dyDescent="0.2">
      <c r="A170" s="567" t="s">
        <v>1595</v>
      </c>
      <c r="B170" s="568">
        <v>89711</v>
      </c>
      <c r="C170" s="568" t="s">
        <v>1324</v>
      </c>
      <c r="D170" s="569" t="s">
        <v>1596</v>
      </c>
      <c r="E170" s="570" t="s">
        <v>81</v>
      </c>
      <c r="F170" s="578"/>
      <c r="G170" s="572">
        <v>13.04</v>
      </c>
      <c r="H170" s="570">
        <v>0</v>
      </c>
      <c r="I170" s="622">
        <f t="shared" si="39"/>
        <v>-47.5</v>
      </c>
      <c r="J170" s="574">
        <f t="shared" si="40"/>
        <v>0</v>
      </c>
      <c r="K170" s="570">
        <f t="shared" si="35"/>
        <v>0</v>
      </c>
      <c r="L170" s="575">
        <f t="shared" ref="L170:O180" si="43">ROUND(H170*$G170,2)</f>
        <v>0</v>
      </c>
      <c r="M170" s="575">
        <f t="shared" si="43"/>
        <v>-619.4</v>
      </c>
      <c r="N170" s="575">
        <f t="shared" si="43"/>
        <v>0</v>
      </c>
      <c r="O170" s="575">
        <f t="shared" si="43"/>
        <v>0</v>
      </c>
      <c r="P170" s="576">
        <v>0</v>
      </c>
      <c r="Q170" s="525"/>
      <c r="S170" s="189">
        <v>0</v>
      </c>
      <c r="T170" s="189">
        <v>21.5</v>
      </c>
      <c r="BT170" s="525"/>
      <c r="BU170" s="523">
        <v>-47.5</v>
      </c>
      <c r="BV170" s="523">
        <v>47.5</v>
      </c>
      <c r="BW170" s="523">
        <v>0</v>
      </c>
      <c r="BX170" s="523">
        <v>0</v>
      </c>
      <c r="BY170" s="523"/>
      <c r="BZ170" s="523"/>
      <c r="CA170" s="523"/>
      <c r="CB170" s="523"/>
      <c r="CC170" s="523"/>
      <c r="CD170" s="523"/>
      <c r="CE170" s="523"/>
      <c r="CF170" s="523"/>
      <c r="CG170" s="523"/>
      <c r="CH170" s="523"/>
      <c r="CI170" s="523">
        <f t="shared" si="38"/>
        <v>0</v>
      </c>
    </row>
    <row r="171" spans="1:87" ht="15.75" x14ac:dyDescent="0.2">
      <c r="A171" s="567" t="s">
        <v>1597</v>
      </c>
      <c r="B171" s="568">
        <v>89712</v>
      </c>
      <c r="C171" s="568" t="s">
        <v>1324</v>
      </c>
      <c r="D171" s="569" t="s">
        <v>1598</v>
      </c>
      <c r="E171" s="570" t="s">
        <v>81</v>
      </c>
      <c r="F171" s="578"/>
      <c r="G171" s="572">
        <v>18.98</v>
      </c>
      <c r="H171" s="570">
        <v>21.5</v>
      </c>
      <c r="I171" s="622">
        <f t="shared" si="39"/>
        <v>0</v>
      </c>
      <c r="J171" s="574">
        <f t="shared" si="40"/>
        <v>21.5</v>
      </c>
      <c r="K171" s="570">
        <f t="shared" si="35"/>
        <v>0</v>
      </c>
      <c r="L171" s="575">
        <f t="shared" si="43"/>
        <v>408.07</v>
      </c>
      <c r="M171" s="575">
        <f t="shared" si="43"/>
        <v>0</v>
      </c>
      <c r="N171" s="575">
        <f t="shared" si="43"/>
        <v>408.07</v>
      </c>
      <c r="O171" s="575">
        <f t="shared" si="43"/>
        <v>0</v>
      </c>
      <c r="P171" s="576">
        <f t="shared" si="37"/>
        <v>1</v>
      </c>
      <c r="Q171" s="525"/>
      <c r="S171" s="189">
        <v>0</v>
      </c>
      <c r="T171" s="189">
        <v>36</v>
      </c>
      <c r="BT171" s="525"/>
      <c r="BU171" s="523">
        <v>0</v>
      </c>
      <c r="BV171" s="523">
        <v>21.5</v>
      </c>
      <c r="BW171" s="523">
        <v>0</v>
      </c>
      <c r="BX171" s="523">
        <v>0</v>
      </c>
      <c r="BY171" s="523"/>
      <c r="BZ171" s="523"/>
      <c r="CA171" s="523"/>
      <c r="CB171" s="523"/>
      <c r="CC171" s="523"/>
      <c r="CD171" s="523"/>
      <c r="CE171" s="523"/>
      <c r="CF171" s="523"/>
      <c r="CG171" s="523"/>
      <c r="CH171" s="523"/>
      <c r="CI171" s="523">
        <f t="shared" si="38"/>
        <v>21.5</v>
      </c>
    </row>
    <row r="172" spans="1:87" ht="15" x14ac:dyDescent="0.2">
      <c r="A172" s="567" t="s">
        <v>1599</v>
      </c>
      <c r="B172" s="568">
        <v>89714</v>
      </c>
      <c r="C172" s="568" t="s">
        <v>1324</v>
      </c>
      <c r="D172" s="569" t="s">
        <v>1600</v>
      </c>
      <c r="E172" s="570" t="s">
        <v>81</v>
      </c>
      <c r="F172" s="577">
        <v>224.11</v>
      </c>
      <c r="G172" s="572">
        <v>36.869999999999997</v>
      </c>
      <c r="H172" s="570">
        <v>36</v>
      </c>
      <c r="I172" s="622">
        <f t="shared" si="39"/>
        <v>0</v>
      </c>
      <c r="J172" s="574">
        <f t="shared" si="40"/>
        <v>36</v>
      </c>
      <c r="K172" s="570">
        <f t="shared" si="35"/>
        <v>0</v>
      </c>
      <c r="L172" s="575">
        <f t="shared" si="43"/>
        <v>1327.32</v>
      </c>
      <c r="M172" s="575">
        <f t="shared" si="43"/>
        <v>0</v>
      </c>
      <c r="N172" s="575">
        <f t="shared" si="43"/>
        <v>1327.32</v>
      </c>
      <c r="O172" s="575">
        <f t="shared" si="43"/>
        <v>0</v>
      </c>
      <c r="P172" s="576">
        <f t="shared" si="37"/>
        <v>1</v>
      </c>
      <c r="Q172" s="525"/>
      <c r="S172" s="189">
        <v>0</v>
      </c>
      <c r="T172" s="189">
        <v>7</v>
      </c>
      <c r="BT172" s="525"/>
      <c r="BU172" s="523">
        <v>0</v>
      </c>
      <c r="BV172" s="523">
        <v>36</v>
      </c>
      <c r="BW172" s="523">
        <v>0</v>
      </c>
      <c r="BX172" s="523">
        <v>0</v>
      </c>
      <c r="BY172" s="523"/>
      <c r="BZ172" s="523"/>
      <c r="CA172" s="523"/>
      <c r="CB172" s="523"/>
      <c r="CC172" s="523"/>
      <c r="CD172" s="523"/>
      <c r="CE172" s="523"/>
      <c r="CF172" s="523"/>
      <c r="CG172" s="523"/>
      <c r="CH172" s="523"/>
      <c r="CI172" s="523">
        <f t="shared" si="38"/>
        <v>36</v>
      </c>
    </row>
    <row r="173" spans="1:87" ht="15" x14ac:dyDescent="0.2">
      <c r="A173" s="567" t="s">
        <v>1601</v>
      </c>
      <c r="B173" s="568">
        <v>89726</v>
      </c>
      <c r="C173" s="568" t="s">
        <v>1324</v>
      </c>
      <c r="D173" s="569" t="s">
        <v>1602</v>
      </c>
      <c r="E173" s="570" t="s">
        <v>102</v>
      </c>
      <c r="F173" s="577">
        <v>312.5</v>
      </c>
      <c r="G173" s="572">
        <v>6.33</v>
      </c>
      <c r="H173" s="570">
        <v>7</v>
      </c>
      <c r="I173" s="622">
        <f t="shared" si="39"/>
        <v>0</v>
      </c>
      <c r="J173" s="574">
        <f t="shared" si="40"/>
        <v>7</v>
      </c>
      <c r="K173" s="570">
        <f t="shared" si="35"/>
        <v>0</v>
      </c>
      <c r="L173" s="575">
        <f t="shared" si="43"/>
        <v>44.31</v>
      </c>
      <c r="M173" s="575">
        <f t="shared" si="43"/>
        <v>0</v>
      </c>
      <c r="N173" s="575">
        <f t="shared" si="43"/>
        <v>44.31</v>
      </c>
      <c r="O173" s="575">
        <f t="shared" si="43"/>
        <v>0</v>
      </c>
      <c r="P173" s="576">
        <f t="shared" si="37"/>
        <v>1</v>
      </c>
      <c r="Q173" s="525"/>
      <c r="S173" s="189">
        <v>0</v>
      </c>
      <c r="T173" s="189">
        <v>6</v>
      </c>
      <c r="BT173" s="525"/>
      <c r="BU173" s="523">
        <v>0</v>
      </c>
      <c r="BV173" s="523">
        <v>7</v>
      </c>
      <c r="BW173" s="523">
        <v>0</v>
      </c>
      <c r="BX173" s="523">
        <v>0</v>
      </c>
      <c r="BY173" s="523"/>
      <c r="BZ173" s="523"/>
      <c r="CA173" s="523"/>
      <c r="CB173" s="523"/>
      <c r="CC173" s="523"/>
      <c r="CD173" s="523"/>
      <c r="CE173" s="523"/>
      <c r="CF173" s="523"/>
      <c r="CG173" s="523"/>
      <c r="CH173" s="523"/>
      <c r="CI173" s="523">
        <f t="shared" si="38"/>
        <v>7</v>
      </c>
    </row>
    <row r="174" spans="1:87" ht="15" x14ac:dyDescent="0.2">
      <c r="A174" s="567" t="s">
        <v>1603</v>
      </c>
      <c r="B174" s="568">
        <v>89744</v>
      </c>
      <c r="C174" s="568" t="s">
        <v>1324</v>
      </c>
      <c r="D174" s="569" t="s">
        <v>1604</v>
      </c>
      <c r="E174" s="570" t="s">
        <v>102</v>
      </c>
      <c r="F174" s="577">
        <v>323.14</v>
      </c>
      <c r="G174" s="572">
        <v>16.600000000000001</v>
      </c>
      <c r="H174" s="570">
        <v>6</v>
      </c>
      <c r="I174" s="622">
        <f t="shared" si="39"/>
        <v>0</v>
      </c>
      <c r="J174" s="574">
        <f t="shared" si="40"/>
        <v>6</v>
      </c>
      <c r="K174" s="570">
        <f t="shared" si="35"/>
        <v>0</v>
      </c>
      <c r="L174" s="575">
        <f t="shared" si="43"/>
        <v>99.6</v>
      </c>
      <c r="M174" s="575">
        <f t="shared" si="43"/>
        <v>0</v>
      </c>
      <c r="N174" s="575">
        <f t="shared" si="43"/>
        <v>99.6</v>
      </c>
      <c r="O174" s="575">
        <f t="shared" si="43"/>
        <v>0</v>
      </c>
      <c r="P174" s="576">
        <f t="shared" si="37"/>
        <v>1</v>
      </c>
      <c r="Q174" s="525"/>
      <c r="S174" s="189">
        <v>0</v>
      </c>
      <c r="T174" s="189">
        <v>10</v>
      </c>
      <c r="BT174" s="525"/>
      <c r="BU174" s="523">
        <v>0</v>
      </c>
      <c r="BV174" s="523">
        <v>6</v>
      </c>
      <c r="BW174" s="523">
        <v>0</v>
      </c>
      <c r="BX174" s="523">
        <v>0</v>
      </c>
      <c r="BY174" s="523"/>
      <c r="BZ174" s="523"/>
      <c r="CA174" s="523"/>
      <c r="CB174" s="523"/>
      <c r="CC174" s="523"/>
      <c r="CD174" s="523"/>
      <c r="CE174" s="523"/>
      <c r="CF174" s="523"/>
      <c r="CG174" s="523"/>
      <c r="CH174" s="523"/>
      <c r="CI174" s="523">
        <f t="shared" si="38"/>
        <v>6</v>
      </c>
    </row>
    <row r="175" spans="1:87" ht="15" x14ac:dyDescent="0.2">
      <c r="A175" s="567" t="s">
        <v>1605</v>
      </c>
      <c r="B175" s="568">
        <v>89724</v>
      </c>
      <c r="C175" s="568" t="s">
        <v>1324</v>
      </c>
      <c r="D175" s="569" t="s">
        <v>1606</v>
      </c>
      <c r="E175" s="570" t="s">
        <v>102</v>
      </c>
      <c r="F175" s="577">
        <v>224.11</v>
      </c>
      <c r="G175" s="572">
        <v>5.6</v>
      </c>
      <c r="H175" s="570">
        <v>10</v>
      </c>
      <c r="I175" s="622">
        <f t="shared" si="39"/>
        <v>0</v>
      </c>
      <c r="J175" s="574">
        <f t="shared" si="40"/>
        <v>10</v>
      </c>
      <c r="K175" s="570">
        <f t="shared" si="35"/>
        <v>0</v>
      </c>
      <c r="L175" s="575">
        <f t="shared" si="43"/>
        <v>56</v>
      </c>
      <c r="M175" s="575">
        <f t="shared" si="43"/>
        <v>0</v>
      </c>
      <c r="N175" s="575">
        <f t="shared" si="43"/>
        <v>56</v>
      </c>
      <c r="O175" s="575">
        <f t="shared" si="43"/>
        <v>0</v>
      </c>
      <c r="P175" s="576">
        <f t="shared" si="37"/>
        <v>1</v>
      </c>
      <c r="Q175" s="525"/>
      <c r="S175" s="189">
        <v>0</v>
      </c>
      <c r="T175" s="189">
        <v>6</v>
      </c>
      <c r="BT175" s="525"/>
      <c r="BU175" s="523">
        <v>0</v>
      </c>
      <c r="BV175" s="523">
        <v>10</v>
      </c>
      <c r="BW175" s="523">
        <v>0</v>
      </c>
      <c r="BX175" s="523">
        <v>0</v>
      </c>
      <c r="BY175" s="523"/>
      <c r="BZ175" s="523"/>
      <c r="CA175" s="523"/>
      <c r="CB175" s="523"/>
      <c r="CC175" s="523"/>
      <c r="CD175" s="523"/>
      <c r="CE175" s="523"/>
      <c r="CF175" s="523"/>
      <c r="CG175" s="523"/>
      <c r="CH175" s="523"/>
      <c r="CI175" s="523">
        <f t="shared" si="38"/>
        <v>10</v>
      </c>
    </row>
    <row r="176" spans="1:87" ht="15" x14ac:dyDescent="0.2">
      <c r="A176" s="567" t="s">
        <v>1607</v>
      </c>
      <c r="B176" s="568">
        <v>89827</v>
      </c>
      <c r="C176" s="568" t="s">
        <v>1324</v>
      </c>
      <c r="D176" s="569" t="s">
        <v>1608</v>
      </c>
      <c r="E176" s="570" t="s">
        <v>102</v>
      </c>
      <c r="F176" s="577">
        <v>33.93</v>
      </c>
      <c r="G176" s="572">
        <v>10.23</v>
      </c>
      <c r="H176" s="570">
        <v>6</v>
      </c>
      <c r="I176" s="622">
        <f t="shared" si="39"/>
        <v>0</v>
      </c>
      <c r="J176" s="574">
        <f t="shared" si="40"/>
        <v>6</v>
      </c>
      <c r="K176" s="570">
        <f t="shared" si="35"/>
        <v>0</v>
      </c>
      <c r="L176" s="575">
        <f t="shared" si="43"/>
        <v>61.38</v>
      </c>
      <c r="M176" s="575">
        <f t="shared" si="43"/>
        <v>0</v>
      </c>
      <c r="N176" s="575">
        <f t="shared" si="43"/>
        <v>61.38</v>
      </c>
      <c r="O176" s="575">
        <f t="shared" si="43"/>
        <v>0</v>
      </c>
      <c r="P176" s="576">
        <f t="shared" si="37"/>
        <v>1</v>
      </c>
      <c r="Q176" s="525"/>
      <c r="S176" s="189">
        <v>0</v>
      </c>
      <c r="T176" s="189">
        <v>5</v>
      </c>
      <c r="BT176" s="525"/>
      <c r="BU176" s="523">
        <v>0</v>
      </c>
      <c r="BV176" s="523">
        <v>6</v>
      </c>
      <c r="BW176" s="523">
        <v>0</v>
      </c>
      <c r="BX176" s="523">
        <v>0</v>
      </c>
      <c r="BY176" s="523"/>
      <c r="BZ176" s="523"/>
      <c r="CA176" s="523"/>
      <c r="CB176" s="523"/>
      <c r="CC176" s="523"/>
      <c r="CD176" s="523"/>
      <c r="CE176" s="523"/>
      <c r="CF176" s="523"/>
      <c r="CG176" s="523"/>
      <c r="CH176" s="523"/>
      <c r="CI176" s="523">
        <f t="shared" si="38"/>
        <v>6</v>
      </c>
    </row>
    <row r="177" spans="1:87" ht="15" x14ac:dyDescent="0.2">
      <c r="A177" s="567" t="s">
        <v>1609</v>
      </c>
      <c r="B177" s="568">
        <v>89834</v>
      </c>
      <c r="C177" s="568" t="s">
        <v>1324</v>
      </c>
      <c r="D177" s="569" t="s">
        <v>1610</v>
      </c>
      <c r="E177" s="570" t="s">
        <v>102</v>
      </c>
      <c r="F177" s="577">
        <v>33.93</v>
      </c>
      <c r="G177" s="572">
        <v>25.46</v>
      </c>
      <c r="H177" s="570">
        <v>5</v>
      </c>
      <c r="I177" s="622">
        <f t="shared" si="39"/>
        <v>0</v>
      </c>
      <c r="J177" s="574">
        <f t="shared" si="40"/>
        <v>5</v>
      </c>
      <c r="K177" s="570">
        <f t="shared" si="35"/>
        <v>0</v>
      </c>
      <c r="L177" s="575">
        <f t="shared" si="43"/>
        <v>127.3</v>
      </c>
      <c r="M177" s="575">
        <f t="shared" si="43"/>
        <v>0</v>
      </c>
      <c r="N177" s="575">
        <f t="shared" si="43"/>
        <v>127.3</v>
      </c>
      <c r="O177" s="575">
        <f t="shared" si="43"/>
        <v>0</v>
      </c>
      <c r="P177" s="576">
        <f t="shared" si="37"/>
        <v>1</v>
      </c>
      <c r="Q177" s="525"/>
      <c r="S177" s="189">
        <v>0</v>
      </c>
      <c r="T177" s="189">
        <v>5</v>
      </c>
      <c r="BT177" s="525"/>
      <c r="BU177" s="523">
        <v>0</v>
      </c>
      <c r="BV177" s="523">
        <v>5</v>
      </c>
      <c r="BW177" s="523">
        <v>0</v>
      </c>
      <c r="BX177" s="523">
        <v>0</v>
      </c>
      <c r="BY177" s="523"/>
      <c r="BZ177" s="523"/>
      <c r="CA177" s="523"/>
      <c r="CB177" s="523"/>
      <c r="CC177" s="523"/>
      <c r="CD177" s="523"/>
      <c r="CE177" s="523"/>
      <c r="CF177" s="523"/>
      <c r="CG177" s="523"/>
      <c r="CH177" s="523"/>
      <c r="CI177" s="523">
        <f t="shared" si="38"/>
        <v>5</v>
      </c>
    </row>
    <row r="178" spans="1:87" ht="15" x14ac:dyDescent="0.2">
      <c r="A178" s="567" t="s">
        <v>1611</v>
      </c>
      <c r="B178" s="568">
        <v>89797</v>
      </c>
      <c r="C178" s="568" t="s">
        <v>1324</v>
      </c>
      <c r="D178" s="569" t="s">
        <v>1612</v>
      </c>
      <c r="E178" s="570" t="s">
        <v>102</v>
      </c>
      <c r="F178" s="577">
        <v>33.93</v>
      </c>
      <c r="G178" s="572">
        <v>31.16</v>
      </c>
      <c r="H178" s="570">
        <v>5</v>
      </c>
      <c r="I178" s="622">
        <f t="shared" si="39"/>
        <v>0</v>
      </c>
      <c r="J178" s="574">
        <f t="shared" si="40"/>
        <v>5</v>
      </c>
      <c r="K178" s="570">
        <f t="shared" si="35"/>
        <v>0</v>
      </c>
      <c r="L178" s="575">
        <f t="shared" si="43"/>
        <v>155.80000000000001</v>
      </c>
      <c r="M178" s="575">
        <f t="shared" si="43"/>
        <v>0</v>
      </c>
      <c r="N178" s="575">
        <f t="shared" si="43"/>
        <v>155.80000000000001</v>
      </c>
      <c r="O178" s="575">
        <f t="shared" si="43"/>
        <v>0</v>
      </c>
      <c r="P178" s="576">
        <f t="shared" si="37"/>
        <v>1</v>
      </c>
      <c r="Q178" s="525"/>
      <c r="S178" s="189">
        <v>0</v>
      </c>
      <c r="T178" s="189">
        <v>1</v>
      </c>
      <c r="BT178" s="525"/>
      <c r="BU178" s="523">
        <v>0</v>
      </c>
      <c r="BV178" s="523">
        <v>5</v>
      </c>
      <c r="BW178" s="523">
        <v>0</v>
      </c>
      <c r="BX178" s="523">
        <v>0</v>
      </c>
      <c r="BY178" s="523"/>
      <c r="BZ178" s="523"/>
      <c r="CA178" s="523"/>
      <c r="CB178" s="523"/>
      <c r="CC178" s="523"/>
      <c r="CD178" s="523"/>
      <c r="CE178" s="523"/>
      <c r="CF178" s="523"/>
      <c r="CG178" s="523"/>
      <c r="CH178" s="523"/>
      <c r="CI178" s="523">
        <f t="shared" si="38"/>
        <v>5</v>
      </c>
    </row>
    <row r="179" spans="1:87" ht="15" x14ac:dyDescent="0.2">
      <c r="A179" s="567" t="s">
        <v>1613</v>
      </c>
      <c r="B179" s="568">
        <v>89852</v>
      </c>
      <c r="C179" s="568" t="s">
        <v>1324</v>
      </c>
      <c r="D179" s="569" t="s">
        <v>1614</v>
      </c>
      <c r="E179" s="570" t="s">
        <v>102</v>
      </c>
      <c r="F179" s="577">
        <v>33.93</v>
      </c>
      <c r="G179" s="572">
        <v>27.17</v>
      </c>
      <c r="H179" s="570">
        <v>1</v>
      </c>
      <c r="I179" s="622">
        <f t="shared" si="39"/>
        <v>0</v>
      </c>
      <c r="J179" s="574">
        <f t="shared" si="40"/>
        <v>1</v>
      </c>
      <c r="K179" s="570">
        <f t="shared" si="35"/>
        <v>0</v>
      </c>
      <c r="L179" s="575">
        <f t="shared" si="43"/>
        <v>27.17</v>
      </c>
      <c r="M179" s="575">
        <f t="shared" si="43"/>
        <v>0</v>
      </c>
      <c r="N179" s="575">
        <f t="shared" si="43"/>
        <v>27.17</v>
      </c>
      <c r="O179" s="575">
        <f t="shared" si="43"/>
        <v>0</v>
      </c>
      <c r="P179" s="576">
        <f t="shared" si="37"/>
        <v>1</v>
      </c>
      <c r="Q179" s="525"/>
      <c r="S179" s="189">
        <v>0</v>
      </c>
      <c r="T179" s="189">
        <v>16</v>
      </c>
      <c r="BT179" s="525"/>
      <c r="BU179" s="523">
        <v>0</v>
      </c>
      <c r="BV179" s="523">
        <v>1</v>
      </c>
      <c r="BW179" s="523">
        <v>0</v>
      </c>
      <c r="BX179" s="523">
        <v>0</v>
      </c>
      <c r="BY179" s="523"/>
      <c r="BZ179" s="523"/>
      <c r="CA179" s="523"/>
      <c r="CB179" s="523"/>
      <c r="CC179" s="523"/>
      <c r="CD179" s="523"/>
      <c r="CE179" s="523"/>
      <c r="CF179" s="523"/>
      <c r="CG179" s="523"/>
      <c r="CH179" s="523"/>
      <c r="CI179" s="523">
        <f t="shared" si="38"/>
        <v>1</v>
      </c>
    </row>
    <row r="180" spans="1:87" s="514" customFormat="1" ht="15" x14ac:dyDescent="0.2">
      <c r="A180" s="567" t="s">
        <v>1615</v>
      </c>
      <c r="B180" s="568">
        <v>89728</v>
      </c>
      <c r="C180" s="568" t="s">
        <v>1324</v>
      </c>
      <c r="D180" s="569" t="s">
        <v>1616</v>
      </c>
      <c r="E180" s="570" t="s">
        <v>102</v>
      </c>
      <c r="F180" s="577">
        <v>33.93</v>
      </c>
      <c r="G180" s="572">
        <v>7.91</v>
      </c>
      <c r="H180" s="570">
        <v>16</v>
      </c>
      <c r="I180" s="622">
        <f t="shared" si="39"/>
        <v>0</v>
      </c>
      <c r="J180" s="574">
        <f t="shared" si="40"/>
        <v>16</v>
      </c>
      <c r="K180" s="570">
        <f t="shared" si="35"/>
        <v>0</v>
      </c>
      <c r="L180" s="575">
        <f t="shared" si="43"/>
        <v>126.56</v>
      </c>
      <c r="M180" s="575">
        <f t="shared" si="43"/>
        <v>0</v>
      </c>
      <c r="N180" s="575">
        <f t="shared" si="43"/>
        <v>126.56</v>
      </c>
      <c r="O180" s="575">
        <f t="shared" si="43"/>
        <v>0</v>
      </c>
      <c r="P180" s="576">
        <f t="shared" si="37"/>
        <v>1</v>
      </c>
      <c r="Q180" s="525"/>
      <c r="S180" s="190">
        <v>0</v>
      </c>
      <c r="T180" s="190">
        <v>0</v>
      </c>
      <c r="BT180" s="525"/>
      <c r="BU180" s="523">
        <v>0</v>
      </c>
      <c r="BV180" s="523">
        <v>16</v>
      </c>
      <c r="BW180" s="523">
        <v>0</v>
      </c>
      <c r="BX180" s="523">
        <v>0</v>
      </c>
      <c r="BY180" s="523"/>
      <c r="BZ180" s="523"/>
      <c r="CA180" s="523"/>
      <c r="CB180" s="523"/>
      <c r="CC180" s="523"/>
      <c r="CD180" s="523"/>
      <c r="CE180" s="523"/>
      <c r="CF180" s="523"/>
      <c r="CG180" s="523"/>
      <c r="CH180" s="523"/>
      <c r="CI180" s="523">
        <f t="shared" si="38"/>
        <v>16</v>
      </c>
    </row>
    <row r="181" spans="1:87" ht="15.75" x14ac:dyDescent="0.2">
      <c r="A181" s="584" t="s">
        <v>309</v>
      </c>
      <c r="B181" s="585"/>
      <c r="C181" s="585"/>
      <c r="D181" s="586" t="s">
        <v>1617</v>
      </c>
      <c r="E181" s="609"/>
      <c r="F181" s="609"/>
      <c r="G181" s="609"/>
      <c r="H181" s="609"/>
      <c r="I181" s="609"/>
      <c r="J181" s="609"/>
      <c r="K181" s="609"/>
      <c r="L181" s="587">
        <f>SUM(L182:L189)</f>
        <v>13798.98</v>
      </c>
      <c r="M181" s="587">
        <f>SUM(M182:M189)</f>
        <v>0</v>
      </c>
      <c r="N181" s="587">
        <f>SUM(N182:N189)</f>
        <v>0</v>
      </c>
      <c r="O181" s="587">
        <f>SUM(O182:O189)</f>
        <v>13798.98</v>
      </c>
      <c r="P181" s="592">
        <f t="shared" si="37"/>
        <v>0</v>
      </c>
      <c r="Q181" s="525"/>
      <c r="S181" s="189">
        <v>0</v>
      </c>
      <c r="T181" s="189">
        <v>0</v>
      </c>
      <c r="BT181" s="525"/>
      <c r="BU181" s="523">
        <v>0</v>
      </c>
      <c r="BV181" s="523">
        <v>0</v>
      </c>
      <c r="BW181" s="523"/>
      <c r="BX181" s="523"/>
      <c r="BY181" s="523"/>
      <c r="BZ181" s="523"/>
      <c r="CA181" s="523"/>
      <c r="CB181" s="523"/>
      <c r="CC181" s="523"/>
      <c r="CD181" s="523"/>
      <c r="CE181" s="523"/>
      <c r="CF181" s="523"/>
      <c r="CG181" s="523"/>
      <c r="CH181" s="523"/>
      <c r="CI181" s="523">
        <f t="shared" si="38"/>
        <v>0</v>
      </c>
    </row>
    <row r="182" spans="1:87" ht="15.75" x14ac:dyDescent="0.2">
      <c r="A182" s="567" t="s">
        <v>1618</v>
      </c>
      <c r="B182" s="568" t="s">
        <v>2007</v>
      </c>
      <c r="C182" s="568" t="s">
        <v>1339</v>
      </c>
      <c r="D182" s="569" t="s">
        <v>1619</v>
      </c>
      <c r="E182" s="570" t="s">
        <v>102</v>
      </c>
      <c r="F182" s="577">
        <v>190.09</v>
      </c>
      <c r="G182" s="572">
        <v>46.81</v>
      </c>
      <c r="H182" s="570">
        <v>6</v>
      </c>
      <c r="I182" s="640">
        <f t="shared" si="39"/>
        <v>0</v>
      </c>
      <c r="J182" s="574">
        <f t="shared" si="40"/>
        <v>0</v>
      </c>
      <c r="K182" s="577">
        <f t="shared" si="35"/>
        <v>6</v>
      </c>
      <c r="L182" s="575">
        <f t="shared" ref="L182:O189" si="44">ROUND(H182*$G182,2)</f>
        <v>280.86</v>
      </c>
      <c r="M182" s="575">
        <f t="shared" si="44"/>
        <v>0</v>
      </c>
      <c r="N182" s="575">
        <f t="shared" si="44"/>
        <v>0</v>
      </c>
      <c r="O182" s="575">
        <f t="shared" si="44"/>
        <v>280.86</v>
      </c>
      <c r="P182" s="576">
        <f t="shared" si="37"/>
        <v>0</v>
      </c>
      <c r="Q182" s="525"/>
      <c r="S182" s="189">
        <v>0</v>
      </c>
      <c r="T182" s="189">
        <v>0</v>
      </c>
      <c r="BT182" s="525"/>
      <c r="BU182" s="523">
        <v>0</v>
      </c>
      <c r="BV182" s="523">
        <v>0</v>
      </c>
      <c r="BW182" s="523">
        <v>0</v>
      </c>
      <c r="BX182" s="523">
        <v>0</v>
      </c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523">
        <f t="shared" si="38"/>
        <v>0</v>
      </c>
    </row>
    <row r="183" spans="1:87" ht="15.75" x14ac:dyDescent="0.2">
      <c r="A183" s="567" t="s">
        <v>1620</v>
      </c>
      <c r="B183" s="568" t="s">
        <v>1621</v>
      </c>
      <c r="C183" s="568" t="s">
        <v>1324</v>
      </c>
      <c r="D183" s="569" t="s">
        <v>1622</v>
      </c>
      <c r="E183" s="570" t="s">
        <v>102</v>
      </c>
      <c r="F183" s="577">
        <v>222.14</v>
      </c>
      <c r="G183" s="572">
        <v>367.21</v>
      </c>
      <c r="H183" s="570">
        <v>2</v>
      </c>
      <c r="I183" s="640">
        <f t="shared" si="39"/>
        <v>0</v>
      </c>
      <c r="J183" s="574">
        <f t="shared" si="40"/>
        <v>0</v>
      </c>
      <c r="K183" s="577">
        <f t="shared" si="35"/>
        <v>2</v>
      </c>
      <c r="L183" s="575">
        <f t="shared" si="44"/>
        <v>734.42</v>
      </c>
      <c r="M183" s="575">
        <f t="shared" si="44"/>
        <v>0</v>
      </c>
      <c r="N183" s="575">
        <f t="shared" si="44"/>
        <v>0</v>
      </c>
      <c r="O183" s="575">
        <f t="shared" si="44"/>
        <v>734.42</v>
      </c>
      <c r="P183" s="576">
        <f t="shared" si="37"/>
        <v>0</v>
      </c>
      <c r="Q183" s="525"/>
      <c r="S183" s="189">
        <v>0</v>
      </c>
      <c r="T183" s="189">
        <v>0</v>
      </c>
      <c r="BT183" s="525"/>
      <c r="BU183" s="523">
        <v>0</v>
      </c>
      <c r="BV183" s="523">
        <v>0</v>
      </c>
      <c r="BW183" s="523">
        <v>0</v>
      </c>
      <c r="BX183" s="523">
        <v>0</v>
      </c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523">
        <f t="shared" si="38"/>
        <v>0</v>
      </c>
    </row>
    <row r="184" spans="1:87" ht="15.75" x14ac:dyDescent="0.2">
      <c r="A184" s="567" t="s">
        <v>1623</v>
      </c>
      <c r="B184" s="568">
        <v>89710</v>
      </c>
      <c r="C184" s="568" t="s">
        <v>1324</v>
      </c>
      <c r="D184" s="569" t="s">
        <v>1624</v>
      </c>
      <c r="E184" s="570" t="s">
        <v>102</v>
      </c>
      <c r="F184" s="577">
        <v>474.97</v>
      </c>
      <c r="G184" s="572">
        <v>7.75</v>
      </c>
      <c r="H184" s="570">
        <v>6</v>
      </c>
      <c r="I184" s="640">
        <f t="shared" si="39"/>
        <v>0</v>
      </c>
      <c r="J184" s="574">
        <f t="shared" si="40"/>
        <v>0</v>
      </c>
      <c r="K184" s="577">
        <f t="shared" si="35"/>
        <v>6</v>
      </c>
      <c r="L184" s="575">
        <f t="shared" si="44"/>
        <v>46.5</v>
      </c>
      <c r="M184" s="575">
        <f t="shared" si="44"/>
        <v>0</v>
      </c>
      <c r="N184" s="575">
        <f t="shared" si="44"/>
        <v>0</v>
      </c>
      <c r="O184" s="575">
        <f t="shared" si="44"/>
        <v>46.5</v>
      </c>
      <c r="P184" s="576">
        <f t="shared" si="37"/>
        <v>0</v>
      </c>
      <c r="Q184" s="525"/>
      <c r="S184" s="189">
        <v>0</v>
      </c>
      <c r="T184" s="189">
        <v>0</v>
      </c>
      <c r="BT184" s="525"/>
      <c r="BU184" s="523">
        <v>0</v>
      </c>
      <c r="BV184" s="523">
        <v>0</v>
      </c>
      <c r="BW184" s="523">
        <v>0</v>
      </c>
      <c r="BX184" s="523">
        <v>0</v>
      </c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523">
        <f t="shared" si="38"/>
        <v>0</v>
      </c>
    </row>
    <row r="185" spans="1:87" ht="30" x14ac:dyDescent="0.2">
      <c r="A185" s="567" t="s">
        <v>1625</v>
      </c>
      <c r="B185" s="568">
        <v>89798</v>
      </c>
      <c r="C185" s="568" t="s">
        <v>1324</v>
      </c>
      <c r="D185" s="569" t="s">
        <v>1626</v>
      </c>
      <c r="E185" s="570" t="s">
        <v>81</v>
      </c>
      <c r="F185" s="577">
        <v>891.52</v>
      </c>
      <c r="G185" s="572">
        <v>6.93</v>
      </c>
      <c r="H185" s="570">
        <v>8</v>
      </c>
      <c r="I185" s="640">
        <f t="shared" si="39"/>
        <v>0</v>
      </c>
      <c r="J185" s="574">
        <f t="shared" si="40"/>
        <v>0</v>
      </c>
      <c r="K185" s="577">
        <f t="shared" si="35"/>
        <v>8</v>
      </c>
      <c r="L185" s="575">
        <f t="shared" si="44"/>
        <v>55.44</v>
      </c>
      <c r="M185" s="575">
        <f t="shared" si="44"/>
        <v>0</v>
      </c>
      <c r="N185" s="575">
        <f t="shared" si="44"/>
        <v>0</v>
      </c>
      <c r="O185" s="575">
        <f t="shared" si="44"/>
        <v>55.44</v>
      </c>
      <c r="P185" s="576">
        <f t="shared" si="37"/>
        <v>0</v>
      </c>
      <c r="Q185" s="525"/>
      <c r="S185" s="189">
        <v>0</v>
      </c>
      <c r="T185" s="189">
        <v>0</v>
      </c>
      <c r="BT185" s="525"/>
      <c r="BU185" s="523">
        <v>0</v>
      </c>
      <c r="BV185" s="523">
        <v>0</v>
      </c>
      <c r="BW185" s="523">
        <v>0</v>
      </c>
      <c r="BX185" s="523">
        <v>0</v>
      </c>
      <c r="BY185" s="523"/>
      <c r="BZ185" s="523"/>
      <c r="CA185" s="523"/>
      <c r="CB185" s="523"/>
      <c r="CC185" s="523"/>
      <c r="CD185" s="523"/>
      <c r="CE185" s="523"/>
      <c r="CF185" s="523"/>
      <c r="CG185" s="523"/>
      <c r="CH185" s="523"/>
      <c r="CI185" s="523">
        <f t="shared" si="38"/>
        <v>0</v>
      </c>
    </row>
    <row r="186" spans="1:87" ht="15.75" x14ac:dyDescent="0.2">
      <c r="A186" s="567" t="s">
        <v>1627</v>
      </c>
      <c r="B186" s="568">
        <v>86882</v>
      </c>
      <c r="C186" s="568" t="s">
        <v>1324</v>
      </c>
      <c r="D186" s="569" t="s">
        <v>1628</v>
      </c>
      <c r="E186" s="570" t="s">
        <v>102</v>
      </c>
      <c r="F186" s="577">
        <v>179</v>
      </c>
      <c r="G186" s="572">
        <v>13.42</v>
      </c>
      <c r="H186" s="570">
        <v>8</v>
      </c>
      <c r="I186" s="640">
        <f t="shared" si="39"/>
        <v>0</v>
      </c>
      <c r="J186" s="574">
        <f t="shared" si="40"/>
        <v>0</v>
      </c>
      <c r="K186" s="577">
        <f t="shared" si="35"/>
        <v>8</v>
      </c>
      <c r="L186" s="575">
        <f t="shared" si="44"/>
        <v>107.36</v>
      </c>
      <c r="M186" s="575">
        <f t="shared" si="44"/>
        <v>0</v>
      </c>
      <c r="N186" s="575">
        <f t="shared" si="44"/>
        <v>0</v>
      </c>
      <c r="O186" s="575">
        <f t="shared" si="44"/>
        <v>107.36</v>
      </c>
      <c r="P186" s="576">
        <f t="shared" si="37"/>
        <v>0</v>
      </c>
      <c r="Q186" s="525"/>
      <c r="S186" s="189">
        <v>0</v>
      </c>
      <c r="T186" s="189">
        <v>0</v>
      </c>
      <c r="BT186" s="525"/>
      <c r="BU186" s="523">
        <v>0</v>
      </c>
      <c r="BV186" s="523">
        <v>0</v>
      </c>
      <c r="BW186" s="523">
        <v>0</v>
      </c>
      <c r="BX186" s="523">
        <v>0</v>
      </c>
      <c r="BY186" s="523"/>
      <c r="BZ186" s="523"/>
      <c r="CA186" s="523"/>
      <c r="CB186" s="523"/>
      <c r="CC186" s="523"/>
      <c r="CD186" s="523"/>
      <c r="CE186" s="523"/>
      <c r="CF186" s="523"/>
      <c r="CG186" s="523"/>
      <c r="CH186" s="523"/>
      <c r="CI186" s="523">
        <f t="shared" si="38"/>
        <v>0</v>
      </c>
    </row>
    <row r="187" spans="1:87" ht="15.75" x14ac:dyDescent="0.2">
      <c r="A187" s="567" t="s">
        <v>1629</v>
      </c>
      <c r="B187" s="568" t="s">
        <v>1630</v>
      </c>
      <c r="C187" s="568" t="s">
        <v>1324</v>
      </c>
      <c r="D187" s="569" t="s">
        <v>1631</v>
      </c>
      <c r="E187" s="570" t="s">
        <v>102</v>
      </c>
      <c r="F187" s="577">
        <v>144</v>
      </c>
      <c r="G187" s="572">
        <v>57.87</v>
      </c>
      <c r="H187" s="570">
        <v>8</v>
      </c>
      <c r="I187" s="640">
        <f t="shared" si="39"/>
        <v>0</v>
      </c>
      <c r="J187" s="574">
        <f t="shared" si="40"/>
        <v>0</v>
      </c>
      <c r="K187" s="577">
        <f t="shared" si="35"/>
        <v>8</v>
      </c>
      <c r="L187" s="575">
        <f t="shared" si="44"/>
        <v>462.96</v>
      </c>
      <c r="M187" s="575">
        <f t="shared" si="44"/>
        <v>0</v>
      </c>
      <c r="N187" s="575">
        <f t="shared" si="44"/>
        <v>0</v>
      </c>
      <c r="O187" s="575">
        <f t="shared" si="44"/>
        <v>462.96</v>
      </c>
      <c r="P187" s="576">
        <f t="shared" si="37"/>
        <v>0</v>
      </c>
      <c r="Q187" s="525"/>
      <c r="S187" s="189">
        <v>0</v>
      </c>
      <c r="T187" s="189">
        <v>0</v>
      </c>
      <c r="BT187" s="525"/>
      <c r="BU187" s="523">
        <v>0</v>
      </c>
      <c r="BV187" s="523">
        <v>0</v>
      </c>
      <c r="BW187" s="523">
        <v>0</v>
      </c>
      <c r="BX187" s="523">
        <v>0</v>
      </c>
      <c r="BY187" s="523"/>
      <c r="BZ187" s="523"/>
      <c r="CA187" s="523"/>
      <c r="CB187" s="523"/>
      <c r="CC187" s="523"/>
      <c r="CD187" s="523"/>
      <c r="CE187" s="523"/>
      <c r="CF187" s="523"/>
      <c r="CG187" s="523"/>
      <c r="CH187" s="523"/>
      <c r="CI187" s="523">
        <f t="shared" si="38"/>
        <v>0</v>
      </c>
    </row>
    <row r="188" spans="1:87" ht="15.75" x14ac:dyDescent="0.2">
      <c r="A188" s="567" t="s">
        <v>1632</v>
      </c>
      <c r="B188" s="568" t="s">
        <v>1633</v>
      </c>
      <c r="C188" s="568" t="s">
        <v>1324</v>
      </c>
      <c r="D188" s="569" t="s">
        <v>1634</v>
      </c>
      <c r="E188" s="570" t="s">
        <v>102</v>
      </c>
      <c r="F188" s="577">
        <v>201.25</v>
      </c>
      <c r="G188" s="572">
        <v>3019.34</v>
      </c>
      <c r="H188" s="570">
        <v>1</v>
      </c>
      <c r="I188" s="640">
        <f t="shared" si="39"/>
        <v>0</v>
      </c>
      <c r="J188" s="574">
        <f t="shared" si="40"/>
        <v>0</v>
      </c>
      <c r="K188" s="577">
        <f t="shared" si="35"/>
        <v>1</v>
      </c>
      <c r="L188" s="575">
        <f t="shared" si="44"/>
        <v>3019.34</v>
      </c>
      <c r="M188" s="575">
        <f t="shared" si="44"/>
        <v>0</v>
      </c>
      <c r="N188" s="575">
        <f t="shared" si="44"/>
        <v>0</v>
      </c>
      <c r="O188" s="575">
        <f t="shared" si="44"/>
        <v>3019.34</v>
      </c>
      <c r="P188" s="576">
        <f t="shared" si="37"/>
        <v>0</v>
      </c>
      <c r="Q188" s="525"/>
      <c r="S188" s="189">
        <v>0</v>
      </c>
      <c r="T188" s="189">
        <v>0</v>
      </c>
      <c r="BT188" s="525"/>
      <c r="BU188" s="523">
        <v>0</v>
      </c>
      <c r="BV188" s="523">
        <v>0</v>
      </c>
      <c r="BW188" s="523">
        <v>0</v>
      </c>
      <c r="BX188" s="523">
        <v>0</v>
      </c>
      <c r="BY188" s="523"/>
      <c r="BZ188" s="523"/>
      <c r="CA188" s="523"/>
      <c r="CB188" s="523"/>
      <c r="CC188" s="523"/>
      <c r="CD188" s="523"/>
      <c r="CE188" s="523"/>
      <c r="CF188" s="523"/>
      <c r="CG188" s="523"/>
      <c r="CH188" s="523"/>
      <c r="CI188" s="523">
        <f t="shared" si="38"/>
        <v>0</v>
      </c>
    </row>
    <row r="189" spans="1:87" s="514" customFormat="1" ht="15.75" x14ac:dyDescent="0.2">
      <c r="A189" s="567" t="s">
        <v>1635</v>
      </c>
      <c r="B189" s="568" t="s">
        <v>1636</v>
      </c>
      <c r="C189" s="568" t="s">
        <v>1324</v>
      </c>
      <c r="D189" s="569" t="s">
        <v>1637</v>
      </c>
      <c r="E189" s="570" t="s">
        <v>102</v>
      </c>
      <c r="F189" s="577">
        <v>356.72</v>
      </c>
      <c r="G189" s="572">
        <v>9092.1</v>
      </c>
      <c r="H189" s="570">
        <v>1</v>
      </c>
      <c r="I189" s="640">
        <f t="shared" si="39"/>
        <v>0</v>
      </c>
      <c r="J189" s="574">
        <f t="shared" si="40"/>
        <v>0</v>
      </c>
      <c r="K189" s="577">
        <f t="shared" si="35"/>
        <v>1</v>
      </c>
      <c r="L189" s="575">
        <f t="shared" si="44"/>
        <v>9092.1</v>
      </c>
      <c r="M189" s="575">
        <f t="shared" si="44"/>
        <v>0</v>
      </c>
      <c r="N189" s="575">
        <f t="shared" si="44"/>
        <v>0</v>
      </c>
      <c r="O189" s="575">
        <f t="shared" si="44"/>
        <v>9092.1</v>
      </c>
      <c r="P189" s="576">
        <f t="shared" si="37"/>
        <v>0</v>
      </c>
      <c r="Q189" s="525"/>
      <c r="S189" s="190">
        <v>0</v>
      </c>
      <c r="T189" s="190">
        <v>0</v>
      </c>
      <c r="BT189" s="525"/>
      <c r="BU189" s="523">
        <v>0</v>
      </c>
      <c r="BV189" s="523">
        <v>0</v>
      </c>
      <c r="BW189" s="523">
        <v>0</v>
      </c>
      <c r="BX189" s="523">
        <v>0</v>
      </c>
      <c r="BY189" s="523"/>
      <c r="BZ189" s="523"/>
      <c r="CA189" s="523"/>
      <c r="CB189" s="523"/>
      <c r="CC189" s="523"/>
      <c r="CD189" s="523"/>
      <c r="CE189" s="523"/>
      <c r="CF189" s="523"/>
      <c r="CG189" s="523"/>
      <c r="CH189" s="523"/>
      <c r="CI189" s="523">
        <f t="shared" si="38"/>
        <v>0</v>
      </c>
    </row>
    <row r="190" spans="1:87" ht="15.75" x14ac:dyDescent="0.2">
      <c r="A190" s="556">
        <v>14</v>
      </c>
      <c r="B190" s="557"/>
      <c r="C190" s="557"/>
      <c r="D190" s="558" t="s">
        <v>656</v>
      </c>
      <c r="E190" s="559"/>
      <c r="F190" s="559"/>
      <c r="G190" s="559"/>
      <c r="H190" s="559"/>
      <c r="I190" s="559"/>
      <c r="J190" s="559"/>
      <c r="K190" s="559"/>
      <c r="L190" s="562">
        <f>SUM(L191:L193)</f>
        <v>11646.28</v>
      </c>
      <c r="M190" s="562">
        <f>SUM(M191:M193)</f>
        <v>0</v>
      </c>
      <c r="N190" s="562">
        <f>SUM(N191:N193)</f>
        <v>0</v>
      </c>
      <c r="O190" s="562">
        <f>SUM(O191:O193)</f>
        <v>11646.28</v>
      </c>
      <c r="P190" s="566">
        <f t="shared" si="37"/>
        <v>0</v>
      </c>
      <c r="Q190" s="525"/>
      <c r="S190" s="189">
        <v>0</v>
      </c>
      <c r="T190" s="189">
        <v>0</v>
      </c>
      <c r="BT190" s="525"/>
      <c r="BU190" s="523">
        <v>0</v>
      </c>
      <c r="BV190" s="523">
        <v>0</v>
      </c>
      <c r="BW190" s="523"/>
      <c r="BX190" s="523"/>
      <c r="BY190" s="523"/>
      <c r="BZ190" s="523"/>
      <c r="CA190" s="523"/>
      <c r="CB190" s="523"/>
      <c r="CC190" s="523"/>
      <c r="CD190" s="523"/>
      <c r="CE190" s="523"/>
      <c r="CF190" s="523"/>
      <c r="CG190" s="523"/>
      <c r="CH190" s="523"/>
      <c r="CI190" s="523">
        <f t="shared" si="38"/>
        <v>0</v>
      </c>
    </row>
    <row r="191" spans="1:87" ht="30" x14ac:dyDescent="0.2">
      <c r="A191" s="567" t="s">
        <v>355</v>
      </c>
      <c r="B191" s="568">
        <v>83688</v>
      </c>
      <c r="C191" s="568" t="s">
        <v>1324</v>
      </c>
      <c r="D191" s="569" t="s">
        <v>1638</v>
      </c>
      <c r="E191" s="570" t="s">
        <v>81</v>
      </c>
      <c r="F191" s="577">
        <v>415</v>
      </c>
      <c r="G191" s="572">
        <v>141.97999999999999</v>
      </c>
      <c r="H191" s="570">
        <v>76.400000000000006</v>
      </c>
      <c r="I191" s="640">
        <f t="shared" si="39"/>
        <v>0</v>
      </c>
      <c r="J191" s="574">
        <f t="shared" si="40"/>
        <v>0</v>
      </c>
      <c r="K191" s="577">
        <f t="shared" si="35"/>
        <v>76.400000000000006</v>
      </c>
      <c r="L191" s="575">
        <f t="shared" ref="L191:O193" si="45">ROUND(H191*$G191,2)</f>
        <v>10847.27</v>
      </c>
      <c r="M191" s="575">
        <f t="shared" si="45"/>
        <v>0</v>
      </c>
      <c r="N191" s="575">
        <f t="shared" si="45"/>
        <v>0</v>
      </c>
      <c r="O191" s="575">
        <f t="shared" si="45"/>
        <v>10847.27</v>
      </c>
      <c r="P191" s="576">
        <f t="shared" si="37"/>
        <v>0</v>
      </c>
      <c r="Q191" s="525"/>
      <c r="S191" s="189">
        <v>0</v>
      </c>
      <c r="T191" s="189">
        <v>0</v>
      </c>
      <c r="BT191" s="525"/>
      <c r="BU191" s="523">
        <v>0</v>
      </c>
      <c r="BV191" s="523">
        <v>0</v>
      </c>
      <c r="BW191" s="523">
        <v>0</v>
      </c>
      <c r="BX191" s="523">
        <v>0</v>
      </c>
      <c r="BY191" s="523"/>
      <c r="BZ191" s="523"/>
      <c r="CA191" s="523"/>
      <c r="CB191" s="523"/>
      <c r="CC191" s="523"/>
      <c r="CD191" s="523"/>
      <c r="CE191" s="523"/>
      <c r="CF191" s="523"/>
      <c r="CG191" s="523"/>
      <c r="CH191" s="523"/>
      <c r="CI191" s="523">
        <f t="shared" si="38"/>
        <v>0</v>
      </c>
    </row>
    <row r="192" spans="1:87" ht="15.75" x14ac:dyDescent="0.2">
      <c r="A192" s="567" t="s">
        <v>1639</v>
      </c>
      <c r="B192" s="568" t="s">
        <v>2007</v>
      </c>
      <c r="C192" s="568" t="s">
        <v>1339</v>
      </c>
      <c r="D192" s="569" t="s">
        <v>1640</v>
      </c>
      <c r="E192" s="570" t="s">
        <v>102</v>
      </c>
      <c r="F192" s="577">
        <v>63.04</v>
      </c>
      <c r="G192" s="572">
        <v>76.84</v>
      </c>
      <c r="H192" s="570">
        <v>8</v>
      </c>
      <c r="I192" s="640">
        <f t="shared" si="39"/>
        <v>0</v>
      </c>
      <c r="J192" s="574">
        <f t="shared" si="40"/>
        <v>0</v>
      </c>
      <c r="K192" s="577">
        <f t="shared" si="35"/>
        <v>8</v>
      </c>
      <c r="L192" s="575">
        <f t="shared" si="45"/>
        <v>614.72</v>
      </c>
      <c r="M192" s="575">
        <f t="shared" si="45"/>
        <v>0</v>
      </c>
      <c r="N192" s="575">
        <f t="shared" si="45"/>
        <v>0</v>
      </c>
      <c r="O192" s="575">
        <f t="shared" si="45"/>
        <v>614.72</v>
      </c>
      <c r="P192" s="576">
        <f t="shared" si="37"/>
        <v>0</v>
      </c>
      <c r="Q192" s="525"/>
      <c r="S192" s="189">
        <v>0</v>
      </c>
      <c r="T192" s="189">
        <v>0</v>
      </c>
      <c r="BT192" s="525"/>
      <c r="BU192" s="523">
        <v>0</v>
      </c>
      <c r="BV192" s="523">
        <v>0</v>
      </c>
      <c r="BW192" s="523">
        <v>0</v>
      </c>
      <c r="BX192" s="523">
        <v>0</v>
      </c>
      <c r="BY192" s="523"/>
      <c r="BZ192" s="523"/>
      <c r="CA192" s="523"/>
      <c r="CB192" s="523"/>
      <c r="CC192" s="523"/>
      <c r="CD192" s="523"/>
      <c r="CE192" s="523"/>
      <c r="CF192" s="523"/>
      <c r="CG192" s="523"/>
      <c r="CH192" s="523"/>
      <c r="CI192" s="523">
        <f t="shared" si="38"/>
        <v>0</v>
      </c>
    </row>
    <row r="193" spans="1:87" s="514" customFormat="1" ht="15.75" x14ac:dyDescent="0.2">
      <c r="A193" s="567" t="s">
        <v>1641</v>
      </c>
      <c r="B193" s="568">
        <v>88549</v>
      </c>
      <c r="C193" s="568" t="s">
        <v>1324</v>
      </c>
      <c r="D193" s="569" t="s">
        <v>1642</v>
      </c>
      <c r="E193" s="570" t="s">
        <v>48</v>
      </c>
      <c r="F193" s="630"/>
      <c r="G193" s="572">
        <v>98.55</v>
      </c>
      <c r="H193" s="570">
        <v>1.87</v>
      </c>
      <c r="I193" s="640">
        <f t="shared" si="39"/>
        <v>0</v>
      </c>
      <c r="J193" s="574">
        <f t="shared" si="40"/>
        <v>0</v>
      </c>
      <c r="K193" s="577">
        <f t="shared" si="35"/>
        <v>1.87</v>
      </c>
      <c r="L193" s="575">
        <f t="shared" si="45"/>
        <v>184.29</v>
      </c>
      <c r="M193" s="575">
        <f t="shared" si="45"/>
        <v>0</v>
      </c>
      <c r="N193" s="575">
        <f t="shared" si="45"/>
        <v>0</v>
      </c>
      <c r="O193" s="575">
        <f t="shared" si="45"/>
        <v>184.29</v>
      </c>
      <c r="P193" s="576">
        <f t="shared" si="37"/>
        <v>0</v>
      </c>
      <c r="Q193" s="525"/>
      <c r="S193" s="190">
        <v>0</v>
      </c>
      <c r="T193" s="190">
        <v>0</v>
      </c>
      <c r="BT193" s="525"/>
      <c r="BU193" s="523">
        <v>0</v>
      </c>
      <c r="BV193" s="523">
        <v>0</v>
      </c>
      <c r="BW193" s="523">
        <v>0</v>
      </c>
      <c r="BX193" s="523">
        <v>0</v>
      </c>
      <c r="BY193" s="523"/>
      <c r="BZ193" s="523"/>
      <c r="CA193" s="523"/>
      <c r="CB193" s="523"/>
      <c r="CC193" s="523"/>
      <c r="CD193" s="523"/>
      <c r="CE193" s="523"/>
      <c r="CF193" s="523"/>
      <c r="CG193" s="523"/>
      <c r="CH193" s="523"/>
      <c r="CI193" s="523">
        <f t="shared" si="38"/>
        <v>0</v>
      </c>
    </row>
    <row r="194" spans="1:87" ht="15.75" x14ac:dyDescent="0.2">
      <c r="A194" s="556">
        <v>15</v>
      </c>
      <c r="B194" s="557"/>
      <c r="C194" s="557"/>
      <c r="D194" s="558" t="s">
        <v>1643</v>
      </c>
      <c r="E194" s="559"/>
      <c r="F194" s="559"/>
      <c r="G194" s="559"/>
      <c r="H194" s="559"/>
      <c r="I194" s="559"/>
      <c r="J194" s="559"/>
      <c r="K194" s="559"/>
      <c r="L194" s="562">
        <f>SUM(L195:L207)</f>
        <v>7636.1200000000017</v>
      </c>
      <c r="M194" s="562">
        <f>SUM(M195:M207)</f>
        <v>0</v>
      </c>
      <c r="N194" s="562">
        <f>SUM(N195:N207)</f>
        <v>0</v>
      </c>
      <c r="O194" s="562">
        <f>SUM(O195:O207)</f>
        <v>7636.1200000000017</v>
      </c>
      <c r="P194" s="566">
        <f t="shared" si="37"/>
        <v>0</v>
      </c>
      <c r="Q194" s="525"/>
      <c r="S194" s="189">
        <v>0</v>
      </c>
      <c r="T194" s="189">
        <v>0</v>
      </c>
      <c r="BT194" s="525"/>
      <c r="BU194" s="523">
        <v>0</v>
      </c>
      <c r="BV194" s="523">
        <v>0</v>
      </c>
      <c r="BW194" s="523"/>
      <c r="BX194" s="523"/>
      <c r="BY194" s="523"/>
      <c r="BZ194" s="523"/>
      <c r="CA194" s="523"/>
      <c r="CB194" s="523"/>
      <c r="CC194" s="523"/>
      <c r="CD194" s="523"/>
      <c r="CE194" s="523"/>
      <c r="CF194" s="523"/>
      <c r="CG194" s="523"/>
      <c r="CH194" s="523"/>
      <c r="CI194" s="523">
        <f t="shared" si="38"/>
        <v>0</v>
      </c>
    </row>
    <row r="195" spans="1:87" ht="30" x14ac:dyDescent="0.2">
      <c r="A195" s="567" t="s">
        <v>494</v>
      </c>
      <c r="B195" s="568">
        <v>6021</v>
      </c>
      <c r="C195" s="568" t="s">
        <v>1324</v>
      </c>
      <c r="D195" s="569" t="s">
        <v>1644</v>
      </c>
      <c r="E195" s="570" t="s">
        <v>102</v>
      </c>
      <c r="F195" s="571"/>
      <c r="G195" s="572">
        <v>330.33</v>
      </c>
      <c r="H195" s="570">
        <v>6</v>
      </c>
      <c r="I195" s="640">
        <f t="shared" si="39"/>
        <v>0</v>
      </c>
      <c r="J195" s="574">
        <f t="shared" si="40"/>
        <v>0</v>
      </c>
      <c r="K195" s="577">
        <f t="shared" ref="K195:K258" si="46">H195-J195</f>
        <v>6</v>
      </c>
      <c r="L195" s="575">
        <f t="shared" ref="L195:O207" si="47">ROUND(H195*$G195,2)</f>
        <v>1981.98</v>
      </c>
      <c r="M195" s="575">
        <f t="shared" si="47"/>
        <v>0</v>
      </c>
      <c r="N195" s="575">
        <f t="shared" si="47"/>
        <v>0</v>
      </c>
      <c r="O195" s="575">
        <f t="shared" si="47"/>
        <v>1981.98</v>
      </c>
      <c r="P195" s="576">
        <f t="shared" si="37"/>
        <v>0</v>
      </c>
      <c r="Q195" s="525"/>
      <c r="S195" s="189">
        <v>0</v>
      </c>
      <c r="T195" s="189">
        <v>0</v>
      </c>
      <c r="BT195" s="525"/>
      <c r="BU195" s="523">
        <v>0</v>
      </c>
      <c r="BV195" s="523">
        <v>0</v>
      </c>
      <c r="BW195" s="523">
        <v>0</v>
      </c>
      <c r="BX195" s="523">
        <v>0</v>
      </c>
      <c r="BY195" s="523"/>
      <c r="BZ195" s="523"/>
      <c r="CA195" s="523"/>
      <c r="CB195" s="523"/>
      <c r="CC195" s="523"/>
      <c r="CD195" s="523"/>
      <c r="CE195" s="523"/>
      <c r="CF195" s="523"/>
      <c r="CG195" s="523"/>
      <c r="CH195" s="523"/>
      <c r="CI195" s="523">
        <f t="shared" si="38"/>
        <v>0</v>
      </c>
    </row>
    <row r="196" spans="1:87" ht="30" x14ac:dyDescent="0.2">
      <c r="A196" s="567" t="s">
        <v>496</v>
      </c>
      <c r="B196" s="568">
        <v>40729</v>
      </c>
      <c r="C196" s="568" t="s">
        <v>1324</v>
      </c>
      <c r="D196" s="569" t="s">
        <v>1645</v>
      </c>
      <c r="E196" s="570" t="s">
        <v>102</v>
      </c>
      <c r="F196" s="571"/>
      <c r="G196" s="572">
        <v>204.63</v>
      </c>
      <c r="H196" s="570">
        <v>6</v>
      </c>
      <c r="I196" s="640">
        <f t="shared" si="39"/>
        <v>0</v>
      </c>
      <c r="J196" s="574">
        <f t="shared" si="40"/>
        <v>0</v>
      </c>
      <c r="K196" s="577">
        <f t="shared" si="46"/>
        <v>6</v>
      </c>
      <c r="L196" s="575">
        <f t="shared" si="47"/>
        <v>1227.78</v>
      </c>
      <c r="M196" s="575">
        <f t="shared" si="47"/>
        <v>0</v>
      </c>
      <c r="N196" s="575">
        <f t="shared" si="47"/>
        <v>0</v>
      </c>
      <c r="O196" s="575">
        <f t="shared" si="47"/>
        <v>1227.78</v>
      </c>
      <c r="P196" s="576">
        <f t="shared" si="37"/>
        <v>0</v>
      </c>
      <c r="Q196" s="525"/>
      <c r="S196" s="189">
        <v>0</v>
      </c>
      <c r="T196" s="189">
        <v>0</v>
      </c>
      <c r="BT196" s="525"/>
      <c r="BU196" s="523">
        <v>0</v>
      </c>
      <c r="BV196" s="523">
        <v>0</v>
      </c>
      <c r="BW196" s="523">
        <v>0</v>
      </c>
      <c r="BX196" s="523">
        <v>0</v>
      </c>
      <c r="BY196" s="523"/>
      <c r="BZ196" s="523"/>
      <c r="CA196" s="523"/>
      <c r="CB196" s="523"/>
      <c r="CC196" s="523"/>
      <c r="CD196" s="523"/>
      <c r="CE196" s="523"/>
      <c r="CF196" s="523"/>
      <c r="CG196" s="523"/>
      <c r="CH196" s="523"/>
      <c r="CI196" s="523">
        <f t="shared" si="38"/>
        <v>0</v>
      </c>
    </row>
    <row r="197" spans="1:87" ht="15.75" x14ac:dyDescent="0.2">
      <c r="A197" s="567" t="s">
        <v>498</v>
      </c>
      <c r="B197" s="568">
        <v>86901</v>
      </c>
      <c r="C197" s="568" t="s">
        <v>1324</v>
      </c>
      <c r="D197" s="569" t="s">
        <v>1646</v>
      </c>
      <c r="E197" s="570" t="s">
        <v>102</v>
      </c>
      <c r="F197" s="577">
        <v>11.27</v>
      </c>
      <c r="G197" s="572">
        <v>102.4</v>
      </c>
      <c r="H197" s="570">
        <v>6</v>
      </c>
      <c r="I197" s="640">
        <f t="shared" si="39"/>
        <v>0</v>
      </c>
      <c r="J197" s="574">
        <f t="shared" si="40"/>
        <v>0</v>
      </c>
      <c r="K197" s="577">
        <f t="shared" si="46"/>
        <v>6</v>
      </c>
      <c r="L197" s="575">
        <f t="shared" si="47"/>
        <v>614.4</v>
      </c>
      <c r="M197" s="575">
        <f t="shared" si="47"/>
        <v>0</v>
      </c>
      <c r="N197" s="575">
        <f t="shared" si="47"/>
        <v>0</v>
      </c>
      <c r="O197" s="575">
        <f t="shared" si="47"/>
        <v>614.4</v>
      </c>
      <c r="P197" s="576">
        <f t="shared" si="37"/>
        <v>0</v>
      </c>
      <c r="Q197" s="525"/>
      <c r="S197" s="189">
        <v>0</v>
      </c>
      <c r="T197" s="189">
        <v>0</v>
      </c>
      <c r="BT197" s="525"/>
      <c r="BU197" s="523">
        <v>0</v>
      </c>
      <c r="BV197" s="523">
        <v>0</v>
      </c>
      <c r="BW197" s="523">
        <v>0</v>
      </c>
      <c r="BX197" s="523">
        <v>0</v>
      </c>
      <c r="BY197" s="523"/>
      <c r="BZ197" s="523"/>
      <c r="CA197" s="523"/>
      <c r="CB197" s="523"/>
      <c r="CC197" s="523"/>
      <c r="CD197" s="523"/>
      <c r="CE197" s="523"/>
      <c r="CF197" s="523"/>
      <c r="CG197" s="523"/>
      <c r="CH197" s="523"/>
      <c r="CI197" s="523">
        <f t="shared" si="38"/>
        <v>0</v>
      </c>
    </row>
    <row r="198" spans="1:87" ht="30" x14ac:dyDescent="0.2">
      <c r="A198" s="567" t="s">
        <v>500</v>
      </c>
      <c r="B198" s="568">
        <v>86942</v>
      </c>
      <c r="C198" s="568" t="s">
        <v>1324</v>
      </c>
      <c r="D198" s="569" t="s">
        <v>1647</v>
      </c>
      <c r="E198" s="570" t="s">
        <v>102</v>
      </c>
      <c r="F198" s="577">
        <v>11.89</v>
      </c>
      <c r="G198" s="572">
        <v>160.06</v>
      </c>
      <c r="H198" s="570">
        <v>2</v>
      </c>
      <c r="I198" s="640">
        <f t="shared" si="39"/>
        <v>0</v>
      </c>
      <c r="J198" s="574">
        <f t="shared" si="40"/>
        <v>0</v>
      </c>
      <c r="K198" s="577">
        <f t="shared" si="46"/>
        <v>2</v>
      </c>
      <c r="L198" s="575">
        <f t="shared" si="47"/>
        <v>320.12</v>
      </c>
      <c r="M198" s="575">
        <f t="shared" si="47"/>
        <v>0</v>
      </c>
      <c r="N198" s="575">
        <f t="shared" si="47"/>
        <v>0</v>
      </c>
      <c r="O198" s="575">
        <f t="shared" si="47"/>
        <v>320.12</v>
      </c>
      <c r="P198" s="576">
        <f t="shared" si="37"/>
        <v>0</v>
      </c>
      <c r="Q198" s="525"/>
      <c r="S198" s="189">
        <v>0</v>
      </c>
      <c r="T198" s="189">
        <v>0</v>
      </c>
      <c r="BT198" s="525"/>
      <c r="BU198" s="523">
        <v>0</v>
      </c>
      <c r="BV198" s="523">
        <v>0</v>
      </c>
      <c r="BW198" s="523">
        <v>0</v>
      </c>
      <c r="BX198" s="523">
        <v>0</v>
      </c>
      <c r="BY198" s="523"/>
      <c r="BZ198" s="523"/>
      <c r="CA198" s="523"/>
      <c r="CB198" s="523"/>
      <c r="CC198" s="523"/>
      <c r="CD198" s="523"/>
      <c r="CE198" s="523"/>
      <c r="CF198" s="523"/>
      <c r="CG198" s="523"/>
      <c r="CH198" s="523"/>
      <c r="CI198" s="523">
        <f t="shared" si="38"/>
        <v>0</v>
      </c>
    </row>
    <row r="199" spans="1:87" ht="30" x14ac:dyDescent="0.2">
      <c r="A199" s="567" t="s">
        <v>502</v>
      </c>
      <c r="B199" s="568" t="s">
        <v>2007</v>
      </c>
      <c r="C199" s="568" t="s">
        <v>1339</v>
      </c>
      <c r="D199" s="569" t="s">
        <v>1648</v>
      </c>
      <c r="E199" s="570" t="s">
        <v>102</v>
      </c>
      <c r="F199" s="577">
        <v>28.56</v>
      </c>
      <c r="G199" s="572">
        <v>223.26</v>
      </c>
      <c r="H199" s="570">
        <v>2</v>
      </c>
      <c r="I199" s="640">
        <f t="shared" si="39"/>
        <v>0</v>
      </c>
      <c r="J199" s="574">
        <f t="shared" si="40"/>
        <v>0</v>
      </c>
      <c r="K199" s="577">
        <f t="shared" si="46"/>
        <v>2</v>
      </c>
      <c r="L199" s="575">
        <f t="shared" si="47"/>
        <v>446.52</v>
      </c>
      <c r="M199" s="575">
        <f t="shared" si="47"/>
        <v>0</v>
      </c>
      <c r="N199" s="575">
        <f t="shared" si="47"/>
        <v>0</v>
      </c>
      <c r="O199" s="575">
        <f t="shared" si="47"/>
        <v>446.52</v>
      </c>
      <c r="P199" s="576">
        <f t="shared" si="37"/>
        <v>0</v>
      </c>
      <c r="Q199" s="525"/>
      <c r="S199" s="189">
        <v>0</v>
      </c>
      <c r="T199" s="189">
        <v>0</v>
      </c>
      <c r="BT199" s="525"/>
      <c r="BU199" s="523">
        <v>0</v>
      </c>
      <c r="BV199" s="523">
        <v>0</v>
      </c>
      <c r="BW199" s="523">
        <v>0</v>
      </c>
      <c r="BX199" s="523">
        <v>0</v>
      </c>
      <c r="BY199" s="523"/>
      <c r="BZ199" s="523"/>
      <c r="CA199" s="523"/>
      <c r="CB199" s="523"/>
      <c r="CC199" s="523"/>
      <c r="CD199" s="523"/>
      <c r="CE199" s="523"/>
      <c r="CF199" s="523"/>
      <c r="CG199" s="523"/>
      <c r="CH199" s="523"/>
      <c r="CI199" s="523">
        <f t="shared" si="38"/>
        <v>0</v>
      </c>
    </row>
    <row r="200" spans="1:87" ht="30" x14ac:dyDescent="0.2">
      <c r="A200" s="567" t="s">
        <v>504</v>
      </c>
      <c r="B200" s="568">
        <v>86906</v>
      </c>
      <c r="C200" s="568" t="s">
        <v>1324</v>
      </c>
      <c r="D200" s="569" t="s">
        <v>1649</v>
      </c>
      <c r="E200" s="570" t="s">
        <v>102</v>
      </c>
      <c r="F200" s="577">
        <v>35.53</v>
      </c>
      <c r="G200" s="572">
        <v>39.97</v>
      </c>
      <c r="H200" s="570">
        <v>8</v>
      </c>
      <c r="I200" s="640">
        <f t="shared" si="39"/>
        <v>0</v>
      </c>
      <c r="J200" s="574">
        <f t="shared" si="40"/>
        <v>0</v>
      </c>
      <c r="K200" s="577">
        <f t="shared" si="46"/>
        <v>8</v>
      </c>
      <c r="L200" s="575">
        <f t="shared" si="47"/>
        <v>319.76</v>
      </c>
      <c r="M200" s="575">
        <f t="shared" si="47"/>
        <v>0</v>
      </c>
      <c r="N200" s="575">
        <f t="shared" si="47"/>
        <v>0</v>
      </c>
      <c r="O200" s="575">
        <f t="shared" si="47"/>
        <v>319.76</v>
      </c>
      <c r="P200" s="576">
        <f t="shared" si="37"/>
        <v>0</v>
      </c>
      <c r="Q200" s="525"/>
      <c r="S200" s="189">
        <v>0</v>
      </c>
      <c r="T200" s="189">
        <v>0</v>
      </c>
      <c r="BT200" s="525"/>
      <c r="BU200" s="523">
        <v>0</v>
      </c>
      <c r="BV200" s="523">
        <v>0</v>
      </c>
      <c r="BW200" s="523">
        <v>0</v>
      </c>
      <c r="BX200" s="523">
        <v>0</v>
      </c>
      <c r="BY200" s="523"/>
      <c r="BZ200" s="523"/>
      <c r="CA200" s="523"/>
      <c r="CB200" s="523"/>
      <c r="CC200" s="523"/>
      <c r="CD200" s="523"/>
      <c r="CE200" s="523"/>
      <c r="CF200" s="523"/>
      <c r="CG200" s="523"/>
      <c r="CH200" s="523"/>
      <c r="CI200" s="523">
        <f t="shared" si="38"/>
        <v>0</v>
      </c>
    </row>
    <row r="201" spans="1:87" ht="30" x14ac:dyDescent="0.2">
      <c r="A201" s="567" t="s">
        <v>506</v>
      </c>
      <c r="B201" s="568">
        <v>86914</v>
      </c>
      <c r="C201" s="568" t="s">
        <v>1324</v>
      </c>
      <c r="D201" s="569" t="s">
        <v>1650</v>
      </c>
      <c r="E201" s="570" t="s">
        <v>102</v>
      </c>
      <c r="F201" s="577">
        <v>47.11</v>
      </c>
      <c r="G201" s="572">
        <v>31.02</v>
      </c>
      <c r="H201" s="570">
        <v>2</v>
      </c>
      <c r="I201" s="640">
        <f t="shared" si="39"/>
        <v>0</v>
      </c>
      <c r="J201" s="574">
        <f t="shared" si="40"/>
        <v>0</v>
      </c>
      <c r="K201" s="577">
        <f t="shared" si="46"/>
        <v>2</v>
      </c>
      <c r="L201" s="575">
        <f t="shared" si="47"/>
        <v>62.04</v>
      </c>
      <c r="M201" s="575">
        <f t="shared" si="47"/>
        <v>0</v>
      </c>
      <c r="N201" s="575">
        <f t="shared" si="47"/>
        <v>0</v>
      </c>
      <c r="O201" s="575">
        <f t="shared" si="47"/>
        <v>62.04</v>
      </c>
      <c r="P201" s="576">
        <f t="shared" si="37"/>
        <v>0</v>
      </c>
      <c r="Q201" s="525"/>
      <c r="S201" s="189">
        <v>0</v>
      </c>
      <c r="T201" s="189">
        <v>0</v>
      </c>
      <c r="BT201" s="525"/>
      <c r="BU201" s="523">
        <v>0</v>
      </c>
      <c r="BV201" s="523">
        <v>0</v>
      </c>
      <c r="BW201" s="523">
        <v>0</v>
      </c>
      <c r="BX201" s="523">
        <v>0</v>
      </c>
      <c r="BY201" s="523"/>
      <c r="BZ201" s="523"/>
      <c r="CA201" s="523"/>
      <c r="CB201" s="523"/>
      <c r="CC201" s="523"/>
      <c r="CD201" s="523"/>
      <c r="CE201" s="523"/>
      <c r="CF201" s="523"/>
      <c r="CG201" s="523"/>
      <c r="CH201" s="523"/>
      <c r="CI201" s="523">
        <f t="shared" si="38"/>
        <v>0</v>
      </c>
    </row>
    <row r="202" spans="1:87" ht="30" x14ac:dyDescent="0.2">
      <c r="A202" s="567" t="s">
        <v>508</v>
      </c>
      <c r="B202" s="568">
        <v>9535</v>
      </c>
      <c r="C202" s="568" t="s">
        <v>1324</v>
      </c>
      <c r="D202" s="569" t="s">
        <v>1651</v>
      </c>
      <c r="E202" s="570" t="s">
        <v>102</v>
      </c>
      <c r="F202" s="571"/>
      <c r="G202" s="572">
        <v>30.06</v>
      </c>
      <c r="H202" s="570">
        <v>6</v>
      </c>
      <c r="I202" s="640">
        <f t="shared" si="39"/>
        <v>0</v>
      </c>
      <c r="J202" s="574">
        <f t="shared" si="40"/>
        <v>0</v>
      </c>
      <c r="K202" s="577">
        <f t="shared" si="46"/>
        <v>6</v>
      </c>
      <c r="L202" s="575">
        <f t="shared" si="47"/>
        <v>180.36</v>
      </c>
      <c r="M202" s="575">
        <f t="shared" si="47"/>
        <v>0</v>
      </c>
      <c r="N202" s="575">
        <f t="shared" si="47"/>
        <v>0</v>
      </c>
      <c r="O202" s="575">
        <f t="shared" si="47"/>
        <v>180.36</v>
      </c>
      <c r="P202" s="576">
        <f t="shared" si="37"/>
        <v>0</v>
      </c>
      <c r="Q202" s="525"/>
      <c r="S202" s="189">
        <v>0</v>
      </c>
      <c r="T202" s="189">
        <v>0</v>
      </c>
      <c r="BT202" s="525"/>
      <c r="BU202" s="523">
        <v>0</v>
      </c>
      <c r="BV202" s="523">
        <v>0</v>
      </c>
      <c r="BW202" s="523">
        <v>0</v>
      </c>
      <c r="BX202" s="523">
        <v>0</v>
      </c>
      <c r="BY202" s="523"/>
      <c r="BZ202" s="523"/>
      <c r="CA202" s="523"/>
      <c r="CB202" s="523"/>
      <c r="CC202" s="523"/>
      <c r="CD202" s="523"/>
      <c r="CE202" s="523"/>
      <c r="CF202" s="523"/>
      <c r="CG202" s="523"/>
      <c r="CH202" s="523"/>
      <c r="CI202" s="523">
        <f t="shared" si="38"/>
        <v>0</v>
      </c>
    </row>
    <row r="203" spans="1:87" ht="30" x14ac:dyDescent="0.2">
      <c r="A203" s="567" t="s">
        <v>511</v>
      </c>
      <c r="B203" s="568" t="s">
        <v>2007</v>
      </c>
      <c r="C203" s="568" t="s">
        <v>1339</v>
      </c>
      <c r="D203" s="569" t="s">
        <v>1652</v>
      </c>
      <c r="E203" s="570" t="s">
        <v>102</v>
      </c>
      <c r="F203" s="577">
        <v>5.09</v>
      </c>
      <c r="G203" s="572">
        <v>141.72</v>
      </c>
      <c r="H203" s="570">
        <v>6</v>
      </c>
      <c r="I203" s="640">
        <f t="shared" si="39"/>
        <v>0</v>
      </c>
      <c r="J203" s="574">
        <f t="shared" si="40"/>
        <v>0</v>
      </c>
      <c r="K203" s="577">
        <f t="shared" si="46"/>
        <v>6</v>
      </c>
      <c r="L203" s="575">
        <f t="shared" si="47"/>
        <v>850.32</v>
      </c>
      <c r="M203" s="575">
        <f t="shared" si="47"/>
        <v>0</v>
      </c>
      <c r="N203" s="575">
        <f t="shared" si="47"/>
        <v>0</v>
      </c>
      <c r="O203" s="575">
        <f t="shared" si="47"/>
        <v>850.32</v>
      </c>
      <c r="P203" s="576">
        <f t="shared" si="37"/>
        <v>0</v>
      </c>
      <c r="Q203" s="525"/>
      <c r="S203" s="189">
        <v>0</v>
      </c>
      <c r="T203" s="189">
        <v>0</v>
      </c>
      <c r="BT203" s="525"/>
      <c r="BU203" s="523">
        <v>0</v>
      </c>
      <c r="BV203" s="523">
        <v>0</v>
      </c>
      <c r="BW203" s="523">
        <v>0</v>
      </c>
      <c r="BX203" s="523">
        <v>0</v>
      </c>
      <c r="BY203" s="523"/>
      <c r="BZ203" s="523"/>
      <c r="CA203" s="523"/>
      <c r="CB203" s="523"/>
      <c r="CC203" s="523"/>
      <c r="CD203" s="523"/>
      <c r="CE203" s="523"/>
      <c r="CF203" s="523"/>
      <c r="CG203" s="523"/>
      <c r="CH203" s="523"/>
      <c r="CI203" s="523">
        <f t="shared" si="38"/>
        <v>0</v>
      </c>
    </row>
    <row r="204" spans="1:87" ht="30" x14ac:dyDescent="0.2">
      <c r="A204" s="567" t="s">
        <v>513</v>
      </c>
      <c r="B204" s="568" t="s">
        <v>2007</v>
      </c>
      <c r="C204" s="568" t="s">
        <v>1339</v>
      </c>
      <c r="D204" s="569" t="s">
        <v>1653</v>
      </c>
      <c r="E204" s="570" t="s">
        <v>102</v>
      </c>
      <c r="F204" s="577">
        <v>6.77</v>
      </c>
      <c r="G204" s="572">
        <v>39.700000000000003</v>
      </c>
      <c r="H204" s="570">
        <v>4</v>
      </c>
      <c r="I204" s="640">
        <f t="shared" si="39"/>
        <v>0</v>
      </c>
      <c r="J204" s="574">
        <f t="shared" si="40"/>
        <v>0</v>
      </c>
      <c r="K204" s="577">
        <f t="shared" si="46"/>
        <v>4</v>
      </c>
      <c r="L204" s="575">
        <f t="shared" si="47"/>
        <v>158.80000000000001</v>
      </c>
      <c r="M204" s="575">
        <f t="shared" si="47"/>
        <v>0</v>
      </c>
      <c r="N204" s="575">
        <f t="shared" si="47"/>
        <v>0</v>
      </c>
      <c r="O204" s="575">
        <f t="shared" si="47"/>
        <v>158.80000000000001</v>
      </c>
      <c r="P204" s="576">
        <f t="shared" si="37"/>
        <v>0</v>
      </c>
      <c r="Q204" s="525"/>
      <c r="S204" s="189">
        <v>0</v>
      </c>
      <c r="T204" s="189">
        <v>0</v>
      </c>
      <c r="BT204" s="525"/>
      <c r="BU204" s="523">
        <v>0</v>
      </c>
      <c r="BV204" s="523">
        <v>0</v>
      </c>
      <c r="BW204" s="523">
        <v>0</v>
      </c>
      <c r="BX204" s="523">
        <v>0</v>
      </c>
      <c r="BY204" s="523"/>
      <c r="BZ204" s="523"/>
      <c r="CA204" s="523"/>
      <c r="CB204" s="523"/>
      <c r="CC204" s="523"/>
      <c r="CD204" s="523"/>
      <c r="CE204" s="523"/>
      <c r="CF204" s="523"/>
      <c r="CG204" s="523"/>
      <c r="CH204" s="523"/>
      <c r="CI204" s="523">
        <f t="shared" si="38"/>
        <v>0</v>
      </c>
    </row>
    <row r="205" spans="1:87" ht="30" x14ac:dyDescent="0.2">
      <c r="A205" s="567" t="s">
        <v>515</v>
      </c>
      <c r="B205" s="568" t="s">
        <v>2007</v>
      </c>
      <c r="C205" s="568" t="s">
        <v>1339</v>
      </c>
      <c r="D205" s="569" t="s">
        <v>1654</v>
      </c>
      <c r="E205" s="570" t="s">
        <v>102</v>
      </c>
      <c r="F205" s="577">
        <v>10.76</v>
      </c>
      <c r="G205" s="572">
        <v>30.45</v>
      </c>
      <c r="H205" s="570">
        <v>4</v>
      </c>
      <c r="I205" s="640">
        <f t="shared" si="39"/>
        <v>0</v>
      </c>
      <c r="J205" s="574">
        <f t="shared" si="40"/>
        <v>0</v>
      </c>
      <c r="K205" s="577">
        <f t="shared" si="46"/>
        <v>4</v>
      </c>
      <c r="L205" s="575">
        <f t="shared" si="47"/>
        <v>121.8</v>
      </c>
      <c r="M205" s="575">
        <f t="shared" si="47"/>
        <v>0</v>
      </c>
      <c r="N205" s="575">
        <f t="shared" si="47"/>
        <v>0</v>
      </c>
      <c r="O205" s="575">
        <f t="shared" si="47"/>
        <v>121.8</v>
      </c>
      <c r="P205" s="576">
        <f t="shared" ref="P205:P268" si="48">N205/L205</f>
        <v>0</v>
      </c>
      <c r="Q205" s="525"/>
      <c r="S205" s="189">
        <v>0</v>
      </c>
      <c r="T205" s="189">
        <v>0</v>
      </c>
      <c r="BT205" s="525"/>
      <c r="BU205" s="523">
        <v>0</v>
      </c>
      <c r="BV205" s="523">
        <v>0</v>
      </c>
      <c r="BW205" s="523">
        <v>0</v>
      </c>
      <c r="BX205" s="523">
        <v>0</v>
      </c>
      <c r="BY205" s="523"/>
      <c r="BZ205" s="523"/>
      <c r="CA205" s="523"/>
      <c r="CB205" s="523"/>
      <c r="CC205" s="523"/>
      <c r="CD205" s="523"/>
      <c r="CE205" s="523"/>
      <c r="CF205" s="523"/>
      <c r="CG205" s="523"/>
      <c r="CH205" s="523"/>
      <c r="CI205" s="523">
        <f t="shared" si="38"/>
        <v>0</v>
      </c>
    </row>
    <row r="206" spans="1:87" ht="30" x14ac:dyDescent="0.2">
      <c r="A206" s="567" t="s">
        <v>517</v>
      </c>
      <c r="B206" s="568" t="s">
        <v>2007</v>
      </c>
      <c r="C206" s="568" t="s">
        <v>1339</v>
      </c>
      <c r="D206" s="569" t="s">
        <v>1655</v>
      </c>
      <c r="E206" s="570" t="s">
        <v>102</v>
      </c>
      <c r="F206" s="577">
        <v>42.01</v>
      </c>
      <c r="G206" s="572">
        <v>32.1</v>
      </c>
      <c r="H206" s="570">
        <v>6</v>
      </c>
      <c r="I206" s="640">
        <f t="shared" si="39"/>
        <v>0</v>
      </c>
      <c r="J206" s="574">
        <f t="shared" si="40"/>
        <v>0</v>
      </c>
      <c r="K206" s="577">
        <f t="shared" si="46"/>
        <v>6</v>
      </c>
      <c r="L206" s="575">
        <f t="shared" si="47"/>
        <v>192.6</v>
      </c>
      <c r="M206" s="575">
        <f t="shared" si="47"/>
        <v>0</v>
      </c>
      <c r="N206" s="575">
        <f t="shared" si="47"/>
        <v>0</v>
      </c>
      <c r="O206" s="575">
        <f t="shared" si="47"/>
        <v>192.6</v>
      </c>
      <c r="P206" s="576">
        <f t="shared" si="48"/>
        <v>0</v>
      </c>
      <c r="Q206" s="525"/>
      <c r="S206" s="189">
        <v>0</v>
      </c>
      <c r="T206" s="189">
        <v>0</v>
      </c>
      <c r="BT206" s="525"/>
      <c r="BU206" s="523">
        <v>0</v>
      </c>
      <c r="BV206" s="523">
        <v>0</v>
      </c>
      <c r="BW206" s="523">
        <v>0</v>
      </c>
      <c r="BX206" s="523">
        <v>0</v>
      </c>
      <c r="BY206" s="523"/>
      <c r="BZ206" s="523"/>
      <c r="CA206" s="523"/>
      <c r="CB206" s="523"/>
      <c r="CC206" s="523"/>
      <c r="CD206" s="523"/>
      <c r="CE206" s="523"/>
      <c r="CF206" s="523"/>
      <c r="CG206" s="523"/>
      <c r="CH206" s="523"/>
      <c r="CI206" s="523">
        <f t="shared" si="38"/>
        <v>0</v>
      </c>
    </row>
    <row r="207" spans="1:87" s="514" customFormat="1" ht="30" x14ac:dyDescent="0.2">
      <c r="A207" s="567" t="s">
        <v>519</v>
      </c>
      <c r="B207" s="568" t="s">
        <v>2007</v>
      </c>
      <c r="C207" s="568" t="s">
        <v>1339</v>
      </c>
      <c r="D207" s="569" t="s">
        <v>1656</v>
      </c>
      <c r="E207" s="570" t="s">
        <v>102</v>
      </c>
      <c r="F207" s="577">
        <v>19.79</v>
      </c>
      <c r="G207" s="572">
        <v>579.82000000000005</v>
      </c>
      <c r="H207" s="570">
        <v>2</v>
      </c>
      <c r="I207" s="640">
        <f t="shared" si="39"/>
        <v>0</v>
      </c>
      <c r="J207" s="574">
        <f t="shared" si="40"/>
        <v>0</v>
      </c>
      <c r="K207" s="577">
        <f t="shared" si="46"/>
        <v>2</v>
      </c>
      <c r="L207" s="575">
        <f t="shared" si="47"/>
        <v>1159.6400000000001</v>
      </c>
      <c r="M207" s="575">
        <f t="shared" si="47"/>
        <v>0</v>
      </c>
      <c r="N207" s="575">
        <f t="shared" si="47"/>
        <v>0</v>
      </c>
      <c r="O207" s="575">
        <f t="shared" si="47"/>
        <v>1159.6400000000001</v>
      </c>
      <c r="P207" s="576">
        <f t="shared" si="48"/>
        <v>0</v>
      </c>
      <c r="Q207" s="525"/>
      <c r="S207" s="190">
        <v>0</v>
      </c>
      <c r="T207" s="190">
        <v>0</v>
      </c>
      <c r="BT207" s="525"/>
      <c r="BU207" s="523">
        <v>0</v>
      </c>
      <c r="BV207" s="523">
        <v>0</v>
      </c>
      <c r="BW207" s="523">
        <v>0</v>
      </c>
      <c r="BX207" s="523">
        <v>0</v>
      </c>
      <c r="BY207" s="523"/>
      <c r="BZ207" s="523"/>
      <c r="CA207" s="523"/>
      <c r="CB207" s="523"/>
      <c r="CC207" s="523"/>
      <c r="CD207" s="523"/>
      <c r="CE207" s="523"/>
      <c r="CF207" s="523"/>
      <c r="CG207" s="523"/>
      <c r="CH207" s="523"/>
      <c r="CI207" s="523">
        <f t="shared" ref="CI207:CI270" si="49">SUM(BU207:CH207)</f>
        <v>0</v>
      </c>
    </row>
    <row r="208" spans="1:87" ht="15.75" x14ac:dyDescent="0.2">
      <c r="A208" s="556">
        <v>16</v>
      </c>
      <c r="B208" s="557"/>
      <c r="C208" s="557"/>
      <c r="D208" s="558" t="s">
        <v>1657</v>
      </c>
      <c r="E208" s="559"/>
      <c r="F208" s="559"/>
      <c r="G208" s="559"/>
      <c r="H208" s="559"/>
      <c r="I208" s="559"/>
      <c r="J208" s="559"/>
      <c r="K208" s="559"/>
      <c r="L208" s="562">
        <f>SUM(L209:L213)</f>
        <v>792.22</v>
      </c>
      <c r="M208" s="562">
        <f>SUM(M209:M213)</f>
        <v>0</v>
      </c>
      <c r="N208" s="562">
        <f>SUM(N209:N213)</f>
        <v>0</v>
      </c>
      <c r="O208" s="562">
        <f>SUM(O209:O213)</f>
        <v>792.22</v>
      </c>
      <c r="P208" s="566">
        <f t="shared" si="48"/>
        <v>0</v>
      </c>
      <c r="Q208" s="525"/>
      <c r="S208" s="189">
        <v>0</v>
      </c>
      <c r="T208" s="189">
        <v>0</v>
      </c>
      <c r="BT208" s="525"/>
      <c r="BU208" s="523">
        <v>0</v>
      </c>
      <c r="BV208" s="523">
        <v>0</v>
      </c>
      <c r="BW208" s="523"/>
      <c r="BX208" s="523"/>
      <c r="BY208" s="523"/>
      <c r="BZ208" s="523"/>
      <c r="CA208" s="523"/>
      <c r="CB208" s="523"/>
      <c r="CC208" s="523"/>
      <c r="CD208" s="523"/>
      <c r="CE208" s="523"/>
      <c r="CF208" s="523"/>
      <c r="CG208" s="523"/>
      <c r="CH208" s="523"/>
      <c r="CI208" s="523">
        <f t="shared" si="49"/>
        <v>0</v>
      </c>
    </row>
    <row r="209" spans="1:87" ht="15.75" x14ac:dyDescent="0.2">
      <c r="A209" s="567" t="s">
        <v>616</v>
      </c>
      <c r="B209" s="568" t="s">
        <v>2007</v>
      </c>
      <c r="C209" s="568" t="s">
        <v>1339</v>
      </c>
      <c r="D209" s="569" t="s">
        <v>1658</v>
      </c>
      <c r="E209" s="570" t="s">
        <v>102</v>
      </c>
      <c r="F209" s="577">
        <v>40.08</v>
      </c>
      <c r="G209" s="572">
        <v>109.5</v>
      </c>
      <c r="H209" s="570">
        <v>2</v>
      </c>
      <c r="I209" s="640">
        <f t="shared" ref="I209:I272" si="50">BU209</f>
        <v>0</v>
      </c>
      <c r="J209" s="574">
        <f t="shared" ref="J209:J272" si="51">CI209</f>
        <v>0</v>
      </c>
      <c r="K209" s="577">
        <f t="shared" si="46"/>
        <v>2</v>
      </c>
      <c r="L209" s="575">
        <f t="shared" ref="L209:O213" si="52">ROUND(H209*$G209,2)</f>
        <v>219</v>
      </c>
      <c r="M209" s="575">
        <f t="shared" si="52"/>
        <v>0</v>
      </c>
      <c r="N209" s="575">
        <f t="shared" si="52"/>
        <v>0</v>
      </c>
      <c r="O209" s="575">
        <f t="shared" si="52"/>
        <v>219</v>
      </c>
      <c r="P209" s="576">
        <f t="shared" si="48"/>
        <v>0</v>
      </c>
      <c r="Q209" s="525"/>
      <c r="S209" s="189">
        <v>0</v>
      </c>
      <c r="T209" s="189">
        <v>0</v>
      </c>
      <c r="BT209" s="525"/>
      <c r="BU209" s="523">
        <v>0</v>
      </c>
      <c r="BV209" s="523">
        <v>0</v>
      </c>
      <c r="BW209" s="523">
        <v>0</v>
      </c>
      <c r="BX209" s="523">
        <v>0</v>
      </c>
      <c r="BY209" s="523"/>
      <c r="BZ209" s="523"/>
      <c r="CA209" s="523"/>
      <c r="CB209" s="523"/>
      <c r="CC209" s="523"/>
      <c r="CD209" s="523"/>
      <c r="CE209" s="523"/>
      <c r="CF209" s="523"/>
      <c r="CG209" s="523"/>
      <c r="CH209" s="523"/>
      <c r="CI209" s="523">
        <f t="shared" si="49"/>
        <v>0</v>
      </c>
    </row>
    <row r="210" spans="1:87" ht="15.75" x14ac:dyDescent="0.2">
      <c r="A210" s="567" t="s">
        <v>618</v>
      </c>
      <c r="B210" s="568" t="s">
        <v>2007</v>
      </c>
      <c r="C210" s="568" t="s">
        <v>1339</v>
      </c>
      <c r="D210" s="569" t="s">
        <v>1659</v>
      </c>
      <c r="E210" s="570" t="s">
        <v>102</v>
      </c>
      <c r="F210" s="577">
        <v>199.75</v>
      </c>
      <c r="G210" s="572">
        <v>227.16</v>
      </c>
      <c r="H210" s="570">
        <v>2</v>
      </c>
      <c r="I210" s="640">
        <f t="shared" si="50"/>
        <v>0</v>
      </c>
      <c r="J210" s="574">
        <f t="shared" si="51"/>
        <v>0</v>
      </c>
      <c r="K210" s="577">
        <f t="shared" si="46"/>
        <v>2</v>
      </c>
      <c r="L210" s="575">
        <f t="shared" si="52"/>
        <v>454.32</v>
      </c>
      <c r="M210" s="575">
        <f t="shared" si="52"/>
        <v>0</v>
      </c>
      <c r="N210" s="575">
        <f t="shared" si="52"/>
        <v>0</v>
      </c>
      <c r="O210" s="575">
        <f t="shared" si="52"/>
        <v>454.32</v>
      </c>
      <c r="P210" s="576">
        <f t="shared" si="48"/>
        <v>0</v>
      </c>
      <c r="Q210" s="525"/>
      <c r="S210" s="189">
        <v>0</v>
      </c>
      <c r="T210" s="189">
        <v>0</v>
      </c>
      <c r="BT210" s="525"/>
      <c r="BU210" s="523">
        <v>0</v>
      </c>
      <c r="BV210" s="523">
        <v>0</v>
      </c>
      <c r="BW210" s="523">
        <v>0</v>
      </c>
      <c r="BX210" s="523">
        <v>0</v>
      </c>
      <c r="BY210" s="523"/>
      <c r="BZ210" s="523"/>
      <c r="CA210" s="523"/>
      <c r="CB210" s="523"/>
      <c r="CC210" s="523"/>
      <c r="CD210" s="523"/>
      <c r="CE210" s="523"/>
      <c r="CF210" s="523"/>
      <c r="CG210" s="523"/>
      <c r="CH210" s="523"/>
      <c r="CI210" s="523">
        <f t="shared" si="49"/>
        <v>0</v>
      </c>
    </row>
    <row r="211" spans="1:87" ht="30" x14ac:dyDescent="0.2">
      <c r="A211" s="567" t="s">
        <v>620</v>
      </c>
      <c r="B211" s="568" t="s">
        <v>2007</v>
      </c>
      <c r="C211" s="568" t="s">
        <v>1339</v>
      </c>
      <c r="D211" s="569" t="s">
        <v>1660</v>
      </c>
      <c r="E211" s="570" t="s">
        <v>102</v>
      </c>
      <c r="F211" s="571"/>
      <c r="G211" s="572">
        <v>27.98</v>
      </c>
      <c r="H211" s="570">
        <v>2</v>
      </c>
      <c r="I211" s="640">
        <f t="shared" si="50"/>
        <v>0</v>
      </c>
      <c r="J211" s="574">
        <f t="shared" si="51"/>
        <v>0</v>
      </c>
      <c r="K211" s="577">
        <f t="shared" si="46"/>
        <v>2</v>
      </c>
      <c r="L211" s="575">
        <f t="shared" si="52"/>
        <v>55.96</v>
      </c>
      <c r="M211" s="575">
        <f t="shared" si="52"/>
        <v>0</v>
      </c>
      <c r="N211" s="575">
        <f t="shared" si="52"/>
        <v>0</v>
      </c>
      <c r="O211" s="575">
        <f t="shared" si="52"/>
        <v>55.96</v>
      </c>
      <c r="P211" s="576">
        <f t="shared" si="48"/>
        <v>0</v>
      </c>
      <c r="Q211" s="525"/>
      <c r="S211" s="189">
        <v>0</v>
      </c>
      <c r="T211" s="189">
        <v>0</v>
      </c>
      <c r="BT211" s="525"/>
      <c r="BU211" s="523">
        <v>0</v>
      </c>
      <c r="BV211" s="523">
        <v>0</v>
      </c>
      <c r="BW211" s="523">
        <v>0</v>
      </c>
      <c r="BX211" s="523">
        <v>0</v>
      </c>
      <c r="BY211" s="523"/>
      <c r="BZ211" s="523"/>
      <c r="CA211" s="523"/>
      <c r="CB211" s="523"/>
      <c r="CC211" s="523"/>
      <c r="CD211" s="523"/>
      <c r="CE211" s="523"/>
      <c r="CF211" s="523"/>
      <c r="CG211" s="523"/>
      <c r="CH211" s="523"/>
      <c r="CI211" s="523">
        <f t="shared" si="49"/>
        <v>0</v>
      </c>
    </row>
    <row r="212" spans="1:87" ht="30" x14ac:dyDescent="0.2">
      <c r="A212" s="567" t="s">
        <v>1661</v>
      </c>
      <c r="B212" s="568" t="s">
        <v>2007</v>
      </c>
      <c r="C212" s="568" t="s">
        <v>1339</v>
      </c>
      <c r="D212" s="569" t="s">
        <v>1662</v>
      </c>
      <c r="E212" s="570" t="s">
        <v>102</v>
      </c>
      <c r="F212" s="577">
        <v>3.37</v>
      </c>
      <c r="G212" s="572">
        <v>16.36</v>
      </c>
      <c r="H212" s="570">
        <v>2</v>
      </c>
      <c r="I212" s="640">
        <f t="shared" si="50"/>
        <v>0</v>
      </c>
      <c r="J212" s="574">
        <f t="shared" si="51"/>
        <v>0</v>
      </c>
      <c r="K212" s="577">
        <f t="shared" si="46"/>
        <v>2</v>
      </c>
      <c r="L212" s="575">
        <f t="shared" si="52"/>
        <v>32.72</v>
      </c>
      <c r="M212" s="575">
        <f t="shared" si="52"/>
        <v>0</v>
      </c>
      <c r="N212" s="575">
        <f t="shared" si="52"/>
        <v>0</v>
      </c>
      <c r="O212" s="575">
        <f t="shared" si="52"/>
        <v>32.72</v>
      </c>
      <c r="P212" s="576">
        <f t="shared" si="48"/>
        <v>0</v>
      </c>
      <c r="Q212" s="525"/>
      <c r="S212" s="189">
        <v>0</v>
      </c>
      <c r="T212" s="189">
        <v>0</v>
      </c>
      <c r="BT212" s="525"/>
      <c r="BU212" s="523">
        <v>0</v>
      </c>
      <c r="BV212" s="523">
        <v>0</v>
      </c>
      <c r="BW212" s="523">
        <v>0</v>
      </c>
      <c r="BX212" s="523">
        <v>0</v>
      </c>
      <c r="BY212" s="523"/>
      <c r="BZ212" s="523"/>
      <c r="CA212" s="523"/>
      <c r="CB212" s="523"/>
      <c r="CC212" s="523"/>
      <c r="CD212" s="523"/>
      <c r="CE212" s="523"/>
      <c r="CF212" s="523"/>
      <c r="CG212" s="523"/>
      <c r="CH212" s="523"/>
      <c r="CI212" s="523">
        <f t="shared" si="49"/>
        <v>0</v>
      </c>
    </row>
    <row r="213" spans="1:87" s="194" customFormat="1" ht="30" x14ac:dyDescent="0.2">
      <c r="A213" s="567" t="s">
        <v>1663</v>
      </c>
      <c r="B213" s="568" t="s">
        <v>2007</v>
      </c>
      <c r="C213" s="568" t="s">
        <v>1339</v>
      </c>
      <c r="D213" s="569" t="s">
        <v>1664</v>
      </c>
      <c r="E213" s="570" t="s">
        <v>102</v>
      </c>
      <c r="F213" s="577">
        <v>10.220000000000001</v>
      </c>
      <c r="G213" s="572">
        <v>15.11</v>
      </c>
      <c r="H213" s="570">
        <v>2</v>
      </c>
      <c r="I213" s="640">
        <f t="shared" si="50"/>
        <v>0</v>
      </c>
      <c r="J213" s="574">
        <f t="shared" si="51"/>
        <v>0</v>
      </c>
      <c r="K213" s="577">
        <f t="shared" si="46"/>
        <v>2</v>
      </c>
      <c r="L213" s="575">
        <f t="shared" si="52"/>
        <v>30.22</v>
      </c>
      <c r="M213" s="575">
        <f t="shared" si="52"/>
        <v>0</v>
      </c>
      <c r="N213" s="575">
        <f t="shared" si="52"/>
        <v>0</v>
      </c>
      <c r="O213" s="575">
        <f t="shared" si="52"/>
        <v>30.22</v>
      </c>
      <c r="P213" s="576">
        <f t="shared" si="48"/>
        <v>0</v>
      </c>
      <c r="Q213" s="525"/>
      <c r="S213" s="195">
        <v>0</v>
      </c>
      <c r="T213" s="195">
        <v>0</v>
      </c>
      <c r="BT213" s="525"/>
      <c r="BU213" s="523">
        <v>0</v>
      </c>
      <c r="BV213" s="523">
        <v>0</v>
      </c>
      <c r="BW213" s="523">
        <v>0</v>
      </c>
      <c r="BX213" s="523">
        <v>0</v>
      </c>
      <c r="BY213" s="523"/>
      <c r="BZ213" s="523"/>
      <c r="CA213" s="523"/>
      <c r="CB213" s="523"/>
      <c r="CC213" s="523"/>
      <c r="CD213" s="523"/>
      <c r="CE213" s="523"/>
      <c r="CF213" s="523"/>
      <c r="CG213" s="523"/>
      <c r="CH213" s="523"/>
      <c r="CI213" s="523">
        <f t="shared" si="49"/>
        <v>0</v>
      </c>
    </row>
    <row r="214" spans="1:87" s="514" customFormat="1" ht="15.75" x14ac:dyDescent="0.2">
      <c r="A214" s="600">
        <v>17</v>
      </c>
      <c r="B214" s="558"/>
      <c r="C214" s="558"/>
      <c r="D214" s="558" t="s">
        <v>1665</v>
      </c>
      <c r="E214" s="559"/>
      <c r="F214" s="559"/>
      <c r="G214" s="559"/>
      <c r="H214" s="559"/>
      <c r="I214" s="559"/>
      <c r="J214" s="559"/>
      <c r="K214" s="559"/>
      <c r="L214" s="641">
        <f>SUM(L215,L225,L247,L252)</f>
        <v>20098.660000000003</v>
      </c>
      <c r="M214" s="641">
        <f>SUM(M215,M225,M247,M252)</f>
        <v>311.62</v>
      </c>
      <c r="N214" s="641">
        <f>SUM(N215,N225,N247,N252)</f>
        <v>311.62</v>
      </c>
      <c r="O214" s="641">
        <f>SUM(O215,O225,O247,O252)</f>
        <v>19787.04</v>
      </c>
      <c r="P214" s="604">
        <f t="shared" si="48"/>
        <v>1.550451622147944E-2</v>
      </c>
      <c r="Q214" s="525"/>
      <c r="S214" s="190">
        <v>0</v>
      </c>
      <c r="T214" s="190">
        <v>0</v>
      </c>
      <c r="BT214" s="525"/>
      <c r="BU214" s="523">
        <v>46</v>
      </c>
      <c r="BV214" s="523">
        <v>0</v>
      </c>
      <c r="BW214" s="523"/>
      <c r="BX214" s="523"/>
      <c r="BY214" s="523"/>
      <c r="BZ214" s="523"/>
      <c r="CA214" s="523"/>
      <c r="CB214" s="523"/>
      <c r="CC214" s="523"/>
      <c r="CD214" s="523"/>
      <c r="CE214" s="523"/>
      <c r="CF214" s="523"/>
      <c r="CG214" s="523"/>
      <c r="CH214" s="523"/>
      <c r="CI214" s="523">
        <f t="shared" si="49"/>
        <v>46</v>
      </c>
    </row>
    <row r="215" spans="1:87" ht="15.75" x14ac:dyDescent="0.2">
      <c r="A215" s="584" t="s">
        <v>625</v>
      </c>
      <c r="B215" s="585"/>
      <c r="C215" s="585"/>
      <c r="D215" s="586" t="s">
        <v>1666</v>
      </c>
      <c r="E215" s="587"/>
      <c r="F215" s="587"/>
      <c r="G215" s="587"/>
      <c r="H215" s="587"/>
      <c r="I215" s="587"/>
      <c r="J215" s="587"/>
      <c r="K215" s="587"/>
      <c r="L215" s="587">
        <f>SUM(L216:L224)</f>
        <v>1711.6100000000001</v>
      </c>
      <c r="M215" s="587">
        <f>SUM(M216:M224)</f>
        <v>0</v>
      </c>
      <c r="N215" s="587">
        <f>SUM(N216:N224)</f>
        <v>0</v>
      </c>
      <c r="O215" s="587">
        <f>SUM(O216:O224)</f>
        <v>1711.6100000000001</v>
      </c>
      <c r="P215" s="592">
        <f t="shared" si="48"/>
        <v>0</v>
      </c>
      <c r="Q215" s="525"/>
      <c r="S215" s="189">
        <v>0</v>
      </c>
      <c r="T215" s="189">
        <v>0</v>
      </c>
      <c r="BT215" s="525"/>
      <c r="BU215" s="523">
        <v>0</v>
      </c>
      <c r="BV215" s="523">
        <v>0</v>
      </c>
      <c r="BW215" s="523"/>
      <c r="BX215" s="523"/>
      <c r="BY215" s="523"/>
      <c r="BZ215" s="523"/>
      <c r="CA215" s="523"/>
      <c r="CB215" s="523"/>
      <c r="CC215" s="523"/>
      <c r="CD215" s="523"/>
      <c r="CE215" s="523"/>
      <c r="CF215" s="523"/>
      <c r="CG215" s="523"/>
      <c r="CH215" s="523"/>
      <c r="CI215" s="523">
        <f t="shared" si="49"/>
        <v>0</v>
      </c>
    </row>
    <row r="216" spans="1:87" ht="30" x14ac:dyDescent="0.2">
      <c r="A216" s="567" t="s">
        <v>1667</v>
      </c>
      <c r="B216" s="568">
        <v>83463</v>
      </c>
      <c r="C216" s="568" t="s">
        <v>1324</v>
      </c>
      <c r="D216" s="569" t="s">
        <v>1668</v>
      </c>
      <c r="E216" s="570" t="s">
        <v>102</v>
      </c>
      <c r="F216" s="577">
        <v>12.73</v>
      </c>
      <c r="G216" s="572">
        <v>211.62</v>
      </c>
      <c r="H216" s="570">
        <v>1</v>
      </c>
      <c r="I216" s="640">
        <f t="shared" si="50"/>
        <v>0</v>
      </c>
      <c r="J216" s="574">
        <f t="shared" si="51"/>
        <v>0</v>
      </c>
      <c r="K216" s="577">
        <f t="shared" si="46"/>
        <v>1</v>
      </c>
      <c r="L216" s="575">
        <f t="shared" ref="L216:O224" si="53">ROUND(H216*$G216,2)</f>
        <v>211.62</v>
      </c>
      <c r="M216" s="575">
        <f t="shared" si="53"/>
        <v>0</v>
      </c>
      <c r="N216" s="575">
        <f t="shared" si="53"/>
        <v>0</v>
      </c>
      <c r="O216" s="575">
        <f t="shared" si="53"/>
        <v>211.62</v>
      </c>
      <c r="P216" s="576">
        <f t="shared" si="48"/>
        <v>0</v>
      </c>
      <c r="Q216" s="525"/>
      <c r="S216" s="189">
        <v>0</v>
      </c>
      <c r="T216" s="189">
        <v>0</v>
      </c>
      <c r="BT216" s="525"/>
      <c r="BU216" s="523">
        <v>0</v>
      </c>
      <c r="BV216" s="523">
        <v>0</v>
      </c>
      <c r="BW216" s="523">
        <v>0</v>
      </c>
      <c r="BX216" s="523">
        <v>0</v>
      </c>
      <c r="BY216" s="523"/>
      <c r="BZ216" s="523"/>
      <c r="CA216" s="523"/>
      <c r="CB216" s="523"/>
      <c r="CC216" s="523"/>
      <c r="CD216" s="523"/>
      <c r="CE216" s="523"/>
      <c r="CF216" s="523"/>
      <c r="CG216" s="523"/>
      <c r="CH216" s="523"/>
      <c r="CI216" s="523">
        <f t="shared" si="49"/>
        <v>0</v>
      </c>
    </row>
    <row r="217" spans="1:87" ht="30" x14ac:dyDescent="0.2">
      <c r="A217" s="567" t="s">
        <v>1669</v>
      </c>
      <c r="B217" s="568" t="s">
        <v>1670</v>
      </c>
      <c r="C217" s="568" t="s">
        <v>1324</v>
      </c>
      <c r="D217" s="569" t="s">
        <v>1671</v>
      </c>
      <c r="E217" s="570" t="s">
        <v>102</v>
      </c>
      <c r="F217" s="577">
        <v>8.5299999999999994</v>
      </c>
      <c r="G217" s="572">
        <v>332.47</v>
      </c>
      <c r="H217" s="570">
        <v>1</v>
      </c>
      <c r="I217" s="640">
        <f t="shared" si="50"/>
        <v>0</v>
      </c>
      <c r="J217" s="574">
        <f t="shared" si="51"/>
        <v>0</v>
      </c>
      <c r="K217" s="577">
        <f t="shared" si="46"/>
        <v>1</v>
      </c>
      <c r="L217" s="575">
        <f t="shared" si="53"/>
        <v>332.47</v>
      </c>
      <c r="M217" s="575">
        <f t="shared" si="53"/>
        <v>0</v>
      </c>
      <c r="N217" s="575">
        <f t="shared" si="53"/>
        <v>0</v>
      </c>
      <c r="O217" s="575">
        <f t="shared" si="53"/>
        <v>332.47</v>
      </c>
      <c r="P217" s="576">
        <f t="shared" si="48"/>
        <v>0</v>
      </c>
      <c r="Q217" s="525"/>
      <c r="S217" s="189">
        <v>0</v>
      </c>
      <c r="T217" s="189">
        <v>0</v>
      </c>
      <c r="BT217" s="525"/>
      <c r="BU217" s="523">
        <v>0</v>
      </c>
      <c r="BV217" s="523">
        <v>0</v>
      </c>
      <c r="BW217" s="523">
        <v>0</v>
      </c>
      <c r="BX217" s="523">
        <v>0</v>
      </c>
      <c r="BY217" s="523"/>
      <c r="BZ217" s="523"/>
      <c r="CA217" s="523"/>
      <c r="CB217" s="523"/>
      <c r="CC217" s="523"/>
      <c r="CD217" s="523"/>
      <c r="CE217" s="523"/>
      <c r="CF217" s="523"/>
      <c r="CG217" s="523"/>
      <c r="CH217" s="523"/>
      <c r="CI217" s="523">
        <f t="shared" si="49"/>
        <v>0</v>
      </c>
    </row>
    <row r="218" spans="1:87" ht="15.75" x14ac:dyDescent="0.2">
      <c r="A218" s="567" t="s">
        <v>1672</v>
      </c>
      <c r="B218" s="568" t="s">
        <v>1673</v>
      </c>
      <c r="C218" s="568" t="s">
        <v>1343</v>
      </c>
      <c r="D218" s="569" t="s">
        <v>1674</v>
      </c>
      <c r="E218" s="570" t="s">
        <v>102</v>
      </c>
      <c r="F218" s="577">
        <v>22.59</v>
      </c>
      <c r="G218" s="572">
        <v>65.62</v>
      </c>
      <c r="H218" s="570">
        <v>1</v>
      </c>
      <c r="I218" s="640">
        <f t="shared" si="50"/>
        <v>0</v>
      </c>
      <c r="J218" s="574">
        <f t="shared" si="51"/>
        <v>0</v>
      </c>
      <c r="K218" s="577">
        <f t="shared" si="46"/>
        <v>1</v>
      </c>
      <c r="L218" s="575">
        <f t="shared" si="53"/>
        <v>65.62</v>
      </c>
      <c r="M218" s="575">
        <f t="shared" si="53"/>
        <v>0</v>
      </c>
      <c r="N218" s="575">
        <f t="shared" si="53"/>
        <v>0</v>
      </c>
      <c r="O218" s="575">
        <f t="shared" si="53"/>
        <v>65.62</v>
      </c>
      <c r="P218" s="576">
        <f t="shared" si="48"/>
        <v>0</v>
      </c>
      <c r="Q218" s="525"/>
      <c r="S218" s="189">
        <v>0</v>
      </c>
      <c r="T218" s="189">
        <v>0</v>
      </c>
      <c r="BT218" s="525"/>
      <c r="BU218" s="523">
        <v>0</v>
      </c>
      <c r="BV218" s="523">
        <v>0</v>
      </c>
      <c r="BW218" s="523">
        <v>0</v>
      </c>
      <c r="BX218" s="523">
        <v>0</v>
      </c>
      <c r="BY218" s="523"/>
      <c r="BZ218" s="523"/>
      <c r="CA218" s="523"/>
      <c r="CB218" s="523"/>
      <c r="CC218" s="523"/>
      <c r="CD218" s="523"/>
      <c r="CE218" s="523"/>
      <c r="CF218" s="523"/>
      <c r="CG218" s="523"/>
      <c r="CH218" s="523"/>
      <c r="CI218" s="523">
        <f t="shared" si="49"/>
        <v>0</v>
      </c>
    </row>
    <row r="219" spans="1:87" ht="15.75" x14ac:dyDescent="0.2">
      <c r="A219" s="567" t="s">
        <v>1675</v>
      </c>
      <c r="B219" s="568" t="s">
        <v>1676</v>
      </c>
      <c r="C219" s="568" t="s">
        <v>1324</v>
      </c>
      <c r="D219" s="569" t="s">
        <v>1677</v>
      </c>
      <c r="E219" s="570" t="s">
        <v>102</v>
      </c>
      <c r="F219" s="571"/>
      <c r="G219" s="572">
        <v>11.27</v>
      </c>
      <c r="H219" s="570">
        <v>7</v>
      </c>
      <c r="I219" s="640">
        <f t="shared" si="50"/>
        <v>0</v>
      </c>
      <c r="J219" s="574">
        <f t="shared" si="51"/>
        <v>0</v>
      </c>
      <c r="K219" s="577">
        <f t="shared" si="46"/>
        <v>7</v>
      </c>
      <c r="L219" s="575">
        <f t="shared" si="53"/>
        <v>78.89</v>
      </c>
      <c r="M219" s="575">
        <f t="shared" si="53"/>
        <v>0</v>
      </c>
      <c r="N219" s="575">
        <f t="shared" si="53"/>
        <v>0</v>
      </c>
      <c r="O219" s="575">
        <f t="shared" si="53"/>
        <v>78.89</v>
      </c>
      <c r="P219" s="576">
        <f t="shared" si="48"/>
        <v>0</v>
      </c>
      <c r="Q219" s="525"/>
      <c r="S219" s="189">
        <v>0</v>
      </c>
      <c r="T219" s="189">
        <v>0</v>
      </c>
      <c r="BT219" s="525"/>
      <c r="BU219" s="523">
        <v>0</v>
      </c>
      <c r="BV219" s="523">
        <v>0</v>
      </c>
      <c r="BW219" s="523">
        <v>0</v>
      </c>
      <c r="BX219" s="523">
        <v>0</v>
      </c>
      <c r="BY219" s="523"/>
      <c r="BZ219" s="523"/>
      <c r="CA219" s="523"/>
      <c r="CB219" s="523"/>
      <c r="CC219" s="523"/>
      <c r="CD219" s="523"/>
      <c r="CE219" s="523"/>
      <c r="CF219" s="523"/>
      <c r="CG219" s="523"/>
      <c r="CH219" s="523"/>
      <c r="CI219" s="523">
        <f t="shared" si="49"/>
        <v>0</v>
      </c>
    </row>
    <row r="220" spans="1:87" ht="15.75" x14ac:dyDescent="0.2">
      <c r="A220" s="567" t="s">
        <v>1678</v>
      </c>
      <c r="B220" s="568" t="s">
        <v>1676</v>
      </c>
      <c r="C220" s="568" t="s">
        <v>1324</v>
      </c>
      <c r="D220" s="569" t="s">
        <v>1679</v>
      </c>
      <c r="E220" s="570" t="s">
        <v>102</v>
      </c>
      <c r="F220" s="577">
        <v>4.09</v>
      </c>
      <c r="G220" s="572">
        <v>11.27</v>
      </c>
      <c r="H220" s="570">
        <v>5</v>
      </c>
      <c r="I220" s="640">
        <f t="shared" si="50"/>
        <v>0</v>
      </c>
      <c r="J220" s="574">
        <f t="shared" si="51"/>
        <v>0</v>
      </c>
      <c r="K220" s="577">
        <f t="shared" si="46"/>
        <v>5</v>
      </c>
      <c r="L220" s="575">
        <f t="shared" si="53"/>
        <v>56.35</v>
      </c>
      <c r="M220" s="575">
        <f t="shared" si="53"/>
        <v>0</v>
      </c>
      <c r="N220" s="575">
        <f t="shared" si="53"/>
        <v>0</v>
      </c>
      <c r="O220" s="575">
        <f t="shared" si="53"/>
        <v>56.35</v>
      </c>
      <c r="P220" s="576">
        <f t="shared" si="48"/>
        <v>0</v>
      </c>
      <c r="Q220" s="525"/>
      <c r="S220" s="189">
        <v>0</v>
      </c>
      <c r="T220" s="189">
        <v>0</v>
      </c>
      <c r="BT220" s="525"/>
      <c r="BU220" s="523">
        <v>0</v>
      </c>
      <c r="BV220" s="523">
        <v>0</v>
      </c>
      <c r="BW220" s="523">
        <v>0</v>
      </c>
      <c r="BX220" s="523">
        <v>0</v>
      </c>
      <c r="BY220" s="523"/>
      <c r="BZ220" s="523"/>
      <c r="CA220" s="523"/>
      <c r="CB220" s="523"/>
      <c r="CC220" s="523"/>
      <c r="CD220" s="523"/>
      <c r="CE220" s="523"/>
      <c r="CF220" s="523"/>
      <c r="CG220" s="523"/>
      <c r="CH220" s="523"/>
      <c r="CI220" s="523">
        <f t="shared" si="49"/>
        <v>0</v>
      </c>
    </row>
    <row r="221" spans="1:87" ht="15.75" x14ac:dyDescent="0.2">
      <c r="A221" s="567" t="s">
        <v>1680</v>
      </c>
      <c r="B221" s="568" t="s">
        <v>1676</v>
      </c>
      <c r="C221" s="568" t="s">
        <v>1324</v>
      </c>
      <c r="D221" s="569" t="s">
        <v>1681</v>
      </c>
      <c r="E221" s="570" t="s">
        <v>102</v>
      </c>
      <c r="F221" s="577">
        <v>5.71</v>
      </c>
      <c r="G221" s="572">
        <v>11.27</v>
      </c>
      <c r="H221" s="570">
        <v>8</v>
      </c>
      <c r="I221" s="640">
        <f t="shared" si="50"/>
        <v>0</v>
      </c>
      <c r="J221" s="574">
        <f t="shared" si="51"/>
        <v>0</v>
      </c>
      <c r="K221" s="577">
        <f t="shared" si="46"/>
        <v>8</v>
      </c>
      <c r="L221" s="575">
        <f t="shared" si="53"/>
        <v>90.16</v>
      </c>
      <c r="M221" s="575">
        <f t="shared" si="53"/>
        <v>0</v>
      </c>
      <c r="N221" s="575">
        <f t="shared" si="53"/>
        <v>0</v>
      </c>
      <c r="O221" s="575">
        <f t="shared" si="53"/>
        <v>90.16</v>
      </c>
      <c r="P221" s="576">
        <f t="shared" si="48"/>
        <v>0</v>
      </c>
      <c r="Q221" s="525"/>
      <c r="S221" s="189">
        <v>0</v>
      </c>
      <c r="T221" s="189">
        <v>0</v>
      </c>
      <c r="BT221" s="525"/>
      <c r="BU221" s="523">
        <v>0</v>
      </c>
      <c r="BV221" s="523">
        <v>0</v>
      </c>
      <c r="BW221" s="523">
        <v>0</v>
      </c>
      <c r="BX221" s="523">
        <v>0</v>
      </c>
      <c r="BY221" s="523"/>
      <c r="BZ221" s="523"/>
      <c r="CA221" s="523"/>
      <c r="CB221" s="523"/>
      <c r="CC221" s="523"/>
      <c r="CD221" s="523"/>
      <c r="CE221" s="523"/>
      <c r="CF221" s="523"/>
      <c r="CG221" s="523"/>
      <c r="CH221" s="523"/>
      <c r="CI221" s="523">
        <f t="shared" si="49"/>
        <v>0</v>
      </c>
    </row>
    <row r="222" spans="1:87" ht="15.75" x14ac:dyDescent="0.2">
      <c r="A222" s="567" t="s">
        <v>1682</v>
      </c>
      <c r="B222" s="568" t="s">
        <v>1683</v>
      </c>
      <c r="C222" s="568" t="s">
        <v>1324</v>
      </c>
      <c r="D222" s="569" t="s">
        <v>1684</v>
      </c>
      <c r="E222" s="570" t="s">
        <v>102</v>
      </c>
      <c r="F222" s="577">
        <v>8.99</v>
      </c>
      <c r="G222" s="572">
        <v>97.76</v>
      </c>
      <c r="H222" s="570">
        <v>2</v>
      </c>
      <c r="I222" s="640">
        <f t="shared" si="50"/>
        <v>0</v>
      </c>
      <c r="J222" s="574">
        <f t="shared" si="51"/>
        <v>0</v>
      </c>
      <c r="K222" s="577">
        <f t="shared" si="46"/>
        <v>2</v>
      </c>
      <c r="L222" s="575">
        <f t="shared" si="53"/>
        <v>195.52</v>
      </c>
      <c r="M222" s="575">
        <f t="shared" si="53"/>
        <v>0</v>
      </c>
      <c r="N222" s="575">
        <f t="shared" si="53"/>
        <v>0</v>
      </c>
      <c r="O222" s="575">
        <f t="shared" si="53"/>
        <v>195.52</v>
      </c>
      <c r="P222" s="576">
        <f t="shared" si="48"/>
        <v>0</v>
      </c>
      <c r="Q222" s="525"/>
      <c r="S222" s="189">
        <v>0</v>
      </c>
      <c r="T222" s="189">
        <v>0</v>
      </c>
      <c r="BT222" s="525"/>
      <c r="BU222" s="523">
        <v>0</v>
      </c>
      <c r="BV222" s="523">
        <v>0</v>
      </c>
      <c r="BW222" s="523">
        <v>0</v>
      </c>
      <c r="BX222" s="523">
        <v>0</v>
      </c>
      <c r="BY222" s="523"/>
      <c r="BZ222" s="523"/>
      <c r="CA222" s="523"/>
      <c r="CB222" s="523"/>
      <c r="CC222" s="523"/>
      <c r="CD222" s="523"/>
      <c r="CE222" s="523"/>
      <c r="CF222" s="523"/>
      <c r="CG222" s="523"/>
      <c r="CH222" s="523"/>
      <c r="CI222" s="523">
        <f t="shared" si="49"/>
        <v>0</v>
      </c>
    </row>
    <row r="223" spans="1:87" ht="15.75" x14ac:dyDescent="0.2">
      <c r="A223" s="567" t="s">
        <v>1685</v>
      </c>
      <c r="B223" s="568" t="s">
        <v>1686</v>
      </c>
      <c r="C223" s="568" t="s">
        <v>1324</v>
      </c>
      <c r="D223" s="569" t="s">
        <v>1687</v>
      </c>
      <c r="E223" s="570" t="s">
        <v>102</v>
      </c>
      <c r="F223" s="577">
        <v>23.78</v>
      </c>
      <c r="G223" s="572">
        <v>276.94</v>
      </c>
      <c r="H223" s="570">
        <v>1</v>
      </c>
      <c r="I223" s="640">
        <f t="shared" si="50"/>
        <v>0</v>
      </c>
      <c r="J223" s="574">
        <f t="shared" si="51"/>
        <v>0</v>
      </c>
      <c r="K223" s="577">
        <f t="shared" si="46"/>
        <v>1</v>
      </c>
      <c r="L223" s="575">
        <f t="shared" si="53"/>
        <v>276.94</v>
      </c>
      <c r="M223" s="575">
        <f t="shared" si="53"/>
        <v>0</v>
      </c>
      <c r="N223" s="575">
        <f t="shared" si="53"/>
        <v>0</v>
      </c>
      <c r="O223" s="575">
        <f t="shared" si="53"/>
        <v>276.94</v>
      </c>
      <c r="P223" s="576">
        <f t="shared" si="48"/>
        <v>0</v>
      </c>
      <c r="Q223" s="525"/>
      <c r="S223" s="189">
        <v>0</v>
      </c>
      <c r="T223" s="189">
        <v>0</v>
      </c>
      <c r="BT223" s="525"/>
      <c r="BU223" s="523">
        <v>0</v>
      </c>
      <c r="BV223" s="523">
        <v>0</v>
      </c>
      <c r="BW223" s="523">
        <v>0</v>
      </c>
      <c r="BX223" s="523">
        <v>0</v>
      </c>
      <c r="BY223" s="523"/>
      <c r="BZ223" s="523"/>
      <c r="CA223" s="523"/>
      <c r="CB223" s="523"/>
      <c r="CC223" s="523"/>
      <c r="CD223" s="523"/>
      <c r="CE223" s="523"/>
      <c r="CF223" s="523"/>
      <c r="CG223" s="523"/>
      <c r="CH223" s="523"/>
      <c r="CI223" s="523">
        <f t="shared" si="49"/>
        <v>0</v>
      </c>
    </row>
    <row r="224" spans="1:87" s="517" customFormat="1" ht="30" x14ac:dyDescent="0.2">
      <c r="A224" s="567" t="s">
        <v>1688</v>
      </c>
      <c r="B224" s="568" t="s">
        <v>2007</v>
      </c>
      <c r="C224" s="568" t="s">
        <v>1339</v>
      </c>
      <c r="D224" s="569" t="s">
        <v>1689</v>
      </c>
      <c r="E224" s="570" t="s">
        <v>102</v>
      </c>
      <c r="F224" s="577">
        <v>72.209999999999994</v>
      </c>
      <c r="G224" s="572">
        <v>101.01</v>
      </c>
      <c r="H224" s="570">
        <v>4</v>
      </c>
      <c r="I224" s="640">
        <f t="shared" si="50"/>
        <v>0</v>
      </c>
      <c r="J224" s="574">
        <f t="shared" si="51"/>
        <v>0</v>
      </c>
      <c r="K224" s="577">
        <f t="shared" si="46"/>
        <v>4</v>
      </c>
      <c r="L224" s="575">
        <f t="shared" si="53"/>
        <v>404.04</v>
      </c>
      <c r="M224" s="575">
        <f t="shared" si="53"/>
        <v>0</v>
      </c>
      <c r="N224" s="575">
        <f t="shared" si="53"/>
        <v>0</v>
      </c>
      <c r="O224" s="575">
        <f t="shared" si="53"/>
        <v>404.04</v>
      </c>
      <c r="P224" s="576">
        <f t="shared" si="48"/>
        <v>0</v>
      </c>
      <c r="Q224" s="525"/>
      <c r="S224" s="191">
        <v>0</v>
      </c>
      <c r="T224" s="191">
        <v>0</v>
      </c>
      <c r="BT224" s="525"/>
      <c r="BU224" s="523">
        <v>0</v>
      </c>
      <c r="BV224" s="523">
        <v>0</v>
      </c>
      <c r="BW224" s="523">
        <v>0</v>
      </c>
      <c r="BX224" s="523">
        <v>0</v>
      </c>
      <c r="BY224" s="523"/>
      <c r="BZ224" s="523"/>
      <c r="CA224" s="523"/>
      <c r="CB224" s="523"/>
      <c r="CC224" s="523"/>
      <c r="CD224" s="523"/>
      <c r="CE224" s="523"/>
      <c r="CF224" s="523"/>
      <c r="CG224" s="523"/>
      <c r="CH224" s="523"/>
      <c r="CI224" s="523">
        <f t="shared" si="49"/>
        <v>0</v>
      </c>
    </row>
    <row r="225" spans="1:87" s="110" customFormat="1" ht="15.75" x14ac:dyDescent="0.2">
      <c r="A225" s="584" t="s">
        <v>631</v>
      </c>
      <c r="B225" s="585"/>
      <c r="C225" s="585"/>
      <c r="D225" s="586" t="s">
        <v>1690</v>
      </c>
      <c r="E225" s="587"/>
      <c r="F225" s="587">
        <f>SUM(F226:F246)</f>
        <v>274.84000000000003</v>
      </c>
      <c r="G225" s="618"/>
      <c r="H225" s="587"/>
      <c r="I225" s="587">
        <f t="shared" si="50"/>
        <v>46</v>
      </c>
      <c r="J225" s="599">
        <f t="shared" si="51"/>
        <v>46</v>
      </c>
      <c r="K225" s="642">
        <f t="shared" si="46"/>
        <v>-46</v>
      </c>
      <c r="L225" s="587">
        <f>SUM(L226:L246)</f>
        <v>3741.5200000000004</v>
      </c>
      <c r="M225" s="587">
        <f>SUM(M226:M246)</f>
        <v>311.62</v>
      </c>
      <c r="N225" s="587">
        <f>SUM(N226:N246)</f>
        <v>311.62</v>
      </c>
      <c r="O225" s="587">
        <f>SUM(O226:O246)</f>
        <v>3429.9</v>
      </c>
      <c r="P225" s="592">
        <f t="shared" si="48"/>
        <v>8.3287006350360279E-2</v>
      </c>
      <c r="Q225" s="525"/>
      <c r="S225" s="192">
        <v>28</v>
      </c>
      <c r="T225" s="192">
        <v>0</v>
      </c>
      <c r="BT225" s="525"/>
      <c r="BU225" s="523">
        <v>46</v>
      </c>
      <c r="BV225" s="523">
        <v>0</v>
      </c>
      <c r="BW225" s="523"/>
      <c r="BX225" s="523"/>
      <c r="BY225" s="523"/>
      <c r="BZ225" s="523"/>
      <c r="CA225" s="523"/>
      <c r="CB225" s="523"/>
      <c r="CC225" s="523"/>
      <c r="CD225" s="523"/>
      <c r="CE225" s="523"/>
      <c r="CF225" s="523"/>
      <c r="CG225" s="523"/>
      <c r="CH225" s="523"/>
      <c r="CI225" s="523">
        <f t="shared" si="49"/>
        <v>46</v>
      </c>
    </row>
    <row r="226" spans="1:87" s="110" customFormat="1" ht="30" x14ac:dyDescent="0.2">
      <c r="A226" s="612" t="s">
        <v>1691</v>
      </c>
      <c r="B226" s="613">
        <v>91854</v>
      </c>
      <c r="C226" s="613" t="s">
        <v>1324</v>
      </c>
      <c r="D226" s="614" t="s">
        <v>1692</v>
      </c>
      <c r="E226" s="615" t="s">
        <v>81</v>
      </c>
      <c r="F226" s="577">
        <v>6.88</v>
      </c>
      <c r="G226" s="616">
        <v>6.16</v>
      </c>
      <c r="H226" s="615">
        <v>28</v>
      </c>
      <c r="I226" s="643">
        <f t="shared" si="50"/>
        <v>28</v>
      </c>
      <c r="J226" s="574">
        <f t="shared" si="51"/>
        <v>28</v>
      </c>
      <c r="K226" s="644">
        <f t="shared" si="46"/>
        <v>0</v>
      </c>
      <c r="L226" s="575">
        <f t="shared" ref="L226:O246" si="54">ROUND(H226*$G226,2)</f>
        <v>172.48</v>
      </c>
      <c r="M226" s="575">
        <f t="shared" si="54"/>
        <v>172.48</v>
      </c>
      <c r="N226" s="575">
        <f t="shared" si="54"/>
        <v>172.48</v>
      </c>
      <c r="O226" s="575">
        <f t="shared" si="54"/>
        <v>0</v>
      </c>
      <c r="P226" s="617">
        <f t="shared" si="48"/>
        <v>1</v>
      </c>
      <c r="Q226" s="525"/>
      <c r="S226" s="192">
        <v>18</v>
      </c>
      <c r="T226" s="192">
        <v>0</v>
      </c>
      <c r="BT226" s="525"/>
      <c r="BU226" s="523">
        <v>28</v>
      </c>
      <c r="BV226" s="523">
        <v>0</v>
      </c>
      <c r="BW226" s="523">
        <v>0</v>
      </c>
      <c r="BX226" s="523">
        <v>0</v>
      </c>
      <c r="BY226" s="523"/>
      <c r="BZ226" s="523"/>
      <c r="CA226" s="523"/>
      <c r="CB226" s="523"/>
      <c r="CC226" s="523"/>
      <c r="CD226" s="523"/>
      <c r="CE226" s="523"/>
      <c r="CF226" s="523"/>
      <c r="CG226" s="523"/>
      <c r="CH226" s="523"/>
      <c r="CI226" s="523">
        <f t="shared" si="49"/>
        <v>28</v>
      </c>
    </row>
    <row r="227" spans="1:87" ht="30" x14ac:dyDescent="0.2">
      <c r="A227" s="612" t="s">
        <v>1693</v>
      </c>
      <c r="B227" s="613">
        <v>91856</v>
      </c>
      <c r="C227" s="613" t="s">
        <v>1324</v>
      </c>
      <c r="D227" s="614" t="s">
        <v>1694</v>
      </c>
      <c r="E227" s="615" t="s">
        <v>81</v>
      </c>
      <c r="F227" s="577">
        <v>9.86</v>
      </c>
      <c r="G227" s="616">
        <v>7.73</v>
      </c>
      <c r="H227" s="615">
        <v>18</v>
      </c>
      <c r="I227" s="643">
        <f t="shared" si="50"/>
        <v>18</v>
      </c>
      <c r="J227" s="574">
        <f t="shared" si="51"/>
        <v>18</v>
      </c>
      <c r="K227" s="644">
        <f t="shared" si="46"/>
        <v>0</v>
      </c>
      <c r="L227" s="575">
        <f t="shared" si="54"/>
        <v>139.13999999999999</v>
      </c>
      <c r="M227" s="575">
        <f t="shared" si="54"/>
        <v>139.13999999999999</v>
      </c>
      <c r="N227" s="575">
        <f t="shared" si="54"/>
        <v>139.13999999999999</v>
      </c>
      <c r="O227" s="575">
        <f t="shared" si="54"/>
        <v>0</v>
      </c>
      <c r="P227" s="617">
        <f t="shared" si="48"/>
        <v>1</v>
      </c>
      <c r="Q227" s="525"/>
      <c r="S227" s="189">
        <v>0</v>
      </c>
      <c r="T227" s="189">
        <v>0</v>
      </c>
      <c r="BT227" s="525"/>
      <c r="BU227" s="523">
        <v>18</v>
      </c>
      <c r="BV227" s="523">
        <v>0</v>
      </c>
      <c r="BW227" s="523">
        <v>0</v>
      </c>
      <c r="BX227" s="523">
        <v>0</v>
      </c>
      <c r="BY227" s="523"/>
      <c r="BZ227" s="523"/>
      <c r="CA227" s="523"/>
      <c r="CB227" s="523"/>
      <c r="CC227" s="523"/>
      <c r="CD227" s="523"/>
      <c r="CE227" s="523"/>
      <c r="CF227" s="523"/>
      <c r="CG227" s="523"/>
      <c r="CH227" s="523"/>
      <c r="CI227" s="523">
        <f t="shared" si="49"/>
        <v>18</v>
      </c>
    </row>
    <row r="228" spans="1:87" ht="15.75" x14ac:dyDescent="0.2">
      <c r="A228" s="567" t="s">
        <v>1695</v>
      </c>
      <c r="B228" s="568">
        <v>91873</v>
      </c>
      <c r="C228" s="568" t="s">
        <v>1324</v>
      </c>
      <c r="D228" s="569" t="s">
        <v>1696</v>
      </c>
      <c r="E228" s="570" t="s">
        <v>81</v>
      </c>
      <c r="F228" s="577">
        <v>10.4</v>
      </c>
      <c r="G228" s="572">
        <v>12.57</v>
      </c>
      <c r="H228" s="570">
        <v>18</v>
      </c>
      <c r="I228" s="640">
        <f t="shared" si="50"/>
        <v>0</v>
      </c>
      <c r="J228" s="574">
        <f t="shared" si="51"/>
        <v>0</v>
      </c>
      <c r="K228" s="577">
        <f t="shared" si="46"/>
        <v>18</v>
      </c>
      <c r="L228" s="575">
        <f t="shared" si="54"/>
        <v>226.26</v>
      </c>
      <c r="M228" s="575">
        <f t="shared" si="54"/>
        <v>0</v>
      </c>
      <c r="N228" s="575">
        <f t="shared" si="54"/>
        <v>0</v>
      </c>
      <c r="O228" s="575">
        <f t="shared" si="54"/>
        <v>226.26</v>
      </c>
      <c r="P228" s="576">
        <f t="shared" si="48"/>
        <v>0</v>
      </c>
      <c r="Q228" s="525"/>
      <c r="S228" s="189">
        <v>0</v>
      </c>
      <c r="T228" s="189">
        <v>0</v>
      </c>
      <c r="BT228" s="525"/>
      <c r="BU228" s="523">
        <v>0</v>
      </c>
      <c r="BV228" s="523">
        <v>0</v>
      </c>
      <c r="BW228" s="523">
        <v>0</v>
      </c>
      <c r="BX228" s="523">
        <v>0</v>
      </c>
      <c r="BY228" s="523"/>
      <c r="BZ228" s="523"/>
      <c r="CA228" s="523"/>
      <c r="CB228" s="523"/>
      <c r="CC228" s="523"/>
      <c r="CD228" s="523"/>
      <c r="CE228" s="523"/>
      <c r="CF228" s="523"/>
      <c r="CG228" s="523"/>
      <c r="CH228" s="523"/>
      <c r="CI228" s="523">
        <f t="shared" si="49"/>
        <v>0</v>
      </c>
    </row>
    <row r="229" spans="1:87" ht="15.75" x14ac:dyDescent="0.2">
      <c r="A229" s="567" t="s">
        <v>1697</v>
      </c>
      <c r="B229" s="568">
        <v>72308</v>
      </c>
      <c r="C229" s="568" t="s">
        <v>1324</v>
      </c>
      <c r="D229" s="569" t="s">
        <v>1698</v>
      </c>
      <c r="E229" s="570" t="s">
        <v>81</v>
      </c>
      <c r="F229" s="577">
        <v>9.6</v>
      </c>
      <c r="G229" s="572">
        <v>14.39</v>
      </c>
      <c r="H229" s="570">
        <v>82</v>
      </c>
      <c r="I229" s="640">
        <f t="shared" si="50"/>
        <v>0</v>
      </c>
      <c r="J229" s="574">
        <f t="shared" si="51"/>
        <v>0</v>
      </c>
      <c r="K229" s="577">
        <f t="shared" si="46"/>
        <v>82</v>
      </c>
      <c r="L229" s="575">
        <f t="shared" si="54"/>
        <v>1179.98</v>
      </c>
      <c r="M229" s="575">
        <f t="shared" si="54"/>
        <v>0</v>
      </c>
      <c r="N229" s="575">
        <f t="shared" si="54"/>
        <v>0</v>
      </c>
      <c r="O229" s="575">
        <f t="shared" si="54"/>
        <v>1179.98</v>
      </c>
      <c r="P229" s="576">
        <f t="shared" si="48"/>
        <v>0</v>
      </c>
      <c r="Q229" s="525"/>
      <c r="S229" s="189">
        <v>0</v>
      </c>
      <c r="T229" s="189">
        <v>0</v>
      </c>
      <c r="BT229" s="525"/>
      <c r="BU229" s="523">
        <v>0</v>
      </c>
      <c r="BV229" s="523">
        <v>0</v>
      </c>
      <c r="BW229" s="523">
        <v>0</v>
      </c>
      <c r="BX229" s="523">
        <v>0</v>
      </c>
      <c r="BY229" s="523"/>
      <c r="BZ229" s="523"/>
      <c r="CA229" s="523"/>
      <c r="CB229" s="523"/>
      <c r="CC229" s="523"/>
      <c r="CD229" s="523"/>
      <c r="CE229" s="523"/>
      <c r="CF229" s="523"/>
      <c r="CG229" s="523"/>
      <c r="CH229" s="523"/>
      <c r="CI229" s="523">
        <f t="shared" si="49"/>
        <v>0</v>
      </c>
    </row>
    <row r="230" spans="1:87" ht="15.75" x14ac:dyDescent="0.2">
      <c r="A230" s="567" t="s">
        <v>1699</v>
      </c>
      <c r="B230" s="568">
        <v>72309</v>
      </c>
      <c r="C230" s="568" t="s">
        <v>1324</v>
      </c>
      <c r="D230" s="569" t="s">
        <v>1700</v>
      </c>
      <c r="E230" s="570" t="s">
        <v>81</v>
      </c>
      <c r="F230" s="577">
        <v>7.38</v>
      </c>
      <c r="G230" s="572">
        <v>22.92</v>
      </c>
      <c r="H230" s="570">
        <v>13</v>
      </c>
      <c r="I230" s="640">
        <f t="shared" si="50"/>
        <v>0</v>
      </c>
      <c r="J230" s="574">
        <f t="shared" si="51"/>
        <v>0</v>
      </c>
      <c r="K230" s="577">
        <f t="shared" si="46"/>
        <v>13</v>
      </c>
      <c r="L230" s="575">
        <f t="shared" si="54"/>
        <v>297.95999999999998</v>
      </c>
      <c r="M230" s="575">
        <f t="shared" si="54"/>
        <v>0</v>
      </c>
      <c r="N230" s="575">
        <f t="shared" si="54"/>
        <v>0</v>
      </c>
      <c r="O230" s="575">
        <f t="shared" si="54"/>
        <v>297.95999999999998</v>
      </c>
      <c r="P230" s="576">
        <f t="shared" si="48"/>
        <v>0</v>
      </c>
      <c r="Q230" s="525"/>
      <c r="S230" s="189">
        <v>0</v>
      </c>
      <c r="T230" s="189">
        <v>0</v>
      </c>
      <c r="BT230" s="525"/>
      <c r="BU230" s="523">
        <v>0</v>
      </c>
      <c r="BV230" s="523">
        <v>0</v>
      </c>
      <c r="BW230" s="523">
        <v>0</v>
      </c>
      <c r="BX230" s="523">
        <v>0</v>
      </c>
      <c r="BY230" s="523"/>
      <c r="BZ230" s="523"/>
      <c r="CA230" s="523"/>
      <c r="CB230" s="523"/>
      <c r="CC230" s="523"/>
      <c r="CD230" s="523"/>
      <c r="CE230" s="523"/>
      <c r="CF230" s="523"/>
      <c r="CG230" s="523"/>
      <c r="CH230" s="523"/>
      <c r="CI230" s="523">
        <f t="shared" si="49"/>
        <v>0</v>
      </c>
    </row>
    <row r="231" spans="1:87" ht="15.75" x14ac:dyDescent="0.2">
      <c r="A231" s="567" t="s">
        <v>2011</v>
      </c>
      <c r="B231" s="568" t="s">
        <v>2012</v>
      </c>
      <c r="C231" s="568" t="s">
        <v>1324</v>
      </c>
      <c r="D231" s="569" t="s">
        <v>1702</v>
      </c>
      <c r="E231" s="570" t="s">
        <v>81</v>
      </c>
      <c r="F231" s="571"/>
      <c r="G231" s="572">
        <v>24.94</v>
      </c>
      <c r="H231" s="570">
        <v>30</v>
      </c>
      <c r="I231" s="640">
        <f t="shared" si="50"/>
        <v>0</v>
      </c>
      <c r="J231" s="574">
        <f t="shared" si="51"/>
        <v>0</v>
      </c>
      <c r="K231" s="577">
        <f t="shared" si="46"/>
        <v>30</v>
      </c>
      <c r="L231" s="575">
        <f t="shared" si="54"/>
        <v>748.2</v>
      </c>
      <c r="M231" s="575">
        <f t="shared" si="54"/>
        <v>0</v>
      </c>
      <c r="N231" s="575">
        <f t="shared" si="54"/>
        <v>0</v>
      </c>
      <c r="O231" s="575">
        <f t="shared" si="54"/>
        <v>748.2</v>
      </c>
      <c r="P231" s="576">
        <f t="shared" si="48"/>
        <v>0</v>
      </c>
      <c r="Q231" s="525"/>
      <c r="S231" s="189">
        <v>0</v>
      </c>
      <c r="T231" s="189">
        <v>0</v>
      </c>
      <c r="BT231" s="525"/>
      <c r="BU231" s="523">
        <v>0</v>
      </c>
      <c r="BV231" s="523">
        <v>0</v>
      </c>
      <c r="BW231" s="523">
        <v>0</v>
      </c>
      <c r="BX231" s="523">
        <v>0</v>
      </c>
      <c r="BY231" s="523"/>
      <c r="BZ231" s="523"/>
      <c r="CA231" s="523"/>
      <c r="CB231" s="523"/>
      <c r="CC231" s="523"/>
      <c r="CD231" s="523"/>
      <c r="CE231" s="523"/>
      <c r="CF231" s="523"/>
      <c r="CG231" s="523"/>
      <c r="CH231" s="523"/>
      <c r="CI231" s="523">
        <f t="shared" si="49"/>
        <v>0</v>
      </c>
    </row>
    <row r="232" spans="1:87" ht="30" x14ac:dyDescent="0.2">
      <c r="A232" s="567" t="s">
        <v>1703</v>
      </c>
      <c r="B232" s="568" t="s">
        <v>1704</v>
      </c>
      <c r="C232" s="568" t="s">
        <v>1324</v>
      </c>
      <c r="D232" s="569" t="s">
        <v>1705</v>
      </c>
      <c r="E232" s="570" t="s">
        <v>102</v>
      </c>
      <c r="F232" s="577">
        <v>3.06</v>
      </c>
      <c r="G232" s="572">
        <v>23.12</v>
      </c>
      <c r="H232" s="570">
        <v>5</v>
      </c>
      <c r="I232" s="640">
        <f t="shared" si="50"/>
        <v>0</v>
      </c>
      <c r="J232" s="574">
        <f t="shared" si="51"/>
        <v>0</v>
      </c>
      <c r="K232" s="577">
        <f t="shared" si="46"/>
        <v>5</v>
      </c>
      <c r="L232" s="575">
        <f t="shared" si="54"/>
        <v>115.6</v>
      </c>
      <c r="M232" s="575">
        <f t="shared" si="54"/>
        <v>0</v>
      </c>
      <c r="N232" s="575">
        <f t="shared" si="54"/>
        <v>0</v>
      </c>
      <c r="O232" s="575">
        <f t="shared" si="54"/>
        <v>115.6</v>
      </c>
      <c r="P232" s="576">
        <f t="shared" si="48"/>
        <v>0</v>
      </c>
      <c r="Q232" s="525"/>
      <c r="S232" s="189">
        <v>0</v>
      </c>
      <c r="T232" s="189">
        <v>0</v>
      </c>
      <c r="BT232" s="525"/>
      <c r="BU232" s="523">
        <v>0</v>
      </c>
      <c r="BV232" s="523">
        <v>0</v>
      </c>
      <c r="BW232" s="523">
        <v>0</v>
      </c>
      <c r="BX232" s="523">
        <v>0</v>
      </c>
      <c r="BY232" s="523"/>
      <c r="BZ232" s="523"/>
      <c r="CA232" s="523"/>
      <c r="CB232" s="523"/>
      <c r="CC232" s="523"/>
      <c r="CD232" s="523"/>
      <c r="CE232" s="523"/>
      <c r="CF232" s="523"/>
      <c r="CG232" s="523"/>
      <c r="CH232" s="523"/>
      <c r="CI232" s="523">
        <f t="shared" si="49"/>
        <v>0</v>
      </c>
    </row>
    <row r="233" spans="1:87" ht="30" x14ac:dyDescent="0.2">
      <c r="A233" s="567" t="s">
        <v>1706</v>
      </c>
      <c r="B233" s="568" t="s">
        <v>1707</v>
      </c>
      <c r="C233" s="568" t="s">
        <v>1324</v>
      </c>
      <c r="D233" s="569" t="s">
        <v>1708</v>
      </c>
      <c r="E233" s="570" t="s">
        <v>102</v>
      </c>
      <c r="F233" s="577">
        <v>4.18</v>
      </c>
      <c r="G233" s="572">
        <v>25.34</v>
      </c>
      <c r="H233" s="570">
        <v>5</v>
      </c>
      <c r="I233" s="640">
        <f t="shared" si="50"/>
        <v>0</v>
      </c>
      <c r="J233" s="574">
        <f t="shared" si="51"/>
        <v>0</v>
      </c>
      <c r="K233" s="577">
        <f t="shared" si="46"/>
        <v>5</v>
      </c>
      <c r="L233" s="575">
        <f t="shared" si="54"/>
        <v>126.7</v>
      </c>
      <c r="M233" s="575">
        <f t="shared" si="54"/>
        <v>0</v>
      </c>
      <c r="N233" s="575">
        <f t="shared" si="54"/>
        <v>0</v>
      </c>
      <c r="O233" s="575">
        <f t="shared" si="54"/>
        <v>126.7</v>
      </c>
      <c r="P233" s="576">
        <f t="shared" si="48"/>
        <v>0</v>
      </c>
      <c r="Q233" s="525"/>
      <c r="S233" s="189">
        <v>0</v>
      </c>
      <c r="T233" s="189">
        <v>0</v>
      </c>
      <c r="BT233" s="525"/>
      <c r="BU233" s="523">
        <v>0</v>
      </c>
      <c r="BV233" s="523">
        <v>0</v>
      </c>
      <c r="BW233" s="523">
        <v>0</v>
      </c>
      <c r="BX233" s="523">
        <v>0</v>
      </c>
      <c r="BY233" s="523"/>
      <c r="BZ233" s="523"/>
      <c r="CA233" s="523"/>
      <c r="CB233" s="523"/>
      <c r="CC233" s="523"/>
      <c r="CD233" s="523"/>
      <c r="CE233" s="523"/>
      <c r="CF233" s="523"/>
      <c r="CG233" s="523"/>
      <c r="CH233" s="523"/>
      <c r="CI233" s="523">
        <f t="shared" si="49"/>
        <v>0</v>
      </c>
    </row>
    <row r="234" spans="1:87" ht="30" x14ac:dyDescent="0.2">
      <c r="A234" s="567" t="s">
        <v>1709</v>
      </c>
      <c r="B234" s="568" t="s">
        <v>1704</v>
      </c>
      <c r="C234" s="568" t="s">
        <v>1324</v>
      </c>
      <c r="D234" s="569" t="s">
        <v>1710</v>
      </c>
      <c r="E234" s="570" t="s">
        <v>102</v>
      </c>
      <c r="F234" s="577">
        <v>6.7</v>
      </c>
      <c r="G234" s="572">
        <v>25.88</v>
      </c>
      <c r="H234" s="570">
        <v>4</v>
      </c>
      <c r="I234" s="640">
        <f t="shared" si="50"/>
        <v>0</v>
      </c>
      <c r="J234" s="574">
        <f t="shared" si="51"/>
        <v>0</v>
      </c>
      <c r="K234" s="577">
        <f t="shared" si="46"/>
        <v>4</v>
      </c>
      <c r="L234" s="575">
        <f t="shared" si="54"/>
        <v>103.52</v>
      </c>
      <c r="M234" s="575">
        <f t="shared" si="54"/>
        <v>0</v>
      </c>
      <c r="N234" s="575">
        <f t="shared" si="54"/>
        <v>0</v>
      </c>
      <c r="O234" s="575">
        <f t="shared" si="54"/>
        <v>103.52</v>
      </c>
      <c r="P234" s="576">
        <f t="shared" si="48"/>
        <v>0</v>
      </c>
      <c r="Q234" s="525"/>
      <c r="S234" s="189">
        <v>0</v>
      </c>
      <c r="T234" s="189">
        <v>0</v>
      </c>
      <c r="BT234" s="525"/>
      <c r="BU234" s="523">
        <v>0</v>
      </c>
      <c r="BV234" s="523">
        <v>0</v>
      </c>
      <c r="BW234" s="523">
        <v>0</v>
      </c>
      <c r="BX234" s="523">
        <v>0</v>
      </c>
      <c r="BY234" s="523"/>
      <c r="BZ234" s="523"/>
      <c r="CA234" s="523"/>
      <c r="CB234" s="523"/>
      <c r="CC234" s="523"/>
      <c r="CD234" s="523"/>
      <c r="CE234" s="523"/>
      <c r="CF234" s="523"/>
      <c r="CG234" s="523"/>
      <c r="CH234" s="523"/>
      <c r="CI234" s="523">
        <f t="shared" si="49"/>
        <v>0</v>
      </c>
    </row>
    <row r="235" spans="1:87" ht="30" x14ac:dyDescent="0.2">
      <c r="A235" s="567" t="s">
        <v>1711</v>
      </c>
      <c r="B235" s="568" t="s">
        <v>1712</v>
      </c>
      <c r="C235" s="568" t="s">
        <v>1324</v>
      </c>
      <c r="D235" s="569" t="s">
        <v>1713</v>
      </c>
      <c r="E235" s="570" t="s">
        <v>102</v>
      </c>
      <c r="F235" s="577">
        <v>12.3</v>
      </c>
      <c r="G235" s="572">
        <v>26.28</v>
      </c>
      <c r="H235" s="570">
        <v>1</v>
      </c>
      <c r="I235" s="640">
        <f t="shared" si="50"/>
        <v>0</v>
      </c>
      <c r="J235" s="574">
        <f t="shared" si="51"/>
        <v>0</v>
      </c>
      <c r="K235" s="577">
        <f t="shared" si="46"/>
        <v>1</v>
      </c>
      <c r="L235" s="575">
        <f t="shared" si="54"/>
        <v>26.28</v>
      </c>
      <c r="M235" s="575">
        <f t="shared" si="54"/>
        <v>0</v>
      </c>
      <c r="N235" s="575">
        <f t="shared" si="54"/>
        <v>0</v>
      </c>
      <c r="O235" s="575">
        <f t="shared" si="54"/>
        <v>26.28</v>
      </c>
      <c r="P235" s="576">
        <f t="shared" si="48"/>
        <v>0</v>
      </c>
      <c r="Q235" s="525"/>
      <c r="S235" s="189">
        <v>0</v>
      </c>
      <c r="T235" s="189">
        <v>0</v>
      </c>
      <c r="BT235" s="525"/>
      <c r="BU235" s="523">
        <v>0</v>
      </c>
      <c r="BV235" s="523">
        <v>0</v>
      </c>
      <c r="BW235" s="523">
        <v>0</v>
      </c>
      <c r="BX235" s="523">
        <v>0</v>
      </c>
      <c r="BY235" s="523"/>
      <c r="BZ235" s="523"/>
      <c r="CA235" s="523"/>
      <c r="CB235" s="523"/>
      <c r="CC235" s="523"/>
      <c r="CD235" s="523"/>
      <c r="CE235" s="523"/>
      <c r="CF235" s="523"/>
      <c r="CG235" s="523"/>
      <c r="CH235" s="523"/>
      <c r="CI235" s="523">
        <f t="shared" si="49"/>
        <v>0</v>
      </c>
    </row>
    <row r="236" spans="1:87" ht="15.75" x14ac:dyDescent="0.2">
      <c r="A236" s="567" t="s">
        <v>1714</v>
      </c>
      <c r="B236" s="568" t="s">
        <v>1715</v>
      </c>
      <c r="C236" s="568" t="s">
        <v>1343</v>
      </c>
      <c r="D236" s="569" t="s">
        <v>1716</v>
      </c>
      <c r="E236" s="570" t="s">
        <v>102</v>
      </c>
      <c r="F236" s="577">
        <v>33.06</v>
      </c>
      <c r="G236" s="572">
        <v>1.94</v>
      </c>
      <c r="H236" s="570">
        <v>50</v>
      </c>
      <c r="I236" s="640">
        <f t="shared" si="50"/>
        <v>0</v>
      </c>
      <c r="J236" s="574">
        <f t="shared" si="51"/>
        <v>0</v>
      </c>
      <c r="K236" s="577">
        <f t="shared" si="46"/>
        <v>50</v>
      </c>
      <c r="L236" s="575">
        <f t="shared" si="54"/>
        <v>97</v>
      </c>
      <c r="M236" s="575">
        <f t="shared" si="54"/>
        <v>0</v>
      </c>
      <c r="N236" s="575">
        <f t="shared" si="54"/>
        <v>0</v>
      </c>
      <c r="O236" s="575">
        <f t="shared" si="54"/>
        <v>97</v>
      </c>
      <c r="P236" s="576">
        <f t="shared" si="48"/>
        <v>0</v>
      </c>
      <c r="Q236" s="525"/>
      <c r="S236" s="189">
        <v>0</v>
      </c>
      <c r="T236" s="189">
        <v>0</v>
      </c>
      <c r="BT236" s="525"/>
      <c r="BU236" s="523">
        <v>0</v>
      </c>
      <c r="BV236" s="523">
        <v>0</v>
      </c>
      <c r="BW236" s="523">
        <v>0</v>
      </c>
      <c r="BX236" s="523">
        <v>0</v>
      </c>
      <c r="BY236" s="523"/>
      <c r="BZ236" s="523"/>
      <c r="CA236" s="523"/>
      <c r="CB236" s="523"/>
      <c r="CC236" s="523"/>
      <c r="CD236" s="523"/>
      <c r="CE236" s="523"/>
      <c r="CF236" s="523"/>
      <c r="CG236" s="523"/>
      <c r="CH236" s="523"/>
      <c r="CI236" s="523">
        <f t="shared" si="49"/>
        <v>0</v>
      </c>
    </row>
    <row r="237" spans="1:87" ht="15.75" x14ac:dyDescent="0.2">
      <c r="A237" s="567" t="s">
        <v>1717</v>
      </c>
      <c r="B237" s="568" t="s">
        <v>1715</v>
      </c>
      <c r="C237" s="568" t="s">
        <v>1343</v>
      </c>
      <c r="D237" s="569" t="s">
        <v>1718</v>
      </c>
      <c r="E237" s="570" t="s">
        <v>102</v>
      </c>
      <c r="F237" s="577">
        <v>4.53</v>
      </c>
      <c r="G237" s="572">
        <v>2.19</v>
      </c>
      <c r="H237" s="570">
        <v>4</v>
      </c>
      <c r="I237" s="640">
        <f t="shared" si="50"/>
        <v>0</v>
      </c>
      <c r="J237" s="574">
        <f t="shared" si="51"/>
        <v>0</v>
      </c>
      <c r="K237" s="577">
        <f t="shared" si="46"/>
        <v>4</v>
      </c>
      <c r="L237" s="575">
        <f t="shared" si="54"/>
        <v>8.76</v>
      </c>
      <c r="M237" s="575">
        <f t="shared" si="54"/>
        <v>0</v>
      </c>
      <c r="N237" s="575">
        <f t="shared" si="54"/>
        <v>0</v>
      </c>
      <c r="O237" s="575">
        <f t="shared" si="54"/>
        <v>8.76</v>
      </c>
      <c r="P237" s="576">
        <f t="shared" si="48"/>
        <v>0</v>
      </c>
      <c r="Q237" s="525"/>
      <c r="S237" s="189">
        <v>0</v>
      </c>
      <c r="T237" s="189">
        <v>0</v>
      </c>
      <c r="BT237" s="525"/>
      <c r="BU237" s="523">
        <v>0</v>
      </c>
      <c r="BV237" s="523">
        <v>0</v>
      </c>
      <c r="BW237" s="523">
        <v>0</v>
      </c>
      <c r="BX237" s="523">
        <v>0</v>
      </c>
      <c r="BY237" s="523"/>
      <c r="BZ237" s="523"/>
      <c r="CA237" s="523"/>
      <c r="CB237" s="523"/>
      <c r="CC237" s="523"/>
      <c r="CD237" s="523"/>
      <c r="CE237" s="523"/>
      <c r="CF237" s="523"/>
      <c r="CG237" s="523"/>
      <c r="CH237" s="523"/>
      <c r="CI237" s="523">
        <f t="shared" si="49"/>
        <v>0</v>
      </c>
    </row>
    <row r="238" spans="1:87" ht="15.75" x14ac:dyDescent="0.2">
      <c r="A238" s="567" t="s">
        <v>1719</v>
      </c>
      <c r="B238" s="568" t="s">
        <v>1715</v>
      </c>
      <c r="C238" s="568" t="s">
        <v>1343</v>
      </c>
      <c r="D238" s="569" t="s">
        <v>1720</v>
      </c>
      <c r="E238" s="570" t="s">
        <v>102</v>
      </c>
      <c r="F238" s="571"/>
      <c r="G238" s="572">
        <v>2.4</v>
      </c>
      <c r="H238" s="570">
        <v>4</v>
      </c>
      <c r="I238" s="640">
        <f t="shared" si="50"/>
        <v>0</v>
      </c>
      <c r="J238" s="574">
        <f t="shared" si="51"/>
        <v>0</v>
      </c>
      <c r="K238" s="571">
        <f t="shared" si="46"/>
        <v>4</v>
      </c>
      <c r="L238" s="575">
        <f t="shared" si="54"/>
        <v>9.6</v>
      </c>
      <c r="M238" s="575">
        <f t="shared" si="54"/>
        <v>0</v>
      </c>
      <c r="N238" s="575">
        <f t="shared" si="54"/>
        <v>0</v>
      </c>
      <c r="O238" s="575">
        <f t="shared" si="54"/>
        <v>9.6</v>
      </c>
      <c r="P238" s="576">
        <f t="shared" si="48"/>
        <v>0</v>
      </c>
      <c r="Q238" s="525"/>
      <c r="S238" s="189">
        <v>0</v>
      </c>
      <c r="T238" s="189">
        <v>0</v>
      </c>
      <c r="BT238" s="525"/>
      <c r="BU238" s="523">
        <v>0</v>
      </c>
      <c r="BV238" s="523">
        <v>0</v>
      </c>
      <c r="BW238" s="523">
        <v>0</v>
      </c>
      <c r="BX238" s="523">
        <v>0</v>
      </c>
      <c r="BY238" s="523"/>
      <c r="BZ238" s="523"/>
      <c r="CA238" s="523"/>
      <c r="CB238" s="523"/>
      <c r="CC238" s="523"/>
      <c r="CD238" s="523"/>
      <c r="CE238" s="523"/>
      <c r="CF238" s="523"/>
      <c r="CG238" s="523"/>
      <c r="CH238" s="523"/>
      <c r="CI238" s="523">
        <f t="shared" si="49"/>
        <v>0</v>
      </c>
    </row>
    <row r="239" spans="1:87" ht="15.75" x14ac:dyDescent="0.2">
      <c r="A239" s="567" t="s">
        <v>1721</v>
      </c>
      <c r="B239" s="568">
        <v>73542</v>
      </c>
      <c r="C239" s="568" t="s">
        <v>1324</v>
      </c>
      <c r="D239" s="569" t="s">
        <v>1722</v>
      </c>
      <c r="E239" s="570" t="s">
        <v>1723</v>
      </c>
      <c r="F239" s="577">
        <v>5.76</v>
      </c>
      <c r="G239" s="572">
        <v>0.73</v>
      </c>
      <c r="H239" s="570">
        <v>15</v>
      </c>
      <c r="I239" s="640">
        <f t="shared" si="50"/>
        <v>0</v>
      </c>
      <c r="J239" s="574">
        <f t="shared" si="51"/>
        <v>0</v>
      </c>
      <c r="K239" s="577">
        <f t="shared" si="46"/>
        <v>15</v>
      </c>
      <c r="L239" s="575">
        <f t="shared" si="54"/>
        <v>10.95</v>
      </c>
      <c r="M239" s="575">
        <f t="shared" si="54"/>
        <v>0</v>
      </c>
      <c r="N239" s="575">
        <f t="shared" si="54"/>
        <v>0</v>
      </c>
      <c r="O239" s="575">
        <f t="shared" si="54"/>
        <v>10.95</v>
      </c>
      <c r="P239" s="576">
        <f t="shared" si="48"/>
        <v>0</v>
      </c>
      <c r="Q239" s="525"/>
      <c r="S239" s="189">
        <v>0</v>
      </c>
      <c r="T239" s="189">
        <v>0</v>
      </c>
      <c r="BT239" s="525"/>
      <c r="BU239" s="523">
        <v>0</v>
      </c>
      <c r="BV239" s="523">
        <v>0</v>
      </c>
      <c r="BW239" s="523">
        <v>0</v>
      </c>
      <c r="BX239" s="523">
        <v>0</v>
      </c>
      <c r="BY239" s="523"/>
      <c r="BZ239" s="523"/>
      <c r="CA239" s="523"/>
      <c r="CB239" s="523"/>
      <c r="CC239" s="523"/>
      <c r="CD239" s="523"/>
      <c r="CE239" s="523"/>
      <c r="CF239" s="523"/>
      <c r="CG239" s="523"/>
      <c r="CH239" s="523"/>
      <c r="CI239" s="523">
        <f t="shared" si="49"/>
        <v>0</v>
      </c>
    </row>
    <row r="240" spans="1:87" ht="15.75" x14ac:dyDescent="0.2">
      <c r="A240" s="567" t="s">
        <v>1724</v>
      </c>
      <c r="B240" s="568">
        <v>84158</v>
      </c>
      <c r="C240" s="568" t="s">
        <v>1324</v>
      </c>
      <c r="D240" s="569" t="s">
        <v>1725</v>
      </c>
      <c r="E240" s="570" t="s">
        <v>1723</v>
      </c>
      <c r="F240" s="577">
        <v>8.1999999999999993</v>
      </c>
      <c r="G240" s="572">
        <v>1.42</v>
      </c>
      <c r="H240" s="570">
        <v>2</v>
      </c>
      <c r="I240" s="640">
        <f t="shared" si="50"/>
        <v>0</v>
      </c>
      <c r="J240" s="574">
        <f t="shared" si="51"/>
        <v>0</v>
      </c>
      <c r="K240" s="577">
        <f t="shared" si="46"/>
        <v>2</v>
      </c>
      <c r="L240" s="575">
        <f t="shared" si="54"/>
        <v>2.84</v>
      </c>
      <c r="M240" s="575">
        <f t="shared" si="54"/>
        <v>0</v>
      </c>
      <c r="N240" s="575">
        <f t="shared" si="54"/>
        <v>0</v>
      </c>
      <c r="O240" s="575">
        <f t="shared" si="54"/>
        <v>2.84</v>
      </c>
      <c r="P240" s="576">
        <f t="shared" si="48"/>
        <v>0</v>
      </c>
      <c r="Q240" s="525"/>
      <c r="S240" s="189">
        <v>0</v>
      </c>
      <c r="T240" s="189">
        <v>0</v>
      </c>
      <c r="BT240" s="525"/>
      <c r="BU240" s="523">
        <v>0</v>
      </c>
      <c r="BV240" s="523">
        <v>0</v>
      </c>
      <c r="BW240" s="523">
        <v>0</v>
      </c>
      <c r="BX240" s="523">
        <v>0</v>
      </c>
      <c r="BY240" s="523"/>
      <c r="BZ240" s="523"/>
      <c r="CA240" s="523"/>
      <c r="CB240" s="523"/>
      <c r="CC240" s="523"/>
      <c r="CD240" s="523"/>
      <c r="CE240" s="523"/>
      <c r="CF240" s="523"/>
      <c r="CG240" s="523"/>
      <c r="CH240" s="523"/>
      <c r="CI240" s="523">
        <f t="shared" si="49"/>
        <v>0</v>
      </c>
    </row>
    <row r="241" spans="1:87" ht="15.75" x14ac:dyDescent="0.2">
      <c r="A241" s="567" t="s">
        <v>1726</v>
      </c>
      <c r="B241" s="568">
        <v>84159</v>
      </c>
      <c r="C241" s="568" t="s">
        <v>1324</v>
      </c>
      <c r="D241" s="569" t="s">
        <v>1727</v>
      </c>
      <c r="E241" s="570" t="s">
        <v>1723</v>
      </c>
      <c r="F241" s="577">
        <v>13.75</v>
      </c>
      <c r="G241" s="572">
        <v>3.16</v>
      </c>
      <c r="H241" s="570">
        <v>1</v>
      </c>
      <c r="I241" s="640">
        <f t="shared" si="50"/>
        <v>0</v>
      </c>
      <c r="J241" s="574">
        <f t="shared" si="51"/>
        <v>0</v>
      </c>
      <c r="K241" s="577">
        <f t="shared" si="46"/>
        <v>1</v>
      </c>
      <c r="L241" s="575">
        <f t="shared" si="54"/>
        <v>3.16</v>
      </c>
      <c r="M241" s="575">
        <f t="shared" si="54"/>
        <v>0</v>
      </c>
      <c r="N241" s="575">
        <f t="shared" si="54"/>
        <v>0</v>
      </c>
      <c r="O241" s="575">
        <f t="shared" si="54"/>
        <v>3.16</v>
      </c>
      <c r="P241" s="576">
        <f t="shared" si="48"/>
        <v>0</v>
      </c>
      <c r="Q241" s="525"/>
      <c r="S241" s="189">
        <v>0</v>
      </c>
      <c r="T241" s="189">
        <v>0</v>
      </c>
      <c r="BT241" s="525"/>
      <c r="BU241" s="523">
        <v>0</v>
      </c>
      <c r="BV241" s="523">
        <v>0</v>
      </c>
      <c r="BW241" s="523">
        <v>0</v>
      </c>
      <c r="BX241" s="523">
        <v>0</v>
      </c>
      <c r="BY241" s="523"/>
      <c r="BZ241" s="523"/>
      <c r="CA241" s="523"/>
      <c r="CB241" s="523"/>
      <c r="CC241" s="523"/>
      <c r="CD241" s="523"/>
      <c r="CE241" s="523"/>
      <c r="CF241" s="523"/>
      <c r="CG241" s="523"/>
      <c r="CH241" s="523"/>
      <c r="CI241" s="523">
        <f t="shared" si="49"/>
        <v>0</v>
      </c>
    </row>
    <row r="242" spans="1:87" ht="15.75" x14ac:dyDescent="0.2">
      <c r="A242" s="567" t="s">
        <v>1728</v>
      </c>
      <c r="B242" s="568">
        <v>92695</v>
      </c>
      <c r="C242" s="568" t="s">
        <v>1324</v>
      </c>
      <c r="D242" s="569" t="s">
        <v>1729</v>
      </c>
      <c r="E242" s="570" t="s">
        <v>102</v>
      </c>
      <c r="F242" s="577">
        <v>27.72</v>
      </c>
      <c r="G242" s="572">
        <v>14</v>
      </c>
      <c r="H242" s="570">
        <v>15</v>
      </c>
      <c r="I242" s="640">
        <f t="shared" si="50"/>
        <v>0</v>
      </c>
      <c r="J242" s="574">
        <f t="shared" si="51"/>
        <v>0</v>
      </c>
      <c r="K242" s="577">
        <f t="shared" si="46"/>
        <v>15</v>
      </c>
      <c r="L242" s="575">
        <f t="shared" si="54"/>
        <v>210</v>
      </c>
      <c r="M242" s="575">
        <f t="shared" si="54"/>
        <v>0</v>
      </c>
      <c r="N242" s="575">
        <f t="shared" si="54"/>
        <v>0</v>
      </c>
      <c r="O242" s="575">
        <f t="shared" si="54"/>
        <v>210</v>
      </c>
      <c r="P242" s="576">
        <f t="shared" si="48"/>
        <v>0</v>
      </c>
      <c r="Q242" s="525"/>
      <c r="S242" s="189">
        <v>0</v>
      </c>
      <c r="T242" s="189">
        <v>0</v>
      </c>
      <c r="BT242" s="525"/>
      <c r="BU242" s="523">
        <v>0</v>
      </c>
      <c r="BV242" s="523">
        <v>0</v>
      </c>
      <c r="BW242" s="523">
        <v>0</v>
      </c>
      <c r="BX242" s="523">
        <v>0</v>
      </c>
      <c r="BY242" s="523"/>
      <c r="BZ242" s="523"/>
      <c r="CA242" s="523"/>
      <c r="CB242" s="523"/>
      <c r="CC242" s="523"/>
      <c r="CD242" s="523"/>
      <c r="CE242" s="523"/>
      <c r="CF242" s="523"/>
      <c r="CG242" s="523"/>
      <c r="CH242" s="523"/>
      <c r="CI242" s="523">
        <f t="shared" si="49"/>
        <v>0</v>
      </c>
    </row>
    <row r="243" spans="1:87" ht="15.75" x14ac:dyDescent="0.2">
      <c r="A243" s="567" t="s">
        <v>1730</v>
      </c>
      <c r="B243" s="568">
        <v>92697</v>
      </c>
      <c r="C243" s="568" t="s">
        <v>1324</v>
      </c>
      <c r="D243" s="569" t="s">
        <v>1731</v>
      </c>
      <c r="E243" s="570" t="s">
        <v>102</v>
      </c>
      <c r="F243" s="577">
        <v>71.03</v>
      </c>
      <c r="G243" s="572">
        <v>22.66</v>
      </c>
      <c r="H243" s="570">
        <v>2</v>
      </c>
      <c r="I243" s="640">
        <f t="shared" si="50"/>
        <v>0</v>
      </c>
      <c r="J243" s="574">
        <f t="shared" si="51"/>
        <v>0</v>
      </c>
      <c r="K243" s="577">
        <f t="shared" si="46"/>
        <v>2</v>
      </c>
      <c r="L243" s="575">
        <f t="shared" si="54"/>
        <v>45.32</v>
      </c>
      <c r="M243" s="575">
        <f t="shared" si="54"/>
        <v>0</v>
      </c>
      <c r="N243" s="575">
        <f t="shared" si="54"/>
        <v>0</v>
      </c>
      <c r="O243" s="575">
        <f t="shared" si="54"/>
        <v>45.32</v>
      </c>
      <c r="P243" s="576">
        <f t="shared" si="48"/>
        <v>0</v>
      </c>
      <c r="Q243" s="525"/>
      <c r="S243" s="189">
        <v>0</v>
      </c>
      <c r="T243" s="189">
        <v>0</v>
      </c>
      <c r="BT243" s="525"/>
      <c r="BU243" s="523">
        <v>0</v>
      </c>
      <c r="BV243" s="523">
        <v>0</v>
      </c>
      <c r="BW243" s="523">
        <v>0</v>
      </c>
      <c r="BX243" s="523">
        <v>0</v>
      </c>
      <c r="BY243" s="523"/>
      <c r="BZ243" s="523"/>
      <c r="CA243" s="523"/>
      <c r="CB243" s="523"/>
      <c r="CC243" s="523"/>
      <c r="CD243" s="523"/>
      <c r="CE243" s="523"/>
      <c r="CF243" s="523"/>
      <c r="CG243" s="523"/>
      <c r="CH243" s="523"/>
      <c r="CI243" s="523">
        <f t="shared" si="49"/>
        <v>0</v>
      </c>
    </row>
    <row r="244" spans="1:87" ht="15.75" x14ac:dyDescent="0.2">
      <c r="A244" s="567" t="s">
        <v>1732</v>
      </c>
      <c r="B244" s="568">
        <v>92662</v>
      </c>
      <c r="C244" s="568" t="s">
        <v>1324</v>
      </c>
      <c r="D244" s="569" t="s">
        <v>1733</v>
      </c>
      <c r="E244" s="570" t="s">
        <v>102</v>
      </c>
      <c r="F244" s="577">
        <v>12.99</v>
      </c>
      <c r="G244" s="572">
        <v>22.38</v>
      </c>
      <c r="H244" s="570">
        <v>1</v>
      </c>
      <c r="I244" s="640">
        <f t="shared" si="50"/>
        <v>0</v>
      </c>
      <c r="J244" s="574">
        <f t="shared" si="51"/>
        <v>0</v>
      </c>
      <c r="K244" s="577">
        <f t="shared" si="46"/>
        <v>1</v>
      </c>
      <c r="L244" s="575">
        <f t="shared" si="54"/>
        <v>22.38</v>
      </c>
      <c r="M244" s="575">
        <f t="shared" si="54"/>
        <v>0</v>
      </c>
      <c r="N244" s="575">
        <f t="shared" si="54"/>
        <v>0</v>
      </c>
      <c r="O244" s="575">
        <f t="shared" si="54"/>
        <v>22.38</v>
      </c>
      <c r="P244" s="576">
        <f t="shared" si="48"/>
        <v>0</v>
      </c>
      <c r="Q244" s="525"/>
      <c r="S244" s="189">
        <v>0</v>
      </c>
      <c r="T244" s="189">
        <v>0</v>
      </c>
      <c r="BT244" s="525"/>
      <c r="BU244" s="523">
        <v>0</v>
      </c>
      <c r="BV244" s="523">
        <v>0</v>
      </c>
      <c r="BW244" s="523">
        <v>0</v>
      </c>
      <c r="BX244" s="523">
        <v>0</v>
      </c>
      <c r="BY244" s="523"/>
      <c r="BZ244" s="523"/>
      <c r="CA244" s="523"/>
      <c r="CB244" s="523"/>
      <c r="CC244" s="523"/>
      <c r="CD244" s="523"/>
      <c r="CE244" s="523"/>
      <c r="CF244" s="523"/>
      <c r="CG244" s="523"/>
      <c r="CH244" s="523"/>
      <c r="CI244" s="523">
        <f t="shared" si="49"/>
        <v>0</v>
      </c>
    </row>
    <row r="245" spans="1:87" ht="30" x14ac:dyDescent="0.2">
      <c r="A245" s="567" t="s">
        <v>1734</v>
      </c>
      <c r="B245" s="568">
        <v>92868</v>
      </c>
      <c r="C245" s="568" t="s">
        <v>1324</v>
      </c>
      <c r="D245" s="569" t="s">
        <v>1735</v>
      </c>
      <c r="E245" s="570" t="s">
        <v>102</v>
      </c>
      <c r="F245" s="577">
        <v>14.25</v>
      </c>
      <c r="G245" s="572">
        <v>9.5299999999999994</v>
      </c>
      <c r="H245" s="570">
        <v>16</v>
      </c>
      <c r="I245" s="640">
        <f t="shared" si="50"/>
        <v>0</v>
      </c>
      <c r="J245" s="574">
        <f t="shared" si="51"/>
        <v>0</v>
      </c>
      <c r="K245" s="577">
        <f t="shared" si="46"/>
        <v>16</v>
      </c>
      <c r="L245" s="575">
        <f t="shared" si="54"/>
        <v>152.47999999999999</v>
      </c>
      <c r="M245" s="575">
        <f t="shared" si="54"/>
        <v>0</v>
      </c>
      <c r="N245" s="575">
        <f t="shared" si="54"/>
        <v>0</v>
      </c>
      <c r="O245" s="575">
        <f t="shared" si="54"/>
        <v>152.47999999999999</v>
      </c>
      <c r="P245" s="576">
        <f t="shared" si="48"/>
        <v>0</v>
      </c>
      <c r="Q245" s="525"/>
      <c r="S245" s="189">
        <v>0</v>
      </c>
      <c r="T245" s="189">
        <v>0</v>
      </c>
      <c r="BT245" s="525"/>
      <c r="BU245" s="523">
        <v>0</v>
      </c>
      <c r="BV245" s="523">
        <v>0</v>
      </c>
      <c r="BW245" s="523">
        <v>0</v>
      </c>
      <c r="BX245" s="523">
        <v>0</v>
      </c>
      <c r="BY245" s="523"/>
      <c r="BZ245" s="523"/>
      <c r="CA245" s="523"/>
      <c r="CB245" s="523"/>
      <c r="CC245" s="523"/>
      <c r="CD245" s="523"/>
      <c r="CE245" s="523"/>
      <c r="CF245" s="523"/>
      <c r="CG245" s="523"/>
      <c r="CH245" s="523"/>
      <c r="CI245" s="523">
        <f t="shared" si="49"/>
        <v>0</v>
      </c>
    </row>
    <row r="246" spans="1:87" s="514" customFormat="1" ht="30" x14ac:dyDescent="0.2">
      <c r="A246" s="567" t="s">
        <v>1736</v>
      </c>
      <c r="B246" s="568">
        <v>92865</v>
      </c>
      <c r="C246" s="568" t="s">
        <v>1324</v>
      </c>
      <c r="D246" s="569" t="s">
        <v>1737</v>
      </c>
      <c r="E246" s="570" t="s">
        <v>102</v>
      </c>
      <c r="F246" s="577">
        <v>13.19</v>
      </c>
      <c r="G246" s="572">
        <v>6.13</v>
      </c>
      <c r="H246" s="570">
        <v>7</v>
      </c>
      <c r="I246" s="640">
        <f t="shared" si="50"/>
        <v>0</v>
      </c>
      <c r="J246" s="574">
        <f t="shared" si="51"/>
        <v>0</v>
      </c>
      <c r="K246" s="577">
        <f t="shared" si="46"/>
        <v>7</v>
      </c>
      <c r="L246" s="575">
        <f t="shared" si="54"/>
        <v>42.91</v>
      </c>
      <c r="M246" s="575">
        <f t="shared" si="54"/>
        <v>0</v>
      </c>
      <c r="N246" s="575">
        <f t="shared" si="54"/>
        <v>0</v>
      </c>
      <c r="O246" s="575">
        <f t="shared" si="54"/>
        <v>42.91</v>
      </c>
      <c r="P246" s="576">
        <f t="shared" si="48"/>
        <v>0</v>
      </c>
      <c r="Q246" s="525"/>
      <c r="S246" s="190">
        <v>0</v>
      </c>
      <c r="T246" s="190">
        <v>0</v>
      </c>
      <c r="BT246" s="525"/>
      <c r="BU246" s="523">
        <v>0</v>
      </c>
      <c r="BV246" s="523">
        <v>0</v>
      </c>
      <c r="BW246" s="523">
        <v>0</v>
      </c>
      <c r="BX246" s="523">
        <v>0</v>
      </c>
      <c r="BY246" s="523"/>
      <c r="BZ246" s="523"/>
      <c r="CA246" s="523"/>
      <c r="CB246" s="523"/>
      <c r="CC246" s="523"/>
      <c r="CD246" s="523"/>
      <c r="CE246" s="523"/>
      <c r="CF246" s="523"/>
      <c r="CG246" s="523"/>
      <c r="CH246" s="523"/>
      <c r="CI246" s="523">
        <f t="shared" si="49"/>
        <v>0</v>
      </c>
    </row>
    <row r="247" spans="1:87" ht="15.75" x14ac:dyDescent="0.2">
      <c r="A247" s="584" t="s">
        <v>634</v>
      </c>
      <c r="B247" s="585"/>
      <c r="C247" s="585"/>
      <c r="D247" s="586" t="s">
        <v>1738</v>
      </c>
      <c r="E247" s="587"/>
      <c r="F247" s="587"/>
      <c r="G247" s="587"/>
      <c r="H247" s="587"/>
      <c r="I247" s="587"/>
      <c r="J247" s="587"/>
      <c r="K247" s="587"/>
      <c r="L247" s="587">
        <f>SUM(L248:L251)</f>
        <v>4345.79</v>
      </c>
      <c r="M247" s="587">
        <f>SUM(M248:M251)</f>
        <v>0</v>
      </c>
      <c r="N247" s="587">
        <f>SUM(N248:N251)</f>
        <v>0</v>
      </c>
      <c r="O247" s="587">
        <f>SUM(O248:O251)</f>
        <v>4345.79</v>
      </c>
      <c r="P247" s="592">
        <f t="shared" si="48"/>
        <v>0</v>
      </c>
      <c r="Q247" s="525"/>
      <c r="S247" s="189">
        <v>0</v>
      </c>
      <c r="T247" s="189">
        <v>0</v>
      </c>
      <c r="BT247" s="525"/>
      <c r="BU247" s="523">
        <v>0</v>
      </c>
      <c r="BV247" s="523">
        <v>0</v>
      </c>
      <c r="BW247" s="523"/>
      <c r="BX247" s="523"/>
      <c r="BY247" s="523"/>
      <c r="BZ247" s="523"/>
      <c r="CA247" s="523"/>
      <c r="CB247" s="523"/>
      <c r="CC247" s="523"/>
      <c r="CD247" s="523"/>
      <c r="CE247" s="523"/>
      <c r="CF247" s="523"/>
      <c r="CG247" s="523"/>
      <c r="CH247" s="523"/>
      <c r="CI247" s="523">
        <f t="shared" si="49"/>
        <v>0</v>
      </c>
    </row>
    <row r="248" spans="1:87" ht="30" x14ac:dyDescent="0.2">
      <c r="A248" s="567" t="s">
        <v>1739</v>
      </c>
      <c r="B248" s="568">
        <v>91926</v>
      </c>
      <c r="C248" s="568" t="s">
        <v>1324</v>
      </c>
      <c r="D248" s="569" t="s">
        <v>1740</v>
      </c>
      <c r="E248" s="570" t="s">
        <v>81</v>
      </c>
      <c r="F248" s="577">
        <v>26.32</v>
      </c>
      <c r="G248" s="572">
        <v>2.31</v>
      </c>
      <c r="H248" s="570">
        <v>190</v>
      </c>
      <c r="I248" s="640">
        <f t="shared" si="50"/>
        <v>0</v>
      </c>
      <c r="J248" s="574">
        <f t="shared" si="51"/>
        <v>0</v>
      </c>
      <c r="K248" s="577">
        <f t="shared" si="46"/>
        <v>190</v>
      </c>
      <c r="L248" s="575">
        <f t="shared" ref="L248:O251" si="55">ROUND(H248*$G248,2)</f>
        <v>438.9</v>
      </c>
      <c r="M248" s="575">
        <f t="shared" si="55"/>
        <v>0</v>
      </c>
      <c r="N248" s="575">
        <f t="shared" si="55"/>
        <v>0</v>
      </c>
      <c r="O248" s="575">
        <f t="shared" si="55"/>
        <v>438.9</v>
      </c>
      <c r="P248" s="576">
        <f t="shared" si="48"/>
        <v>0</v>
      </c>
      <c r="Q248" s="525"/>
      <c r="S248" s="189">
        <v>0</v>
      </c>
      <c r="T248" s="189">
        <v>0</v>
      </c>
      <c r="BT248" s="525"/>
      <c r="BU248" s="523">
        <v>0</v>
      </c>
      <c r="BV248" s="523">
        <v>0</v>
      </c>
      <c r="BW248" s="523">
        <v>0</v>
      </c>
      <c r="BX248" s="523">
        <v>0</v>
      </c>
      <c r="BY248" s="523"/>
      <c r="BZ248" s="523"/>
      <c r="CA248" s="523"/>
      <c r="CB248" s="523"/>
      <c r="CC248" s="523"/>
      <c r="CD248" s="523"/>
      <c r="CE248" s="523"/>
      <c r="CF248" s="523"/>
      <c r="CG248" s="523"/>
      <c r="CH248" s="523"/>
      <c r="CI248" s="523">
        <f t="shared" si="49"/>
        <v>0</v>
      </c>
    </row>
    <row r="249" spans="1:87" ht="30" x14ac:dyDescent="0.2">
      <c r="A249" s="567" t="s">
        <v>1741</v>
      </c>
      <c r="B249" s="568">
        <v>91928</v>
      </c>
      <c r="C249" s="568" t="s">
        <v>1324</v>
      </c>
      <c r="D249" s="569" t="s">
        <v>1742</v>
      </c>
      <c r="E249" s="570" t="s">
        <v>81</v>
      </c>
      <c r="F249" s="577">
        <v>61.2</v>
      </c>
      <c r="G249" s="572">
        <v>3.64</v>
      </c>
      <c r="H249" s="570">
        <v>820</v>
      </c>
      <c r="I249" s="640">
        <f t="shared" si="50"/>
        <v>0</v>
      </c>
      <c r="J249" s="574">
        <f t="shared" si="51"/>
        <v>0</v>
      </c>
      <c r="K249" s="577">
        <f t="shared" si="46"/>
        <v>820</v>
      </c>
      <c r="L249" s="575">
        <f t="shared" si="55"/>
        <v>2984.8</v>
      </c>
      <c r="M249" s="575">
        <f t="shared" si="55"/>
        <v>0</v>
      </c>
      <c r="N249" s="575">
        <f t="shared" si="55"/>
        <v>0</v>
      </c>
      <c r="O249" s="575">
        <f t="shared" si="55"/>
        <v>2984.8</v>
      </c>
      <c r="P249" s="576">
        <f t="shared" si="48"/>
        <v>0</v>
      </c>
      <c r="Q249" s="525"/>
      <c r="S249" s="189">
        <v>0</v>
      </c>
      <c r="T249" s="189">
        <v>0</v>
      </c>
      <c r="BT249" s="525"/>
      <c r="BU249" s="523">
        <v>0</v>
      </c>
      <c r="BV249" s="523">
        <v>0</v>
      </c>
      <c r="BW249" s="523">
        <v>0</v>
      </c>
      <c r="BX249" s="523">
        <v>0</v>
      </c>
      <c r="BY249" s="523"/>
      <c r="BZ249" s="523"/>
      <c r="CA249" s="523"/>
      <c r="CB249" s="523"/>
      <c r="CC249" s="523"/>
      <c r="CD249" s="523"/>
      <c r="CE249" s="523"/>
      <c r="CF249" s="523"/>
      <c r="CG249" s="523"/>
      <c r="CH249" s="523"/>
      <c r="CI249" s="523">
        <f t="shared" si="49"/>
        <v>0</v>
      </c>
    </row>
    <row r="250" spans="1:87" ht="30" x14ac:dyDescent="0.2">
      <c r="A250" s="567" t="s">
        <v>1743</v>
      </c>
      <c r="B250" s="568">
        <v>91934</v>
      </c>
      <c r="C250" s="568" t="s">
        <v>1324</v>
      </c>
      <c r="D250" s="569" t="s">
        <v>1744</v>
      </c>
      <c r="E250" s="570" t="s">
        <v>81</v>
      </c>
      <c r="F250" s="571"/>
      <c r="G250" s="572">
        <v>12.3</v>
      </c>
      <c r="H250" s="570">
        <v>14</v>
      </c>
      <c r="I250" s="640">
        <f t="shared" si="50"/>
        <v>0</v>
      </c>
      <c r="J250" s="574">
        <f t="shared" si="51"/>
        <v>0</v>
      </c>
      <c r="K250" s="577">
        <f t="shared" si="46"/>
        <v>14</v>
      </c>
      <c r="L250" s="575">
        <f t="shared" si="55"/>
        <v>172.2</v>
      </c>
      <c r="M250" s="575">
        <f t="shared" si="55"/>
        <v>0</v>
      </c>
      <c r="N250" s="575">
        <f t="shared" si="55"/>
        <v>0</v>
      </c>
      <c r="O250" s="575">
        <f t="shared" si="55"/>
        <v>172.2</v>
      </c>
      <c r="P250" s="576">
        <f t="shared" si="48"/>
        <v>0</v>
      </c>
      <c r="Q250" s="525"/>
      <c r="S250" s="189">
        <v>0</v>
      </c>
      <c r="T250" s="189">
        <v>0</v>
      </c>
      <c r="BT250" s="525"/>
      <c r="BU250" s="523">
        <v>0</v>
      </c>
      <c r="BV250" s="523">
        <v>0</v>
      </c>
      <c r="BW250" s="523">
        <v>0</v>
      </c>
      <c r="BX250" s="523">
        <v>0</v>
      </c>
      <c r="BY250" s="523"/>
      <c r="BZ250" s="523"/>
      <c r="CA250" s="523"/>
      <c r="CB250" s="523"/>
      <c r="CC250" s="523"/>
      <c r="CD250" s="523"/>
      <c r="CE250" s="523"/>
      <c r="CF250" s="523"/>
      <c r="CG250" s="523"/>
      <c r="CH250" s="523"/>
      <c r="CI250" s="523">
        <f t="shared" si="49"/>
        <v>0</v>
      </c>
    </row>
    <row r="251" spans="1:87" s="514" customFormat="1" ht="30" x14ac:dyDescent="0.2">
      <c r="A251" s="567" t="s">
        <v>1745</v>
      </c>
      <c r="B251" s="568">
        <v>92985</v>
      </c>
      <c r="C251" s="568" t="s">
        <v>1324</v>
      </c>
      <c r="D251" s="569" t="s">
        <v>1746</v>
      </c>
      <c r="E251" s="570" t="s">
        <v>81</v>
      </c>
      <c r="F251" s="577">
        <v>8.39</v>
      </c>
      <c r="G251" s="572">
        <v>18.29</v>
      </c>
      <c r="H251" s="570">
        <v>41</v>
      </c>
      <c r="I251" s="640">
        <f t="shared" si="50"/>
        <v>0</v>
      </c>
      <c r="J251" s="574">
        <f t="shared" si="51"/>
        <v>0</v>
      </c>
      <c r="K251" s="577">
        <f t="shared" si="46"/>
        <v>41</v>
      </c>
      <c r="L251" s="575">
        <f t="shared" si="55"/>
        <v>749.89</v>
      </c>
      <c r="M251" s="575">
        <f t="shared" si="55"/>
        <v>0</v>
      </c>
      <c r="N251" s="575">
        <f t="shared" si="55"/>
        <v>0</v>
      </c>
      <c r="O251" s="575">
        <f t="shared" si="55"/>
        <v>749.89</v>
      </c>
      <c r="P251" s="576">
        <f t="shared" si="48"/>
        <v>0</v>
      </c>
      <c r="Q251" s="525"/>
      <c r="S251" s="190">
        <v>0</v>
      </c>
      <c r="T251" s="190">
        <v>0</v>
      </c>
      <c r="BT251" s="525"/>
      <c r="BU251" s="523">
        <v>0</v>
      </c>
      <c r="BV251" s="523">
        <v>0</v>
      </c>
      <c r="BW251" s="523">
        <v>0</v>
      </c>
      <c r="BX251" s="523">
        <v>0</v>
      </c>
      <c r="BY251" s="523"/>
      <c r="BZ251" s="523"/>
      <c r="CA251" s="523"/>
      <c r="CB251" s="523"/>
      <c r="CC251" s="523"/>
      <c r="CD251" s="523"/>
      <c r="CE251" s="523"/>
      <c r="CF251" s="523"/>
      <c r="CG251" s="523"/>
      <c r="CH251" s="523"/>
      <c r="CI251" s="523">
        <f t="shared" si="49"/>
        <v>0</v>
      </c>
    </row>
    <row r="252" spans="1:87" ht="15.75" x14ac:dyDescent="0.2">
      <c r="A252" s="584" t="s">
        <v>640</v>
      </c>
      <c r="B252" s="585"/>
      <c r="C252" s="585"/>
      <c r="D252" s="586" t="s">
        <v>1747</v>
      </c>
      <c r="E252" s="587"/>
      <c r="F252" s="587"/>
      <c r="G252" s="587"/>
      <c r="H252" s="587"/>
      <c r="I252" s="587"/>
      <c r="J252" s="587"/>
      <c r="K252" s="587"/>
      <c r="L252" s="587">
        <f>SUM(L253:L258)</f>
        <v>10299.74</v>
      </c>
      <c r="M252" s="587">
        <f>SUM(M253:M258)</f>
        <v>0</v>
      </c>
      <c r="N252" s="587">
        <f>SUM(N253:N258)</f>
        <v>0</v>
      </c>
      <c r="O252" s="587">
        <f>SUM(O253:O258)</f>
        <v>10299.74</v>
      </c>
      <c r="P252" s="592">
        <f t="shared" si="48"/>
        <v>0</v>
      </c>
      <c r="Q252" s="525"/>
      <c r="S252" s="189">
        <v>0</v>
      </c>
      <c r="T252" s="189">
        <v>0</v>
      </c>
      <c r="BT252" s="525"/>
      <c r="BU252" s="523">
        <v>0</v>
      </c>
      <c r="BV252" s="523">
        <v>0</v>
      </c>
      <c r="BW252" s="523"/>
      <c r="BX252" s="523"/>
      <c r="BY252" s="523"/>
      <c r="BZ252" s="523"/>
      <c r="CA252" s="523"/>
      <c r="CB252" s="523"/>
      <c r="CC252" s="523"/>
      <c r="CD252" s="523"/>
      <c r="CE252" s="523"/>
      <c r="CF252" s="523"/>
      <c r="CG252" s="523"/>
      <c r="CH252" s="523"/>
      <c r="CI252" s="523">
        <f t="shared" si="49"/>
        <v>0</v>
      </c>
    </row>
    <row r="253" spans="1:87" ht="30" x14ac:dyDescent="0.2">
      <c r="A253" s="567" t="s">
        <v>1748</v>
      </c>
      <c r="B253" s="568">
        <v>92000</v>
      </c>
      <c r="C253" s="568" t="s">
        <v>1324</v>
      </c>
      <c r="D253" s="569" t="s">
        <v>1749</v>
      </c>
      <c r="E253" s="570" t="s">
        <v>102</v>
      </c>
      <c r="F253" s="577">
        <v>21.53</v>
      </c>
      <c r="G253" s="572">
        <v>20.07</v>
      </c>
      <c r="H253" s="570">
        <v>4</v>
      </c>
      <c r="I253" s="640">
        <f t="shared" si="50"/>
        <v>0</v>
      </c>
      <c r="J253" s="574">
        <f t="shared" si="51"/>
        <v>0</v>
      </c>
      <c r="K253" s="577">
        <f t="shared" si="46"/>
        <v>4</v>
      </c>
      <c r="L253" s="575">
        <f t="shared" ref="L253:O258" si="56">ROUND(H253*$G253,2)</f>
        <v>80.28</v>
      </c>
      <c r="M253" s="575">
        <f t="shared" si="56"/>
        <v>0</v>
      </c>
      <c r="N253" s="575">
        <f t="shared" si="56"/>
        <v>0</v>
      </c>
      <c r="O253" s="575">
        <f t="shared" si="56"/>
        <v>80.28</v>
      </c>
      <c r="P253" s="576">
        <f t="shared" si="48"/>
        <v>0</v>
      </c>
      <c r="Q253" s="525"/>
      <c r="S253" s="189">
        <v>0</v>
      </c>
      <c r="T253" s="189">
        <v>0</v>
      </c>
      <c r="BT253" s="525"/>
      <c r="BU253" s="523">
        <v>0</v>
      </c>
      <c r="BV253" s="523">
        <v>0</v>
      </c>
      <c r="BW253" s="523">
        <v>0</v>
      </c>
      <c r="BX253" s="523">
        <v>0</v>
      </c>
      <c r="BY253" s="523"/>
      <c r="BZ253" s="523"/>
      <c r="CA253" s="523"/>
      <c r="CB253" s="523"/>
      <c r="CC253" s="523"/>
      <c r="CD253" s="523"/>
      <c r="CE253" s="523"/>
      <c r="CF253" s="523"/>
      <c r="CG253" s="523"/>
      <c r="CH253" s="523"/>
      <c r="CI253" s="523">
        <f t="shared" si="49"/>
        <v>0</v>
      </c>
    </row>
    <row r="254" spans="1:87" ht="30" x14ac:dyDescent="0.2">
      <c r="A254" s="567" t="s">
        <v>1750</v>
      </c>
      <c r="B254" s="568">
        <v>92001</v>
      </c>
      <c r="C254" s="568" t="s">
        <v>1324</v>
      </c>
      <c r="D254" s="569" t="s">
        <v>1751</v>
      </c>
      <c r="E254" s="570" t="s">
        <v>102</v>
      </c>
      <c r="F254" s="577">
        <v>133.13999999999999</v>
      </c>
      <c r="G254" s="572">
        <v>21.83</v>
      </c>
      <c r="H254" s="570">
        <v>1</v>
      </c>
      <c r="I254" s="640">
        <f t="shared" si="50"/>
        <v>0</v>
      </c>
      <c r="J254" s="574">
        <f t="shared" si="51"/>
        <v>0</v>
      </c>
      <c r="K254" s="577">
        <f t="shared" si="46"/>
        <v>1</v>
      </c>
      <c r="L254" s="575">
        <f t="shared" si="56"/>
        <v>21.83</v>
      </c>
      <c r="M254" s="575">
        <f t="shared" si="56"/>
        <v>0</v>
      </c>
      <c r="N254" s="575">
        <f t="shared" si="56"/>
        <v>0</v>
      </c>
      <c r="O254" s="575">
        <f t="shared" si="56"/>
        <v>21.83</v>
      </c>
      <c r="P254" s="576">
        <f t="shared" si="48"/>
        <v>0</v>
      </c>
      <c r="Q254" s="525"/>
      <c r="S254" s="189">
        <v>0</v>
      </c>
      <c r="T254" s="189">
        <v>0</v>
      </c>
      <c r="BT254" s="525"/>
      <c r="BU254" s="523">
        <v>0</v>
      </c>
      <c r="BV254" s="523">
        <v>0</v>
      </c>
      <c r="BW254" s="523">
        <v>0</v>
      </c>
      <c r="BX254" s="523">
        <v>0</v>
      </c>
      <c r="BY254" s="523"/>
      <c r="BZ254" s="523"/>
      <c r="CA254" s="523"/>
      <c r="CB254" s="523"/>
      <c r="CC254" s="523"/>
      <c r="CD254" s="523"/>
      <c r="CE254" s="523"/>
      <c r="CF254" s="523"/>
      <c r="CG254" s="523"/>
      <c r="CH254" s="523"/>
      <c r="CI254" s="523">
        <f t="shared" si="49"/>
        <v>0</v>
      </c>
    </row>
    <row r="255" spans="1:87" ht="30" x14ac:dyDescent="0.2">
      <c r="A255" s="567" t="s">
        <v>1752</v>
      </c>
      <c r="B255" s="568">
        <v>91953</v>
      </c>
      <c r="C255" s="568" t="s">
        <v>1324</v>
      </c>
      <c r="D255" s="569" t="s">
        <v>1753</v>
      </c>
      <c r="E255" s="570" t="s">
        <v>102</v>
      </c>
      <c r="F255" s="571"/>
      <c r="G255" s="572">
        <v>18.98</v>
      </c>
      <c r="H255" s="570">
        <v>7</v>
      </c>
      <c r="I255" s="640">
        <f t="shared" si="50"/>
        <v>0</v>
      </c>
      <c r="J255" s="574">
        <f t="shared" si="51"/>
        <v>0</v>
      </c>
      <c r="K255" s="577">
        <f t="shared" si="46"/>
        <v>7</v>
      </c>
      <c r="L255" s="575">
        <f t="shared" si="56"/>
        <v>132.86000000000001</v>
      </c>
      <c r="M255" s="575">
        <f t="shared" si="56"/>
        <v>0</v>
      </c>
      <c r="N255" s="575">
        <f t="shared" si="56"/>
        <v>0</v>
      </c>
      <c r="O255" s="575">
        <f t="shared" si="56"/>
        <v>132.86000000000001</v>
      </c>
      <c r="P255" s="576">
        <f t="shared" si="48"/>
        <v>0</v>
      </c>
      <c r="Q255" s="525"/>
      <c r="S255" s="189">
        <v>0</v>
      </c>
      <c r="T255" s="189">
        <v>0</v>
      </c>
      <c r="BT255" s="525"/>
      <c r="BU255" s="523">
        <v>0</v>
      </c>
      <c r="BV255" s="523">
        <v>0</v>
      </c>
      <c r="BW255" s="523">
        <v>0</v>
      </c>
      <c r="BX255" s="523">
        <v>0</v>
      </c>
      <c r="BY255" s="523"/>
      <c r="BZ255" s="523"/>
      <c r="CA255" s="523"/>
      <c r="CB255" s="523"/>
      <c r="CC255" s="523"/>
      <c r="CD255" s="523"/>
      <c r="CE255" s="523"/>
      <c r="CF255" s="523"/>
      <c r="CG255" s="523"/>
      <c r="CH255" s="523"/>
      <c r="CI255" s="523">
        <f t="shared" si="49"/>
        <v>0</v>
      </c>
    </row>
    <row r="256" spans="1:87" ht="15.75" x14ac:dyDescent="0.2">
      <c r="A256" s="567" t="s">
        <v>1754</v>
      </c>
      <c r="B256" s="568" t="s">
        <v>1755</v>
      </c>
      <c r="C256" s="568" t="s">
        <v>1324</v>
      </c>
      <c r="D256" s="569" t="s">
        <v>1756</v>
      </c>
      <c r="E256" s="570" t="s">
        <v>102</v>
      </c>
      <c r="F256" s="577">
        <v>1.81</v>
      </c>
      <c r="G256" s="572">
        <v>133.31</v>
      </c>
      <c r="H256" s="570">
        <v>1</v>
      </c>
      <c r="I256" s="640">
        <f t="shared" si="50"/>
        <v>0</v>
      </c>
      <c r="J256" s="574">
        <f t="shared" si="51"/>
        <v>0</v>
      </c>
      <c r="K256" s="577">
        <f t="shared" si="46"/>
        <v>1</v>
      </c>
      <c r="L256" s="575">
        <f t="shared" si="56"/>
        <v>133.31</v>
      </c>
      <c r="M256" s="575">
        <f t="shared" si="56"/>
        <v>0</v>
      </c>
      <c r="N256" s="575">
        <f t="shared" si="56"/>
        <v>0</v>
      </c>
      <c r="O256" s="575">
        <f t="shared" si="56"/>
        <v>133.31</v>
      </c>
      <c r="P256" s="576">
        <f t="shared" si="48"/>
        <v>0</v>
      </c>
      <c r="Q256" s="525"/>
      <c r="S256" s="189">
        <v>0</v>
      </c>
      <c r="T256" s="189">
        <v>0</v>
      </c>
      <c r="BT256" s="525"/>
      <c r="BU256" s="523">
        <v>0</v>
      </c>
      <c r="BV256" s="523">
        <v>0</v>
      </c>
      <c r="BW256" s="523">
        <v>0</v>
      </c>
      <c r="BX256" s="523">
        <v>0</v>
      </c>
      <c r="BY256" s="523"/>
      <c r="BZ256" s="523"/>
      <c r="CA256" s="523"/>
      <c r="CB256" s="523"/>
      <c r="CC256" s="523"/>
      <c r="CD256" s="523"/>
      <c r="CE256" s="523"/>
      <c r="CF256" s="523"/>
      <c r="CG256" s="523"/>
      <c r="CH256" s="523"/>
      <c r="CI256" s="523">
        <f t="shared" si="49"/>
        <v>0</v>
      </c>
    </row>
    <row r="257" spans="1:87" ht="15.75" x14ac:dyDescent="0.2">
      <c r="A257" s="567" t="s">
        <v>1757</v>
      </c>
      <c r="B257" s="568" t="s">
        <v>1758</v>
      </c>
      <c r="C257" s="568" t="s">
        <v>1324</v>
      </c>
      <c r="D257" s="569" t="s">
        <v>1759</v>
      </c>
      <c r="E257" s="570" t="s">
        <v>102</v>
      </c>
      <c r="F257" s="577">
        <v>2.93</v>
      </c>
      <c r="G257" s="572">
        <v>156.31</v>
      </c>
      <c r="H257" s="570">
        <v>6</v>
      </c>
      <c r="I257" s="640">
        <f t="shared" si="50"/>
        <v>0</v>
      </c>
      <c r="J257" s="574">
        <f t="shared" si="51"/>
        <v>0</v>
      </c>
      <c r="K257" s="577">
        <f t="shared" si="46"/>
        <v>6</v>
      </c>
      <c r="L257" s="575">
        <f t="shared" si="56"/>
        <v>937.86</v>
      </c>
      <c r="M257" s="575">
        <f t="shared" si="56"/>
        <v>0</v>
      </c>
      <c r="N257" s="575">
        <f t="shared" si="56"/>
        <v>0</v>
      </c>
      <c r="O257" s="575">
        <f t="shared" si="56"/>
        <v>937.86</v>
      </c>
      <c r="P257" s="576">
        <f t="shared" si="48"/>
        <v>0</v>
      </c>
      <c r="Q257" s="525"/>
      <c r="S257" s="189">
        <v>0</v>
      </c>
      <c r="T257" s="189">
        <v>0</v>
      </c>
      <c r="BT257" s="525"/>
      <c r="BU257" s="523">
        <v>0</v>
      </c>
      <c r="BV257" s="523">
        <v>0</v>
      </c>
      <c r="BW257" s="523">
        <v>0</v>
      </c>
      <c r="BX257" s="523">
        <v>0</v>
      </c>
      <c r="BY257" s="523"/>
      <c r="BZ257" s="523"/>
      <c r="CA257" s="523"/>
      <c r="CB257" s="523"/>
      <c r="CC257" s="523"/>
      <c r="CD257" s="523"/>
      <c r="CE257" s="523"/>
      <c r="CF257" s="523"/>
      <c r="CG257" s="523"/>
      <c r="CH257" s="523"/>
      <c r="CI257" s="523">
        <f t="shared" si="49"/>
        <v>0</v>
      </c>
    </row>
    <row r="258" spans="1:87" ht="45" x14ac:dyDescent="0.2">
      <c r="A258" s="567" t="s">
        <v>1760</v>
      </c>
      <c r="B258" s="568" t="s">
        <v>2007</v>
      </c>
      <c r="C258" s="568" t="s">
        <v>1339</v>
      </c>
      <c r="D258" s="569" t="s">
        <v>1761</v>
      </c>
      <c r="E258" s="570" t="s">
        <v>102</v>
      </c>
      <c r="F258" s="577">
        <v>4.1100000000000003</v>
      </c>
      <c r="G258" s="572">
        <v>449.68</v>
      </c>
      <c r="H258" s="570">
        <v>20</v>
      </c>
      <c r="I258" s="640">
        <f t="shared" si="50"/>
        <v>0</v>
      </c>
      <c r="J258" s="574">
        <f t="shared" si="51"/>
        <v>0</v>
      </c>
      <c r="K258" s="577">
        <f t="shared" si="46"/>
        <v>20</v>
      </c>
      <c r="L258" s="575">
        <f t="shared" si="56"/>
        <v>8993.6</v>
      </c>
      <c r="M258" s="575">
        <f t="shared" si="56"/>
        <v>0</v>
      </c>
      <c r="N258" s="575">
        <f t="shared" si="56"/>
        <v>0</v>
      </c>
      <c r="O258" s="575">
        <f t="shared" si="56"/>
        <v>8993.6</v>
      </c>
      <c r="P258" s="576">
        <f t="shared" si="48"/>
        <v>0</v>
      </c>
      <c r="Q258" s="525"/>
      <c r="S258" s="189">
        <v>0</v>
      </c>
      <c r="T258" s="189">
        <v>0</v>
      </c>
      <c r="BT258" s="525"/>
      <c r="BU258" s="523">
        <v>0</v>
      </c>
      <c r="BV258" s="523">
        <v>0</v>
      </c>
      <c r="BW258" s="523">
        <v>0</v>
      </c>
      <c r="BX258" s="523">
        <v>0</v>
      </c>
      <c r="BY258" s="523"/>
      <c r="BZ258" s="523"/>
      <c r="CA258" s="523"/>
      <c r="CB258" s="523"/>
      <c r="CC258" s="523"/>
      <c r="CD258" s="523"/>
      <c r="CE258" s="523"/>
      <c r="CF258" s="523"/>
      <c r="CG258" s="523"/>
      <c r="CH258" s="523"/>
      <c r="CI258" s="523">
        <f t="shared" si="49"/>
        <v>0</v>
      </c>
    </row>
    <row r="259" spans="1:87" ht="31.5" x14ac:dyDescent="0.2">
      <c r="A259" s="556">
        <v>18</v>
      </c>
      <c r="B259" s="557"/>
      <c r="C259" s="557"/>
      <c r="D259" s="558" t="s">
        <v>1762</v>
      </c>
      <c r="E259" s="559"/>
      <c r="F259" s="559"/>
      <c r="G259" s="559"/>
      <c r="H259" s="559"/>
      <c r="I259" s="559"/>
      <c r="J259" s="559"/>
      <c r="K259" s="559"/>
      <c r="L259" s="562">
        <f>SUM(L260:L267)</f>
        <v>7237.1900000000014</v>
      </c>
      <c r="M259" s="562">
        <f>SUM(M260:M267)</f>
        <v>0</v>
      </c>
      <c r="N259" s="562">
        <f>SUM(N260:N267)</f>
        <v>0</v>
      </c>
      <c r="O259" s="562">
        <f>SUM(O260:O267)</f>
        <v>7237.1900000000014</v>
      </c>
      <c r="P259" s="566">
        <f t="shared" si="48"/>
        <v>0</v>
      </c>
      <c r="Q259" s="525"/>
      <c r="S259" s="189">
        <v>0</v>
      </c>
      <c r="T259" s="189">
        <v>0</v>
      </c>
      <c r="BT259" s="525"/>
      <c r="BU259" s="523">
        <v>0</v>
      </c>
      <c r="BV259" s="523">
        <v>0</v>
      </c>
      <c r="BW259" s="523"/>
      <c r="BX259" s="523"/>
      <c r="BY259" s="523"/>
      <c r="BZ259" s="523"/>
      <c r="CA259" s="523"/>
      <c r="CB259" s="523"/>
      <c r="CC259" s="523"/>
      <c r="CD259" s="523"/>
      <c r="CE259" s="523"/>
      <c r="CF259" s="523"/>
      <c r="CG259" s="523"/>
      <c r="CH259" s="523"/>
      <c r="CI259" s="523">
        <f t="shared" si="49"/>
        <v>0</v>
      </c>
    </row>
    <row r="260" spans="1:87" ht="45" x14ac:dyDescent="0.2">
      <c r="A260" s="567" t="s">
        <v>657</v>
      </c>
      <c r="B260" s="568" t="s">
        <v>2007</v>
      </c>
      <c r="C260" s="568" t="s">
        <v>1339</v>
      </c>
      <c r="D260" s="569" t="s">
        <v>1763</v>
      </c>
      <c r="E260" s="570" t="s">
        <v>102</v>
      </c>
      <c r="F260" s="571"/>
      <c r="G260" s="572">
        <v>205.82</v>
      </c>
      <c r="H260" s="570">
        <v>7</v>
      </c>
      <c r="I260" s="640">
        <f t="shared" si="50"/>
        <v>0</v>
      </c>
      <c r="J260" s="574">
        <f t="shared" si="51"/>
        <v>0</v>
      </c>
      <c r="K260" s="577">
        <f t="shared" ref="K260:K283" si="57">H260-J260</f>
        <v>7</v>
      </c>
      <c r="L260" s="575">
        <f t="shared" ref="L260:O267" si="58">ROUND(H260*$G260,2)</f>
        <v>1440.74</v>
      </c>
      <c r="M260" s="575">
        <f t="shared" si="58"/>
        <v>0</v>
      </c>
      <c r="N260" s="575">
        <f t="shared" si="58"/>
        <v>0</v>
      </c>
      <c r="O260" s="575">
        <f t="shared" si="58"/>
        <v>1440.74</v>
      </c>
      <c r="P260" s="576">
        <f t="shared" si="48"/>
        <v>0</v>
      </c>
      <c r="Q260" s="525"/>
      <c r="S260" s="189">
        <v>0</v>
      </c>
      <c r="T260" s="189">
        <v>0</v>
      </c>
      <c r="BT260" s="525"/>
      <c r="BU260" s="523">
        <v>0</v>
      </c>
      <c r="BV260" s="523">
        <v>0</v>
      </c>
      <c r="BW260" s="523">
        <v>0</v>
      </c>
      <c r="BX260" s="523">
        <v>0</v>
      </c>
      <c r="BY260" s="523"/>
      <c r="BZ260" s="523"/>
      <c r="CA260" s="523"/>
      <c r="CB260" s="523"/>
      <c r="CC260" s="523"/>
      <c r="CD260" s="523"/>
      <c r="CE260" s="523"/>
      <c r="CF260" s="523"/>
      <c r="CG260" s="523"/>
      <c r="CH260" s="523"/>
      <c r="CI260" s="523">
        <f t="shared" si="49"/>
        <v>0</v>
      </c>
    </row>
    <row r="261" spans="1:87" ht="30" x14ac:dyDescent="0.2">
      <c r="A261" s="567" t="s">
        <v>664</v>
      </c>
      <c r="B261" s="568" t="s">
        <v>2007</v>
      </c>
      <c r="C261" s="568" t="s">
        <v>1339</v>
      </c>
      <c r="D261" s="569" t="s">
        <v>1764</v>
      </c>
      <c r="E261" s="570" t="s">
        <v>102</v>
      </c>
      <c r="F261" s="577">
        <v>179.19</v>
      </c>
      <c r="G261" s="572">
        <v>232.41</v>
      </c>
      <c r="H261" s="570">
        <v>1</v>
      </c>
      <c r="I261" s="640">
        <f t="shared" si="50"/>
        <v>0</v>
      </c>
      <c r="J261" s="574">
        <f t="shared" si="51"/>
        <v>0</v>
      </c>
      <c r="K261" s="577">
        <f t="shared" si="57"/>
        <v>1</v>
      </c>
      <c r="L261" s="575">
        <f t="shared" si="58"/>
        <v>232.41</v>
      </c>
      <c r="M261" s="575">
        <f t="shared" si="58"/>
        <v>0</v>
      </c>
      <c r="N261" s="575">
        <f t="shared" si="58"/>
        <v>0</v>
      </c>
      <c r="O261" s="575">
        <f t="shared" si="58"/>
        <v>232.41</v>
      </c>
      <c r="P261" s="576">
        <f t="shared" si="48"/>
        <v>0</v>
      </c>
      <c r="Q261" s="525"/>
      <c r="S261" s="189">
        <v>0</v>
      </c>
      <c r="T261" s="189">
        <v>0</v>
      </c>
      <c r="BT261" s="525"/>
      <c r="BU261" s="523">
        <v>0</v>
      </c>
      <c r="BV261" s="523">
        <v>0</v>
      </c>
      <c r="BW261" s="523">
        <v>0</v>
      </c>
      <c r="BX261" s="523">
        <v>0</v>
      </c>
      <c r="BY261" s="523"/>
      <c r="BZ261" s="523"/>
      <c r="CA261" s="523"/>
      <c r="CB261" s="523"/>
      <c r="CC261" s="523"/>
      <c r="CD261" s="523"/>
      <c r="CE261" s="523"/>
      <c r="CF261" s="523"/>
      <c r="CG261" s="523"/>
      <c r="CH261" s="523"/>
      <c r="CI261" s="523">
        <f t="shared" si="49"/>
        <v>0</v>
      </c>
    </row>
    <row r="262" spans="1:87" ht="15.75" x14ac:dyDescent="0.2">
      <c r="A262" s="567" t="s">
        <v>668</v>
      </c>
      <c r="B262" s="568">
        <v>72929</v>
      </c>
      <c r="C262" s="568" t="s">
        <v>1324</v>
      </c>
      <c r="D262" s="569" t="s">
        <v>1765</v>
      </c>
      <c r="E262" s="570" t="s">
        <v>81</v>
      </c>
      <c r="F262" s="577">
        <v>212.03</v>
      </c>
      <c r="G262" s="572">
        <v>22.1</v>
      </c>
      <c r="H262" s="570">
        <v>39.200000000000003</v>
      </c>
      <c r="I262" s="640">
        <f t="shared" si="50"/>
        <v>0</v>
      </c>
      <c r="J262" s="574">
        <f t="shared" si="51"/>
        <v>0</v>
      </c>
      <c r="K262" s="577">
        <f t="shared" si="57"/>
        <v>39.200000000000003</v>
      </c>
      <c r="L262" s="575">
        <f t="shared" si="58"/>
        <v>866.32</v>
      </c>
      <c r="M262" s="575">
        <f t="shared" si="58"/>
        <v>0</v>
      </c>
      <c r="N262" s="575">
        <f t="shared" si="58"/>
        <v>0</v>
      </c>
      <c r="O262" s="575">
        <f t="shared" si="58"/>
        <v>866.32</v>
      </c>
      <c r="P262" s="576">
        <f t="shared" si="48"/>
        <v>0</v>
      </c>
      <c r="Q262" s="525"/>
      <c r="S262" s="189">
        <v>0</v>
      </c>
      <c r="T262" s="189">
        <v>0</v>
      </c>
      <c r="BT262" s="525"/>
      <c r="BU262" s="523">
        <v>0</v>
      </c>
      <c r="BV262" s="523">
        <v>0</v>
      </c>
      <c r="BW262" s="523">
        <v>0</v>
      </c>
      <c r="BX262" s="523">
        <v>0</v>
      </c>
      <c r="BY262" s="523"/>
      <c r="BZ262" s="523"/>
      <c r="CA262" s="523"/>
      <c r="CB262" s="523"/>
      <c r="CC262" s="523"/>
      <c r="CD262" s="523"/>
      <c r="CE262" s="523"/>
      <c r="CF262" s="523"/>
      <c r="CG262" s="523"/>
      <c r="CH262" s="523"/>
      <c r="CI262" s="523">
        <f t="shared" si="49"/>
        <v>0</v>
      </c>
    </row>
    <row r="263" spans="1:87" ht="15.75" x14ac:dyDescent="0.2">
      <c r="A263" s="567" t="s">
        <v>671</v>
      </c>
      <c r="B263" s="568">
        <v>72930</v>
      </c>
      <c r="C263" s="568" t="s">
        <v>1324</v>
      </c>
      <c r="D263" s="569" t="s">
        <v>1766</v>
      </c>
      <c r="E263" s="570" t="s">
        <v>81</v>
      </c>
      <c r="F263" s="577">
        <v>101.58</v>
      </c>
      <c r="G263" s="572">
        <v>31.35</v>
      </c>
      <c r="H263" s="570">
        <v>126.32</v>
      </c>
      <c r="I263" s="640">
        <f t="shared" si="50"/>
        <v>0</v>
      </c>
      <c r="J263" s="574">
        <f t="shared" si="51"/>
        <v>0</v>
      </c>
      <c r="K263" s="577">
        <f t="shared" si="57"/>
        <v>126.32</v>
      </c>
      <c r="L263" s="575">
        <f t="shared" si="58"/>
        <v>3960.13</v>
      </c>
      <c r="M263" s="575">
        <f t="shared" si="58"/>
        <v>0</v>
      </c>
      <c r="N263" s="575">
        <f t="shared" si="58"/>
        <v>0</v>
      </c>
      <c r="O263" s="575">
        <f t="shared" si="58"/>
        <v>3960.13</v>
      </c>
      <c r="P263" s="576">
        <f t="shared" si="48"/>
        <v>0</v>
      </c>
      <c r="Q263" s="525"/>
      <c r="S263" s="189">
        <v>0</v>
      </c>
      <c r="T263" s="189">
        <v>0</v>
      </c>
      <c r="BT263" s="525"/>
      <c r="BU263" s="523">
        <v>0</v>
      </c>
      <c r="BV263" s="523">
        <v>0</v>
      </c>
      <c r="BW263" s="523">
        <v>0</v>
      </c>
      <c r="BX263" s="523">
        <v>0</v>
      </c>
      <c r="BY263" s="523"/>
      <c r="BZ263" s="523"/>
      <c r="CA263" s="523"/>
      <c r="CB263" s="523"/>
      <c r="CC263" s="523"/>
      <c r="CD263" s="523"/>
      <c r="CE263" s="523"/>
      <c r="CF263" s="523"/>
      <c r="CG263" s="523"/>
      <c r="CH263" s="523"/>
      <c r="CI263" s="523">
        <f t="shared" si="49"/>
        <v>0</v>
      </c>
    </row>
    <row r="264" spans="1:87" ht="15.75" x14ac:dyDescent="0.2">
      <c r="A264" s="567" t="s">
        <v>679</v>
      </c>
      <c r="B264" s="568">
        <v>93008</v>
      </c>
      <c r="C264" s="568" t="s">
        <v>1324</v>
      </c>
      <c r="D264" s="569" t="s">
        <v>1767</v>
      </c>
      <c r="E264" s="570" t="s">
        <v>81</v>
      </c>
      <c r="F264" s="577">
        <v>412.2</v>
      </c>
      <c r="G264" s="572">
        <v>9.83</v>
      </c>
      <c r="H264" s="570">
        <v>21</v>
      </c>
      <c r="I264" s="640">
        <f t="shared" si="50"/>
        <v>0</v>
      </c>
      <c r="J264" s="574">
        <f t="shared" si="51"/>
        <v>0</v>
      </c>
      <c r="K264" s="577">
        <f t="shared" si="57"/>
        <v>21</v>
      </c>
      <c r="L264" s="575">
        <f t="shared" si="58"/>
        <v>206.43</v>
      </c>
      <c r="M264" s="575">
        <f t="shared" si="58"/>
        <v>0</v>
      </c>
      <c r="N264" s="575">
        <f t="shared" si="58"/>
        <v>0</v>
      </c>
      <c r="O264" s="575">
        <f t="shared" si="58"/>
        <v>206.43</v>
      </c>
      <c r="P264" s="576">
        <f t="shared" si="48"/>
        <v>0</v>
      </c>
      <c r="Q264" s="525"/>
      <c r="S264" s="189">
        <v>0</v>
      </c>
      <c r="T264" s="189">
        <v>0</v>
      </c>
      <c r="BT264" s="525"/>
      <c r="BU264" s="523">
        <v>0</v>
      </c>
      <c r="BV264" s="523">
        <v>0</v>
      </c>
      <c r="BW264" s="523">
        <v>0</v>
      </c>
      <c r="BX264" s="523">
        <v>0</v>
      </c>
      <c r="BY264" s="523"/>
      <c r="BZ264" s="523"/>
      <c r="CA264" s="523"/>
      <c r="CB264" s="523"/>
      <c r="CC264" s="523"/>
      <c r="CD264" s="523"/>
      <c r="CE264" s="523"/>
      <c r="CF264" s="523"/>
      <c r="CG264" s="523"/>
      <c r="CH264" s="523"/>
      <c r="CI264" s="523">
        <f t="shared" si="49"/>
        <v>0</v>
      </c>
    </row>
    <row r="265" spans="1:87" ht="30" x14ac:dyDescent="0.2">
      <c r="A265" s="567" t="s">
        <v>1768</v>
      </c>
      <c r="B265" s="568" t="s">
        <v>2007</v>
      </c>
      <c r="C265" s="568" t="s">
        <v>1769</v>
      </c>
      <c r="D265" s="569" t="s">
        <v>1770</v>
      </c>
      <c r="E265" s="570" t="s">
        <v>102</v>
      </c>
      <c r="F265" s="577">
        <v>348.66</v>
      </c>
      <c r="G265" s="572">
        <v>38.299999999999997</v>
      </c>
      <c r="H265" s="570">
        <v>7</v>
      </c>
      <c r="I265" s="640">
        <f t="shared" si="50"/>
        <v>0</v>
      </c>
      <c r="J265" s="574">
        <f t="shared" si="51"/>
        <v>0</v>
      </c>
      <c r="K265" s="577">
        <f t="shared" si="57"/>
        <v>7</v>
      </c>
      <c r="L265" s="575">
        <f t="shared" si="58"/>
        <v>268.10000000000002</v>
      </c>
      <c r="M265" s="575">
        <f t="shared" si="58"/>
        <v>0</v>
      </c>
      <c r="N265" s="575">
        <f t="shared" si="58"/>
        <v>0</v>
      </c>
      <c r="O265" s="575">
        <f t="shared" si="58"/>
        <v>268.10000000000002</v>
      </c>
      <c r="P265" s="576">
        <f t="shared" si="48"/>
        <v>0</v>
      </c>
      <c r="Q265" s="525"/>
      <c r="S265" s="189">
        <v>0</v>
      </c>
      <c r="T265" s="189">
        <v>0</v>
      </c>
      <c r="BT265" s="525"/>
      <c r="BU265" s="523">
        <v>0</v>
      </c>
      <c r="BV265" s="523">
        <v>0</v>
      </c>
      <c r="BW265" s="523">
        <v>0</v>
      </c>
      <c r="BX265" s="523">
        <v>0</v>
      </c>
      <c r="BY265" s="523"/>
      <c r="BZ265" s="523"/>
      <c r="CA265" s="523"/>
      <c r="CB265" s="523"/>
      <c r="CC265" s="523"/>
      <c r="CD265" s="523"/>
      <c r="CE265" s="523"/>
      <c r="CF265" s="523"/>
      <c r="CG265" s="523"/>
      <c r="CH265" s="523"/>
      <c r="CI265" s="523">
        <f t="shared" si="49"/>
        <v>0</v>
      </c>
    </row>
    <row r="266" spans="1:87" ht="15.75" x14ac:dyDescent="0.2">
      <c r="A266" s="567" t="s">
        <v>1771</v>
      </c>
      <c r="B266" s="568" t="s">
        <v>2007</v>
      </c>
      <c r="C266" s="568" t="s">
        <v>1769</v>
      </c>
      <c r="D266" s="569" t="s">
        <v>1772</v>
      </c>
      <c r="E266" s="570" t="s">
        <v>102</v>
      </c>
      <c r="F266" s="577">
        <v>153.37</v>
      </c>
      <c r="G266" s="572">
        <v>24.49</v>
      </c>
      <c r="H266" s="570">
        <v>7</v>
      </c>
      <c r="I266" s="640">
        <f t="shared" si="50"/>
        <v>0</v>
      </c>
      <c r="J266" s="574">
        <f t="shared" si="51"/>
        <v>0</v>
      </c>
      <c r="K266" s="577">
        <f t="shared" si="57"/>
        <v>7</v>
      </c>
      <c r="L266" s="575">
        <f t="shared" si="58"/>
        <v>171.43</v>
      </c>
      <c r="M266" s="575">
        <f t="shared" si="58"/>
        <v>0</v>
      </c>
      <c r="N266" s="575">
        <f t="shared" si="58"/>
        <v>0</v>
      </c>
      <c r="O266" s="575">
        <f t="shared" si="58"/>
        <v>171.43</v>
      </c>
      <c r="P266" s="576">
        <f t="shared" si="48"/>
        <v>0</v>
      </c>
      <c r="Q266" s="525"/>
      <c r="S266" s="189">
        <v>0</v>
      </c>
      <c r="T266" s="189">
        <v>0</v>
      </c>
      <c r="BT266" s="525"/>
      <c r="BU266" s="523">
        <v>0</v>
      </c>
      <c r="BV266" s="523">
        <v>0</v>
      </c>
      <c r="BW266" s="523">
        <v>0</v>
      </c>
      <c r="BX266" s="523">
        <v>0</v>
      </c>
      <c r="BY266" s="523"/>
      <c r="BZ266" s="523"/>
      <c r="CA266" s="523"/>
      <c r="CB266" s="523"/>
      <c r="CC266" s="523"/>
      <c r="CD266" s="523"/>
      <c r="CE266" s="523"/>
      <c r="CF266" s="523"/>
      <c r="CG266" s="523"/>
      <c r="CH266" s="523"/>
      <c r="CI266" s="523">
        <f t="shared" si="49"/>
        <v>0</v>
      </c>
    </row>
    <row r="267" spans="1:87" ht="30" x14ac:dyDescent="0.2">
      <c r="A267" s="567" t="s">
        <v>1773</v>
      </c>
      <c r="B267" s="568">
        <v>72262</v>
      </c>
      <c r="C267" s="568" t="s">
        <v>1324</v>
      </c>
      <c r="D267" s="569" t="s">
        <v>1774</v>
      </c>
      <c r="E267" s="570" t="s">
        <v>102</v>
      </c>
      <c r="F267" s="577">
        <v>62.01</v>
      </c>
      <c r="G267" s="572">
        <v>13.09</v>
      </c>
      <c r="H267" s="570">
        <v>7</v>
      </c>
      <c r="I267" s="640">
        <f t="shared" si="50"/>
        <v>0</v>
      </c>
      <c r="J267" s="574">
        <f t="shared" si="51"/>
        <v>0</v>
      </c>
      <c r="K267" s="577">
        <f t="shared" si="57"/>
        <v>7</v>
      </c>
      <c r="L267" s="575">
        <f t="shared" si="58"/>
        <v>91.63</v>
      </c>
      <c r="M267" s="575">
        <f t="shared" si="58"/>
        <v>0</v>
      </c>
      <c r="N267" s="575">
        <f t="shared" si="58"/>
        <v>0</v>
      </c>
      <c r="O267" s="575">
        <f t="shared" si="58"/>
        <v>91.63</v>
      </c>
      <c r="P267" s="576">
        <f t="shared" si="48"/>
        <v>0</v>
      </c>
      <c r="Q267" s="525"/>
      <c r="S267" s="189">
        <v>0</v>
      </c>
      <c r="T267" s="189">
        <v>0</v>
      </c>
      <c r="BT267" s="525"/>
      <c r="BU267" s="523">
        <v>0</v>
      </c>
      <c r="BV267" s="523">
        <v>0</v>
      </c>
      <c r="BW267" s="523">
        <v>0</v>
      </c>
      <c r="BX267" s="523">
        <v>0</v>
      </c>
      <c r="BY267" s="523"/>
      <c r="BZ267" s="523"/>
      <c r="CA267" s="523"/>
      <c r="CB267" s="523"/>
      <c r="CC267" s="523"/>
      <c r="CD267" s="523"/>
      <c r="CE267" s="523"/>
      <c r="CF267" s="523"/>
      <c r="CG267" s="523"/>
      <c r="CH267" s="523"/>
      <c r="CI267" s="523">
        <f t="shared" si="49"/>
        <v>0</v>
      </c>
    </row>
    <row r="268" spans="1:87" s="514" customFormat="1" ht="15.75" x14ac:dyDescent="0.2">
      <c r="A268" s="556">
        <v>19</v>
      </c>
      <c r="B268" s="557"/>
      <c r="C268" s="557"/>
      <c r="D268" s="558" t="s">
        <v>304</v>
      </c>
      <c r="E268" s="559"/>
      <c r="F268" s="559"/>
      <c r="G268" s="559"/>
      <c r="H268" s="559"/>
      <c r="I268" s="559"/>
      <c r="J268" s="559"/>
      <c r="K268" s="559"/>
      <c r="L268" s="562">
        <f>SUM(L269,L275)</f>
        <v>28168.979999999996</v>
      </c>
      <c r="M268" s="562">
        <f>SUM(M269,M275)</f>
        <v>0</v>
      </c>
      <c r="N268" s="562">
        <f>SUM(N269,N275)</f>
        <v>0</v>
      </c>
      <c r="O268" s="562">
        <f>SUM(O269,O275)</f>
        <v>28168.979999999996</v>
      </c>
      <c r="P268" s="566">
        <f t="shared" si="48"/>
        <v>0</v>
      </c>
      <c r="Q268" s="525"/>
      <c r="S268" s="190">
        <v>0</v>
      </c>
      <c r="T268" s="190">
        <v>0</v>
      </c>
      <c r="BT268" s="525"/>
      <c r="BU268" s="523">
        <v>0</v>
      </c>
      <c r="BV268" s="523">
        <v>0</v>
      </c>
      <c r="BW268" s="523"/>
      <c r="BX268" s="523"/>
      <c r="BY268" s="523"/>
      <c r="BZ268" s="523"/>
      <c r="CA268" s="523"/>
      <c r="CB268" s="523"/>
      <c r="CC268" s="523"/>
      <c r="CD268" s="523"/>
      <c r="CE268" s="523"/>
      <c r="CF268" s="523"/>
      <c r="CG268" s="523"/>
      <c r="CH268" s="523"/>
      <c r="CI268" s="523">
        <f t="shared" si="49"/>
        <v>0</v>
      </c>
    </row>
    <row r="269" spans="1:87" ht="15.75" x14ac:dyDescent="0.2">
      <c r="A269" s="584" t="s">
        <v>685</v>
      </c>
      <c r="B269" s="585"/>
      <c r="C269" s="585"/>
      <c r="D269" s="586" t="s">
        <v>1775</v>
      </c>
      <c r="E269" s="587"/>
      <c r="F269" s="587"/>
      <c r="G269" s="587"/>
      <c r="H269" s="587"/>
      <c r="I269" s="587"/>
      <c r="J269" s="587"/>
      <c r="K269" s="587"/>
      <c r="L269" s="587">
        <f>SUM(L270:L274)</f>
        <v>6263.99</v>
      </c>
      <c r="M269" s="587">
        <f>SUM(M270:M274)</f>
        <v>0</v>
      </c>
      <c r="N269" s="587">
        <f>SUM(N270:N274)</f>
        <v>0</v>
      </c>
      <c r="O269" s="587">
        <f>SUM(O270:O274)</f>
        <v>6263.99</v>
      </c>
      <c r="P269" s="592">
        <f t="shared" ref="P269:P283" si="59">N269/L269</f>
        <v>0</v>
      </c>
      <c r="Q269" s="525"/>
      <c r="S269" s="189">
        <v>0</v>
      </c>
      <c r="T269" s="189">
        <v>0</v>
      </c>
      <c r="BT269" s="525"/>
      <c r="BU269" s="523">
        <v>0</v>
      </c>
      <c r="BV269" s="523">
        <v>0</v>
      </c>
      <c r="BW269" s="523"/>
      <c r="BX269" s="523"/>
      <c r="BY269" s="523"/>
      <c r="BZ269" s="523"/>
      <c r="CA269" s="523"/>
      <c r="CB269" s="523"/>
      <c r="CC269" s="523"/>
      <c r="CD269" s="523"/>
      <c r="CE269" s="523"/>
      <c r="CF269" s="523"/>
      <c r="CG269" s="523"/>
      <c r="CH269" s="523"/>
      <c r="CI269" s="523">
        <f t="shared" si="49"/>
        <v>0</v>
      </c>
    </row>
    <row r="270" spans="1:87" ht="15.75" x14ac:dyDescent="0.2">
      <c r="A270" s="567" t="s">
        <v>1776</v>
      </c>
      <c r="B270" s="568" t="s">
        <v>2007</v>
      </c>
      <c r="C270" s="568" t="s">
        <v>1339</v>
      </c>
      <c r="D270" s="569" t="s">
        <v>1777</v>
      </c>
      <c r="E270" s="570" t="s">
        <v>14</v>
      </c>
      <c r="F270" s="577">
        <v>224.79</v>
      </c>
      <c r="G270" s="572">
        <v>236.77</v>
      </c>
      <c r="H270" s="570">
        <v>2.5</v>
      </c>
      <c r="I270" s="640">
        <f t="shared" si="50"/>
        <v>0</v>
      </c>
      <c r="J270" s="574">
        <f t="shared" si="51"/>
        <v>0</v>
      </c>
      <c r="K270" s="577">
        <f t="shared" si="57"/>
        <v>2.5</v>
      </c>
      <c r="L270" s="575">
        <f t="shared" ref="L270:O274" si="60">ROUND(H270*$G270,2)</f>
        <v>591.92999999999995</v>
      </c>
      <c r="M270" s="575">
        <f t="shared" si="60"/>
        <v>0</v>
      </c>
      <c r="N270" s="575">
        <f t="shared" si="60"/>
        <v>0</v>
      </c>
      <c r="O270" s="575">
        <f t="shared" si="60"/>
        <v>591.92999999999995</v>
      </c>
      <c r="P270" s="576">
        <f t="shared" si="59"/>
        <v>0</v>
      </c>
      <c r="Q270" s="525"/>
      <c r="S270" s="189">
        <v>0</v>
      </c>
      <c r="T270" s="189">
        <v>0</v>
      </c>
      <c r="BT270" s="525"/>
      <c r="BU270" s="523">
        <v>0</v>
      </c>
      <c r="BV270" s="523">
        <v>0</v>
      </c>
      <c r="BW270" s="523">
        <v>0</v>
      </c>
      <c r="BX270" s="523">
        <v>0</v>
      </c>
      <c r="BY270" s="523"/>
      <c r="BZ270" s="523"/>
      <c r="CA270" s="523"/>
      <c r="CB270" s="523"/>
      <c r="CC270" s="523"/>
      <c r="CD270" s="523"/>
      <c r="CE270" s="523"/>
      <c r="CF270" s="523"/>
      <c r="CG270" s="523"/>
      <c r="CH270" s="523"/>
      <c r="CI270" s="523">
        <f t="shared" si="49"/>
        <v>0</v>
      </c>
    </row>
    <row r="271" spans="1:87" ht="30" x14ac:dyDescent="0.2">
      <c r="A271" s="567" t="s">
        <v>1778</v>
      </c>
      <c r="B271" s="568" t="s">
        <v>2007</v>
      </c>
      <c r="C271" s="568" t="s">
        <v>1339</v>
      </c>
      <c r="D271" s="569" t="s">
        <v>1779</v>
      </c>
      <c r="E271" s="570" t="s">
        <v>102</v>
      </c>
      <c r="F271" s="577">
        <v>170.36</v>
      </c>
      <c r="G271" s="572">
        <v>1103.49</v>
      </c>
      <c r="H271" s="570">
        <v>1</v>
      </c>
      <c r="I271" s="640">
        <f t="shared" si="50"/>
        <v>0</v>
      </c>
      <c r="J271" s="574">
        <f t="shared" si="51"/>
        <v>0</v>
      </c>
      <c r="K271" s="577">
        <f t="shared" si="57"/>
        <v>1</v>
      </c>
      <c r="L271" s="575">
        <f t="shared" si="60"/>
        <v>1103.49</v>
      </c>
      <c r="M271" s="575">
        <f t="shared" si="60"/>
        <v>0</v>
      </c>
      <c r="N271" s="575">
        <f t="shared" si="60"/>
        <v>0</v>
      </c>
      <c r="O271" s="575">
        <f t="shared" si="60"/>
        <v>1103.49</v>
      </c>
      <c r="P271" s="576">
        <f t="shared" si="59"/>
        <v>0</v>
      </c>
      <c r="Q271" s="525"/>
      <c r="S271" s="189">
        <v>0</v>
      </c>
      <c r="T271" s="189">
        <v>0</v>
      </c>
      <c r="BT271" s="525"/>
      <c r="BU271" s="523">
        <v>0</v>
      </c>
      <c r="BV271" s="523">
        <v>0</v>
      </c>
      <c r="BW271" s="523">
        <v>0</v>
      </c>
      <c r="BX271" s="523">
        <v>0</v>
      </c>
      <c r="BY271" s="523"/>
      <c r="BZ271" s="523"/>
      <c r="CA271" s="523"/>
      <c r="CB271" s="523"/>
      <c r="CC271" s="523"/>
      <c r="CD271" s="523"/>
      <c r="CE271" s="523"/>
      <c r="CF271" s="523"/>
      <c r="CG271" s="523"/>
      <c r="CH271" s="523"/>
      <c r="CI271" s="523">
        <f t="shared" ref="CI271:CI284" si="61">SUM(BU271:CH271)</f>
        <v>0</v>
      </c>
    </row>
    <row r="272" spans="1:87" ht="15.75" x14ac:dyDescent="0.2">
      <c r="A272" s="567" t="s">
        <v>1780</v>
      </c>
      <c r="B272" s="568" t="s">
        <v>2007</v>
      </c>
      <c r="C272" s="568" t="s">
        <v>1339</v>
      </c>
      <c r="D272" s="569" t="s">
        <v>1781</v>
      </c>
      <c r="E272" s="570" t="s">
        <v>102</v>
      </c>
      <c r="F272" s="577">
        <v>108</v>
      </c>
      <c r="G272" s="572">
        <v>1841.38</v>
      </c>
      <c r="H272" s="570">
        <v>1</v>
      </c>
      <c r="I272" s="640">
        <f t="shared" si="50"/>
        <v>0</v>
      </c>
      <c r="J272" s="574">
        <f t="shared" si="51"/>
        <v>0</v>
      </c>
      <c r="K272" s="577">
        <f t="shared" si="57"/>
        <v>1</v>
      </c>
      <c r="L272" s="575">
        <f t="shared" si="60"/>
        <v>1841.38</v>
      </c>
      <c r="M272" s="575">
        <f t="shared" si="60"/>
        <v>0</v>
      </c>
      <c r="N272" s="575">
        <f t="shared" si="60"/>
        <v>0</v>
      </c>
      <c r="O272" s="575">
        <f t="shared" si="60"/>
        <v>1841.38</v>
      </c>
      <c r="P272" s="576">
        <f t="shared" si="59"/>
        <v>0</v>
      </c>
      <c r="Q272" s="525"/>
      <c r="S272" s="189">
        <v>0</v>
      </c>
      <c r="T272" s="189">
        <v>0</v>
      </c>
      <c r="BT272" s="525"/>
      <c r="BU272" s="523">
        <v>0</v>
      </c>
      <c r="BV272" s="523">
        <v>0</v>
      </c>
      <c r="BW272" s="523">
        <v>0</v>
      </c>
      <c r="BX272" s="523">
        <v>0</v>
      </c>
      <c r="BY272" s="523"/>
      <c r="BZ272" s="523"/>
      <c r="CA272" s="523"/>
      <c r="CB272" s="523"/>
      <c r="CC272" s="523"/>
      <c r="CD272" s="523"/>
      <c r="CE272" s="523"/>
      <c r="CF272" s="523"/>
      <c r="CG272" s="523"/>
      <c r="CH272" s="523"/>
      <c r="CI272" s="523">
        <f t="shared" si="61"/>
        <v>0</v>
      </c>
    </row>
    <row r="273" spans="1:87" ht="15.75" x14ac:dyDescent="0.2">
      <c r="A273" s="567" t="s">
        <v>1782</v>
      </c>
      <c r="B273" s="568" t="s">
        <v>2007</v>
      </c>
      <c r="C273" s="568" t="s">
        <v>1339</v>
      </c>
      <c r="D273" s="569" t="s">
        <v>1783</v>
      </c>
      <c r="E273" s="570" t="s">
        <v>102</v>
      </c>
      <c r="F273" s="577">
        <v>1249</v>
      </c>
      <c r="G273" s="572">
        <v>777.91</v>
      </c>
      <c r="H273" s="570">
        <v>1</v>
      </c>
      <c r="I273" s="640">
        <f t="shared" ref="I273:I284" si="62">BU273</f>
        <v>0</v>
      </c>
      <c r="J273" s="574">
        <f t="shared" ref="J273:J284" si="63">CI273</f>
        <v>0</v>
      </c>
      <c r="K273" s="577">
        <f t="shared" si="57"/>
        <v>1</v>
      </c>
      <c r="L273" s="575">
        <f t="shared" si="60"/>
        <v>777.91</v>
      </c>
      <c r="M273" s="575">
        <f t="shared" si="60"/>
        <v>0</v>
      </c>
      <c r="N273" s="575">
        <f t="shared" si="60"/>
        <v>0</v>
      </c>
      <c r="O273" s="575">
        <f t="shared" si="60"/>
        <v>777.91</v>
      </c>
      <c r="P273" s="576">
        <f t="shared" si="59"/>
        <v>0</v>
      </c>
      <c r="Q273" s="525"/>
      <c r="S273" s="189">
        <v>0</v>
      </c>
      <c r="T273" s="189">
        <v>0</v>
      </c>
      <c r="BT273" s="525"/>
      <c r="BU273" s="523">
        <v>0</v>
      </c>
      <c r="BV273" s="523">
        <v>0</v>
      </c>
      <c r="BW273" s="523">
        <v>0</v>
      </c>
      <c r="BX273" s="523">
        <v>0</v>
      </c>
      <c r="BY273" s="523"/>
      <c r="BZ273" s="523"/>
      <c r="CA273" s="523"/>
      <c r="CB273" s="523"/>
      <c r="CC273" s="523"/>
      <c r="CD273" s="523"/>
      <c r="CE273" s="523"/>
      <c r="CF273" s="523"/>
      <c r="CG273" s="523"/>
      <c r="CH273" s="523"/>
      <c r="CI273" s="523">
        <f t="shared" si="61"/>
        <v>0</v>
      </c>
    </row>
    <row r="274" spans="1:87" s="514" customFormat="1" ht="30" x14ac:dyDescent="0.2">
      <c r="A274" s="567" t="s">
        <v>1784</v>
      </c>
      <c r="B274" s="568">
        <v>84862</v>
      </c>
      <c r="C274" s="568" t="s">
        <v>1324</v>
      </c>
      <c r="D274" s="569" t="s">
        <v>1785</v>
      </c>
      <c r="E274" s="570" t="s">
        <v>81</v>
      </c>
      <c r="F274" s="577">
        <v>74.2</v>
      </c>
      <c r="G274" s="572">
        <v>203.05</v>
      </c>
      <c r="H274" s="570">
        <v>9.6</v>
      </c>
      <c r="I274" s="640">
        <f t="shared" si="62"/>
        <v>0</v>
      </c>
      <c r="J274" s="574">
        <f t="shared" si="63"/>
        <v>0</v>
      </c>
      <c r="K274" s="577">
        <f t="shared" si="57"/>
        <v>9.6</v>
      </c>
      <c r="L274" s="575">
        <f t="shared" si="60"/>
        <v>1949.28</v>
      </c>
      <c r="M274" s="575">
        <f t="shared" si="60"/>
        <v>0</v>
      </c>
      <c r="N274" s="575">
        <f t="shared" si="60"/>
        <v>0</v>
      </c>
      <c r="O274" s="575">
        <f t="shared" si="60"/>
        <v>1949.28</v>
      </c>
      <c r="P274" s="576">
        <f t="shared" si="59"/>
        <v>0</v>
      </c>
      <c r="Q274" s="525"/>
      <c r="S274" s="190">
        <v>0</v>
      </c>
      <c r="T274" s="190">
        <v>0</v>
      </c>
      <c r="BT274" s="525"/>
      <c r="BU274" s="523">
        <v>0</v>
      </c>
      <c r="BV274" s="523">
        <v>0</v>
      </c>
      <c r="BW274" s="523">
        <v>0</v>
      </c>
      <c r="BX274" s="523">
        <v>0</v>
      </c>
      <c r="BY274" s="523"/>
      <c r="BZ274" s="523"/>
      <c r="CA274" s="523"/>
      <c r="CB274" s="523"/>
      <c r="CC274" s="523"/>
      <c r="CD274" s="523"/>
      <c r="CE274" s="523"/>
      <c r="CF274" s="523"/>
      <c r="CG274" s="523"/>
      <c r="CH274" s="523"/>
      <c r="CI274" s="523">
        <f t="shared" si="61"/>
        <v>0</v>
      </c>
    </row>
    <row r="275" spans="1:87" ht="15.75" x14ac:dyDescent="0.2">
      <c r="A275" s="584" t="s">
        <v>691</v>
      </c>
      <c r="B275" s="585"/>
      <c r="C275" s="585"/>
      <c r="D275" s="586" t="s">
        <v>1786</v>
      </c>
      <c r="E275" s="587"/>
      <c r="F275" s="587"/>
      <c r="G275" s="587"/>
      <c r="H275" s="587"/>
      <c r="I275" s="587"/>
      <c r="J275" s="587"/>
      <c r="K275" s="587"/>
      <c r="L275" s="587">
        <f>SUM(L276:L277)</f>
        <v>21904.989999999998</v>
      </c>
      <c r="M275" s="587">
        <f>SUM(M276:M277)</f>
        <v>0</v>
      </c>
      <c r="N275" s="587">
        <f>SUM(N276:N277)</f>
        <v>0</v>
      </c>
      <c r="O275" s="587">
        <f>SUM(O276:O277)</f>
        <v>21904.989999999998</v>
      </c>
      <c r="P275" s="592">
        <f t="shared" si="59"/>
        <v>0</v>
      </c>
      <c r="Q275" s="525"/>
      <c r="S275" s="189">
        <v>0</v>
      </c>
      <c r="T275" s="189">
        <v>0</v>
      </c>
      <c r="BT275" s="525"/>
      <c r="BU275" s="523">
        <v>0</v>
      </c>
      <c r="BV275" s="523">
        <v>0</v>
      </c>
      <c r="BW275" s="523"/>
      <c r="BX275" s="523"/>
      <c r="BY275" s="523"/>
      <c r="BZ275" s="523"/>
      <c r="CA275" s="523"/>
      <c r="CB275" s="523"/>
      <c r="CC275" s="523"/>
      <c r="CD275" s="523"/>
      <c r="CE275" s="523"/>
      <c r="CF275" s="523"/>
      <c r="CG275" s="523"/>
      <c r="CH275" s="523"/>
      <c r="CI275" s="523">
        <f t="shared" si="61"/>
        <v>0</v>
      </c>
    </row>
    <row r="276" spans="1:87" ht="45" x14ac:dyDescent="0.2">
      <c r="A276" s="567" t="s">
        <v>1787</v>
      </c>
      <c r="B276" s="568" t="s">
        <v>1788</v>
      </c>
      <c r="C276" s="568" t="s">
        <v>1324</v>
      </c>
      <c r="D276" s="569" t="s">
        <v>1789</v>
      </c>
      <c r="E276" s="570" t="s">
        <v>14</v>
      </c>
      <c r="F276" s="577">
        <v>62.36</v>
      </c>
      <c r="G276" s="572">
        <v>103.67</v>
      </c>
      <c r="H276" s="570">
        <v>201</v>
      </c>
      <c r="I276" s="640">
        <f t="shared" si="62"/>
        <v>0</v>
      </c>
      <c r="J276" s="574">
        <f t="shared" si="63"/>
        <v>0</v>
      </c>
      <c r="K276" s="577">
        <f t="shared" si="57"/>
        <v>201</v>
      </c>
      <c r="L276" s="575">
        <f t="shared" ref="L276:O277" si="64">ROUND(H276*$G276,2)</f>
        <v>20837.669999999998</v>
      </c>
      <c r="M276" s="575">
        <f t="shared" si="64"/>
        <v>0</v>
      </c>
      <c r="N276" s="575">
        <f t="shared" si="64"/>
        <v>0</v>
      </c>
      <c r="O276" s="575">
        <f t="shared" si="64"/>
        <v>20837.669999999998</v>
      </c>
      <c r="P276" s="576">
        <f t="shared" si="59"/>
        <v>0</v>
      </c>
      <c r="Q276" s="525"/>
      <c r="S276" s="189">
        <v>0</v>
      </c>
      <c r="T276" s="189">
        <v>0</v>
      </c>
      <c r="BT276" s="525"/>
      <c r="BU276" s="523">
        <v>0</v>
      </c>
      <c r="BV276" s="523">
        <v>0</v>
      </c>
      <c r="BW276" s="523">
        <v>0</v>
      </c>
      <c r="BX276" s="523">
        <v>0</v>
      </c>
      <c r="BY276" s="523"/>
      <c r="BZ276" s="523"/>
      <c r="CA276" s="523"/>
      <c r="CB276" s="523"/>
      <c r="CC276" s="523"/>
      <c r="CD276" s="523"/>
      <c r="CE276" s="523"/>
      <c r="CF276" s="523"/>
      <c r="CG276" s="523"/>
      <c r="CH276" s="523"/>
      <c r="CI276" s="523">
        <f t="shared" si="61"/>
        <v>0</v>
      </c>
    </row>
    <row r="277" spans="1:87" s="514" customFormat="1" ht="30" x14ac:dyDescent="0.2">
      <c r="A277" s="567" t="s">
        <v>1790</v>
      </c>
      <c r="B277" s="568" t="s">
        <v>2007</v>
      </c>
      <c r="C277" s="568" t="s">
        <v>1339</v>
      </c>
      <c r="D277" s="569" t="s">
        <v>1791</v>
      </c>
      <c r="E277" s="570" t="s">
        <v>102</v>
      </c>
      <c r="F277" s="577">
        <v>100.46</v>
      </c>
      <c r="G277" s="572">
        <v>266.83</v>
      </c>
      <c r="H277" s="570">
        <v>4</v>
      </c>
      <c r="I277" s="640">
        <f t="shared" si="62"/>
        <v>0</v>
      </c>
      <c r="J277" s="574">
        <f t="shared" si="63"/>
        <v>0</v>
      </c>
      <c r="K277" s="577">
        <f t="shared" si="57"/>
        <v>4</v>
      </c>
      <c r="L277" s="575">
        <f t="shared" si="64"/>
        <v>1067.32</v>
      </c>
      <c r="M277" s="575">
        <f t="shared" si="64"/>
        <v>0</v>
      </c>
      <c r="N277" s="575">
        <f t="shared" si="64"/>
        <v>0</v>
      </c>
      <c r="O277" s="575">
        <f t="shared" si="64"/>
        <v>1067.32</v>
      </c>
      <c r="P277" s="576">
        <f t="shared" si="59"/>
        <v>0</v>
      </c>
      <c r="Q277" s="525"/>
      <c r="S277" s="190">
        <v>0</v>
      </c>
      <c r="T277" s="190">
        <v>0</v>
      </c>
      <c r="BT277" s="525"/>
      <c r="BU277" s="523">
        <v>0</v>
      </c>
      <c r="BV277" s="523">
        <v>0</v>
      </c>
      <c r="BW277" s="523">
        <v>0</v>
      </c>
      <c r="BX277" s="523">
        <v>0</v>
      </c>
      <c r="BY277" s="523"/>
      <c r="BZ277" s="523"/>
      <c r="CA277" s="523"/>
      <c r="CB277" s="523"/>
      <c r="CC277" s="523"/>
      <c r="CD277" s="523"/>
      <c r="CE277" s="523"/>
      <c r="CF277" s="523"/>
      <c r="CG277" s="523"/>
      <c r="CH277" s="523"/>
      <c r="CI277" s="523">
        <f t="shared" si="61"/>
        <v>0</v>
      </c>
    </row>
    <row r="278" spans="1:87" ht="15.75" x14ac:dyDescent="0.2">
      <c r="A278" s="556">
        <v>20</v>
      </c>
      <c r="B278" s="557"/>
      <c r="C278" s="557"/>
      <c r="D278" s="558" t="s">
        <v>1232</v>
      </c>
      <c r="E278" s="559"/>
      <c r="F278" s="559"/>
      <c r="G278" s="559"/>
      <c r="H278" s="559"/>
      <c r="I278" s="559"/>
      <c r="J278" s="559"/>
      <c r="K278" s="559"/>
      <c r="L278" s="562">
        <f>SUM(L279:L283)</f>
        <v>4777.13</v>
      </c>
      <c r="M278" s="562">
        <f>SUM(M279:M283)</f>
        <v>0</v>
      </c>
      <c r="N278" s="562">
        <f>SUM(N279:N283)</f>
        <v>0</v>
      </c>
      <c r="O278" s="562">
        <f>SUM(O279:O283)</f>
        <v>4777.13</v>
      </c>
      <c r="P278" s="566">
        <f t="shared" si="59"/>
        <v>0</v>
      </c>
      <c r="Q278" s="525"/>
      <c r="S278" s="189">
        <v>0</v>
      </c>
      <c r="T278" s="189">
        <v>0</v>
      </c>
      <c r="BT278" s="525"/>
      <c r="BU278" s="523">
        <v>0</v>
      </c>
      <c r="BV278" s="523">
        <v>0</v>
      </c>
      <c r="BW278" s="523"/>
      <c r="BX278" s="523"/>
      <c r="BY278" s="523"/>
      <c r="BZ278" s="523"/>
      <c r="CA278" s="523"/>
      <c r="CB278" s="523"/>
      <c r="CC278" s="523"/>
      <c r="CD278" s="523"/>
      <c r="CE278" s="523"/>
      <c r="CF278" s="523"/>
      <c r="CG278" s="523"/>
      <c r="CH278" s="523"/>
      <c r="CI278" s="523">
        <f t="shared" si="61"/>
        <v>0</v>
      </c>
    </row>
    <row r="279" spans="1:87" ht="15.75" x14ac:dyDescent="0.2">
      <c r="A279" s="567" t="s">
        <v>719</v>
      </c>
      <c r="B279" s="568" t="s">
        <v>1792</v>
      </c>
      <c r="C279" s="568" t="s">
        <v>1324</v>
      </c>
      <c r="D279" s="569" t="s">
        <v>1793</v>
      </c>
      <c r="E279" s="570" t="s">
        <v>14</v>
      </c>
      <c r="F279" s="577">
        <v>37.18</v>
      </c>
      <c r="G279" s="572">
        <v>4.97</v>
      </c>
      <c r="H279" s="570">
        <v>296.01</v>
      </c>
      <c r="I279" s="640">
        <f t="shared" si="62"/>
        <v>0</v>
      </c>
      <c r="J279" s="574">
        <f t="shared" si="63"/>
        <v>0</v>
      </c>
      <c r="K279" s="577">
        <f t="shared" si="57"/>
        <v>296.01</v>
      </c>
      <c r="L279" s="575">
        <f t="shared" ref="L279:O283" si="65">ROUND(H279*$G279,2)</f>
        <v>1471.17</v>
      </c>
      <c r="M279" s="575">
        <f t="shared" si="65"/>
        <v>0</v>
      </c>
      <c r="N279" s="575">
        <f t="shared" si="65"/>
        <v>0</v>
      </c>
      <c r="O279" s="575">
        <f t="shared" si="65"/>
        <v>1471.17</v>
      </c>
      <c r="P279" s="576">
        <f t="shared" si="59"/>
        <v>0</v>
      </c>
      <c r="Q279" s="525"/>
      <c r="S279" s="189">
        <v>0</v>
      </c>
      <c r="T279" s="189">
        <v>0</v>
      </c>
      <c r="BT279" s="525"/>
      <c r="BU279" s="523">
        <v>0</v>
      </c>
      <c r="BV279" s="523">
        <v>0</v>
      </c>
      <c r="BW279" s="523">
        <v>0</v>
      </c>
      <c r="BX279" s="523">
        <v>0</v>
      </c>
      <c r="BY279" s="523"/>
      <c r="BZ279" s="523"/>
      <c r="CA279" s="523"/>
      <c r="CB279" s="523"/>
      <c r="CC279" s="523"/>
      <c r="CD279" s="523"/>
      <c r="CE279" s="523"/>
      <c r="CF279" s="523"/>
      <c r="CG279" s="523"/>
      <c r="CH279" s="523"/>
      <c r="CI279" s="523">
        <f t="shared" si="61"/>
        <v>0</v>
      </c>
    </row>
    <row r="280" spans="1:87" ht="15.75" x14ac:dyDescent="0.2">
      <c r="A280" s="567" t="s">
        <v>726</v>
      </c>
      <c r="B280" s="568" t="s">
        <v>1794</v>
      </c>
      <c r="C280" s="568" t="s">
        <v>1324</v>
      </c>
      <c r="D280" s="569" t="s">
        <v>1795</v>
      </c>
      <c r="E280" s="570" t="s">
        <v>14</v>
      </c>
      <c r="F280" s="577">
        <v>14.42</v>
      </c>
      <c r="G280" s="572">
        <v>9.57</v>
      </c>
      <c r="H280" s="570">
        <v>21.9</v>
      </c>
      <c r="I280" s="640">
        <f t="shared" si="62"/>
        <v>0</v>
      </c>
      <c r="J280" s="574">
        <f t="shared" si="63"/>
        <v>0</v>
      </c>
      <c r="K280" s="577">
        <f t="shared" si="57"/>
        <v>21.9</v>
      </c>
      <c r="L280" s="575">
        <f t="shared" si="65"/>
        <v>209.58</v>
      </c>
      <c r="M280" s="575">
        <f t="shared" si="65"/>
        <v>0</v>
      </c>
      <c r="N280" s="575">
        <f t="shared" si="65"/>
        <v>0</v>
      </c>
      <c r="O280" s="575">
        <f t="shared" si="65"/>
        <v>209.58</v>
      </c>
      <c r="P280" s="576">
        <f t="shared" si="59"/>
        <v>0</v>
      </c>
      <c r="Q280" s="525"/>
      <c r="S280" s="189">
        <v>0</v>
      </c>
      <c r="T280" s="189">
        <v>0</v>
      </c>
      <c r="BT280" s="525"/>
      <c r="BU280" s="523">
        <v>0</v>
      </c>
      <c r="BV280" s="523">
        <v>0</v>
      </c>
      <c r="BW280" s="523">
        <v>0</v>
      </c>
      <c r="BX280" s="523">
        <v>0</v>
      </c>
      <c r="BY280" s="523"/>
      <c r="BZ280" s="523"/>
      <c r="CA280" s="523"/>
      <c r="CB280" s="523"/>
      <c r="CC280" s="523"/>
      <c r="CD280" s="523"/>
      <c r="CE280" s="523"/>
      <c r="CF280" s="523"/>
      <c r="CG280" s="523"/>
      <c r="CH280" s="523"/>
      <c r="CI280" s="523">
        <f t="shared" si="61"/>
        <v>0</v>
      </c>
    </row>
    <row r="281" spans="1:87" ht="15.75" x14ac:dyDescent="0.2">
      <c r="A281" s="567" t="s">
        <v>730</v>
      </c>
      <c r="B281" s="568" t="s">
        <v>1796</v>
      </c>
      <c r="C281" s="568" t="s">
        <v>1324</v>
      </c>
      <c r="D281" s="569" t="s">
        <v>1797</v>
      </c>
      <c r="E281" s="570" t="s">
        <v>14</v>
      </c>
      <c r="F281" s="577">
        <v>22.57</v>
      </c>
      <c r="G281" s="572">
        <v>11.45</v>
      </c>
      <c r="H281" s="570">
        <v>64.91</v>
      </c>
      <c r="I281" s="640">
        <f t="shared" si="62"/>
        <v>0</v>
      </c>
      <c r="J281" s="574">
        <f t="shared" si="63"/>
        <v>0</v>
      </c>
      <c r="K281" s="577">
        <f t="shared" si="57"/>
        <v>64.91</v>
      </c>
      <c r="L281" s="575">
        <f t="shared" si="65"/>
        <v>743.22</v>
      </c>
      <c r="M281" s="575">
        <f t="shared" si="65"/>
        <v>0</v>
      </c>
      <c r="N281" s="575">
        <f t="shared" si="65"/>
        <v>0</v>
      </c>
      <c r="O281" s="575">
        <f t="shared" si="65"/>
        <v>743.22</v>
      </c>
      <c r="P281" s="576">
        <f t="shared" si="59"/>
        <v>0</v>
      </c>
      <c r="Q281" s="525"/>
      <c r="S281" s="189">
        <v>0</v>
      </c>
      <c r="T281" s="189">
        <v>0</v>
      </c>
      <c r="BT281" s="525"/>
      <c r="BU281" s="523">
        <v>0</v>
      </c>
      <c r="BV281" s="523">
        <v>0</v>
      </c>
      <c r="BW281" s="523">
        <v>0</v>
      </c>
      <c r="BX281" s="523">
        <v>0</v>
      </c>
      <c r="BY281" s="523"/>
      <c r="BZ281" s="523"/>
      <c r="CA281" s="523"/>
      <c r="CB281" s="523"/>
      <c r="CC281" s="523"/>
      <c r="CD281" s="523"/>
      <c r="CE281" s="523"/>
      <c r="CF281" s="523"/>
      <c r="CG281" s="523"/>
      <c r="CH281" s="523"/>
      <c r="CI281" s="523">
        <f t="shared" si="61"/>
        <v>0</v>
      </c>
    </row>
    <row r="282" spans="1:87" ht="15.75" x14ac:dyDescent="0.2">
      <c r="A282" s="567" t="s">
        <v>739</v>
      </c>
      <c r="B282" s="568" t="s">
        <v>1798</v>
      </c>
      <c r="C282" s="568" t="s">
        <v>1324</v>
      </c>
      <c r="D282" s="569" t="s">
        <v>1799</v>
      </c>
      <c r="E282" s="570" t="s">
        <v>14</v>
      </c>
      <c r="F282" s="577">
        <v>26.75</v>
      </c>
      <c r="G282" s="572">
        <v>1.53</v>
      </c>
      <c r="H282" s="570">
        <v>676.67</v>
      </c>
      <c r="I282" s="640">
        <f t="shared" si="62"/>
        <v>0</v>
      </c>
      <c r="J282" s="574">
        <f t="shared" si="63"/>
        <v>0</v>
      </c>
      <c r="K282" s="577">
        <f t="shared" si="57"/>
        <v>676.67</v>
      </c>
      <c r="L282" s="575">
        <f t="shared" si="65"/>
        <v>1035.31</v>
      </c>
      <c r="M282" s="575">
        <f t="shared" si="65"/>
        <v>0</v>
      </c>
      <c r="N282" s="575">
        <f t="shared" si="65"/>
        <v>0</v>
      </c>
      <c r="O282" s="575">
        <f t="shared" si="65"/>
        <v>1035.31</v>
      </c>
      <c r="P282" s="576">
        <f t="shared" si="59"/>
        <v>0</v>
      </c>
      <c r="Q282" s="525"/>
      <c r="S282" s="189">
        <v>0</v>
      </c>
      <c r="T282" s="189">
        <v>0</v>
      </c>
      <c r="BT282" s="525"/>
      <c r="BU282" s="523">
        <v>0</v>
      </c>
      <c r="BV282" s="523">
        <v>0</v>
      </c>
      <c r="BW282" s="523">
        <v>0</v>
      </c>
      <c r="BX282" s="523">
        <v>0</v>
      </c>
      <c r="BY282" s="523"/>
      <c r="BZ282" s="523"/>
      <c r="CA282" s="523"/>
      <c r="CB282" s="523"/>
      <c r="CC282" s="523"/>
      <c r="CD282" s="523"/>
      <c r="CE282" s="523"/>
      <c r="CF282" s="523"/>
      <c r="CG282" s="523"/>
      <c r="CH282" s="523"/>
      <c r="CI282" s="523">
        <f t="shared" si="61"/>
        <v>0</v>
      </c>
    </row>
    <row r="283" spans="1:87" ht="15.75" x14ac:dyDescent="0.2">
      <c r="A283" s="567" t="s">
        <v>743</v>
      </c>
      <c r="B283" s="568">
        <v>84122</v>
      </c>
      <c r="C283" s="568" t="s">
        <v>1324</v>
      </c>
      <c r="D283" s="569" t="s">
        <v>1800</v>
      </c>
      <c r="E283" s="570" t="s">
        <v>102</v>
      </c>
      <c r="F283" s="577">
        <v>61.1</v>
      </c>
      <c r="G283" s="572">
        <v>1317.85</v>
      </c>
      <c r="H283" s="570">
        <v>1</v>
      </c>
      <c r="I283" s="640">
        <f t="shared" si="62"/>
        <v>0</v>
      </c>
      <c r="J283" s="574">
        <f t="shared" si="63"/>
        <v>0</v>
      </c>
      <c r="K283" s="577">
        <f t="shared" si="57"/>
        <v>1</v>
      </c>
      <c r="L283" s="575">
        <f t="shared" si="65"/>
        <v>1317.85</v>
      </c>
      <c r="M283" s="575">
        <f t="shared" si="65"/>
        <v>0</v>
      </c>
      <c r="N283" s="575">
        <f t="shared" si="65"/>
        <v>0</v>
      </c>
      <c r="O283" s="575">
        <f t="shared" si="65"/>
        <v>1317.85</v>
      </c>
      <c r="P283" s="576">
        <f t="shared" si="59"/>
        <v>0</v>
      </c>
      <c r="Q283" s="525"/>
      <c r="S283" s="189">
        <v>0</v>
      </c>
      <c r="T283" s="189">
        <v>0</v>
      </c>
      <c r="AE283" s="393"/>
      <c r="BT283" s="525"/>
      <c r="BU283" s="523">
        <v>0</v>
      </c>
      <c r="BV283" s="523">
        <v>0</v>
      </c>
      <c r="BW283" s="523">
        <v>0</v>
      </c>
      <c r="BX283" s="523">
        <v>0</v>
      </c>
      <c r="BY283" s="523"/>
      <c r="BZ283" s="523"/>
      <c r="CA283" s="523"/>
      <c r="CB283" s="523"/>
      <c r="CC283" s="523"/>
      <c r="CD283" s="523"/>
      <c r="CE283" s="523"/>
      <c r="CF283" s="523"/>
      <c r="CG283" s="523"/>
      <c r="CH283" s="523"/>
      <c r="CI283" s="523">
        <f t="shared" si="61"/>
        <v>0</v>
      </c>
    </row>
    <row r="284" spans="1:87" s="67" customFormat="1" ht="16.5" thickBot="1" x14ac:dyDescent="0.25">
      <c r="A284" s="645"/>
      <c r="B284" s="646"/>
      <c r="C284" s="647"/>
      <c r="D284" s="647"/>
      <c r="E284" s="647"/>
      <c r="F284" s="647"/>
      <c r="G284" s="648" t="s">
        <v>1281</v>
      </c>
      <c r="H284" s="649"/>
      <c r="I284" s="650">
        <f t="shared" si="62"/>
        <v>0</v>
      </c>
      <c r="J284" s="651">
        <f t="shared" si="63"/>
        <v>0</v>
      </c>
      <c r="K284" s="647"/>
      <c r="L284" s="652">
        <f>L14+L26+L32+L45+L69+L77+L92+L95+L98+L109+L120+L129+L168+L190+L194+L208+L214+L259+L268+L278</f>
        <v>664297.16</v>
      </c>
      <c r="M284" s="653">
        <f>SUM(M278,M268,M259,M214,M208,M194,M190,M168,M129,M120,M109,M98,M95,M92,M77,M69,M45,M32,M26,M14)</f>
        <v>34784.83</v>
      </c>
      <c r="N284" s="653">
        <f>SUM(N278,N268,N259,N214,N208,N194,N190,N168,N129,N120,N109,N98,N95,N92,N77,N69,N45,N32,N26,N14)</f>
        <v>182113.69999999995</v>
      </c>
      <c r="O284" s="653">
        <f>SUM(O278,O268,O259,O214,O208,O194,O190,O168,O129,O120,O109,O98,O95,O92,O77,O69,O45,O32,O26,O14)</f>
        <v>482183.45999999996</v>
      </c>
      <c r="P284" s="654">
        <f>N284/O284</f>
        <v>0.37768549754900338</v>
      </c>
      <c r="Q284" s="525"/>
      <c r="S284" s="193"/>
      <c r="T284" s="193"/>
      <c r="BT284" s="525"/>
      <c r="BU284" s="523">
        <v>0</v>
      </c>
      <c r="BV284" s="523">
        <v>0</v>
      </c>
      <c r="BW284" s="523"/>
      <c r="BX284" s="523"/>
      <c r="BY284" s="523"/>
      <c r="BZ284" s="523"/>
      <c r="CA284" s="523"/>
      <c r="CB284" s="523"/>
      <c r="CC284" s="523"/>
      <c r="CD284" s="523"/>
      <c r="CE284" s="523"/>
      <c r="CF284" s="523"/>
      <c r="CG284" s="523"/>
      <c r="CH284" s="523"/>
      <c r="CI284" s="523">
        <f t="shared" si="61"/>
        <v>0</v>
      </c>
    </row>
    <row r="285" spans="1:87" x14ac:dyDescent="0.2">
      <c r="A285" s="69"/>
      <c r="B285" s="69"/>
      <c r="C285" s="59"/>
      <c r="D285" s="111"/>
      <c r="E285" s="59"/>
      <c r="F285" s="59"/>
      <c r="G285" s="82"/>
      <c r="H285" s="68"/>
      <c r="I285" s="70"/>
      <c r="J285" s="70"/>
      <c r="K285" s="59"/>
      <c r="L285" s="77"/>
      <c r="M285" s="77"/>
      <c r="N285" s="77"/>
      <c r="O285" s="373"/>
      <c r="P285" s="61"/>
      <c r="BV285" s="66">
        <v>0</v>
      </c>
    </row>
    <row r="286" spans="1:87" x14ac:dyDescent="0.2">
      <c r="P286" s="72"/>
    </row>
    <row r="287" spans="1:87" x14ac:dyDescent="0.2">
      <c r="B287" s="71"/>
      <c r="C287" s="66"/>
      <c r="P287" s="72"/>
    </row>
    <row r="288" spans="1:87" x14ac:dyDescent="0.2">
      <c r="B288" s="71"/>
      <c r="C288" s="66"/>
    </row>
    <row r="289" spans="1:15" x14ac:dyDescent="0.2">
      <c r="A289" s="66" t="s">
        <v>1802</v>
      </c>
      <c r="B289" s="71"/>
      <c r="C289" s="66"/>
      <c r="E289" s="66" t="s">
        <v>1297</v>
      </c>
      <c r="I289" s="909" t="s">
        <v>2038</v>
      </c>
      <c r="J289" s="909"/>
      <c r="K289" s="909"/>
      <c r="M289" s="78" t="s">
        <v>1308</v>
      </c>
    </row>
    <row r="290" spans="1:15" x14ac:dyDescent="0.2">
      <c r="A290" s="66" t="s">
        <v>1803</v>
      </c>
      <c r="B290" s="71"/>
      <c r="C290" s="66"/>
      <c r="E290" s="66" t="s">
        <v>1298</v>
      </c>
      <c r="I290" s="910" t="s">
        <v>2037</v>
      </c>
      <c r="J290" s="910"/>
      <c r="K290" s="910"/>
      <c r="M290" s="909" t="s">
        <v>2022</v>
      </c>
      <c r="N290" s="909"/>
      <c r="O290" s="909"/>
    </row>
    <row r="291" spans="1:15" x14ac:dyDescent="0.2">
      <c r="A291" s="66" t="s">
        <v>1804</v>
      </c>
      <c r="B291" s="71"/>
      <c r="C291" s="66"/>
      <c r="E291" s="66" t="s">
        <v>1300</v>
      </c>
      <c r="I291" s="909" t="s">
        <v>2035</v>
      </c>
      <c r="J291" s="909"/>
      <c r="K291" s="909"/>
      <c r="M291" s="909" t="s">
        <v>2039</v>
      </c>
      <c r="N291" s="909"/>
      <c r="O291" s="909"/>
    </row>
    <row r="292" spans="1:15" x14ac:dyDescent="0.2">
      <c r="A292" s="66" t="s">
        <v>1805</v>
      </c>
      <c r="B292" s="71"/>
      <c r="C292" s="66"/>
      <c r="E292" s="66" t="s">
        <v>1315</v>
      </c>
      <c r="I292" s="909" t="s">
        <v>2036</v>
      </c>
      <c r="J292" s="909"/>
      <c r="K292" s="909"/>
      <c r="M292" s="78" t="s">
        <v>2040</v>
      </c>
    </row>
  </sheetData>
  <mergeCells count="27">
    <mergeCell ref="I291:K291"/>
    <mergeCell ref="I292:K292"/>
    <mergeCell ref="H11:K11"/>
    <mergeCell ref="A1:D5"/>
    <mergeCell ref="E1:P5"/>
    <mergeCell ref="A7:D7"/>
    <mergeCell ref="E7:G7"/>
    <mergeCell ref="A8:D8"/>
    <mergeCell ref="E8:G8"/>
    <mergeCell ref="J7:K7"/>
    <mergeCell ref="J8:K8"/>
    <mergeCell ref="M291:O291"/>
    <mergeCell ref="A9:D9"/>
    <mergeCell ref="N9:O9"/>
    <mergeCell ref="A11:A12"/>
    <mergeCell ref="B11:B12"/>
    <mergeCell ref="C11:C12"/>
    <mergeCell ref="D11:D12"/>
    <mergeCell ref="E11:E12"/>
    <mergeCell ref="F11:F12"/>
    <mergeCell ref="G11:G12"/>
    <mergeCell ref="E9:G9"/>
    <mergeCell ref="J9:K9"/>
    <mergeCell ref="L11:O11"/>
    <mergeCell ref="M290:O290"/>
    <mergeCell ref="I289:K289"/>
    <mergeCell ref="I290:K290"/>
  </mergeCells>
  <conditionalFormatting sqref="A14:E14 F46:G46 H89 O95 F51:G51 I51 K132:K151 H226:H246 H216:H224 F225:H225 A89:E89 L95:M95 A16:E16 H14:H16 H27:H31 A27:E31 A26:D26 A33:E44 A32:D32 H34:H44 H46:H56 A46:E56 A45:D45 A71:E71 H71 H79:H82 A79:E82 A93:E94 A92:D92 H93:H94 H96:H97 A96:E97 A95:D95 A99:E108 A98:D98 H99:H108 H111:H115 A111:E115 A121:E128 A120:D120 H121:H128 H131:H151 A131:E151 A169:E180 A168:D168 H170:H180 K170:K180 A191:E193 A190:D190 H191:I193 A195:E207 A194:D194 H195:I207 A209:E213 A208:D208 H209:I213 I216:I246 A215:E258 A214:D214 A260:E267 A259:D259 H260:I267 H270:I274 A269:E277 A268:D268 A279:E283 A278:D278 I279:I283 H279:H285 A58:E61 A57:D57 H58:H61 H63:H66 A63:E66 A62:D62 A68:E68 A67:D67 H68 A69:D70 H73:H74 A73:E74 A72:D72 A76:E76 A75:D75 H76 A77:D78 A84:E86 A83:D83 H84:H86 A87:D87 A91:E91 A90:D90 H91 A109:D110 A117:E119 A116:D116 H117:H119 A129:D130 A153:E167 A152:D152 H153:H167 K153:K167 H182:I189 A182:E189 A181:D181 H22:H25 A22:E25 L45:O45 L51:O51 L57:O57 L62:O62 L67:O67 L70:O70 L72:O72 L75:O75 L77:O78 L83:O83 L92:O92 L98:O98 L109:O110 L116:O116 L120:O120 L129:O130 L152:O152 L168:O169 L181:O181 L190:O190 L194:O194 L208:O208 K225:O225 L214:O215 L259:O259 L268:O269 L278:O278 H248:I251 F247:O247 H276:I277 F275:O275 F269:K269 H253:I258 F252:O252 F215:K215 F169:O169">
    <cfRule type="expression" dxfId="499" priority="75">
      <formula>$D14&lt;&gt;0</formula>
    </cfRule>
    <cfRule type="expression" dxfId="498" priority="76">
      <formula>$O14=1</formula>
    </cfRule>
  </conditionalFormatting>
  <conditionalFormatting sqref="G14 G39 L39:O39 G33:K33">
    <cfRule type="expression" dxfId="497" priority="77">
      <formula>$D14&lt;&gt;0</formula>
    </cfRule>
    <cfRule type="expression" dxfId="496" priority="78">
      <formula>$O14=1</formula>
    </cfRule>
  </conditionalFormatting>
  <conditionalFormatting sqref="E26">
    <cfRule type="expression" dxfId="495" priority="71">
      <formula>$D26&lt;&gt;0</formula>
    </cfRule>
    <cfRule type="expression" dxfId="494" priority="72">
      <formula>$O26=1</formula>
    </cfRule>
  </conditionalFormatting>
  <conditionalFormatting sqref="G26:J26">
    <cfRule type="expression" dxfId="493" priority="73">
      <formula>$D26&lt;&gt;0</formula>
    </cfRule>
    <cfRule type="expression" dxfId="492" priority="74">
      <formula>$O26=1</formula>
    </cfRule>
  </conditionalFormatting>
  <conditionalFormatting sqref="E32">
    <cfRule type="expression" dxfId="491" priority="67">
      <formula>$D32&lt;&gt;0</formula>
    </cfRule>
    <cfRule type="expression" dxfId="490" priority="68">
      <formula>$O32=1</formula>
    </cfRule>
  </conditionalFormatting>
  <conditionalFormatting sqref="G32:K32">
    <cfRule type="expression" dxfId="489" priority="69">
      <formula>$D32&lt;&gt;0</formula>
    </cfRule>
    <cfRule type="expression" dxfId="488" priority="70">
      <formula>$O32=1</formula>
    </cfRule>
  </conditionalFormatting>
  <conditionalFormatting sqref="E45 H45">
    <cfRule type="expression" dxfId="487" priority="63">
      <formula>$D45&lt;&gt;0</formula>
    </cfRule>
    <cfRule type="expression" dxfId="486" priority="64">
      <formula>$O45=1</formula>
    </cfRule>
  </conditionalFormatting>
  <conditionalFormatting sqref="G45">
    <cfRule type="expression" dxfId="485" priority="65">
      <formula>$D45&lt;&gt;0</formula>
    </cfRule>
    <cfRule type="expression" dxfId="484" priority="66">
      <formula>$O45=1</formula>
    </cfRule>
  </conditionalFormatting>
  <conditionalFormatting sqref="E69:K69">
    <cfRule type="expression" dxfId="483" priority="61">
      <formula>$D69&lt;&gt;0</formula>
    </cfRule>
    <cfRule type="expression" dxfId="482" priority="62">
      <formula>$O69=1</formula>
    </cfRule>
  </conditionalFormatting>
  <conditionalFormatting sqref="E77:K77">
    <cfRule type="expression" dxfId="481" priority="59">
      <formula>$D77&lt;&gt;0</formula>
    </cfRule>
    <cfRule type="expression" dxfId="480" priority="60">
      <formula>$O77=1</formula>
    </cfRule>
  </conditionalFormatting>
  <conditionalFormatting sqref="E92:K92">
    <cfRule type="expression" dxfId="479" priority="57">
      <formula>$D92&lt;&gt;0</formula>
    </cfRule>
    <cfRule type="expression" dxfId="478" priority="58">
      <formula>$O92=1</formula>
    </cfRule>
  </conditionalFormatting>
  <conditionalFormatting sqref="E95:K95">
    <cfRule type="expression" dxfId="477" priority="55">
      <formula>$D95&lt;&gt;0</formula>
    </cfRule>
    <cfRule type="expression" dxfId="476" priority="56">
      <formula>$O95=1</formula>
    </cfRule>
  </conditionalFormatting>
  <conditionalFormatting sqref="E98:K98">
    <cfRule type="expression" dxfId="475" priority="53">
      <formula>$D98&lt;&gt;0</formula>
    </cfRule>
    <cfRule type="expression" dxfId="474" priority="54">
      <formula>$O98=1</formula>
    </cfRule>
  </conditionalFormatting>
  <conditionalFormatting sqref="E109:K109">
    <cfRule type="expression" dxfId="473" priority="51">
      <formula>$D109&lt;&gt;0</formula>
    </cfRule>
    <cfRule type="expression" dxfId="472" priority="52">
      <formula>$O109=1</formula>
    </cfRule>
  </conditionalFormatting>
  <conditionalFormatting sqref="E120:K120">
    <cfRule type="expression" dxfId="471" priority="49">
      <formula>$D120&lt;&gt;0</formula>
    </cfRule>
    <cfRule type="expression" dxfId="470" priority="50">
      <formula>$O120=1</formula>
    </cfRule>
  </conditionalFormatting>
  <conditionalFormatting sqref="E129:K129">
    <cfRule type="expression" dxfId="469" priority="47">
      <formula>$D129&lt;&gt;0</formula>
    </cfRule>
    <cfRule type="expression" dxfId="468" priority="48">
      <formula>$O129=1</formula>
    </cfRule>
  </conditionalFormatting>
  <conditionalFormatting sqref="E168:K168">
    <cfRule type="expression" dxfId="467" priority="45">
      <formula>$D168&lt;&gt;0</formula>
    </cfRule>
    <cfRule type="expression" dxfId="466" priority="46">
      <formula>$O168=1</formula>
    </cfRule>
  </conditionalFormatting>
  <conditionalFormatting sqref="E190:K190">
    <cfRule type="expression" dxfId="465" priority="43">
      <formula>$D190&lt;&gt;0</formula>
    </cfRule>
    <cfRule type="expression" dxfId="464" priority="44">
      <formula>$O190=1</formula>
    </cfRule>
  </conditionalFormatting>
  <conditionalFormatting sqref="E194:K194">
    <cfRule type="expression" dxfId="463" priority="41">
      <formula>$D194&lt;&gt;0</formula>
    </cfRule>
    <cfRule type="expression" dxfId="462" priority="42">
      <formula>$O194=1</formula>
    </cfRule>
  </conditionalFormatting>
  <conditionalFormatting sqref="E208:K208">
    <cfRule type="expression" dxfId="461" priority="39">
      <formula>$D208&lt;&gt;0</formula>
    </cfRule>
    <cfRule type="expression" dxfId="460" priority="40">
      <formula>$O208=1</formula>
    </cfRule>
  </conditionalFormatting>
  <conditionalFormatting sqref="E214:K214">
    <cfRule type="expression" dxfId="459" priority="37">
      <formula>$D214&lt;&gt;0</formula>
    </cfRule>
    <cfRule type="expression" dxfId="458" priority="38">
      <formula>$O214=1</formula>
    </cfRule>
  </conditionalFormatting>
  <conditionalFormatting sqref="E259:K259">
    <cfRule type="expression" dxfId="457" priority="35">
      <formula>$D259&lt;&gt;0</formula>
    </cfRule>
    <cfRule type="expression" dxfId="456" priority="36">
      <formula>$O259=1</formula>
    </cfRule>
  </conditionalFormatting>
  <conditionalFormatting sqref="E268:K268">
    <cfRule type="expression" dxfId="455" priority="33">
      <formula>$D268&lt;&gt;0</formula>
    </cfRule>
    <cfRule type="expression" dxfId="454" priority="34">
      <formula>$O268=1</formula>
    </cfRule>
  </conditionalFormatting>
  <conditionalFormatting sqref="E278:K278">
    <cfRule type="expression" dxfId="453" priority="31">
      <formula>$D278&lt;&gt;0</formula>
    </cfRule>
    <cfRule type="expression" dxfId="452" priority="32">
      <formula>$O278=1</formula>
    </cfRule>
  </conditionalFormatting>
  <conditionalFormatting sqref="E57:I57">
    <cfRule type="expression" dxfId="451" priority="29">
      <formula>$D57&lt;&gt;0</formula>
    </cfRule>
    <cfRule type="expression" dxfId="450" priority="30">
      <formula>$O57=1</formula>
    </cfRule>
  </conditionalFormatting>
  <conditionalFormatting sqref="E62:K62">
    <cfRule type="expression" dxfId="449" priority="27">
      <formula>$D62&lt;&gt;0</formula>
    </cfRule>
    <cfRule type="expression" dxfId="448" priority="28">
      <formula>$O62=1</formula>
    </cfRule>
  </conditionalFormatting>
  <conditionalFormatting sqref="E67:K67">
    <cfRule type="expression" dxfId="447" priority="25">
      <formula>$D67&lt;&gt;0</formula>
    </cfRule>
    <cfRule type="expression" dxfId="446" priority="26">
      <formula>$O67=1</formula>
    </cfRule>
  </conditionalFormatting>
  <conditionalFormatting sqref="E70:K70">
    <cfRule type="expression" dxfId="445" priority="23">
      <formula>$D70&lt;&gt;0</formula>
    </cfRule>
    <cfRule type="expression" dxfId="444" priority="24">
      <formula>$O70=1</formula>
    </cfRule>
  </conditionalFormatting>
  <conditionalFormatting sqref="E72:K72">
    <cfRule type="expression" dxfId="443" priority="21">
      <formula>$D72&lt;&gt;0</formula>
    </cfRule>
    <cfRule type="expression" dxfId="442" priority="22">
      <formula>$O72=1</formula>
    </cfRule>
  </conditionalFormatting>
  <conditionalFormatting sqref="E75:K75">
    <cfRule type="expression" dxfId="441" priority="19">
      <formula>$D75&lt;&gt;0</formula>
    </cfRule>
    <cfRule type="expression" dxfId="440" priority="20">
      <formula>$O75=1</formula>
    </cfRule>
  </conditionalFormatting>
  <conditionalFormatting sqref="E78:K78">
    <cfRule type="expression" dxfId="439" priority="17">
      <formula>$D78&lt;&gt;0</formula>
    </cfRule>
    <cfRule type="expression" dxfId="438" priority="18">
      <formula>$O78=1</formula>
    </cfRule>
  </conditionalFormatting>
  <conditionalFormatting sqref="E83:K83">
    <cfRule type="expression" dxfId="437" priority="15">
      <formula>$D83&lt;&gt;0</formula>
    </cfRule>
    <cfRule type="expression" dxfId="436" priority="16">
      <formula>$O83=1</formula>
    </cfRule>
  </conditionalFormatting>
  <conditionalFormatting sqref="E87:K87">
    <cfRule type="expression" dxfId="435" priority="13">
      <formula>$D87&lt;&gt;0</formula>
    </cfRule>
    <cfRule type="expression" dxfId="434" priority="14">
      <formula>$O87=1</formula>
    </cfRule>
  </conditionalFormatting>
  <conditionalFormatting sqref="E90:K90">
    <cfRule type="expression" dxfId="433" priority="11">
      <formula>$D90&lt;&gt;0</formula>
    </cfRule>
    <cfRule type="expression" dxfId="432" priority="12">
      <formula>$O90=1</formula>
    </cfRule>
  </conditionalFormatting>
  <conditionalFormatting sqref="E110:K110">
    <cfRule type="expression" dxfId="431" priority="9">
      <formula>$D110&lt;&gt;0</formula>
    </cfRule>
    <cfRule type="expression" dxfId="430" priority="10">
      <formula>$O110=1</formula>
    </cfRule>
  </conditionalFormatting>
  <conditionalFormatting sqref="E116:K116">
    <cfRule type="expression" dxfId="429" priority="7">
      <formula>$D116&lt;&gt;0</formula>
    </cfRule>
    <cfRule type="expression" dxfId="428" priority="8">
      <formula>$O116=1</formula>
    </cfRule>
  </conditionalFormatting>
  <conditionalFormatting sqref="E130:K130">
    <cfRule type="expression" dxfId="427" priority="5">
      <formula>$D130&lt;&gt;0</formula>
    </cfRule>
    <cfRule type="expression" dxfId="426" priority="6">
      <formula>$O130=1</formula>
    </cfRule>
  </conditionalFormatting>
  <conditionalFormatting sqref="E152:K152">
    <cfRule type="expression" dxfId="425" priority="3">
      <formula>$D152&lt;&gt;0</formula>
    </cfRule>
    <cfRule type="expression" dxfId="424" priority="4">
      <formula>$O152=1</formula>
    </cfRule>
  </conditionalFormatting>
  <conditionalFormatting sqref="E181:K181">
    <cfRule type="expression" dxfId="423" priority="1">
      <formula>$D181&lt;&gt;0</formula>
    </cfRule>
    <cfRule type="expression" dxfId="422" priority="2">
      <formula>$O181=1</formula>
    </cfRule>
  </conditionalFormatting>
  <printOptions horizontalCentered="1"/>
  <pageMargins left="0.31496062992125984" right="0.31496062992125984" top="0.39370078740157483" bottom="1.1417322834645669" header="0.31496062992125984" footer="0.31496062992125984"/>
  <pageSetup paperSize="9" scale="48" fitToHeight="0" orientation="landscape" r:id="rId1"/>
  <headerFooter>
    <oddHeader>&amp;R&amp;P</oddHeader>
    <oddFooter>&amp;R&amp;P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I292"/>
  <sheetViews>
    <sheetView showGridLines="0" topLeftCell="E1" zoomScale="70" zoomScaleNormal="70" zoomScaleSheetLayoutView="70" zoomScalePageLayoutView="70" workbookViewId="0">
      <selection activeCell="BZ14" sqref="BU14:BZ284"/>
    </sheetView>
  </sheetViews>
  <sheetFormatPr defaultColWidth="9.33203125" defaultRowHeight="12.75" x14ac:dyDescent="0.2"/>
  <cols>
    <col min="1" max="1" width="12.5" style="110" customWidth="1"/>
    <col min="2" max="2" width="11.33203125" style="110" customWidth="1"/>
    <col min="3" max="3" width="11.5" style="702" customWidth="1"/>
    <col min="4" max="4" width="114.33203125" style="110" bestFit="1" customWidth="1"/>
    <col min="5" max="5" width="11.5" style="110" customWidth="1"/>
    <col min="6" max="6" width="12.6640625" style="110" hidden="1" customWidth="1"/>
    <col min="7" max="7" width="24.6640625" style="703" customWidth="1"/>
    <col min="8" max="8" width="19.6640625" style="110" bestFit="1" customWidth="1"/>
    <col min="9" max="9" width="23.5" style="192" customWidth="1"/>
    <col min="10" max="10" width="22.83203125" style="192" customWidth="1"/>
    <col min="11" max="11" width="14.83203125" style="110" customWidth="1"/>
    <col min="12" max="12" width="21.1640625" style="703" customWidth="1"/>
    <col min="13" max="13" width="18.6640625" style="703" customWidth="1"/>
    <col min="14" max="14" width="23.1640625" style="703" bestFit="1" customWidth="1"/>
    <col min="15" max="15" width="22.6640625" style="727" customWidth="1"/>
    <col min="16" max="16" width="12.5" style="110" customWidth="1"/>
    <col min="17" max="17" width="23" style="66" bestFit="1" customWidth="1"/>
    <col min="18" max="18" width="0" style="66" hidden="1" customWidth="1"/>
    <col min="19" max="19" width="13.83203125" style="189" hidden="1" customWidth="1"/>
    <col min="20" max="20" width="11.1640625" style="189" hidden="1" customWidth="1"/>
    <col min="21" max="25" width="0" style="66" hidden="1" customWidth="1"/>
    <col min="26" max="26" width="12.33203125" style="66" hidden="1" customWidth="1"/>
    <col min="27" max="27" width="0" style="66" hidden="1" customWidth="1"/>
    <col min="28" max="28" width="13.5" style="66" hidden="1" customWidth="1"/>
    <col min="29" max="30" width="0" style="66" hidden="1" customWidth="1"/>
    <col min="31" max="31" width="15.6640625" style="66" hidden="1" customWidth="1"/>
    <col min="32" max="33" width="11.5" style="66" hidden="1" customWidth="1"/>
    <col min="34" max="71" width="0" style="66" hidden="1" customWidth="1"/>
    <col min="72" max="72" width="19.6640625" style="66" bestFit="1" customWidth="1"/>
    <col min="73" max="86" width="9.33203125" style="66"/>
    <col min="87" max="87" width="11.1640625" style="66" bestFit="1" customWidth="1"/>
    <col min="88" max="16384" width="9.33203125" style="66"/>
  </cols>
  <sheetData>
    <row r="1" spans="1:87" s="51" customFormat="1" ht="12" x14ac:dyDescent="0.2">
      <c r="A1" s="923"/>
      <c r="B1" s="924"/>
      <c r="C1" s="924"/>
      <c r="D1" s="924"/>
      <c r="E1" s="929" t="s">
        <v>2044</v>
      </c>
      <c r="F1" s="929"/>
      <c r="G1" s="929"/>
      <c r="H1" s="929"/>
      <c r="I1" s="929"/>
      <c r="J1" s="929"/>
      <c r="K1" s="929"/>
      <c r="L1" s="929"/>
      <c r="M1" s="929"/>
      <c r="N1" s="929"/>
      <c r="O1" s="929"/>
      <c r="P1" s="930"/>
      <c r="S1" s="188"/>
      <c r="T1" s="188"/>
    </row>
    <row r="2" spans="1:87" s="51" customFormat="1" ht="12" x14ac:dyDescent="0.2">
      <c r="A2" s="925"/>
      <c r="B2" s="926"/>
      <c r="C2" s="926"/>
      <c r="D2" s="926"/>
      <c r="E2" s="931"/>
      <c r="F2" s="931"/>
      <c r="G2" s="931"/>
      <c r="H2" s="931"/>
      <c r="I2" s="931"/>
      <c r="J2" s="931"/>
      <c r="K2" s="931"/>
      <c r="L2" s="931"/>
      <c r="M2" s="931"/>
      <c r="N2" s="931"/>
      <c r="O2" s="931"/>
      <c r="P2" s="932"/>
      <c r="S2" s="188"/>
      <c r="T2" s="188"/>
    </row>
    <row r="3" spans="1:87" s="51" customFormat="1" ht="12" x14ac:dyDescent="0.2">
      <c r="A3" s="925"/>
      <c r="B3" s="926"/>
      <c r="C3" s="926"/>
      <c r="D3" s="926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2"/>
      <c r="S3" s="188"/>
      <c r="T3" s="188"/>
    </row>
    <row r="4" spans="1:87" s="51" customFormat="1" ht="12" x14ac:dyDescent="0.2">
      <c r="A4" s="925"/>
      <c r="B4" s="926"/>
      <c r="C4" s="926"/>
      <c r="D4" s="926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2"/>
      <c r="S4" s="188"/>
      <c r="T4" s="188"/>
    </row>
    <row r="5" spans="1:87" s="51" customFormat="1" ht="35.25" customHeight="1" thickBot="1" x14ac:dyDescent="0.25">
      <c r="A5" s="927"/>
      <c r="B5" s="928"/>
      <c r="C5" s="928"/>
      <c r="D5" s="928"/>
      <c r="E5" s="933"/>
      <c r="F5" s="933"/>
      <c r="G5" s="933"/>
      <c r="H5" s="933"/>
      <c r="I5" s="933"/>
      <c r="J5" s="933"/>
      <c r="K5" s="933"/>
      <c r="L5" s="933"/>
      <c r="M5" s="933"/>
      <c r="N5" s="933"/>
      <c r="O5" s="933"/>
      <c r="P5" s="934"/>
      <c r="S5" s="188"/>
      <c r="T5" s="188"/>
    </row>
    <row r="6" spans="1:87" s="51" customFormat="1" ht="23.25" x14ac:dyDescent="0.2">
      <c r="A6" s="669"/>
      <c r="B6" s="669"/>
      <c r="C6" s="669"/>
      <c r="D6" s="669"/>
      <c r="E6" s="670"/>
      <c r="F6" s="670"/>
      <c r="G6" s="670"/>
      <c r="H6" s="670"/>
      <c r="I6" s="670"/>
      <c r="J6" s="670"/>
      <c r="K6" s="670"/>
      <c r="L6" s="670"/>
      <c r="M6" s="670"/>
      <c r="N6" s="670"/>
      <c r="O6" s="714"/>
      <c r="P6" s="670"/>
      <c r="S6" s="188">
        <v>30999.574999999997</v>
      </c>
      <c r="T6" s="188" t="s">
        <v>1288</v>
      </c>
      <c r="Z6" s="64">
        <v>30999.574999999997</v>
      </c>
      <c r="AB6" s="64">
        <v>44898.842499999999</v>
      </c>
      <c r="AE6" s="658">
        <v>38575.583824999994</v>
      </c>
      <c r="AF6" s="372">
        <f>AE6-I7</f>
        <v>38575.583824999994</v>
      </c>
    </row>
    <row r="7" spans="1:87" s="51" customFormat="1" x14ac:dyDescent="0.2">
      <c r="A7" s="875" t="s">
        <v>1320</v>
      </c>
      <c r="B7" s="875"/>
      <c r="C7" s="875"/>
      <c r="D7" s="875"/>
      <c r="E7" s="935" t="s">
        <v>2019</v>
      </c>
      <c r="F7" s="935"/>
      <c r="G7" s="935"/>
      <c r="H7" s="671" t="s">
        <v>1323</v>
      </c>
      <c r="I7" s="672"/>
      <c r="J7" s="936" t="s">
        <v>2029</v>
      </c>
      <c r="K7" s="936"/>
      <c r="L7" s="530">
        <f>M13/L13</f>
        <v>9.9348911863479883E-2</v>
      </c>
      <c r="M7" s="511" t="s">
        <v>2021</v>
      </c>
      <c r="N7" s="673">
        <v>43658</v>
      </c>
      <c r="O7" s="715"/>
      <c r="P7" s="674"/>
      <c r="S7" s="188">
        <v>203365.995</v>
      </c>
      <c r="T7" s="188" t="s">
        <v>1309</v>
      </c>
      <c r="AB7" s="64">
        <v>152813.08250000002</v>
      </c>
    </row>
    <row r="8" spans="1:87" s="51" customFormat="1" x14ac:dyDescent="0.2">
      <c r="A8" s="875" t="s">
        <v>2014</v>
      </c>
      <c r="B8" s="875"/>
      <c r="C8" s="875"/>
      <c r="D8" s="875"/>
      <c r="E8" s="893" t="s">
        <v>2020</v>
      </c>
      <c r="F8" s="893"/>
      <c r="G8" s="893"/>
      <c r="H8" s="488">
        <f>664297.16</f>
        <v>664297.16</v>
      </c>
      <c r="I8" s="672"/>
      <c r="J8" s="936" t="s">
        <v>2028</v>
      </c>
      <c r="K8" s="936"/>
      <c r="L8" s="530">
        <f>P13</f>
        <v>0.59615351069014155</v>
      </c>
      <c r="M8" s="191" t="s">
        <v>3</v>
      </c>
      <c r="N8" s="675">
        <v>0.27139999999999997</v>
      </c>
      <c r="O8" s="715"/>
      <c r="P8" s="674"/>
      <c r="Q8" s="534"/>
      <c r="R8" s="534"/>
      <c r="S8" s="535">
        <v>485968.91500000004</v>
      </c>
      <c r="T8" s="535" t="s">
        <v>1294</v>
      </c>
      <c r="U8" s="534"/>
      <c r="V8" s="534"/>
      <c r="W8" s="534"/>
      <c r="X8" s="534"/>
      <c r="Y8" s="534"/>
      <c r="Z8" s="534"/>
      <c r="AA8" s="534"/>
      <c r="AB8" s="64">
        <v>511484.07750000001</v>
      </c>
      <c r="AC8" s="534"/>
      <c r="AD8" s="534"/>
      <c r="AE8" s="536" t="e">
        <f>H8/I9</f>
        <v>#DIV/0!</v>
      </c>
      <c r="AF8" s="534"/>
      <c r="AG8" s="534"/>
      <c r="AH8" s="534"/>
      <c r="AI8" s="534"/>
      <c r="AJ8" s="534"/>
      <c r="AK8" s="534"/>
      <c r="AL8" s="534"/>
      <c r="AM8" s="534"/>
      <c r="AN8" s="534"/>
      <c r="AO8" s="534"/>
      <c r="AP8" s="534"/>
      <c r="AQ8" s="534"/>
      <c r="AR8" s="534"/>
      <c r="AS8" s="534"/>
      <c r="AT8" s="534"/>
      <c r="AU8" s="534"/>
      <c r="AV8" s="534"/>
      <c r="AW8" s="534"/>
      <c r="AX8" s="534"/>
      <c r="AY8" s="534"/>
      <c r="AZ8" s="534"/>
      <c r="BA8" s="534"/>
      <c r="BB8" s="534"/>
      <c r="BC8" s="534"/>
      <c r="BD8" s="534"/>
      <c r="BE8" s="534"/>
      <c r="BF8" s="534"/>
      <c r="BG8" s="534"/>
      <c r="BH8" s="534"/>
      <c r="BI8" s="534"/>
      <c r="BJ8" s="534"/>
      <c r="BK8" s="534"/>
      <c r="BL8" s="534"/>
      <c r="BM8" s="534"/>
      <c r="BN8" s="534"/>
      <c r="BO8" s="534"/>
      <c r="BP8" s="534"/>
      <c r="BQ8" s="534"/>
      <c r="BR8" s="534"/>
      <c r="BS8" s="534"/>
      <c r="BT8" s="534"/>
    </row>
    <row r="9" spans="1:87" s="51" customFormat="1" x14ac:dyDescent="0.2">
      <c r="A9" s="875" t="s">
        <v>2017</v>
      </c>
      <c r="B9" s="875"/>
      <c r="C9" s="875"/>
      <c r="D9" s="875"/>
      <c r="E9" s="893" t="s">
        <v>2027</v>
      </c>
      <c r="F9" s="893"/>
      <c r="G9" s="893"/>
      <c r="H9" s="676">
        <v>43930</v>
      </c>
      <c r="I9" s="677"/>
      <c r="J9" s="905" t="s">
        <v>2030</v>
      </c>
      <c r="K9" s="905"/>
      <c r="L9" s="678">
        <v>43951</v>
      </c>
      <c r="M9" s="661" t="s">
        <v>2016</v>
      </c>
      <c r="N9" s="875" t="s">
        <v>2043</v>
      </c>
      <c r="O9" s="875"/>
      <c r="P9" s="661"/>
      <c r="Q9" s="534"/>
      <c r="R9" s="534"/>
      <c r="S9" s="535"/>
      <c r="T9" s="535"/>
      <c r="U9" s="534"/>
      <c r="V9" s="534"/>
      <c r="W9" s="534"/>
      <c r="X9" s="534"/>
      <c r="Y9" s="534"/>
      <c r="Z9" s="534"/>
      <c r="AA9" s="534"/>
      <c r="AB9" s="485"/>
      <c r="AC9" s="534"/>
      <c r="AD9" s="534"/>
      <c r="AE9" s="537"/>
      <c r="AF9" s="534"/>
      <c r="AG9" s="534"/>
      <c r="AH9" s="534"/>
      <c r="AI9" s="534"/>
      <c r="AJ9" s="534"/>
      <c r="AK9" s="534"/>
      <c r="AL9" s="534"/>
      <c r="AM9" s="534"/>
      <c r="AN9" s="534"/>
      <c r="AO9" s="534"/>
      <c r="AP9" s="534"/>
      <c r="AQ9" s="534"/>
      <c r="AR9" s="534"/>
      <c r="AS9" s="534"/>
      <c r="AT9" s="534"/>
      <c r="AU9" s="534"/>
      <c r="AV9" s="534"/>
      <c r="AW9" s="534"/>
      <c r="AX9" s="534"/>
      <c r="AY9" s="534"/>
      <c r="AZ9" s="534"/>
      <c r="BA9" s="534"/>
      <c r="BB9" s="534"/>
      <c r="BC9" s="534"/>
      <c r="BD9" s="534"/>
      <c r="BE9" s="534"/>
      <c r="BF9" s="534"/>
      <c r="BG9" s="534"/>
      <c r="BH9" s="534"/>
      <c r="BI9" s="534"/>
      <c r="BJ9" s="534"/>
      <c r="BK9" s="534"/>
      <c r="BL9" s="534"/>
      <c r="BM9" s="534"/>
      <c r="BN9" s="534"/>
      <c r="BO9" s="534"/>
      <c r="BP9" s="534"/>
      <c r="BQ9" s="534"/>
      <c r="BR9" s="534"/>
      <c r="BS9" s="534"/>
      <c r="BT9" s="538"/>
    </row>
    <row r="10" spans="1:87" s="51" customFormat="1" ht="13.5" thickBot="1" x14ac:dyDescent="0.25">
      <c r="A10" s="661"/>
      <c r="B10" s="661"/>
      <c r="C10" s="661"/>
      <c r="D10" s="661"/>
      <c r="E10" s="661"/>
      <c r="F10" s="679"/>
      <c r="G10" s="662"/>
      <c r="H10" s="511"/>
      <c r="I10" s="672"/>
      <c r="J10" s="195"/>
      <c r="K10" s="492"/>
      <c r="L10" s="511"/>
      <c r="M10" s="661"/>
      <c r="N10" s="661"/>
      <c r="O10" s="715"/>
      <c r="P10" s="492"/>
      <c r="S10" s="188"/>
      <c r="T10" s="188"/>
      <c r="BT10" s="372"/>
    </row>
    <row r="11" spans="1:87" ht="29.25" customHeight="1" thickBot="1" x14ac:dyDescent="0.25">
      <c r="C11" s="110"/>
      <c r="E11" s="667"/>
      <c r="F11" s="667"/>
      <c r="G11" s="668"/>
      <c r="H11" s="938" t="s">
        <v>2008</v>
      </c>
      <c r="I11" s="939"/>
      <c r="J11" s="939"/>
      <c r="K11" s="940"/>
      <c r="L11" s="941" t="s">
        <v>2009</v>
      </c>
      <c r="M11" s="942"/>
      <c r="N11" s="942"/>
      <c r="O11" s="943"/>
      <c r="P11" s="741"/>
      <c r="Q11" s="71"/>
      <c r="R11" s="71"/>
      <c r="S11" s="533"/>
      <c r="T11" s="533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66" t="s">
        <v>2033</v>
      </c>
    </row>
    <row r="12" spans="1:87" ht="36.75" customHeight="1" thickBot="1" x14ac:dyDescent="0.25">
      <c r="A12" s="737" t="s">
        <v>1325</v>
      </c>
      <c r="B12" s="737" t="s">
        <v>1326</v>
      </c>
      <c r="C12" s="737" t="s">
        <v>1327</v>
      </c>
      <c r="D12" s="737" t="s">
        <v>5</v>
      </c>
      <c r="E12" s="737" t="s">
        <v>6</v>
      </c>
      <c r="F12" s="738" t="s">
        <v>2041</v>
      </c>
      <c r="G12" s="739" t="s">
        <v>2042</v>
      </c>
      <c r="H12" s="737" t="s">
        <v>2018</v>
      </c>
      <c r="I12" s="740" t="s">
        <v>2013</v>
      </c>
      <c r="J12" s="740" t="s">
        <v>1819</v>
      </c>
      <c r="K12" s="737" t="s">
        <v>1295</v>
      </c>
      <c r="L12" s="742" t="s">
        <v>2018</v>
      </c>
      <c r="M12" s="743" t="s">
        <v>2013</v>
      </c>
      <c r="N12" s="743" t="s">
        <v>1819</v>
      </c>
      <c r="O12" s="744" t="s">
        <v>1295</v>
      </c>
      <c r="P12" s="737" t="s">
        <v>1296</v>
      </c>
      <c r="Q12" s="71"/>
      <c r="R12" s="71"/>
      <c r="S12" s="533"/>
      <c r="T12" s="533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66" t="s">
        <v>2034</v>
      </c>
    </row>
    <row r="13" spans="1:87" s="539" customFormat="1" ht="33" customHeight="1" x14ac:dyDescent="0.2">
      <c r="A13" s="546"/>
      <c r="B13" s="548"/>
      <c r="C13" s="548"/>
      <c r="D13" s="548" t="s">
        <v>2010</v>
      </c>
      <c r="E13" s="549"/>
      <c r="F13" s="550"/>
      <c r="G13" s="551"/>
      <c r="H13" s="552"/>
      <c r="I13" s="553"/>
      <c r="J13" s="553"/>
      <c r="K13" s="553"/>
      <c r="L13" s="706">
        <f>L14+L26+L32+L45+L69+L77+L92+L95+L98+L109+L120+L129+L168+L190+L194+L208+L214+L259+L268+L278</f>
        <v>664297.16</v>
      </c>
      <c r="M13" s="706">
        <f>M14+M26+M32+M45+M69+M77+M92+M95+M98+M109+M120+M129+M168+M190+M194+M208+M214+M259+M268+M278</f>
        <v>65997.2</v>
      </c>
      <c r="N13" s="706">
        <f>N14+N26+N32+N45+N69+N77+N92+N95+N98+N109+N120+N129+N168+N190+N194+N208+N214+N259+N268+N278</f>
        <v>248110.90000000002</v>
      </c>
      <c r="O13" s="716">
        <f>O14+O26+O32+O45+O69+O77+O92+O95+O98+O109+O120+O129+O168+O190+O194+O208+O214+O259+O268+O278</f>
        <v>416186.25999999995</v>
      </c>
      <c r="P13" s="555">
        <f>N13/O13</f>
        <v>0.59615351069014155</v>
      </c>
      <c r="Q13" s="660"/>
      <c r="R13" s="490"/>
      <c r="S13" s="490"/>
      <c r="T13" s="490"/>
      <c r="U13" s="490"/>
      <c r="V13" s="490"/>
      <c r="W13" s="490"/>
      <c r="X13" s="490"/>
      <c r="Y13" s="490"/>
      <c r="Z13" s="490"/>
      <c r="AA13" s="490"/>
      <c r="AB13" s="490"/>
      <c r="AC13" s="490"/>
      <c r="AD13" s="490"/>
      <c r="AE13" s="490"/>
      <c r="AF13" s="490"/>
      <c r="AG13" s="490"/>
      <c r="AH13" s="490"/>
      <c r="AI13" s="490"/>
      <c r="AJ13" s="490"/>
      <c r="AK13" s="490"/>
      <c r="AL13" s="490"/>
      <c r="AM13" s="490"/>
      <c r="AN13" s="490"/>
      <c r="AO13" s="490"/>
      <c r="AP13" s="490"/>
      <c r="AQ13" s="490"/>
      <c r="AR13" s="490"/>
      <c r="AS13" s="490"/>
      <c r="AT13" s="490"/>
      <c r="AU13" s="490"/>
      <c r="AV13" s="490"/>
      <c r="AW13" s="490"/>
      <c r="AX13" s="490"/>
      <c r="AY13" s="490"/>
      <c r="AZ13" s="490"/>
      <c r="BA13" s="490"/>
      <c r="BB13" s="490"/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539">
        <v>6</v>
      </c>
      <c r="BV13" s="539">
        <v>5</v>
      </c>
      <c r="BW13" s="539">
        <v>4</v>
      </c>
      <c r="BX13" s="539">
        <v>3</v>
      </c>
      <c r="BY13" s="539">
        <v>2</v>
      </c>
      <c r="BZ13" s="539">
        <v>1</v>
      </c>
      <c r="CI13" s="539" t="s">
        <v>2023</v>
      </c>
    </row>
    <row r="14" spans="1:87" ht="15.75" x14ac:dyDescent="0.2">
      <c r="A14" s="600">
        <v>1</v>
      </c>
      <c r="B14" s="558"/>
      <c r="C14" s="558"/>
      <c r="D14" s="558" t="s">
        <v>9</v>
      </c>
      <c r="E14" s="626"/>
      <c r="F14" s="560"/>
      <c r="G14" s="565"/>
      <c r="H14" s="641"/>
      <c r="I14" s="563">
        <v>0</v>
      </c>
      <c r="J14" s="564"/>
      <c r="K14" s="563"/>
      <c r="L14" s="707">
        <f>SUM(L15:L25)</f>
        <v>32660.889999999992</v>
      </c>
      <c r="M14" s="707">
        <f>SUM(M15:M25)</f>
        <v>0</v>
      </c>
      <c r="N14" s="707">
        <f>SUM(N15:N25)</f>
        <v>32660.889999999992</v>
      </c>
      <c r="O14" s="717">
        <f>SUM(O15:O25)</f>
        <v>0</v>
      </c>
      <c r="P14" s="604">
        <f t="shared" ref="P14:P77" si="0">N14/L14</f>
        <v>1</v>
      </c>
      <c r="Q14" s="525"/>
      <c r="BT14" s="525"/>
      <c r="BU14" s="523"/>
      <c r="BV14" s="523">
        <v>0</v>
      </c>
      <c r="BW14" s="523">
        <v>0</v>
      </c>
      <c r="BX14" s="523">
        <v>0</v>
      </c>
      <c r="BY14" s="523"/>
      <c r="BZ14" s="523"/>
      <c r="CA14" s="523"/>
      <c r="CB14" s="523"/>
      <c r="CC14" s="523"/>
      <c r="CD14" s="523"/>
      <c r="CE14" s="523"/>
      <c r="CF14" s="523"/>
      <c r="CG14" s="523"/>
      <c r="CH14" s="523"/>
      <c r="CI14" s="523">
        <f>SUM(BU14:CH14)</f>
        <v>0</v>
      </c>
    </row>
    <row r="15" spans="1:87" ht="15" x14ac:dyDescent="0.2">
      <c r="A15" s="680" t="s">
        <v>10</v>
      </c>
      <c r="B15" s="569" t="s">
        <v>1328</v>
      </c>
      <c r="C15" s="569" t="s">
        <v>1324</v>
      </c>
      <c r="D15" s="569" t="s">
        <v>1329</v>
      </c>
      <c r="E15" s="681" t="s">
        <v>14</v>
      </c>
      <c r="F15" s="571"/>
      <c r="G15" s="682">
        <v>232.25</v>
      </c>
      <c r="H15" s="681">
        <v>10</v>
      </c>
      <c r="I15" s="573">
        <f>BU15</f>
        <v>0</v>
      </c>
      <c r="J15" s="574">
        <f>CI15</f>
        <v>10</v>
      </c>
      <c r="K15" s="573">
        <f>H15-J15</f>
        <v>0</v>
      </c>
      <c r="L15" s="708">
        <f>ROUND(H15*$G15,2)</f>
        <v>2322.5</v>
      </c>
      <c r="M15" s="708">
        <f t="shared" ref="M15:O25" si="1">ROUND(I15*$G15,2)</f>
        <v>0</v>
      </c>
      <c r="N15" s="708">
        <f t="shared" si="1"/>
        <v>2322.5</v>
      </c>
      <c r="O15" s="718">
        <f t="shared" si="1"/>
        <v>0</v>
      </c>
      <c r="P15" s="617">
        <f t="shared" si="0"/>
        <v>1</v>
      </c>
      <c r="Q15" s="525"/>
      <c r="BT15" s="525"/>
      <c r="BU15" s="523"/>
      <c r="BV15" s="523">
        <v>0</v>
      </c>
      <c r="BW15" s="523">
        <v>0</v>
      </c>
      <c r="BX15" s="523">
        <v>0</v>
      </c>
      <c r="BY15" s="523">
        <v>0</v>
      </c>
      <c r="BZ15" s="523">
        <v>10</v>
      </c>
      <c r="CA15" s="523"/>
      <c r="CB15" s="523"/>
      <c r="CC15" s="523"/>
      <c r="CD15" s="523"/>
      <c r="CE15" s="523"/>
      <c r="CF15" s="523"/>
      <c r="CG15" s="523"/>
      <c r="CH15" s="523"/>
      <c r="CI15" s="523">
        <f t="shared" ref="CI15:CI78" si="2">SUM(BU15:CH15)</f>
        <v>10</v>
      </c>
    </row>
    <row r="16" spans="1:87" ht="15" x14ac:dyDescent="0.2">
      <c r="A16" s="680" t="s">
        <v>1330</v>
      </c>
      <c r="B16" s="569" t="s">
        <v>1331</v>
      </c>
      <c r="C16" s="569" t="s">
        <v>1324</v>
      </c>
      <c r="D16" s="569" t="s">
        <v>1332</v>
      </c>
      <c r="E16" s="681" t="s">
        <v>14</v>
      </c>
      <c r="F16" s="644">
        <v>595.62</v>
      </c>
      <c r="G16" s="682">
        <v>39.78</v>
      </c>
      <c r="H16" s="681">
        <v>312.39999999999998</v>
      </c>
      <c r="I16" s="573">
        <f t="shared" ref="I16:I79" si="3">BU16</f>
        <v>0</v>
      </c>
      <c r="J16" s="574">
        <f t="shared" ref="J16:J79" si="4">CI16</f>
        <v>312.39999999999998</v>
      </c>
      <c r="K16" s="573">
        <f t="shared" ref="K16:K31" si="5">H16-J16</f>
        <v>0</v>
      </c>
      <c r="L16" s="708">
        <f t="shared" ref="L16:L25" si="6">ROUND(H16*$G16,2)</f>
        <v>12427.27</v>
      </c>
      <c r="M16" s="708">
        <f t="shared" si="1"/>
        <v>0</v>
      </c>
      <c r="N16" s="708">
        <f t="shared" si="1"/>
        <v>12427.27</v>
      </c>
      <c r="O16" s="718">
        <f t="shared" si="1"/>
        <v>0</v>
      </c>
      <c r="P16" s="617">
        <f t="shared" si="0"/>
        <v>1</v>
      </c>
      <c r="Q16" s="525"/>
      <c r="BT16" s="525"/>
      <c r="BU16" s="523"/>
      <c r="BV16" s="523">
        <v>0</v>
      </c>
      <c r="BW16" s="523">
        <v>0</v>
      </c>
      <c r="BX16" s="523">
        <v>0</v>
      </c>
      <c r="BY16" s="523">
        <v>203.49999999999997</v>
      </c>
      <c r="BZ16" s="523">
        <v>108.9</v>
      </c>
      <c r="CA16" s="523"/>
      <c r="CB16" s="523"/>
      <c r="CC16" s="523"/>
      <c r="CD16" s="523"/>
      <c r="CE16" s="523"/>
      <c r="CF16" s="523"/>
      <c r="CG16" s="523"/>
      <c r="CH16" s="523"/>
      <c r="CI16" s="523">
        <f t="shared" si="2"/>
        <v>312.39999999999998</v>
      </c>
    </row>
    <row r="17" spans="1:87" ht="30" x14ac:dyDescent="0.2">
      <c r="A17" s="680" t="s">
        <v>1333</v>
      </c>
      <c r="B17" s="569">
        <v>9540</v>
      </c>
      <c r="C17" s="569" t="s">
        <v>1324</v>
      </c>
      <c r="D17" s="569" t="s">
        <v>1334</v>
      </c>
      <c r="E17" s="681" t="s">
        <v>102</v>
      </c>
      <c r="F17" s="644">
        <v>256.73</v>
      </c>
      <c r="G17" s="682">
        <v>783.05</v>
      </c>
      <c r="H17" s="681">
        <v>1</v>
      </c>
      <c r="I17" s="573">
        <f t="shared" si="3"/>
        <v>0</v>
      </c>
      <c r="J17" s="574">
        <f t="shared" si="4"/>
        <v>1</v>
      </c>
      <c r="K17" s="573">
        <f t="shared" si="5"/>
        <v>0</v>
      </c>
      <c r="L17" s="708">
        <f t="shared" si="6"/>
        <v>783.05</v>
      </c>
      <c r="M17" s="708">
        <f t="shared" si="1"/>
        <v>0</v>
      </c>
      <c r="N17" s="708">
        <f t="shared" si="1"/>
        <v>783.05</v>
      </c>
      <c r="O17" s="718">
        <f t="shared" si="1"/>
        <v>0</v>
      </c>
      <c r="P17" s="617">
        <f t="shared" si="0"/>
        <v>1</v>
      </c>
      <c r="Q17" s="525"/>
      <c r="BT17" s="525"/>
      <c r="BU17" s="523"/>
      <c r="BV17" s="523">
        <v>0</v>
      </c>
      <c r="BW17" s="523">
        <v>0</v>
      </c>
      <c r="BX17" s="523">
        <v>0</v>
      </c>
      <c r="BY17" s="523">
        <v>1</v>
      </c>
      <c r="BZ17" s="523">
        <v>0</v>
      </c>
      <c r="CA17" s="523"/>
      <c r="CB17" s="523"/>
      <c r="CC17" s="523"/>
      <c r="CD17" s="523"/>
      <c r="CE17" s="523"/>
      <c r="CF17" s="523"/>
      <c r="CG17" s="523"/>
      <c r="CH17" s="523"/>
      <c r="CI17" s="523">
        <f t="shared" si="2"/>
        <v>1</v>
      </c>
    </row>
    <row r="18" spans="1:87" ht="15" x14ac:dyDescent="0.2">
      <c r="A18" s="680" t="s">
        <v>1335</v>
      </c>
      <c r="B18" s="569" t="s">
        <v>1336</v>
      </c>
      <c r="C18" s="569" t="s">
        <v>1324</v>
      </c>
      <c r="D18" s="569" t="s">
        <v>1337</v>
      </c>
      <c r="E18" s="681" t="s">
        <v>102</v>
      </c>
      <c r="F18" s="644">
        <v>49.62</v>
      </c>
      <c r="G18" s="682">
        <v>1344.39</v>
      </c>
      <c r="H18" s="681">
        <v>1</v>
      </c>
      <c r="I18" s="573">
        <f t="shared" si="3"/>
        <v>0</v>
      </c>
      <c r="J18" s="574">
        <f t="shared" si="4"/>
        <v>1</v>
      </c>
      <c r="K18" s="573">
        <f t="shared" si="5"/>
        <v>0</v>
      </c>
      <c r="L18" s="708">
        <f t="shared" si="6"/>
        <v>1344.39</v>
      </c>
      <c r="M18" s="708">
        <f t="shared" si="1"/>
        <v>0</v>
      </c>
      <c r="N18" s="708">
        <f t="shared" si="1"/>
        <v>1344.39</v>
      </c>
      <c r="O18" s="718">
        <f t="shared" si="1"/>
        <v>0</v>
      </c>
      <c r="P18" s="617">
        <f t="shared" si="0"/>
        <v>1</v>
      </c>
      <c r="Q18" s="525"/>
      <c r="BT18" s="525"/>
      <c r="BU18" s="523"/>
      <c r="BV18" s="523">
        <v>0</v>
      </c>
      <c r="BW18" s="523">
        <v>0</v>
      </c>
      <c r="BX18" s="523">
        <v>0</v>
      </c>
      <c r="BY18" s="523">
        <v>1</v>
      </c>
      <c r="BZ18" s="523">
        <v>0</v>
      </c>
      <c r="CA18" s="523"/>
      <c r="CB18" s="523"/>
      <c r="CC18" s="523"/>
      <c r="CD18" s="523"/>
      <c r="CE18" s="523"/>
      <c r="CF18" s="523"/>
      <c r="CG18" s="523"/>
      <c r="CH18" s="523"/>
      <c r="CI18" s="523">
        <f t="shared" si="2"/>
        <v>1</v>
      </c>
    </row>
    <row r="19" spans="1:87" ht="15" x14ac:dyDescent="0.2">
      <c r="A19" s="680" t="s">
        <v>1338</v>
      </c>
      <c r="B19" s="569" t="s">
        <v>2007</v>
      </c>
      <c r="C19" s="569" t="s">
        <v>1339</v>
      </c>
      <c r="D19" s="569" t="s">
        <v>1340</v>
      </c>
      <c r="E19" s="681" t="s">
        <v>102</v>
      </c>
      <c r="F19" s="644">
        <v>5.2</v>
      </c>
      <c r="G19" s="682">
        <v>823.61</v>
      </c>
      <c r="H19" s="681">
        <v>1</v>
      </c>
      <c r="I19" s="573">
        <f t="shared" si="3"/>
        <v>0</v>
      </c>
      <c r="J19" s="574">
        <f t="shared" si="4"/>
        <v>1</v>
      </c>
      <c r="K19" s="573">
        <f t="shared" si="5"/>
        <v>0</v>
      </c>
      <c r="L19" s="708">
        <f t="shared" si="6"/>
        <v>823.61</v>
      </c>
      <c r="M19" s="708">
        <f t="shared" si="1"/>
        <v>0</v>
      </c>
      <c r="N19" s="708">
        <f t="shared" si="1"/>
        <v>823.61</v>
      </c>
      <c r="O19" s="718">
        <f t="shared" si="1"/>
        <v>0</v>
      </c>
      <c r="P19" s="617">
        <f t="shared" si="0"/>
        <v>1</v>
      </c>
      <c r="Q19" s="525"/>
      <c r="BT19" s="525"/>
      <c r="BU19" s="523"/>
      <c r="BV19" s="523">
        <v>0</v>
      </c>
      <c r="BW19" s="523">
        <v>0</v>
      </c>
      <c r="BX19" s="523">
        <v>0</v>
      </c>
      <c r="BY19" s="523">
        <v>1</v>
      </c>
      <c r="BZ19" s="523">
        <v>0</v>
      </c>
      <c r="CA19" s="523"/>
      <c r="CB19" s="523"/>
      <c r="CC19" s="523"/>
      <c r="CD19" s="523"/>
      <c r="CE19" s="523"/>
      <c r="CF19" s="523"/>
      <c r="CG19" s="523"/>
      <c r="CH19" s="523"/>
      <c r="CI19" s="523">
        <f t="shared" si="2"/>
        <v>1</v>
      </c>
    </row>
    <row r="20" spans="1:87" ht="30" x14ac:dyDescent="0.2">
      <c r="A20" s="680" t="s">
        <v>1341</v>
      </c>
      <c r="B20" s="569" t="s">
        <v>1342</v>
      </c>
      <c r="C20" s="569" t="s">
        <v>1343</v>
      </c>
      <c r="D20" s="569" t="s">
        <v>1344</v>
      </c>
      <c r="E20" s="681" t="s">
        <v>102</v>
      </c>
      <c r="F20" s="578"/>
      <c r="G20" s="682">
        <v>174.71</v>
      </c>
      <c r="H20" s="681">
        <v>1</v>
      </c>
      <c r="I20" s="573">
        <f t="shared" si="3"/>
        <v>0</v>
      </c>
      <c r="J20" s="574">
        <f t="shared" si="4"/>
        <v>1</v>
      </c>
      <c r="K20" s="573">
        <f t="shared" si="5"/>
        <v>0</v>
      </c>
      <c r="L20" s="708">
        <f t="shared" si="6"/>
        <v>174.71</v>
      </c>
      <c r="M20" s="708">
        <f t="shared" si="1"/>
        <v>0</v>
      </c>
      <c r="N20" s="708">
        <f t="shared" si="1"/>
        <v>174.71</v>
      </c>
      <c r="O20" s="718">
        <f t="shared" si="1"/>
        <v>0</v>
      </c>
      <c r="P20" s="617">
        <f t="shared" si="0"/>
        <v>1</v>
      </c>
      <c r="Q20" s="525"/>
      <c r="R20" s="525"/>
      <c r="S20" s="525"/>
      <c r="T20" s="525"/>
      <c r="U20" s="525"/>
      <c r="V20" s="525"/>
      <c r="W20" s="525"/>
      <c r="X20" s="525"/>
      <c r="Y20" s="525"/>
      <c r="Z20" s="525"/>
      <c r="AA20" s="525"/>
      <c r="AB20" s="525"/>
      <c r="AC20" s="525"/>
      <c r="AD20" s="525"/>
      <c r="AE20" s="525"/>
      <c r="AF20" s="525"/>
      <c r="AG20" s="525"/>
      <c r="AH20" s="525"/>
      <c r="AI20" s="525"/>
      <c r="AJ20" s="525"/>
      <c r="AK20" s="525"/>
      <c r="AL20" s="525"/>
      <c r="AM20" s="525"/>
      <c r="AN20" s="525"/>
      <c r="AO20" s="525"/>
      <c r="AP20" s="525"/>
      <c r="AQ20" s="525"/>
      <c r="AR20" s="525"/>
      <c r="AS20" s="525"/>
      <c r="AT20" s="525"/>
      <c r="AU20" s="525"/>
      <c r="AV20" s="525"/>
      <c r="AW20" s="525"/>
      <c r="AX20" s="525"/>
      <c r="AY20" s="525"/>
      <c r="AZ20" s="525"/>
      <c r="BA20" s="525"/>
      <c r="BB20" s="525"/>
      <c r="BC20" s="525"/>
      <c r="BD20" s="525"/>
      <c r="BE20" s="525"/>
      <c r="BF20" s="525"/>
      <c r="BG20" s="525"/>
      <c r="BH20" s="525"/>
      <c r="BI20" s="525"/>
      <c r="BJ20" s="525"/>
      <c r="BK20" s="525"/>
      <c r="BL20" s="525"/>
      <c r="BM20" s="525"/>
      <c r="BN20" s="525"/>
      <c r="BO20" s="525"/>
      <c r="BP20" s="525"/>
      <c r="BQ20" s="525"/>
      <c r="BR20" s="525"/>
      <c r="BS20" s="525"/>
      <c r="BT20" s="525"/>
      <c r="BU20" s="523"/>
      <c r="BV20" s="523">
        <v>0</v>
      </c>
      <c r="BW20" s="523">
        <v>0</v>
      </c>
      <c r="BX20" s="523">
        <v>0</v>
      </c>
      <c r="BY20" s="523">
        <v>1</v>
      </c>
      <c r="BZ20" s="523">
        <v>0</v>
      </c>
      <c r="CA20" s="523"/>
      <c r="CB20" s="523"/>
      <c r="CC20" s="523"/>
      <c r="CD20" s="523"/>
      <c r="CE20" s="523"/>
      <c r="CF20" s="523"/>
      <c r="CG20" s="523"/>
      <c r="CH20" s="523"/>
      <c r="CI20" s="523">
        <f t="shared" si="2"/>
        <v>1</v>
      </c>
    </row>
    <row r="21" spans="1:87" ht="30" x14ac:dyDescent="0.2">
      <c r="A21" s="680" t="s">
        <v>1345</v>
      </c>
      <c r="B21" s="569" t="s">
        <v>1346</v>
      </c>
      <c r="C21" s="569" t="s">
        <v>1324</v>
      </c>
      <c r="D21" s="569" t="s">
        <v>1347</v>
      </c>
      <c r="E21" s="681" t="s">
        <v>102</v>
      </c>
      <c r="F21" s="571"/>
      <c r="G21" s="682">
        <v>1343.12</v>
      </c>
      <c r="H21" s="681">
        <v>1</v>
      </c>
      <c r="I21" s="573">
        <f t="shared" si="3"/>
        <v>0</v>
      </c>
      <c r="J21" s="574">
        <f t="shared" si="4"/>
        <v>1</v>
      </c>
      <c r="K21" s="573">
        <f t="shared" si="5"/>
        <v>0</v>
      </c>
      <c r="L21" s="708">
        <f t="shared" si="6"/>
        <v>1343.12</v>
      </c>
      <c r="M21" s="708">
        <f t="shared" si="1"/>
        <v>0</v>
      </c>
      <c r="N21" s="708">
        <f t="shared" si="1"/>
        <v>1343.12</v>
      </c>
      <c r="O21" s="718">
        <f t="shared" si="1"/>
        <v>0</v>
      </c>
      <c r="P21" s="617">
        <f t="shared" si="0"/>
        <v>1</v>
      </c>
      <c r="Q21" s="525"/>
      <c r="BT21" s="525"/>
      <c r="BU21" s="523"/>
      <c r="BV21" s="523">
        <v>0</v>
      </c>
      <c r="BW21" s="523">
        <v>0</v>
      </c>
      <c r="BX21" s="523">
        <v>0</v>
      </c>
      <c r="BY21" s="523">
        <v>1</v>
      </c>
      <c r="BZ21" s="523">
        <v>0</v>
      </c>
      <c r="CA21" s="523"/>
      <c r="CB21" s="523"/>
      <c r="CC21" s="523"/>
      <c r="CD21" s="523"/>
      <c r="CE21" s="523"/>
      <c r="CF21" s="523"/>
      <c r="CG21" s="523"/>
      <c r="CH21" s="523"/>
      <c r="CI21" s="523">
        <f t="shared" si="2"/>
        <v>1</v>
      </c>
    </row>
    <row r="22" spans="1:87" ht="15" x14ac:dyDescent="0.2">
      <c r="A22" s="680" t="s">
        <v>1348</v>
      </c>
      <c r="B22" s="569" t="s">
        <v>1349</v>
      </c>
      <c r="C22" s="569" t="s">
        <v>1324</v>
      </c>
      <c r="D22" s="569" t="s">
        <v>1350</v>
      </c>
      <c r="E22" s="681" t="s">
        <v>14</v>
      </c>
      <c r="F22" s="571"/>
      <c r="G22" s="682">
        <v>390.47</v>
      </c>
      <c r="H22" s="681">
        <v>20</v>
      </c>
      <c r="I22" s="573">
        <f t="shared" si="3"/>
        <v>0</v>
      </c>
      <c r="J22" s="574">
        <f t="shared" si="4"/>
        <v>20</v>
      </c>
      <c r="K22" s="573">
        <f t="shared" si="5"/>
        <v>0</v>
      </c>
      <c r="L22" s="708">
        <f t="shared" si="6"/>
        <v>7809.4</v>
      </c>
      <c r="M22" s="708">
        <f t="shared" si="1"/>
        <v>0</v>
      </c>
      <c r="N22" s="708">
        <f>ROUND(J22*$G22,2)</f>
        <v>7809.4</v>
      </c>
      <c r="O22" s="718">
        <f t="shared" si="1"/>
        <v>0</v>
      </c>
      <c r="P22" s="617">
        <f t="shared" si="0"/>
        <v>1</v>
      </c>
      <c r="Q22" s="525"/>
      <c r="BT22" s="525"/>
      <c r="BU22" s="523"/>
      <c r="BV22" s="523">
        <v>0</v>
      </c>
      <c r="BW22" s="523">
        <v>0</v>
      </c>
      <c r="BX22" s="523">
        <v>0</v>
      </c>
      <c r="BY22" s="523">
        <v>10</v>
      </c>
      <c r="BZ22" s="523">
        <v>10</v>
      </c>
      <c r="CA22" s="523"/>
      <c r="CB22" s="523"/>
      <c r="CC22" s="523"/>
      <c r="CD22" s="523"/>
      <c r="CE22" s="523"/>
      <c r="CF22" s="523"/>
      <c r="CG22" s="523"/>
      <c r="CH22" s="523"/>
      <c r="CI22" s="523">
        <f t="shared" si="2"/>
        <v>20</v>
      </c>
    </row>
    <row r="23" spans="1:87" ht="15" x14ac:dyDescent="0.2">
      <c r="A23" s="680" t="s">
        <v>1351</v>
      </c>
      <c r="B23" s="569" t="s">
        <v>1352</v>
      </c>
      <c r="C23" s="569" t="s">
        <v>1324</v>
      </c>
      <c r="D23" s="569" t="s">
        <v>1353</v>
      </c>
      <c r="E23" s="681" t="s">
        <v>14</v>
      </c>
      <c r="F23" s="644">
        <v>302.64</v>
      </c>
      <c r="G23" s="682">
        <v>4.0999999999999996</v>
      </c>
      <c r="H23" s="681">
        <v>785</v>
      </c>
      <c r="I23" s="573">
        <f t="shared" si="3"/>
        <v>0</v>
      </c>
      <c r="J23" s="574">
        <f t="shared" si="4"/>
        <v>785</v>
      </c>
      <c r="K23" s="573">
        <f t="shared" si="5"/>
        <v>0</v>
      </c>
      <c r="L23" s="708">
        <f t="shared" si="6"/>
        <v>3218.5</v>
      </c>
      <c r="M23" s="708">
        <f t="shared" si="1"/>
        <v>0</v>
      </c>
      <c r="N23" s="708">
        <f t="shared" si="1"/>
        <v>3218.5</v>
      </c>
      <c r="O23" s="718">
        <f t="shared" si="1"/>
        <v>0</v>
      </c>
      <c r="P23" s="617">
        <f t="shared" si="0"/>
        <v>1</v>
      </c>
      <c r="Q23" s="525"/>
      <c r="BT23" s="525"/>
      <c r="BU23" s="523"/>
      <c r="BV23" s="523">
        <v>0</v>
      </c>
      <c r="BW23" s="523">
        <v>0</v>
      </c>
      <c r="BX23" s="523">
        <v>0</v>
      </c>
      <c r="BY23" s="523">
        <v>0</v>
      </c>
      <c r="BZ23" s="523">
        <v>785</v>
      </c>
      <c r="CA23" s="523"/>
      <c r="CB23" s="523"/>
      <c r="CC23" s="523"/>
      <c r="CD23" s="523"/>
      <c r="CE23" s="523"/>
      <c r="CF23" s="523"/>
      <c r="CG23" s="523"/>
      <c r="CH23" s="523"/>
      <c r="CI23" s="523">
        <f t="shared" si="2"/>
        <v>785</v>
      </c>
    </row>
    <row r="24" spans="1:87" ht="31.5" customHeight="1" x14ac:dyDescent="0.2">
      <c r="A24" s="680" t="s">
        <v>1354</v>
      </c>
      <c r="B24" s="569" t="s">
        <v>1355</v>
      </c>
      <c r="C24" s="569" t="s">
        <v>1343</v>
      </c>
      <c r="D24" s="569" t="s">
        <v>1356</v>
      </c>
      <c r="E24" s="681" t="s">
        <v>81</v>
      </c>
      <c r="F24" s="644">
        <v>135.94</v>
      </c>
      <c r="G24" s="682">
        <v>46.26</v>
      </c>
      <c r="H24" s="681">
        <v>49</v>
      </c>
      <c r="I24" s="573">
        <f t="shared" si="3"/>
        <v>0</v>
      </c>
      <c r="J24" s="574">
        <f t="shared" si="4"/>
        <v>49</v>
      </c>
      <c r="K24" s="573">
        <f t="shared" si="5"/>
        <v>0</v>
      </c>
      <c r="L24" s="708">
        <f t="shared" si="6"/>
        <v>2266.7399999999998</v>
      </c>
      <c r="M24" s="708">
        <f t="shared" si="1"/>
        <v>0</v>
      </c>
      <c r="N24" s="708">
        <f t="shared" si="1"/>
        <v>2266.7399999999998</v>
      </c>
      <c r="O24" s="718">
        <f t="shared" si="1"/>
        <v>0</v>
      </c>
      <c r="P24" s="617">
        <f t="shared" si="0"/>
        <v>1</v>
      </c>
      <c r="Q24" s="525"/>
      <c r="BT24" s="525"/>
      <c r="BU24" s="523"/>
      <c r="BV24" s="523">
        <v>0</v>
      </c>
      <c r="BW24" s="523">
        <v>0</v>
      </c>
      <c r="BX24" s="523">
        <v>0</v>
      </c>
      <c r="BY24" s="523">
        <v>0</v>
      </c>
      <c r="BZ24" s="523">
        <v>49</v>
      </c>
      <c r="CA24" s="523"/>
      <c r="CB24" s="523"/>
      <c r="CC24" s="523"/>
      <c r="CD24" s="523"/>
      <c r="CE24" s="523"/>
      <c r="CF24" s="523"/>
      <c r="CG24" s="523"/>
      <c r="CH24" s="523"/>
      <c r="CI24" s="523">
        <f t="shared" si="2"/>
        <v>49</v>
      </c>
    </row>
    <row r="25" spans="1:87" s="657" customFormat="1" ht="15" x14ac:dyDescent="0.2">
      <c r="A25" s="680" t="s">
        <v>1357</v>
      </c>
      <c r="B25" s="569">
        <v>72213</v>
      </c>
      <c r="C25" s="569" t="s">
        <v>1324</v>
      </c>
      <c r="D25" s="569" t="s">
        <v>1358</v>
      </c>
      <c r="E25" s="681" t="s">
        <v>14</v>
      </c>
      <c r="F25" s="644">
        <v>5.86</v>
      </c>
      <c r="G25" s="682">
        <v>0.12</v>
      </c>
      <c r="H25" s="681">
        <v>1230</v>
      </c>
      <c r="I25" s="573">
        <f t="shared" si="3"/>
        <v>0</v>
      </c>
      <c r="J25" s="574">
        <f t="shared" si="4"/>
        <v>1230</v>
      </c>
      <c r="K25" s="573">
        <f t="shared" si="5"/>
        <v>0</v>
      </c>
      <c r="L25" s="708">
        <f t="shared" si="6"/>
        <v>147.6</v>
      </c>
      <c r="M25" s="708">
        <f t="shared" si="1"/>
        <v>0</v>
      </c>
      <c r="N25" s="708">
        <f t="shared" si="1"/>
        <v>147.6</v>
      </c>
      <c r="O25" s="718">
        <f t="shared" si="1"/>
        <v>0</v>
      </c>
      <c r="P25" s="617">
        <f t="shared" si="0"/>
        <v>1</v>
      </c>
      <c r="Q25" s="525"/>
      <c r="S25" s="190"/>
      <c r="T25" s="190"/>
      <c r="BT25" s="525"/>
      <c r="BU25" s="523"/>
      <c r="BV25" s="523">
        <v>0</v>
      </c>
      <c r="BW25" s="523">
        <v>0</v>
      </c>
      <c r="BX25" s="523">
        <v>0</v>
      </c>
      <c r="BY25" s="523">
        <v>0</v>
      </c>
      <c r="BZ25" s="523">
        <v>1230</v>
      </c>
      <c r="CA25" s="523"/>
      <c r="CB25" s="523"/>
      <c r="CC25" s="523"/>
      <c r="CD25" s="523"/>
      <c r="CE25" s="523"/>
      <c r="CF25" s="523"/>
      <c r="CG25" s="523"/>
      <c r="CH25" s="523"/>
      <c r="CI25" s="523">
        <f t="shared" si="2"/>
        <v>1230</v>
      </c>
    </row>
    <row r="26" spans="1:87" ht="15.75" x14ac:dyDescent="0.2">
      <c r="A26" s="600">
        <v>2</v>
      </c>
      <c r="B26" s="558"/>
      <c r="C26" s="558"/>
      <c r="D26" s="558" t="s">
        <v>1359</v>
      </c>
      <c r="E26" s="626"/>
      <c r="F26" s="560"/>
      <c r="G26" s="565"/>
      <c r="H26" s="565"/>
      <c r="I26" s="565"/>
      <c r="J26" s="565"/>
      <c r="K26" s="563"/>
      <c r="L26" s="709">
        <f>SUM(L27:L31)</f>
        <v>11015.16</v>
      </c>
      <c r="M26" s="728">
        <f>SUM(M27:M31)</f>
        <v>0</v>
      </c>
      <c r="N26" s="709">
        <f>SUM(N27:N31)</f>
        <v>10356.58</v>
      </c>
      <c r="O26" s="719">
        <f>SUM(O27:O31)</f>
        <v>658.58</v>
      </c>
      <c r="P26" s="604">
        <f t="shared" si="0"/>
        <v>0.94021149034603224</v>
      </c>
      <c r="Q26" s="525"/>
      <c r="BT26" s="525"/>
      <c r="BU26" s="523"/>
      <c r="BV26" s="523">
        <v>0</v>
      </c>
      <c r="BW26" s="523">
        <v>0</v>
      </c>
      <c r="BX26" s="523">
        <v>62.89</v>
      </c>
      <c r="BY26" s="523">
        <v>194.56</v>
      </c>
      <c r="BZ26" s="523">
        <v>158.464</v>
      </c>
      <c r="CA26" s="523"/>
      <c r="CB26" s="523"/>
      <c r="CC26" s="523"/>
      <c r="CD26" s="523"/>
      <c r="CE26" s="523"/>
      <c r="CF26" s="523"/>
      <c r="CG26" s="523"/>
      <c r="CH26" s="523"/>
      <c r="CI26" s="523">
        <f t="shared" si="2"/>
        <v>415.91399999999999</v>
      </c>
    </row>
    <row r="27" spans="1:87" ht="15" x14ac:dyDescent="0.2">
      <c r="A27" s="680" t="s">
        <v>27</v>
      </c>
      <c r="B27" s="569">
        <v>55835</v>
      </c>
      <c r="C27" s="569" t="s">
        <v>1324</v>
      </c>
      <c r="D27" s="569" t="s">
        <v>1360</v>
      </c>
      <c r="E27" s="681" t="s">
        <v>48</v>
      </c>
      <c r="F27" s="571"/>
      <c r="G27" s="682">
        <v>29.27</v>
      </c>
      <c r="H27" s="681">
        <v>154.94</v>
      </c>
      <c r="I27" s="573">
        <f t="shared" si="3"/>
        <v>0</v>
      </c>
      <c r="J27" s="574">
        <f t="shared" si="4"/>
        <v>154.94</v>
      </c>
      <c r="K27" s="573">
        <f t="shared" si="5"/>
        <v>0</v>
      </c>
      <c r="L27" s="708">
        <f t="shared" ref="L27:O31" si="7">ROUND(H27*$G27,2)</f>
        <v>4535.09</v>
      </c>
      <c r="M27" s="708">
        <f t="shared" si="7"/>
        <v>0</v>
      </c>
      <c r="N27" s="708">
        <f t="shared" si="7"/>
        <v>4535.09</v>
      </c>
      <c r="O27" s="718">
        <f t="shared" si="7"/>
        <v>0</v>
      </c>
      <c r="P27" s="617">
        <f t="shared" si="0"/>
        <v>1</v>
      </c>
      <c r="Q27" s="525"/>
      <c r="BT27" s="525"/>
      <c r="BU27" s="523"/>
      <c r="BV27" s="523">
        <v>0</v>
      </c>
      <c r="BW27" s="523">
        <v>0</v>
      </c>
      <c r="BX27" s="523">
        <v>0</v>
      </c>
      <c r="BY27" s="523">
        <v>154.94</v>
      </c>
      <c r="BZ27" s="523">
        <v>0</v>
      </c>
      <c r="CA27" s="523"/>
      <c r="CB27" s="523"/>
      <c r="CC27" s="523"/>
      <c r="CD27" s="523"/>
      <c r="CE27" s="523"/>
      <c r="CF27" s="523"/>
      <c r="CG27" s="523"/>
      <c r="CH27" s="523"/>
      <c r="CI27" s="523">
        <f t="shared" si="2"/>
        <v>154.94</v>
      </c>
    </row>
    <row r="28" spans="1:87" ht="15" x14ac:dyDescent="0.2">
      <c r="A28" s="680" t="s">
        <v>1263</v>
      </c>
      <c r="B28" s="569">
        <v>79478</v>
      </c>
      <c r="C28" s="569" t="s">
        <v>1324</v>
      </c>
      <c r="D28" s="569" t="s">
        <v>1361</v>
      </c>
      <c r="E28" s="681" t="s">
        <v>48</v>
      </c>
      <c r="F28" s="644">
        <v>302.64</v>
      </c>
      <c r="G28" s="682">
        <v>46.94</v>
      </c>
      <c r="H28" s="681">
        <v>83.25</v>
      </c>
      <c r="I28" s="573">
        <f t="shared" si="3"/>
        <v>0</v>
      </c>
      <c r="J28" s="574">
        <f t="shared" si="4"/>
        <v>83.250000000000014</v>
      </c>
      <c r="K28" s="573">
        <f t="shared" si="5"/>
        <v>0</v>
      </c>
      <c r="L28" s="708">
        <f t="shared" si="7"/>
        <v>3907.76</v>
      </c>
      <c r="M28" s="708">
        <f t="shared" si="7"/>
        <v>0</v>
      </c>
      <c r="N28" s="708">
        <f t="shared" si="7"/>
        <v>3907.76</v>
      </c>
      <c r="O28" s="718">
        <f t="shared" si="7"/>
        <v>0</v>
      </c>
      <c r="P28" s="617">
        <f t="shared" si="0"/>
        <v>1</v>
      </c>
      <c r="Q28" s="525"/>
      <c r="BT28" s="525"/>
      <c r="BU28" s="523"/>
      <c r="BV28" s="523">
        <v>0</v>
      </c>
      <c r="BW28" s="523">
        <v>0</v>
      </c>
      <c r="BX28" s="523">
        <v>0</v>
      </c>
      <c r="BY28" s="523">
        <v>16.650000000000006</v>
      </c>
      <c r="BZ28" s="523">
        <v>66.600000000000009</v>
      </c>
      <c r="CA28" s="523"/>
      <c r="CB28" s="523"/>
      <c r="CC28" s="523"/>
      <c r="CD28" s="523"/>
      <c r="CE28" s="523"/>
      <c r="CF28" s="523"/>
      <c r="CG28" s="523"/>
      <c r="CH28" s="523"/>
      <c r="CI28" s="523">
        <f t="shared" si="2"/>
        <v>83.250000000000014</v>
      </c>
    </row>
    <row r="29" spans="1:87" ht="15" x14ac:dyDescent="0.2">
      <c r="A29" s="680" t="s">
        <v>1362</v>
      </c>
      <c r="B29" s="569">
        <v>79483</v>
      </c>
      <c r="C29" s="569" t="s">
        <v>1324</v>
      </c>
      <c r="D29" s="569" t="s">
        <v>1363</v>
      </c>
      <c r="E29" s="681" t="s">
        <v>14</v>
      </c>
      <c r="F29" s="644">
        <v>135.94</v>
      </c>
      <c r="G29" s="682">
        <v>5.4</v>
      </c>
      <c r="H29" s="681">
        <v>114.83</v>
      </c>
      <c r="I29" s="573">
        <f t="shared" si="3"/>
        <v>0</v>
      </c>
      <c r="J29" s="574">
        <f t="shared" si="4"/>
        <v>114.83</v>
      </c>
      <c r="K29" s="581">
        <f t="shared" si="5"/>
        <v>0</v>
      </c>
      <c r="L29" s="708">
        <f t="shared" si="7"/>
        <v>620.08000000000004</v>
      </c>
      <c r="M29" s="729">
        <f t="shared" si="7"/>
        <v>0</v>
      </c>
      <c r="N29" s="708">
        <f t="shared" si="7"/>
        <v>620.08000000000004</v>
      </c>
      <c r="O29" s="718">
        <f t="shared" si="7"/>
        <v>0</v>
      </c>
      <c r="P29" s="617">
        <f t="shared" si="0"/>
        <v>1</v>
      </c>
      <c r="Q29" s="525"/>
      <c r="BT29" s="525"/>
      <c r="BU29" s="523"/>
      <c r="BV29" s="523">
        <v>-4.0000000000000001E-3</v>
      </c>
      <c r="BW29" s="523">
        <v>0</v>
      </c>
      <c r="BX29" s="523">
        <v>0</v>
      </c>
      <c r="BY29" s="523">
        <v>22.97</v>
      </c>
      <c r="BZ29" s="523">
        <v>91.864000000000004</v>
      </c>
      <c r="CA29" s="523"/>
      <c r="CB29" s="523"/>
      <c r="CC29" s="523"/>
      <c r="CD29" s="523"/>
      <c r="CE29" s="523"/>
      <c r="CF29" s="523"/>
      <c r="CG29" s="523"/>
      <c r="CH29" s="523"/>
      <c r="CI29" s="523">
        <f t="shared" si="2"/>
        <v>114.83</v>
      </c>
    </row>
    <row r="30" spans="1:87" ht="15" x14ac:dyDescent="0.2">
      <c r="A30" s="680" t="s">
        <v>1364</v>
      </c>
      <c r="B30" s="569">
        <v>53527</v>
      </c>
      <c r="C30" s="569" t="s">
        <v>1324</v>
      </c>
      <c r="D30" s="569" t="s">
        <v>1365</v>
      </c>
      <c r="E30" s="681" t="s">
        <v>48</v>
      </c>
      <c r="F30" s="644">
        <v>5.86</v>
      </c>
      <c r="G30" s="682">
        <v>20.57</v>
      </c>
      <c r="H30" s="681">
        <v>62.89</v>
      </c>
      <c r="I30" s="573">
        <f t="shared" si="3"/>
        <v>0</v>
      </c>
      <c r="J30" s="574">
        <f t="shared" si="4"/>
        <v>62.89</v>
      </c>
      <c r="K30" s="573">
        <f t="shared" si="5"/>
        <v>0</v>
      </c>
      <c r="L30" s="708">
        <f t="shared" si="7"/>
        <v>1293.6500000000001</v>
      </c>
      <c r="M30" s="708">
        <f t="shared" si="7"/>
        <v>0</v>
      </c>
      <c r="N30" s="708">
        <f t="shared" si="7"/>
        <v>1293.6500000000001</v>
      </c>
      <c r="O30" s="718">
        <f t="shared" si="7"/>
        <v>0</v>
      </c>
      <c r="P30" s="617">
        <f t="shared" si="0"/>
        <v>1</v>
      </c>
      <c r="Q30" s="525"/>
      <c r="BT30" s="525"/>
      <c r="BU30" s="523"/>
      <c r="BV30" s="523">
        <v>0</v>
      </c>
      <c r="BW30" s="523">
        <v>0</v>
      </c>
      <c r="BX30" s="523">
        <v>62.89</v>
      </c>
      <c r="BY30" s="523"/>
      <c r="BZ30" s="523">
        <v>0</v>
      </c>
      <c r="CA30" s="523"/>
      <c r="CB30" s="523"/>
      <c r="CC30" s="523"/>
      <c r="CD30" s="523"/>
      <c r="CE30" s="523"/>
      <c r="CF30" s="523"/>
      <c r="CG30" s="523"/>
      <c r="CH30" s="523"/>
      <c r="CI30" s="523">
        <f t="shared" si="2"/>
        <v>62.89</v>
      </c>
    </row>
    <row r="31" spans="1:87" s="657" customFormat="1" ht="15" x14ac:dyDescent="0.2">
      <c r="A31" s="680" t="s">
        <v>1366</v>
      </c>
      <c r="B31" s="569">
        <v>55835</v>
      </c>
      <c r="C31" s="569" t="s">
        <v>1324</v>
      </c>
      <c r="D31" s="569" t="s">
        <v>1367</v>
      </c>
      <c r="E31" s="681" t="s">
        <v>48</v>
      </c>
      <c r="F31" s="644">
        <v>59.37</v>
      </c>
      <c r="G31" s="682">
        <v>29.27</v>
      </c>
      <c r="H31" s="681">
        <v>22.5</v>
      </c>
      <c r="I31" s="573">
        <f t="shared" si="3"/>
        <v>0</v>
      </c>
      <c r="J31" s="574">
        <f t="shared" si="4"/>
        <v>0</v>
      </c>
      <c r="K31" s="573">
        <f t="shared" si="5"/>
        <v>22.5</v>
      </c>
      <c r="L31" s="708">
        <f t="shared" si="7"/>
        <v>658.58</v>
      </c>
      <c r="M31" s="708">
        <f t="shared" si="7"/>
        <v>0</v>
      </c>
      <c r="N31" s="708">
        <f t="shared" si="7"/>
        <v>0</v>
      </c>
      <c r="O31" s="718">
        <f t="shared" si="7"/>
        <v>658.58</v>
      </c>
      <c r="P31" s="617">
        <f t="shared" si="0"/>
        <v>0</v>
      </c>
      <c r="Q31" s="525"/>
      <c r="S31" s="190"/>
      <c r="T31" s="190"/>
      <c r="BT31" s="525"/>
      <c r="BU31" s="523"/>
      <c r="BV31" s="523">
        <v>0</v>
      </c>
      <c r="BW31" s="523">
        <v>0</v>
      </c>
      <c r="BX31" s="523">
        <v>0</v>
      </c>
      <c r="BY31" s="523">
        <v>0</v>
      </c>
      <c r="BZ31" s="523">
        <v>0</v>
      </c>
      <c r="CA31" s="523"/>
      <c r="CB31" s="523"/>
      <c r="CC31" s="523"/>
      <c r="CD31" s="523"/>
      <c r="CE31" s="523"/>
      <c r="CF31" s="523"/>
      <c r="CG31" s="523"/>
      <c r="CH31" s="523"/>
      <c r="CI31" s="523">
        <f t="shared" si="2"/>
        <v>0</v>
      </c>
    </row>
    <row r="32" spans="1:87" s="657" customFormat="1" ht="15.75" x14ac:dyDescent="0.2">
      <c r="A32" s="600">
        <v>3</v>
      </c>
      <c r="B32" s="558"/>
      <c r="C32" s="558"/>
      <c r="D32" s="558" t="s">
        <v>1368</v>
      </c>
      <c r="E32" s="626"/>
      <c r="F32" s="560"/>
      <c r="G32" s="565"/>
      <c r="H32" s="565"/>
      <c r="I32" s="565"/>
      <c r="J32" s="565"/>
      <c r="K32" s="565"/>
      <c r="L32" s="709">
        <f>SUM(L33,L39)</f>
        <v>35418.720000000001</v>
      </c>
      <c r="M32" s="730">
        <f>SUM(M33,M39)</f>
        <v>0</v>
      </c>
      <c r="N32" s="709">
        <f>SUM(N33,N39)</f>
        <v>35418.720000000001</v>
      </c>
      <c r="O32" s="719">
        <f>SUM(O33,O39)</f>
        <v>0</v>
      </c>
      <c r="P32" s="604">
        <f t="shared" si="0"/>
        <v>1</v>
      </c>
      <c r="Q32" s="525"/>
      <c r="S32" s="190"/>
      <c r="T32" s="190"/>
      <c r="BT32" s="525"/>
      <c r="BU32" s="523"/>
      <c r="BV32" s="523">
        <v>0</v>
      </c>
      <c r="BW32" s="523">
        <v>0</v>
      </c>
      <c r="BX32" s="523">
        <v>679.56999999999994</v>
      </c>
      <c r="BY32" s="523">
        <v>504.28000000000003</v>
      </c>
      <c r="BZ32" s="523">
        <v>727.32</v>
      </c>
      <c r="CA32" s="523"/>
      <c r="CB32" s="523"/>
      <c r="CC32" s="523"/>
      <c r="CD32" s="523"/>
      <c r="CE32" s="523"/>
      <c r="CF32" s="523"/>
      <c r="CG32" s="523"/>
      <c r="CH32" s="523"/>
      <c r="CI32" s="523">
        <f t="shared" si="2"/>
        <v>1911.17</v>
      </c>
    </row>
    <row r="33" spans="1:87" ht="15.75" x14ac:dyDescent="0.2">
      <c r="A33" s="605" t="s">
        <v>41</v>
      </c>
      <c r="B33" s="586"/>
      <c r="C33" s="586"/>
      <c r="D33" s="586" t="s">
        <v>1369</v>
      </c>
      <c r="E33" s="683"/>
      <c r="F33" s="588"/>
      <c r="G33" s="590"/>
      <c r="H33" s="590"/>
      <c r="I33" s="590"/>
      <c r="J33" s="590"/>
      <c r="K33" s="590"/>
      <c r="L33" s="710">
        <f>SUM(L34:L38)</f>
        <v>16448.150000000001</v>
      </c>
      <c r="M33" s="731">
        <f>SUM(M34:M38)</f>
        <v>0</v>
      </c>
      <c r="N33" s="710">
        <f>SUM(N34:N38)</f>
        <v>16448.150000000001</v>
      </c>
      <c r="O33" s="720">
        <f>SUM(O34:O38)</f>
        <v>0</v>
      </c>
      <c r="P33" s="611">
        <f t="shared" si="0"/>
        <v>1</v>
      </c>
      <c r="Q33" s="525"/>
      <c r="BT33" s="525"/>
      <c r="BU33" s="523"/>
      <c r="BV33" s="523">
        <v>0</v>
      </c>
      <c r="BW33" s="523">
        <v>0</v>
      </c>
      <c r="BX33" s="523">
        <v>0</v>
      </c>
      <c r="BY33" s="523">
        <v>504.28000000000003</v>
      </c>
      <c r="BZ33" s="523">
        <v>727.32</v>
      </c>
      <c r="CA33" s="523"/>
      <c r="CB33" s="523"/>
      <c r="CC33" s="523"/>
      <c r="CD33" s="523"/>
      <c r="CE33" s="523"/>
      <c r="CF33" s="523"/>
      <c r="CG33" s="523"/>
      <c r="CH33" s="523"/>
      <c r="CI33" s="523">
        <f t="shared" si="2"/>
        <v>1231.6000000000001</v>
      </c>
    </row>
    <row r="34" spans="1:87" ht="15.75" x14ac:dyDescent="0.2">
      <c r="A34" s="684" t="s">
        <v>43</v>
      </c>
      <c r="B34" s="569">
        <v>83532</v>
      </c>
      <c r="C34" s="569" t="s">
        <v>1324</v>
      </c>
      <c r="D34" s="569" t="s">
        <v>1370</v>
      </c>
      <c r="E34" s="681" t="s">
        <v>48</v>
      </c>
      <c r="F34" s="571"/>
      <c r="G34" s="682">
        <v>19.86</v>
      </c>
      <c r="H34" s="685">
        <v>3.77</v>
      </c>
      <c r="I34" s="573">
        <f t="shared" si="3"/>
        <v>0</v>
      </c>
      <c r="J34" s="574">
        <f t="shared" si="4"/>
        <v>3.77</v>
      </c>
      <c r="K34" s="573">
        <f t="shared" ref="K34:K44" si="8">H34-J34</f>
        <v>0</v>
      </c>
      <c r="L34" s="708">
        <f t="shared" ref="L34:O38" si="9">ROUND(H34*$G34,2)</f>
        <v>74.87</v>
      </c>
      <c r="M34" s="708">
        <f t="shared" si="9"/>
        <v>0</v>
      </c>
      <c r="N34" s="708">
        <f t="shared" si="9"/>
        <v>74.87</v>
      </c>
      <c r="O34" s="718">
        <f t="shared" si="9"/>
        <v>0</v>
      </c>
      <c r="P34" s="617">
        <f t="shared" si="0"/>
        <v>1</v>
      </c>
      <c r="Q34" s="525"/>
      <c r="BT34" s="525"/>
      <c r="BU34" s="523"/>
      <c r="BV34" s="523">
        <v>0</v>
      </c>
      <c r="BW34" s="523">
        <v>0</v>
      </c>
      <c r="BX34" s="523">
        <v>0</v>
      </c>
      <c r="BY34" s="523">
        <v>3.77</v>
      </c>
      <c r="BZ34" s="523">
        <v>0</v>
      </c>
      <c r="CA34" s="523"/>
      <c r="CB34" s="523"/>
      <c r="CC34" s="523"/>
      <c r="CD34" s="523"/>
      <c r="CE34" s="523"/>
      <c r="CF34" s="523"/>
      <c r="CG34" s="523"/>
      <c r="CH34" s="523"/>
      <c r="CI34" s="523">
        <f t="shared" si="2"/>
        <v>3.77</v>
      </c>
    </row>
    <row r="35" spans="1:87" ht="15.75" x14ac:dyDescent="0.2">
      <c r="A35" s="684" t="s">
        <v>45</v>
      </c>
      <c r="B35" s="569">
        <v>5970</v>
      </c>
      <c r="C35" s="569" t="s">
        <v>1324</v>
      </c>
      <c r="D35" s="569" t="s">
        <v>1371</v>
      </c>
      <c r="E35" s="681" t="s">
        <v>14</v>
      </c>
      <c r="F35" s="644">
        <v>60.66</v>
      </c>
      <c r="G35" s="682">
        <v>93.42</v>
      </c>
      <c r="H35" s="685">
        <v>63.02</v>
      </c>
      <c r="I35" s="573">
        <f t="shared" si="3"/>
        <v>0</v>
      </c>
      <c r="J35" s="574">
        <f t="shared" si="4"/>
        <v>63.019999999999996</v>
      </c>
      <c r="K35" s="581">
        <f t="shared" si="8"/>
        <v>0</v>
      </c>
      <c r="L35" s="708">
        <f t="shared" si="9"/>
        <v>5887.33</v>
      </c>
      <c r="M35" s="732">
        <f t="shared" si="9"/>
        <v>0</v>
      </c>
      <c r="N35" s="708">
        <f t="shared" si="9"/>
        <v>5887.33</v>
      </c>
      <c r="O35" s="718">
        <f t="shared" si="9"/>
        <v>0</v>
      </c>
      <c r="P35" s="617">
        <f t="shared" si="0"/>
        <v>1</v>
      </c>
      <c r="Q35" s="525"/>
      <c r="BT35" s="525"/>
      <c r="BU35" s="523"/>
      <c r="BV35" s="523">
        <v>-2E-3</v>
      </c>
      <c r="BW35" s="523">
        <v>0</v>
      </c>
      <c r="BX35" s="523">
        <v>0</v>
      </c>
      <c r="BY35" s="523">
        <v>25.21</v>
      </c>
      <c r="BZ35" s="523">
        <v>37.811999999999998</v>
      </c>
      <c r="CA35" s="523"/>
      <c r="CB35" s="523"/>
      <c r="CC35" s="523"/>
      <c r="CD35" s="523"/>
      <c r="CE35" s="523"/>
      <c r="CF35" s="523"/>
      <c r="CG35" s="523"/>
      <c r="CH35" s="523"/>
      <c r="CI35" s="523">
        <f t="shared" si="2"/>
        <v>63.019999999999996</v>
      </c>
    </row>
    <row r="36" spans="1:87" ht="15.75" x14ac:dyDescent="0.2">
      <c r="A36" s="684" t="s">
        <v>47</v>
      </c>
      <c r="B36" s="569">
        <v>92793</v>
      </c>
      <c r="C36" s="569" t="s">
        <v>1324</v>
      </c>
      <c r="D36" s="569" t="s">
        <v>1372</v>
      </c>
      <c r="E36" s="681" t="s">
        <v>35</v>
      </c>
      <c r="F36" s="644">
        <v>5.86</v>
      </c>
      <c r="G36" s="682">
        <v>4.6500000000000004</v>
      </c>
      <c r="H36" s="685">
        <v>1094.27</v>
      </c>
      <c r="I36" s="573">
        <f t="shared" si="3"/>
        <v>0</v>
      </c>
      <c r="J36" s="574">
        <f t="shared" si="4"/>
        <v>1094.27</v>
      </c>
      <c r="K36" s="581">
        <f t="shared" si="8"/>
        <v>0</v>
      </c>
      <c r="L36" s="708">
        <f t="shared" si="9"/>
        <v>5088.3599999999997</v>
      </c>
      <c r="M36" s="729">
        <f t="shared" si="9"/>
        <v>0</v>
      </c>
      <c r="N36" s="708">
        <f t="shared" si="9"/>
        <v>5088.3599999999997</v>
      </c>
      <c r="O36" s="718">
        <f t="shared" si="9"/>
        <v>0</v>
      </c>
      <c r="P36" s="617">
        <f t="shared" si="0"/>
        <v>1</v>
      </c>
      <c r="Q36" s="525"/>
      <c r="BT36" s="525"/>
      <c r="BU36" s="523"/>
      <c r="BV36" s="523">
        <v>-2E-3</v>
      </c>
      <c r="BW36" s="523">
        <v>0</v>
      </c>
      <c r="BX36" s="523">
        <v>0</v>
      </c>
      <c r="BY36" s="532">
        <v>437.71000000000004</v>
      </c>
      <c r="BZ36" s="532">
        <v>656.56200000000001</v>
      </c>
      <c r="CA36" s="523"/>
      <c r="CB36" s="523"/>
      <c r="CC36" s="523"/>
      <c r="CD36" s="523"/>
      <c r="CE36" s="523"/>
      <c r="CF36" s="523"/>
      <c r="CG36" s="523"/>
      <c r="CH36" s="523"/>
      <c r="CI36" s="523">
        <f t="shared" si="2"/>
        <v>1094.27</v>
      </c>
    </row>
    <row r="37" spans="1:87" ht="15.75" x14ac:dyDescent="0.2">
      <c r="A37" s="684" t="s">
        <v>49</v>
      </c>
      <c r="B37" s="569">
        <v>92791</v>
      </c>
      <c r="C37" s="569" t="s">
        <v>1324</v>
      </c>
      <c r="D37" s="569" t="s">
        <v>1373</v>
      </c>
      <c r="E37" s="681" t="s">
        <v>35</v>
      </c>
      <c r="F37" s="644">
        <v>302.64</v>
      </c>
      <c r="G37" s="682">
        <v>6.11</v>
      </c>
      <c r="H37" s="685">
        <v>54.91</v>
      </c>
      <c r="I37" s="573">
        <f t="shared" si="3"/>
        <v>0</v>
      </c>
      <c r="J37" s="574">
        <f t="shared" si="4"/>
        <v>54.91</v>
      </c>
      <c r="K37" s="596">
        <f t="shared" si="8"/>
        <v>0</v>
      </c>
      <c r="L37" s="708">
        <f t="shared" si="9"/>
        <v>335.5</v>
      </c>
      <c r="M37" s="729">
        <f t="shared" si="9"/>
        <v>0</v>
      </c>
      <c r="N37" s="708">
        <f t="shared" si="9"/>
        <v>335.5</v>
      </c>
      <c r="O37" s="718">
        <f t="shared" si="9"/>
        <v>0</v>
      </c>
      <c r="P37" s="617">
        <f t="shared" si="0"/>
        <v>1</v>
      </c>
      <c r="Q37" s="525"/>
      <c r="BT37" s="525"/>
      <c r="BU37" s="523"/>
      <c r="BV37" s="523">
        <v>4.0000000000000001E-3</v>
      </c>
      <c r="BW37" s="523">
        <v>0</v>
      </c>
      <c r="BX37" s="523">
        <v>0</v>
      </c>
      <c r="BY37" s="532">
        <v>21.959999999999994</v>
      </c>
      <c r="BZ37" s="532">
        <v>32.945999999999998</v>
      </c>
      <c r="CA37" s="523"/>
      <c r="CB37" s="523"/>
      <c r="CC37" s="523"/>
      <c r="CD37" s="523"/>
      <c r="CE37" s="523"/>
      <c r="CF37" s="523"/>
      <c r="CG37" s="523"/>
      <c r="CH37" s="523"/>
      <c r="CI37" s="523">
        <f t="shared" si="2"/>
        <v>54.91</v>
      </c>
    </row>
    <row r="38" spans="1:87" s="657" customFormat="1" ht="15.75" x14ac:dyDescent="0.2">
      <c r="A38" s="684" t="s">
        <v>1374</v>
      </c>
      <c r="B38" s="569">
        <v>92720</v>
      </c>
      <c r="C38" s="569" t="s">
        <v>1324</v>
      </c>
      <c r="D38" s="569" t="s">
        <v>1375</v>
      </c>
      <c r="E38" s="681" t="s">
        <v>48</v>
      </c>
      <c r="F38" s="644">
        <v>135.94</v>
      </c>
      <c r="G38" s="682">
        <v>323.87</v>
      </c>
      <c r="H38" s="685">
        <v>15.63</v>
      </c>
      <c r="I38" s="573">
        <f t="shared" si="3"/>
        <v>0</v>
      </c>
      <c r="J38" s="574">
        <f t="shared" si="4"/>
        <v>15.63</v>
      </c>
      <c r="K38" s="573">
        <f t="shared" si="8"/>
        <v>0</v>
      </c>
      <c r="L38" s="708">
        <f t="shared" si="9"/>
        <v>5062.09</v>
      </c>
      <c r="M38" s="708">
        <f t="shared" si="9"/>
        <v>0</v>
      </c>
      <c r="N38" s="708">
        <f t="shared" si="9"/>
        <v>5062.09</v>
      </c>
      <c r="O38" s="718">
        <f t="shared" si="9"/>
        <v>0</v>
      </c>
      <c r="P38" s="617">
        <f t="shared" si="0"/>
        <v>1</v>
      </c>
      <c r="Q38" s="525"/>
      <c r="S38" s="190"/>
      <c r="T38" s="190"/>
      <c r="BT38" s="525"/>
      <c r="BU38" s="523"/>
      <c r="BV38" s="523">
        <v>0</v>
      </c>
      <c r="BW38" s="523">
        <v>0</v>
      </c>
      <c r="BX38" s="523">
        <v>0</v>
      </c>
      <c r="BY38" s="523">
        <v>15.63</v>
      </c>
      <c r="BZ38" s="523">
        <v>0</v>
      </c>
      <c r="CA38" s="523"/>
      <c r="CB38" s="523"/>
      <c r="CC38" s="523"/>
      <c r="CD38" s="523"/>
      <c r="CE38" s="523"/>
      <c r="CF38" s="523"/>
      <c r="CG38" s="523"/>
      <c r="CH38" s="523"/>
      <c r="CI38" s="523">
        <f t="shared" si="2"/>
        <v>15.63</v>
      </c>
    </row>
    <row r="39" spans="1:87" ht="15.75" x14ac:dyDescent="0.2">
      <c r="A39" s="605" t="s">
        <v>50</v>
      </c>
      <c r="B39" s="586"/>
      <c r="C39" s="586"/>
      <c r="D39" s="586" t="s">
        <v>1376</v>
      </c>
      <c r="E39" s="683"/>
      <c r="F39" s="588"/>
      <c r="G39" s="590"/>
      <c r="H39" s="686"/>
      <c r="I39" s="598">
        <f t="shared" si="3"/>
        <v>0</v>
      </c>
      <c r="J39" s="599"/>
      <c r="K39" s="598">
        <v>0</v>
      </c>
      <c r="L39" s="710">
        <f>SUM(L40:L44)</f>
        <v>18970.57</v>
      </c>
      <c r="M39" s="710">
        <f>SUM(M40:M44)</f>
        <v>0</v>
      </c>
      <c r="N39" s="710">
        <f>SUM(N40:N44)</f>
        <v>18970.57</v>
      </c>
      <c r="O39" s="720">
        <f>SUM(O40:O44)</f>
        <v>0</v>
      </c>
      <c r="P39" s="611">
        <f t="shared" si="0"/>
        <v>1</v>
      </c>
      <c r="Q39" s="525"/>
      <c r="BT39" s="525"/>
      <c r="BU39" s="523"/>
      <c r="BV39" s="523">
        <v>0</v>
      </c>
      <c r="BW39" s="523">
        <v>0</v>
      </c>
      <c r="BX39" s="523">
        <v>679.56999999999994</v>
      </c>
      <c r="BY39" s="523">
        <v>0</v>
      </c>
      <c r="BZ39" s="523">
        <v>0</v>
      </c>
      <c r="CA39" s="523"/>
      <c r="CB39" s="523"/>
      <c r="CC39" s="523"/>
      <c r="CD39" s="523"/>
      <c r="CE39" s="523"/>
      <c r="CF39" s="523"/>
      <c r="CG39" s="523"/>
      <c r="CH39" s="523"/>
      <c r="CI39" s="523">
        <f t="shared" si="2"/>
        <v>679.56999999999994</v>
      </c>
    </row>
    <row r="40" spans="1:87" ht="15" x14ac:dyDescent="0.2">
      <c r="A40" s="680" t="s">
        <v>52</v>
      </c>
      <c r="B40" s="569">
        <v>83532</v>
      </c>
      <c r="C40" s="569" t="s">
        <v>1324</v>
      </c>
      <c r="D40" s="569" t="s">
        <v>1370</v>
      </c>
      <c r="E40" s="681" t="s">
        <v>48</v>
      </c>
      <c r="F40" s="644">
        <v>60.66</v>
      </c>
      <c r="G40" s="682">
        <v>19.86</v>
      </c>
      <c r="H40" s="685">
        <v>2.58</v>
      </c>
      <c r="I40" s="573">
        <f t="shared" si="3"/>
        <v>0</v>
      </c>
      <c r="J40" s="574">
        <f t="shared" si="4"/>
        <v>2.58</v>
      </c>
      <c r="K40" s="573">
        <f t="shared" si="8"/>
        <v>0</v>
      </c>
      <c r="L40" s="708">
        <f t="shared" ref="L40:O44" si="10">ROUND(H40*$G40,2)</f>
        <v>51.24</v>
      </c>
      <c r="M40" s="708">
        <f t="shared" si="10"/>
        <v>0</v>
      </c>
      <c r="N40" s="708">
        <f t="shared" si="10"/>
        <v>51.24</v>
      </c>
      <c r="O40" s="718">
        <f t="shared" si="10"/>
        <v>0</v>
      </c>
      <c r="P40" s="617">
        <f t="shared" si="0"/>
        <v>1</v>
      </c>
      <c r="Q40" s="525"/>
      <c r="BT40" s="525"/>
      <c r="BU40" s="523"/>
      <c r="BV40" s="523">
        <v>0</v>
      </c>
      <c r="BW40" s="523">
        <v>0</v>
      </c>
      <c r="BX40" s="523">
        <v>2.58</v>
      </c>
      <c r="BY40" s="523">
        <v>0</v>
      </c>
      <c r="BZ40" s="523">
        <v>0</v>
      </c>
      <c r="CA40" s="523"/>
      <c r="CB40" s="523"/>
      <c r="CC40" s="523"/>
      <c r="CD40" s="523"/>
      <c r="CE40" s="523"/>
      <c r="CF40" s="523"/>
      <c r="CG40" s="523"/>
      <c r="CH40" s="523"/>
      <c r="CI40" s="523">
        <f t="shared" si="2"/>
        <v>2.58</v>
      </c>
    </row>
    <row r="41" spans="1:87" ht="15" x14ac:dyDescent="0.2">
      <c r="A41" s="680" t="s">
        <v>53</v>
      </c>
      <c r="B41" s="569">
        <v>5970</v>
      </c>
      <c r="C41" s="569" t="s">
        <v>1324</v>
      </c>
      <c r="D41" s="569" t="s">
        <v>1371</v>
      </c>
      <c r="E41" s="681" t="s">
        <v>14</v>
      </c>
      <c r="F41" s="644">
        <v>5.86</v>
      </c>
      <c r="G41" s="682">
        <v>93.42</v>
      </c>
      <c r="H41" s="685">
        <v>139.57</v>
      </c>
      <c r="I41" s="573">
        <f t="shared" si="3"/>
        <v>0</v>
      </c>
      <c r="J41" s="574">
        <f t="shared" si="4"/>
        <v>139.57</v>
      </c>
      <c r="K41" s="573">
        <f t="shared" si="8"/>
        <v>0</v>
      </c>
      <c r="L41" s="708">
        <f t="shared" si="10"/>
        <v>13038.63</v>
      </c>
      <c r="M41" s="708">
        <f t="shared" si="10"/>
        <v>0</v>
      </c>
      <c r="N41" s="708">
        <f t="shared" si="10"/>
        <v>13038.63</v>
      </c>
      <c r="O41" s="718">
        <f t="shared" si="10"/>
        <v>0</v>
      </c>
      <c r="P41" s="617">
        <f t="shared" si="0"/>
        <v>1</v>
      </c>
      <c r="Q41" s="525"/>
      <c r="BT41" s="525"/>
      <c r="BU41" s="523"/>
      <c r="BV41" s="523">
        <v>0</v>
      </c>
      <c r="BW41" s="523">
        <v>0</v>
      </c>
      <c r="BX41" s="523">
        <v>139.57</v>
      </c>
      <c r="BY41" s="523">
        <v>0</v>
      </c>
      <c r="BZ41" s="523">
        <v>0</v>
      </c>
      <c r="CA41" s="523"/>
      <c r="CB41" s="523"/>
      <c r="CC41" s="523"/>
      <c r="CD41" s="523"/>
      <c r="CE41" s="523"/>
      <c r="CF41" s="523"/>
      <c r="CG41" s="523"/>
      <c r="CH41" s="523"/>
      <c r="CI41" s="523">
        <f t="shared" si="2"/>
        <v>139.57</v>
      </c>
    </row>
    <row r="42" spans="1:87" ht="15" x14ac:dyDescent="0.2">
      <c r="A42" s="680" t="s">
        <v>54</v>
      </c>
      <c r="B42" s="569">
        <v>92793</v>
      </c>
      <c r="C42" s="569" t="s">
        <v>1324</v>
      </c>
      <c r="D42" s="569" t="s">
        <v>1372</v>
      </c>
      <c r="E42" s="681" t="s">
        <v>35</v>
      </c>
      <c r="F42" s="644">
        <v>302.64</v>
      </c>
      <c r="G42" s="682">
        <v>4.6500000000000004</v>
      </c>
      <c r="H42" s="685">
        <v>389.64</v>
      </c>
      <c r="I42" s="573">
        <f t="shared" si="3"/>
        <v>0</v>
      </c>
      <c r="J42" s="574">
        <f t="shared" si="4"/>
        <v>389.64</v>
      </c>
      <c r="K42" s="573">
        <f t="shared" si="8"/>
        <v>0</v>
      </c>
      <c r="L42" s="708">
        <f t="shared" si="10"/>
        <v>1811.83</v>
      </c>
      <c r="M42" s="708">
        <f t="shared" si="10"/>
        <v>0</v>
      </c>
      <c r="N42" s="708">
        <f t="shared" si="10"/>
        <v>1811.83</v>
      </c>
      <c r="O42" s="718">
        <f t="shared" si="10"/>
        <v>0</v>
      </c>
      <c r="P42" s="617">
        <f t="shared" si="0"/>
        <v>1</v>
      </c>
      <c r="Q42" s="525"/>
      <c r="S42" s="189">
        <v>0</v>
      </c>
      <c r="T42" s="189">
        <v>137.72999999999999</v>
      </c>
      <c r="BT42" s="525"/>
      <c r="BU42" s="523"/>
      <c r="BV42" s="523">
        <v>0</v>
      </c>
      <c r="BW42" s="523">
        <v>0</v>
      </c>
      <c r="BX42" s="523">
        <v>389.64</v>
      </c>
      <c r="BY42" s="523">
        <v>0</v>
      </c>
      <c r="BZ42" s="523">
        <v>0</v>
      </c>
      <c r="CA42" s="523"/>
      <c r="CB42" s="523"/>
      <c r="CC42" s="523"/>
      <c r="CD42" s="523"/>
      <c r="CE42" s="523"/>
      <c r="CF42" s="523"/>
      <c r="CG42" s="523"/>
      <c r="CH42" s="523"/>
      <c r="CI42" s="523">
        <f t="shared" si="2"/>
        <v>389.64</v>
      </c>
    </row>
    <row r="43" spans="1:87" ht="15" x14ac:dyDescent="0.2">
      <c r="A43" s="680" t="s">
        <v>55</v>
      </c>
      <c r="B43" s="569">
        <v>92791</v>
      </c>
      <c r="C43" s="569" t="s">
        <v>1324</v>
      </c>
      <c r="D43" s="569" t="s">
        <v>1373</v>
      </c>
      <c r="E43" s="681" t="s">
        <v>35</v>
      </c>
      <c r="F43" s="644">
        <v>135.94</v>
      </c>
      <c r="G43" s="682">
        <v>5.91</v>
      </c>
      <c r="H43" s="685">
        <v>137.72999999999999</v>
      </c>
      <c r="I43" s="573">
        <f t="shared" si="3"/>
        <v>0</v>
      </c>
      <c r="J43" s="574">
        <f t="shared" si="4"/>
        <v>137.72999999999999</v>
      </c>
      <c r="K43" s="573">
        <f t="shared" si="8"/>
        <v>0</v>
      </c>
      <c r="L43" s="708">
        <f t="shared" si="10"/>
        <v>813.98</v>
      </c>
      <c r="M43" s="708">
        <f t="shared" si="10"/>
        <v>0</v>
      </c>
      <c r="N43" s="708">
        <f t="shared" si="10"/>
        <v>813.98</v>
      </c>
      <c r="O43" s="718">
        <f t="shared" si="10"/>
        <v>0</v>
      </c>
      <c r="P43" s="617">
        <f t="shared" si="0"/>
        <v>1</v>
      </c>
      <c r="Q43" s="525"/>
      <c r="S43" s="189">
        <v>0</v>
      </c>
      <c r="T43" s="189">
        <v>10.050000000000001</v>
      </c>
      <c r="BT43" s="525"/>
      <c r="BU43" s="523"/>
      <c r="BV43" s="523">
        <v>0</v>
      </c>
      <c r="BW43" s="523">
        <v>0</v>
      </c>
      <c r="BX43" s="523">
        <v>137.72999999999999</v>
      </c>
      <c r="BY43" s="523">
        <v>0</v>
      </c>
      <c r="BZ43" s="523">
        <v>0</v>
      </c>
      <c r="CA43" s="523"/>
      <c r="CB43" s="523"/>
      <c r="CC43" s="523"/>
      <c r="CD43" s="523"/>
      <c r="CE43" s="523"/>
      <c r="CF43" s="523"/>
      <c r="CG43" s="523"/>
      <c r="CH43" s="523"/>
      <c r="CI43" s="523">
        <f t="shared" si="2"/>
        <v>137.72999999999999</v>
      </c>
    </row>
    <row r="44" spans="1:87" s="656" customFormat="1" ht="15" x14ac:dyDescent="0.2">
      <c r="A44" s="680" t="s">
        <v>1377</v>
      </c>
      <c r="B44" s="569">
        <v>92720</v>
      </c>
      <c r="C44" s="569" t="s">
        <v>1324</v>
      </c>
      <c r="D44" s="569" t="s">
        <v>1375</v>
      </c>
      <c r="E44" s="681" t="s">
        <v>48</v>
      </c>
      <c r="F44" s="571"/>
      <c r="G44" s="682">
        <v>323.87</v>
      </c>
      <c r="H44" s="685">
        <v>10.050000000000001</v>
      </c>
      <c r="I44" s="573">
        <f t="shared" si="3"/>
        <v>0</v>
      </c>
      <c r="J44" s="574">
        <f t="shared" si="4"/>
        <v>10.050000000000001</v>
      </c>
      <c r="K44" s="573">
        <f t="shared" si="8"/>
        <v>0</v>
      </c>
      <c r="L44" s="708">
        <f t="shared" si="10"/>
        <v>3254.89</v>
      </c>
      <c r="M44" s="708">
        <f t="shared" si="10"/>
        <v>0</v>
      </c>
      <c r="N44" s="708">
        <f t="shared" si="10"/>
        <v>3254.89</v>
      </c>
      <c r="O44" s="718">
        <f t="shared" si="10"/>
        <v>0</v>
      </c>
      <c r="P44" s="617">
        <f t="shared" si="0"/>
        <v>1</v>
      </c>
      <c r="Q44" s="525"/>
      <c r="S44" s="191">
        <v>0</v>
      </c>
      <c r="T44" s="191">
        <v>0</v>
      </c>
      <c r="BT44" s="525"/>
      <c r="BU44" s="523"/>
      <c r="BV44" s="523">
        <v>0</v>
      </c>
      <c r="BW44" s="523">
        <v>0</v>
      </c>
      <c r="BX44" s="523">
        <v>10.050000000000001</v>
      </c>
      <c r="BY44" s="523">
        <v>0</v>
      </c>
      <c r="BZ44" s="523">
        <v>0</v>
      </c>
      <c r="CA44" s="523"/>
      <c r="CB44" s="523"/>
      <c r="CC44" s="523"/>
      <c r="CD44" s="523"/>
      <c r="CE44" s="523"/>
      <c r="CF44" s="523"/>
      <c r="CG44" s="523"/>
      <c r="CH44" s="523"/>
      <c r="CI44" s="523">
        <f t="shared" si="2"/>
        <v>10.050000000000001</v>
      </c>
    </row>
    <row r="45" spans="1:87" s="656" customFormat="1" ht="15.75" x14ac:dyDescent="0.2">
      <c r="A45" s="600">
        <v>4</v>
      </c>
      <c r="B45" s="601"/>
      <c r="C45" s="601"/>
      <c r="D45" s="602" t="s">
        <v>1378</v>
      </c>
      <c r="E45" s="626"/>
      <c r="F45" s="560"/>
      <c r="G45" s="565"/>
      <c r="H45" s="641"/>
      <c r="I45" s="563">
        <f t="shared" si="3"/>
        <v>0</v>
      </c>
      <c r="J45" s="564"/>
      <c r="K45" s="563"/>
      <c r="L45" s="628">
        <f>SUM(L46,L51,L57,L62,L67)</f>
        <v>88897.260000000009</v>
      </c>
      <c r="M45" s="628">
        <f>SUM(M46,M51,M57,M62,M67)</f>
        <v>4497.6500000000005</v>
      </c>
      <c r="N45" s="628">
        <f>SUM(N46,N51,N57,N62,N67)</f>
        <v>51637.66</v>
      </c>
      <c r="O45" s="721">
        <f>SUM(O46,O51,O57,O62,O67)</f>
        <v>37259.599999999999</v>
      </c>
      <c r="P45" s="604">
        <f t="shared" si="0"/>
        <v>0.5808689716645935</v>
      </c>
      <c r="Q45" s="525"/>
      <c r="S45" s="191">
        <v>0</v>
      </c>
      <c r="T45" s="191">
        <v>0</v>
      </c>
      <c r="BT45" s="525"/>
      <c r="BU45" s="523"/>
      <c r="BV45" s="523">
        <v>0</v>
      </c>
      <c r="BW45" s="523">
        <v>354.95380799999998</v>
      </c>
      <c r="BX45" s="523"/>
      <c r="BY45" s="523"/>
      <c r="BZ45" s="523"/>
      <c r="CA45" s="523"/>
      <c r="CB45" s="523"/>
      <c r="CC45" s="523"/>
      <c r="CD45" s="523"/>
      <c r="CE45" s="523"/>
      <c r="CF45" s="523"/>
      <c r="CG45" s="523"/>
      <c r="CH45" s="523"/>
      <c r="CI45" s="523">
        <f t="shared" si="2"/>
        <v>354.95380799999998</v>
      </c>
    </row>
    <row r="46" spans="1:87" s="110" customFormat="1" ht="15.75" x14ac:dyDescent="0.2">
      <c r="A46" s="605" t="s">
        <v>74</v>
      </c>
      <c r="B46" s="606"/>
      <c r="C46" s="606"/>
      <c r="D46" s="607" t="s">
        <v>1379</v>
      </c>
      <c r="E46" s="608"/>
      <c r="F46" s="683">
        <f>SUM(F47:F50)</f>
        <v>499.24</v>
      </c>
      <c r="G46" s="609"/>
      <c r="H46" s="608"/>
      <c r="I46" s="599">
        <f t="shared" si="3"/>
        <v>0</v>
      </c>
      <c r="J46" s="599"/>
      <c r="K46" s="599">
        <v>0</v>
      </c>
      <c r="L46" s="710">
        <f>SUM(L47:L50)</f>
        <v>17368.48</v>
      </c>
      <c r="M46" s="710">
        <f>SUM(M47:M50)</f>
        <v>688.41000000000008</v>
      </c>
      <c r="N46" s="710">
        <f>SUM(N47:N50)</f>
        <v>17368.48</v>
      </c>
      <c r="O46" s="720">
        <f>SUM(O47:O50)</f>
        <v>0</v>
      </c>
      <c r="P46" s="611">
        <f t="shared" si="0"/>
        <v>1</v>
      </c>
      <c r="Q46" s="525"/>
      <c r="S46" s="192">
        <v>22.81</v>
      </c>
      <c r="T46" s="192">
        <v>126.72</v>
      </c>
      <c r="BT46" s="525"/>
      <c r="BU46" s="523"/>
      <c r="BV46" s="523">
        <v>0</v>
      </c>
      <c r="BW46" s="523">
        <v>132.10999999999999</v>
      </c>
      <c r="BX46" s="523"/>
      <c r="BY46" s="523"/>
      <c r="BZ46" s="523"/>
      <c r="CA46" s="523"/>
      <c r="CB46" s="523"/>
      <c r="CC46" s="523"/>
      <c r="CD46" s="523"/>
      <c r="CE46" s="523"/>
      <c r="CF46" s="523"/>
      <c r="CG46" s="523"/>
      <c r="CH46" s="523"/>
      <c r="CI46" s="523">
        <f t="shared" si="2"/>
        <v>132.10999999999999</v>
      </c>
    </row>
    <row r="47" spans="1:87" s="110" customFormat="1" ht="15" x14ac:dyDescent="0.2">
      <c r="A47" s="612" t="s">
        <v>76</v>
      </c>
      <c r="B47" s="613">
        <v>92448</v>
      </c>
      <c r="C47" s="613" t="s">
        <v>1324</v>
      </c>
      <c r="D47" s="614" t="s">
        <v>1380</v>
      </c>
      <c r="E47" s="615" t="s">
        <v>14</v>
      </c>
      <c r="F47" s="644">
        <v>302.64</v>
      </c>
      <c r="G47" s="616">
        <v>93.42</v>
      </c>
      <c r="H47" s="615">
        <v>126.72</v>
      </c>
      <c r="I47" s="573">
        <f t="shared" si="3"/>
        <v>0</v>
      </c>
      <c r="J47" s="574">
        <f t="shared" si="4"/>
        <v>126.72</v>
      </c>
      <c r="K47" s="573">
        <f t="shared" ref="K47:K68" si="11">H47-J47</f>
        <v>0</v>
      </c>
      <c r="L47" s="708">
        <f t="shared" ref="L47:O50" si="12">ROUND(H47*$G47,2)</f>
        <v>11838.18</v>
      </c>
      <c r="M47" s="708">
        <f t="shared" si="12"/>
        <v>0</v>
      </c>
      <c r="N47" s="708">
        <f t="shared" si="12"/>
        <v>11838.18</v>
      </c>
      <c r="O47" s="718">
        <f t="shared" si="12"/>
        <v>0</v>
      </c>
      <c r="P47" s="617">
        <f t="shared" si="0"/>
        <v>1</v>
      </c>
      <c r="Q47" s="525"/>
      <c r="S47" s="192">
        <v>78.55</v>
      </c>
      <c r="T47" s="192">
        <v>428.55</v>
      </c>
      <c r="BT47" s="525"/>
      <c r="BU47" s="523"/>
      <c r="BV47" s="523">
        <f>126.72-103.9102</f>
        <v>22.809799999999996</v>
      </c>
      <c r="BW47" s="523">
        <v>103.9102</v>
      </c>
      <c r="BX47" s="523">
        <v>0</v>
      </c>
      <c r="BY47" s="523">
        <v>0</v>
      </c>
      <c r="BZ47" s="523"/>
      <c r="CA47" s="523"/>
      <c r="CB47" s="523"/>
      <c r="CC47" s="523"/>
      <c r="CD47" s="523"/>
      <c r="CE47" s="523"/>
      <c r="CF47" s="523"/>
      <c r="CG47" s="523"/>
      <c r="CH47" s="523"/>
      <c r="CI47" s="523">
        <f t="shared" si="2"/>
        <v>126.72</v>
      </c>
    </row>
    <row r="48" spans="1:87" s="110" customFormat="1" ht="15" x14ac:dyDescent="0.2">
      <c r="A48" s="612" t="s">
        <v>79</v>
      </c>
      <c r="B48" s="613">
        <v>92793</v>
      </c>
      <c r="C48" s="613" t="s">
        <v>1324</v>
      </c>
      <c r="D48" s="614" t="s">
        <v>1372</v>
      </c>
      <c r="E48" s="615" t="s">
        <v>35</v>
      </c>
      <c r="F48" s="644">
        <v>135.94</v>
      </c>
      <c r="G48" s="616">
        <v>4.6500000000000004</v>
      </c>
      <c r="H48" s="615">
        <v>428.55</v>
      </c>
      <c r="I48" s="573">
        <f t="shared" si="3"/>
        <v>21.35</v>
      </c>
      <c r="J48" s="574">
        <f t="shared" si="4"/>
        <v>428.55</v>
      </c>
      <c r="K48" s="573">
        <f t="shared" si="11"/>
        <v>0</v>
      </c>
      <c r="L48" s="708">
        <f t="shared" si="12"/>
        <v>1992.76</v>
      </c>
      <c r="M48" s="708">
        <f t="shared" si="12"/>
        <v>99.28</v>
      </c>
      <c r="N48" s="708">
        <f t="shared" si="12"/>
        <v>1992.76</v>
      </c>
      <c r="O48" s="718">
        <f t="shared" si="12"/>
        <v>0</v>
      </c>
      <c r="P48" s="617">
        <f t="shared" si="0"/>
        <v>1</v>
      </c>
      <c r="Q48" s="525"/>
      <c r="S48" s="192">
        <v>23.16</v>
      </c>
      <c r="T48" s="192">
        <v>127.36</v>
      </c>
      <c r="BT48" s="525"/>
      <c r="BU48" s="523">
        <v>21.35</v>
      </c>
      <c r="BV48" s="523">
        <v>57.2</v>
      </c>
      <c r="BW48" s="523">
        <v>0</v>
      </c>
      <c r="BX48" s="523">
        <v>350</v>
      </c>
      <c r="BY48" s="523">
        <v>0</v>
      </c>
      <c r="BZ48" s="523"/>
      <c r="CA48" s="523"/>
      <c r="CB48" s="523"/>
      <c r="CC48" s="523"/>
      <c r="CD48" s="523"/>
      <c r="CE48" s="523"/>
      <c r="CF48" s="523"/>
      <c r="CG48" s="523"/>
      <c r="CH48" s="523"/>
      <c r="CI48" s="523">
        <f t="shared" si="2"/>
        <v>428.55</v>
      </c>
    </row>
    <row r="49" spans="1:87" s="110" customFormat="1" ht="15" x14ac:dyDescent="0.2">
      <c r="A49" s="612" t="s">
        <v>83</v>
      </c>
      <c r="B49" s="613">
        <v>92791</v>
      </c>
      <c r="C49" s="613" t="s">
        <v>1324</v>
      </c>
      <c r="D49" s="614" t="s">
        <v>1373</v>
      </c>
      <c r="E49" s="615" t="s">
        <v>35</v>
      </c>
      <c r="F49" s="571"/>
      <c r="G49" s="616">
        <v>6.11</v>
      </c>
      <c r="H49" s="615">
        <v>127.36</v>
      </c>
      <c r="I49" s="573">
        <f t="shared" si="3"/>
        <v>6.31</v>
      </c>
      <c r="J49" s="574">
        <f t="shared" si="4"/>
        <v>127.36</v>
      </c>
      <c r="K49" s="573">
        <f t="shared" si="11"/>
        <v>0</v>
      </c>
      <c r="L49" s="708">
        <f t="shared" si="12"/>
        <v>778.17</v>
      </c>
      <c r="M49" s="708">
        <f t="shared" si="12"/>
        <v>38.549999999999997</v>
      </c>
      <c r="N49" s="708">
        <f t="shared" si="12"/>
        <v>778.17</v>
      </c>
      <c r="O49" s="718">
        <f t="shared" si="12"/>
        <v>0</v>
      </c>
      <c r="P49" s="617">
        <f t="shared" si="0"/>
        <v>1</v>
      </c>
      <c r="Q49" s="525"/>
      <c r="S49" s="192">
        <v>4.5199999999999996</v>
      </c>
      <c r="T49" s="192">
        <v>8.52</v>
      </c>
      <c r="BT49" s="525"/>
      <c r="BU49" s="523">
        <v>6.31</v>
      </c>
      <c r="BV49" s="523">
        <v>16.850000000000001</v>
      </c>
      <c r="BW49" s="523">
        <v>24.2</v>
      </c>
      <c r="BX49" s="523">
        <v>80</v>
      </c>
      <c r="BY49" s="523">
        <v>0</v>
      </c>
      <c r="BZ49" s="523"/>
      <c r="CA49" s="523"/>
      <c r="CB49" s="523"/>
      <c r="CC49" s="523"/>
      <c r="CD49" s="523"/>
      <c r="CE49" s="523"/>
      <c r="CF49" s="523"/>
      <c r="CG49" s="523"/>
      <c r="CH49" s="523"/>
      <c r="CI49" s="523">
        <f t="shared" si="2"/>
        <v>127.36</v>
      </c>
    </row>
    <row r="50" spans="1:87" s="656" customFormat="1" ht="15" x14ac:dyDescent="0.2">
      <c r="A50" s="612" t="s">
        <v>86</v>
      </c>
      <c r="B50" s="613">
        <v>92720</v>
      </c>
      <c r="C50" s="613" t="s">
        <v>1324</v>
      </c>
      <c r="D50" s="614" t="s">
        <v>1375</v>
      </c>
      <c r="E50" s="615" t="s">
        <v>48</v>
      </c>
      <c r="F50" s="644">
        <v>60.66</v>
      </c>
      <c r="G50" s="616">
        <v>323.87</v>
      </c>
      <c r="H50" s="615">
        <v>8.52</v>
      </c>
      <c r="I50" s="573">
        <f t="shared" si="3"/>
        <v>1.7</v>
      </c>
      <c r="J50" s="574">
        <f t="shared" si="4"/>
        <v>8.52</v>
      </c>
      <c r="K50" s="573">
        <f t="shared" si="11"/>
        <v>0</v>
      </c>
      <c r="L50" s="708">
        <f t="shared" si="12"/>
        <v>2759.37</v>
      </c>
      <c r="M50" s="708">
        <f t="shared" si="12"/>
        <v>550.58000000000004</v>
      </c>
      <c r="N50" s="708">
        <f t="shared" si="12"/>
        <v>2759.37</v>
      </c>
      <c r="O50" s="718">
        <f t="shared" si="12"/>
        <v>0</v>
      </c>
      <c r="P50" s="617">
        <f t="shared" si="0"/>
        <v>1</v>
      </c>
      <c r="Q50" s="525"/>
      <c r="S50" s="191">
        <v>0</v>
      </c>
      <c r="T50" s="191">
        <v>0</v>
      </c>
      <c r="BT50" s="525"/>
      <c r="BU50" s="523">
        <v>1.7</v>
      </c>
      <c r="BV50" s="523">
        <v>2.82</v>
      </c>
      <c r="BW50" s="523">
        <v>4</v>
      </c>
      <c r="BX50" s="523">
        <v>0</v>
      </c>
      <c r="BY50" s="523">
        <v>0</v>
      </c>
      <c r="BZ50" s="523"/>
      <c r="CA50" s="523"/>
      <c r="CB50" s="523"/>
      <c r="CC50" s="523"/>
      <c r="CD50" s="523"/>
      <c r="CE50" s="523"/>
      <c r="CF50" s="523"/>
      <c r="CG50" s="523"/>
      <c r="CH50" s="523"/>
      <c r="CI50" s="523">
        <f t="shared" si="2"/>
        <v>8.52</v>
      </c>
    </row>
    <row r="51" spans="1:87" s="110" customFormat="1" ht="15.75" x14ac:dyDescent="0.2">
      <c r="A51" s="605" t="s">
        <v>1381</v>
      </c>
      <c r="B51" s="606"/>
      <c r="C51" s="606"/>
      <c r="D51" s="607" t="s">
        <v>1382</v>
      </c>
      <c r="E51" s="609"/>
      <c r="F51" s="687"/>
      <c r="G51" s="609"/>
      <c r="H51" s="609"/>
      <c r="I51" s="609"/>
      <c r="J51" s="610"/>
      <c r="K51" s="610"/>
      <c r="L51" s="711">
        <f>SUM(L52:L56)</f>
        <v>33356.590000000004</v>
      </c>
      <c r="M51" s="711">
        <f>SUM(M52:M56)</f>
        <v>3809.2400000000002</v>
      </c>
      <c r="N51" s="711">
        <f>SUM(N52:N56)</f>
        <v>33356.590000000004</v>
      </c>
      <c r="O51" s="722">
        <f>SUM(O52:O56)</f>
        <v>0</v>
      </c>
      <c r="P51" s="619">
        <f t="shared" si="0"/>
        <v>1</v>
      </c>
      <c r="Q51" s="525"/>
      <c r="S51" s="192">
        <v>30.35</v>
      </c>
      <c r="T51" s="192">
        <v>0</v>
      </c>
      <c r="BT51" s="525"/>
      <c r="BU51" s="523"/>
      <c r="BV51" s="523">
        <v>0</v>
      </c>
      <c r="BW51" s="523">
        <v>188.94380799999999</v>
      </c>
      <c r="BX51" s="523"/>
      <c r="BY51" s="523"/>
      <c r="BZ51" s="523"/>
      <c r="CA51" s="523"/>
      <c r="CB51" s="523"/>
      <c r="CC51" s="523"/>
      <c r="CD51" s="523"/>
      <c r="CE51" s="523"/>
      <c r="CF51" s="523"/>
      <c r="CG51" s="523"/>
      <c r="CH51" s="523"/>
      <c r="CI51" s="523">
        <f t="shared" si="2"/>
        <v>188.94380799999999</v>
      </c>
    </row>
    <row r="52" spans="1:87" s="110" customFormat="1" ht="15" x14ac:dyDescent="0.2">
      <c r="A52" s="612" t="s">
        <v>1383</v>
      </c>
      <c r="B52" s="613">
        <v>92510</v>
      </c>
      <c r="C52" s="613" t="s">
        <v>1324</v>
      </c>
      <c r="D52" s="614" t="s">
        <v>1384</v>
      </c>
      <c r="E52" s="615" t="s">
        <v>14</v>
      </c>
      <c r="F52" s="644">
        <v>302.64</v>
      </c>
      <c r="G52" s="616">
        <v>93.42</v>
      </c>
      <c r="H52" s="615">
        <v>155.72999999999999</v>
      </c>
      <c r="I52" s="573">
        <f t="shared" si="3"/>
        <v>28.846009999999993</v>
      </c>
      <c r="J52" s="574">
        <f t="shared" si="4"/>
        <v>155.72999999999999</v>
      </c>
      <c r="K52" s="573">
        <f t="shared" si="11"/>
        <v>0</v>
      </c>
      <c r="L52" s="708">
        <f t="shared" ref="L52:O56" si="13">ROUND(H52*$G52,2)</f>
        <v>14548.3</v>
      </c>
      <c r="M52" s="708">
        <f t="shared" si="13"/>
        <v>2694.79</v>
      </c>
      <c r="N52" s="708">
        <f t="shared" si="13"/>
        <v>14548.3</v>
      </c>
      <c r="O52" s="718">
        <f t="shared" si="13"/>
        <v>0</v>
      </c>
      <c r="P52" s="617">
        <f t="shared" si="0"/>
        <v>1</v>
      </c>
      <c r="Q52" s="525"/>
      <c r="S52" s="192">
        <v>95.84</v>
      </c>
      <c r="T52" s="192">
        <v>0</v>
      </c>
      <c r="BT52" s="525"/>
      <c r="BU52" s="523">
        <v>28.846009999999993</v>
      </c>
      <c r="BV52" s="523">
        <v>1.5</v>
      </c>
      <c r="BW52" s="523">
        <v>25.383990000000001</v>
      </c>
      <c r="BX52" s="523">
        <v>100</v>
      </c>
      <c r="BY52" s="523">
        <v>0</v>
      </c>
      <c r="BZ52" s="523"/>
      <c r="CA52" s="523"/>
      <c r="CB52" s="523"/>
      <c r="CC52" s="523"/>
      <c r="CD52" s="523"/>
      <c r="CE52" s="523"/>
      <c r="CF52" s="523"/>
      <c r="CG52" s="523"/>
      <c r="CH52" s="523"/>
      <c r="CI52" s="523">
        <f t="shared" si="2"/>
        <v>155.72999999999999</v>
      </c>
    </row>
    <row r="53" spans="1:87" s="110" customFormat="1" ht="15" x14ac:dyDescent="0.2">
      <c r="A53" s="612" t="s">
        <v>1385</v>
      </c>
      <c r="B53" s="613">
        <v>92793</v>
      </c>
      <c r="C53" s="613" t="s">
        <v>1324</v>
      </c>
      <c r="D53" s="614" t="s">
        <v>1372</v>
      </c>
      <c r="E53" s="615" t="s">
        <v>35</v>
      </c>
      <c r="F53" s="644">
        <v>135.94</v>
      </c>
      <c r="G53" s="616">
        <v>4.6500000000000004</v>
      </c>
      <c r="H53" s="615">
        <v>1946.45</v>
      </c>
      <c r="I53" s="573">
        <f t="shared" si="3"/>
        <v>77.842300000000023</v>
      </c>
      <c r="J53" s="574">
        <f t="shared" si="4"/>
        <v>1946.45</v>
      </c>
      <c r="K53" s="573">
        <f t="shared" si="11"/>
        <v>0</v>
      </c>
      <c r="L53" s="708">
        <f t="shared" si="13"/>
        <v>9050.99</v>
      </c>
      <c r="M53" s="708">
        <f t="shared" si="13"/>
        <v>361.97</v>
      </c>
      <c r="N53" s="708">
        <f t="shared" si="13"/>
        <v>9050.99</v>
      </c>
      <c r="O53" s="718">
        <f t="shared" si="13"/>
        <v>0</v>
      </c>
      <c r="P53" s="617">
        <f t="shared" si="0"/>
        <v>1</v>
      </c>
      <c r="Q53" s="525"/>
      <c r="S53" s="192">
        <v>11.599999999999994</v>
      </c>
      <c r="T53" s="192">
        <v>0</v>
      </c>
      <c r="BT53" s="525"/>
      <c r="BU53" s="523">
        <v>77.842300000000023</v>
      </c>
      <c r="BV53" s="523">
        <v>18</v>
      </c>
      <c r="BW53" s="523">
        <v>50.607700000000001</v>
      </c>
      <c r="BX53" s="523">
        <v>1800</v>
      </c>
      <c r="BY53" s="523">
        <v>0</v>
      </c>
      <c r="BZ53" s="523"/>
      <c r="CA53" s="523"/>
      <c r="CB53" s="523"/>
      <c r="CC53" s="523"/>
      <c r="CD53" s="523"/>
      <c r="CE53" s="523"/>
      <c r="CF53" s="523"/>
      <c r="CG53" s="523"/>
      <c r="CH53" s="523"/>
      <c r="CI53" s="523">
        <f t="shared" si="2"/>
        <v>1946.45</v>
      </c>
    </row>
    <row r="54" spans="1:87" s="110" customFormat="1" ht="15.75" x14ac:dyDescent="0.2">
      <c r="A54" s="612" t="s">
        <v>1386</v>
      </c>
      <c r="B54" s="613">
        <v>92791</v>
      </c>
      <c r="C54" s="613" t="s">
        <v>1324</v>
      </c>
      <c r="D54" s="614" t="s">
        <v>1373</v>
      </c>
      <c r="E54" s="615" t="s">
        <v>35</v>
      </c>
      <c r="F54" s="578"/>
      <c r="G54" s="616">
        <v>6.11</v>
      </c>
      <c r="H54" s="615">
        <v>240.18</v>
      </c>
      <c r="I54" s="573">
        <f t="shared" si="3"/>
        <v>9.5985799999999983</v>
      </c>
      <c r="J54" s="574">
        <f t="shared" si="4"/>
        <v>240.18</v>
      </c>
      <c r="K54" s="573">
        <f t="shared" si="11"/>
        <v>0</v>
      </c>
      <c r="L54" s="708">
        <f t="shared" si="13"/>
        <v>1467.5</v>
      </c>
      <c r="M54" s="708">
        <f t="shared" si="13"/>
        <v>58.65</v>
      </c>
      <c r="N54" s="708">
        <f t="shared" si="13"/>
        <v>1467.5</v>
      </c>
      <c r="O54" s="718">
        <f t="shared" si="13"/>
        <v>0</v>
      </c>
      <c r="P54" s="617">
        <f t="shared" si="0"/>
        <v>1</v>
      </c>
      <c r="Q54" s="525"/>
      <c r="S54" s="192">
        <v>2.6700000000000017</v>
      </c>
      <c r="T54" s="192">
        <v>10.71</v>
      </c>
      <c r="BT54" s="525"/>
      <c r="BU54" s="523">
        <v>9.5985799999999983</v>
      </c>
      <c r="BV54" s="523">
        <v>2</v>
      </c>
      <c r="BW54" s="523">
        <v>28.581419999999998</v>
      </c>
      <c r="BX54" s="523">
        <v>200</v>
      </c>
      <c r="BY54" s="523">
        <v>0</v>
      </c>
      <c r="BZ54" s="523"/>
      <c r="CA54" s="523"/>
      <c r="CB54" s="523"/>
      <c r="CC54" s="523"/>
      <c r="CD54" s="523"/>
      <c r="CE54" s="523"/>
      <c r="CF54" s="523"/>
      <c r="CG54" s="523"/>
      <c r="CH54" s="523"/>
      <c r="CI54" s="523">
        <f t="shared" si="2"/>
        <v>240.18</v>
      </c>
    </row>
    <row r="55" spans="1:87" ht="15" x14ac:dyDescent="0.2">
      <c r="A55" s="612" t="s">
        <v>1387</v>
      </c>
      <c r="B55" s="613">
        <v>92720</v>
      </c>
      <c r="C55" s="613" t="s">
        <v>1324</v>
      </c>
      <c r="D55" s="614" t="s">
        <v>1375</v>
      </c>
      <c r="E55" s="615" t="s">
        <v>48</v>
      </c>
      <c r="F55" s="571"/>
      <c r="G55" s="616">
        <v>323.87</v>
      </c>
      <c r="H55" s="615">
        <v>10.71</v>
      </c>
      <c r="I55" s="573">
        <f t="shared" si="3"/>
        <v>2.1423020000000008</v>
      </c>
      <c r="J55" s="574">
        <f t="shared" si="4"/>
        <v>10.71</v>
      </c>
      <c r="K55" s="573">
        <f t="shared" si="11"/>
        <v>0</v>
      </c>
      <c r="L55" s="708">
        <f t="shared" si="13"/>
        <v>3468.65</v>
      </c>
      <c r="M55" s="708">
        <f t="shared" si="13"/>
        <v>693.83</v>
      </c>
      <c r="N55" s="708">
        <f t="shared" si="13"/>
        <v>3468.65</v>
      </c>
      <c r="O55" s="718">
        <f t="shared" si="13"/>
        <v>0</v>
      </c>
      <c r="P55" s="617">
        <f t="shared" si="0"/>
        <v>1</v>
      </c>
      <c r="Q55" s="525"/>
      <c r="S55" s="189">
        <v>0</v>
      </c>
      <c r="T55" s="189">
        <v>84.33</v>
      </c>
      <c r="BT55" s="525"/>
      <c r="BU55" s="523">
        <v>2.1423020000000008</v>
      </c>
      <c r="BV55" s="523">
        <v>0.52700000000000002</v>
      </c>
      <c r="BW55" s="523">
        <v>4.0698000000000005E-2</v>
      </c>
      <c r="BX55" s="523">
        <v>8</v>
      </c>
      <c r="BY55" s="523">
        <v>0</v>
      </c>
      <c r="BZ55" s="523"/>
      <c r="CA55" s="523"/>
      <c r="CB55" s="523"/>
      <c r="CC55" s="523"/>
      <c r="CD55" s="523"/>
      <c r="CE55" s="523"/>
      <c r="CF55" s="523"/>
      <c r="CG55" s="523"/>
      <c r="CH55" s="523"/>
      <c r="CI55" s="523">
        <f t="shared" si="2"/>
        <v>10.71</v>
      </c>
    </row>
    <row r="56" spans="1:87" s="657" customFormat="1" ht="15" x14ac:dyDescent="0.2">
      <c r="A56" s="680" t="s">
        <v>1388</v>
      </c>
      <c r="B56" s="569" t="s">
        <v>1389</v>
      </c>
      <c r="C56" s="569" t="s">
        <v>1324</v>
      </c>
      <c r="D56" s="569" t="s">
        <v>1390</v>
      </c>
      <c r="E56" s="681" t="s">
        <v>14</v>
      </c>
      <c r="F56" s="571"/>
      <c r="G56" s="682">
        <v>57.17</v>
      </c>
      <c r="H56" s="681">
        <v>84.33</v>
      </c>
      <c r="I56" s="573">
        <f t="shared" si="3"/>
        <v>0</v>
      </c>
      <c r="J56" s="574">
        <f t="shared" si="4"/>
        <v>84.33</v>
      </c>
      <c r="K56" s="573">
        <f t="shared" si="11"/>
        <v>0</v>
      </c>
      <c r="L56" s="708">
        <f t="shared" si="13"/>
        <v>4821.1499999999996</v>
      </c>
      <c r="M56" s="708">
        <f t="shared" si="13"/>
        <v>0</v>
      </c>
      <c r="N56" s="708">
        <f t="shared" si="13"/>
        <v>4821.1499999999996</v>
      </c>
      <c r="O56" s="718">
        <f t="shared" si="13"/>
        <v>0</v>
      </c>
      <c r="P56" s="617">
        <f t="shared" si="0"/>
        <v>1</v>
      </c>
      <c r="Q56" s="525"/>
      <c r="S56" s="190">
        <v>0</v>
      </c>
      <c r="T56" s="190">
        <v>0</v>
      </c>
      <c r="BT56" s="525"/>
      <c r="BU56" s="523"/>
      <c r="BV56" s="523">
        <v>0</v>
      </c>
      <c r="BW56" s="523">
        <v>84.33</v>
      </c>
      <c r="BX56" s="523">
        <v>0</v>
      </c>
      <c r="BY56" s="523">
        <v>0</v>
      </c>
      <c r="BZ56" s="523"/>
      <c r="CA56" s="523"/>
      <c r="CB56" s="523"/>
      <c r="CC56" s="523"/>
      <c r="CD56" s="523"/>
      <c r="CE56" s="523"/>
      <c r="CF56" s="523"/>
      <c r="CG56" s="523"/>
      <c r="CH56" s="523"/>
      <c r="CI56" s="523">
        <f t="shared" si="2"/>
        <v>84.33</v>
      </c>
    </row>
    <row r="57" spans="1:87" ht="15.75" x14ac:dyDescent="0.2">
      <c r="A57" s="605" t="s">
        <v>1391</v>
      </c>
      <c r="B57" s="586"/>
      <c r="C57" s="586"/>
      <c r="D57" s="586" t="s">
        <v>1392</v>
      </c>
      <c r="E57" s="609"/>
      <c r="F57" s="687"/>
      <c r="G57" s="609"/>
      <c r="H57" s="609"/>
      <c r="I57" s="609"/>
      <c r="J57" s="610"/>
      <c r="K57" s="620"/>
      <c r="L57" s="711">
        <f>SUM(L58:L61)</f>
        <v>13794.349999999999</v>
      </c>
      <c r="M57" s="711">
        <f>SUM(M58:M61)</f>
        <v>0</v>
      </c>
      <c r="N57" s="711">
        <f>SUM(N58:N61)</f>
        <v>0</v>
      </c>
      <c r="O57" s="722">
        <f>SUM(O58:O61)</f>
        <v>13794.349999999999</v>
      </c>
      <c r="P57" s="611">
        <f t="shared" si="0"/>
        <v>0</v>
      </c>
      <c r="Q57" s="525"/>
      <c r="S57" s="189">
        <v>0</v>
      </c>
      <c r="T57" s="189">
        <v>0</v>
      </c>
      <c r="BT57" s="525"/>
      <c r="BU57" s="523"/>
      <c r="BV57" s="523">
        <v>0</v>
      </c>
      <c r="BW57" s="523">
        <v>0</v>
      </c>
      <c r="BX57" s="523"/>
      <c r="BY57" s="523"/>
      <c r="BZ57" s="523"/>
      <c r="CA57" s="523"/>
      <c r="CB57" s="523"/>
      <c r="CC57" s="523"/>
      <c r="CD57" s="523"/>
      <c r="CE57" s="523"/>
      <c r="CF57" s="523"/>
      <c r="CG57" s="523"/>
      <c r="CH57" s="523"/>
      <c r="CI57" s="523">
        <f t="shared" si="2"/>
        <v>0</v>
      </c>
    </row>
    <row r="58" spans="1:87" ht="15" x14ac:dyDescent="0.2">
      <c r="A58" s="680" t="s">
        <v>1393</v>
      </c>
      <c r="B58" s="569">
        <v>92510</v>
      </c>
      <c r="C58" s="569" t="s">
        <v>1324</v>
      </c>
      <c r="D58" s="569" t="s">
        <v>1384</v>
      </c>
      <c r="E58" s="681" t="s">
        <v>14</v>
      </c>
      <c r="F58" s="644">
        <v>41.64</v>
      </c>
      <c r="G58" s="682">
        <v>93.42</v>
      </c>
      <c r="H58" s="681">
        <v>111.8</v>
      </c>
      <c r="I58" s="573">
        <f t="shared" si="3"/>
        <v>0</v>
      </c>
      <c r="J58" s="574">
        <f t="shared" si="4"/>
        <v>0</v>
      </c>
      <c r="K58" s="573">
        <f t="shared" si="11"/>
        <v>111.8</v>
      </c>
      <c r="L58" s="708">
        <f t="shared" ref="L58:O61" si="14">ROUND(H58*$G58,2)</f>
        <v>10444.36</v>
      </c>
      <c r="M58" s="708">
        <f t="shared" si="14"/>
        <v>0</v>
      </c>
      <c r="N58" s="708">
        <f t="shared" si="14"/>
        <v>0</v>
      </c>
      <c r="O58" s="718">
        <f t="shared" si="14"/>
        <v>10444.36</v>
      </c>
      <c r="P58" s="617">
        <f t="shared" si="0"/>
        <v>0</v>
      </c>
      <c r="Q58" s="525"/>
      <c r="S58" s="189">
        <v>0</v>
      </c>
      <c r="T58" s="189">
        <v>0</v>
      </c>
      <c r="BT58" s="525"/>
      <c r="BU58" s="523"/>
      <c r="BV58" s="523">
        <v>0</v>
      </c>
      <c r="BW58" s="523">
        <v>0</v>
      </c>
      <c r="BX58" s="523">
        <v>0</v>
      </c>
      <c r="BY58" s="523">
        <v>0</v>
      </c>
      <c r="BZ58" s="523"/>
      <c r="CA58" s="523"/>
      <c r="CB58" s="523"/>
      <c r="CC58" s="523"/>
      <c r="CD58" s="523"/>
      <c r="CE58" s="523"/>
      <c r="CF58" s="523"/>
      <c r="CG58" s="523"/>
      <c r="CH58" s="523"/>
      <c r="CI58" s="523">
        <f t="shared" si="2"/>
        <v>0</v>
      </c>
    </row>
    <row r="59" spans="1:87" ht="15" x14ac:dyDescent="0.2">
      <c r="A59" s="680" t="s">
        <v>1394</v>
      </c>
      <c r="B59" s="569">
        <v>92793</v>
      </c>
      <c r="C59" s="569" t="s">
        <v>1324</v>
      </c>
      <c r="D59" s="569" t="s">
        <v>1372</v>
      </c>
      <c r="E59" s="681" t="s">
        <v>35</v>
      </c>
      <c r="F59" s="644">
        <v>7.91</v>
      </c>
      <c r="G59" s="682">
        <v>4.6500000000000004</v>
      </c>
      <c r="H59" s="681">
        <v>135.38999999999999</v>
      </c>
      <c r="I59" s="573">
        <f t="shared" si="3"/>
        <v>0</v>
      </c>
      <c r="J59" s="574">
        <f t="shared" si="4"/>
        <v>0</v>
      </c>
      <c r="K59" s="573">
        <f t="shared" si="11"/>
        <v>135.38999999999999</v>
      </c>
      <c r="L59" s="708">
        <f t="shared" si="14"/>
        <v>629.55999999999995</v>
      </c>
      <c r="M59" s="708">
        <f t="shared" si="14"/>
        <v>0</v>
      </c>
      <c r="N59" s="708">
        <f t="shared" si="14"/>
        <v>0</v>
      </c>
      <c r="O59" s="718">
        <f t="shared" si="14"/>
        <v>629.55999999999995</v>
      </c>
      <c r="P59" s="617">
        <f t="shared" si="0"/>
        <v>0</v>
      </c>
      <c r="Q59" s="525"/>
      <c r="S59" s="189">
        <v>0</v>
      </c>
      <c r="T59" s="189">
        <v>0</v>
      </c>
      <c r="BT59" s="525"/>
      <c r="BU59" s="523"/>
      <c r="BV59" s="523">
        <v>0</v>
      </c>
      <c r="BW59" s="523">
        <v>0</v>
      </c>
      <c r="BX59" s="523">
        <v>0</v>
      </c>
      <c r="BY59" s="523">
        <v>0</v>
      </c>
      <c r="BZ59" s="523"/>
      <c r="CA59" s="523"/>
      <c r="CB59" s="523"/>
      <c r="CC59" s="523"/>
      <c r="CD59" s="523"/>
      <c r="CE59" s="523"/>
      <c r="CF59" s="523"/>
      <c r="CG59" s="523"/>
      <c r="CH59" s="523"/>
      <c r="CI59" s="523">
        <f t="shared" si="2"/>
        <v>0</v>
      </c>
    </row>
    <row r="60" spans="1:87" ht="15" x14ac:dyDescent="0.2">
      <c r="A60" s="680" t="s">
        <v>1395</v>
      </c>
      <c r="B60" s="569">
        <v>92791</v>
      </c>
      <c r="C60" s="569" t="s">
        <v>1324</v>
      </c>
      <c r="D60" s="569" t="s">
        <v>1373</v>
      </c>
      <c r="E60" s="681" t="s">
        <v>35</v>
      </c>
      <c r="F60" s="644">
        <v>53.52</v>
      </c>
      <c r="G60" s="682">
        <v>6.11</v>
      </c>
      <c r="H60" s="681">
        <v>95.93</v>
      </c>
      <c r="I60" s="573">
        <f t="shared" si="3"/>
        <v>0</v>
      </c>
      <c r="J60" s="574">
        <f t="shared" si="4"/>
        <v>0</v>
      </c>
      <c r="K60" s="573">
        <f t="shared" si="11"/>
        <v>95.93</v>
      </c>
      <c r="L60" s="708">
        <f t="shared" si="14"/>
        <v>586.13</v>
      </c>
      <c r="M60" s="708">
        <f t="shared" si="14"/>
        <v>0</v>
      </c>
      <c r="N60" s="708">
        <f t="shared" si="14"/>
        <v>0</v>
      </c>
      <c r="O60" s="718">
        <f t="shared" si="14"/>
        <v>586.13</v>
      </c>
      <c r="P60" s="617">
        <f t="shared" si="0"/>
        <v>0</v>
      </c>
      <c r="Q60" s="525"/>
      <c r="S60" s="189">
        <v>0</v>
      </c>
      <c r="T60" s="189">
        <v>0</v>
      </c>
      <c r="BT60" s="525"/>
      <c r="BU60" s="523"/>
      <c r="BV60" s="523">
        <v>0</v>
      </c>
      <c r="BW60" s="523">
        <v>0</v>
      </c>
      <c r="BX60" s="523">
        <v>0</v>
      </c>
      <c r="BY60" s="523">
        <v>0</v>
      </c>
      <c r="BZ60" s="523"/>
      <c r="CA60" s="523"/>
      <c r="CB60" s="523"/>
      <c r="CC60" s="523"/>
      <c r="CD60" s="523"/>
      <c r="CE60" s="523"/>
      <c r="CF60" s="523"/>
      <c r="CG60" s="523"/>
      <c r="CH60" s="523"/>
      <c r="CI60" s="523">
        <f t="shared" si="2"/>
        <v>0</v>
      </c>
    </row>
    <row r="61" spans="1:87" s="657" customFormat="1" ht="15" x14ac:dyDescent="0.2">
      <c r="A61" s="680" t="s">
        <v>1396</v>
      </c>
      <c r="B61" s="569">
        <v>92720</v>
      </c>
      <c r="C61" s="569" t="s">
        <v>1324</v>
      </c>
      <c r="D61" s="569" t="s">
        <v>1375</v>
      </c>
      <c r="E61" s="681" t="s">
        <v>48</v>
      </c>
      <c r="F61" s="644">
        <v>203.72</v>
      </c>
      <c r="G61" s="682">
        <v>323.87</v>
      </c>
      <c r="H61" s="681">
        <v>6.59</v>
      </c>
      <c r="I61" s="573">
        <f t="shared" si="3"/>
        <v>0</v>
      </c>
      <c r="J61" s="574">
        <f t="shared" si="4"/>
        <v>0</v>
      </c>
      <c r="K61" s="573">
        <f t="shared" si="11"/>
        <v>6.59</v>
      </c>
      <c r="L61" s="708">
        <f t="shared" si="14"/>
        <v>2134.3000000000002</v>
      </c>
      <c r="M61" s="708">
        <f t="shared" si="14"/>
        <v>0</v>
      </c>
      <c r="N61" s="708">
        <f t="shared" si="14"/>
        <v>0</v>
      </c>
      <c r="O61" s="718">
        <f t="shared" si="14"/>
        <v>2134.3000000000002</v>
      </c>
      <c r="P61" s="617">
        <f t="shared" si="0"/>
        <v>0</v>
      </c>
      <c r="Q61" s="525"/>
      <c r="S61" s="190">
        <v>0</v>
      </c>
      <c r="T61" s="190">
        <v>0</v>
      </c>
      <c r="BT61" s="525"/>
      <c r="BU61" s="523"/>
      <c r="BV61" s="523">
        <v>0</v>
      </c>
      <c r="BW61" s="523">
        <v>0</v>
      </c>
      <c r="BX61" s="523">
        <v>0</v>
      </c>
      <c r="BY61" s="523">
        <v>0</v>
      </c>
      <c r="BZ61" s="523"/>
      <c r="CA61" s="523"/>
      <c r="CB61" s="523"/>
      <c r="CC61" s="523"/>
      <c r="CD61" s="523"/>
      <c r="CE61" s="523"/>
      <c r="CF61" s="523"/>
      <c r="CG61" s="523"/>
      <c r="CH61" s="523"/>
      <c r="CI61" s="523">
        <f t="shared" si="2"/>
        <v>0</v>
      </c>
    </row>
    <row r="62" spans="1:87" ht="15.75" x14ac:dyDescent="0.2">
      <c r="A62" s="605" t="s">
        <v>1397</v>
      </c>
      <c r="B62" s="586"/>
      <c r="C62" s="586"/>
      <c r="D62" s="586" t="s">
        <v>1398</v>
      </c>
      <c r="E62" s="609"/>
      <c r="F62" s="609"/>
      <c r="G62" s="609"/>
      <c r="H62" s="609"/>
      <c r="I62" s="609"/>
      <c r="J62" s="609"/>
      <c r="K62" s="609"/>
      <c r="L62" s="733">
        <f>SUM(L63:L66)</f>
        <v>23465.25</v>
      </c>
      <c r="M62" s="733">
        <f>SUM(M63:M66)</f>
        <v>0</v>
      </c>
      <c r="N62" s="733">
        <f>SUM(N63:N66)</f>
        <v>0</v>
      </c>
      <c r="O62" s="722">
        <f>SUM(O63:O66)</f>
        <v>23465.25</v>
      </c>
      <c r="P62" s="611">
        <f t="shared" si="0"/>
        <v>0</v>
      </c>
      <c r="Q62" s="525"/>
      <c r="S62" s="189">
        <v>0</v>
      </c>
      <c r="T62" s="189">
        <v>0</v>
      </c>
      <c r="BT62" s="525"/>
      <c r="BU62" s="523"/>
      <c r="BV62" s="523">
        <v>0</v>
      </c>
      <c r="BW62" s="523">
        <v>0</v>
      </c>
      <c r="BX62" s="523"/>
      <c r="BY62" s="523"/>
      <c r="BZ62" s="523"/>
      <c r="CA62" s="523"/>
      <c r="CB62" s="523"/>
      <c r="CC62" s="523"/>
      <c r="CD62" s="523"/>
      <c r="CE62" s="523"/>
      <c r="CF62" s="523"/>
      <c r="CG62" s="523"/>
      <c r="CH62" s="523"/>
      <c r="CI62" s="523">
        <f t="shared" si="2"/>
        <v>0</v>
      </c>
    </row>
    <row r="63" spans="1:87" ht="15" x14ac:dyDescent="0.2">
      <c r="A63" s="680" t="s">
        <v>1399</v>
      </c>
      <c r="B63" s="569">
        <v>92422</v>
      </c>
      <c r="C63" s="569" t="s">
        <v>1324</v>
      </c>
      <c r="D63" s="569" t="s">
        <v>1384</v>
      </c>
      <c r="E63" s="681" t="s">
        <v>14</v>
      </c>
      <c r="F63" s="644">
        <v>52.6</v>
      </c>
      <c r="G63" s="682">
        <v>93.42</v>
      </c>
      <c r="H63" s="681">
        <v>10.8</v>
      </c>
      <c r="I63" s="573">
        <f t="shared" si="3"/>
        <v>0</v>
      </c>
      <c r="J63" s="574">
        <f t="shared" si="4"/>
        <v>0</v>
      </c>
      <c r="K63" s="573">
        <f t="shared" si="11"/>
        <v>10.8</v>
      </c>
      <c r="L63" s="708">
        <f t="shared" ref="L63:O66" si="15">ROUND(H63*$G63,2)</f>
        <v>1008.94</v>
      </c>
      <c r="M63" s="708">
        <f t="shared" si="15"/>
        <v>0</v>
      </c>
      <c r="N63" s="708">
        <f t="shared" si="15"/>
        <v>0</v>
      </c>
      <c r="O63" s="718">
        <f t="shared" si="15"/>
        <v>1008.94</v>
      </c>
      <c r="P63" s="617">
        <f t="shared" si="0"/>
        <v>0</v>
      </c>
      <c r="Q63" s="525"/>
      <c r="S63" s="189">
        <v>0</v>
      </c>
      <c r="T63" s="189">
        <v>0</v>
      </c>
      <c r="BT63" s="525"/>
      <c r="BU63" s="523"/>
      <c r="BV63" s="523">
        <v>0</v>
      </c>
      <c r="BW63" s="523">
        <v>0</v>
      </c>
      <c r="BX63" s="523">
        <v>0</v>
      </c>
      <c r="BY63" s="523">
        <v>0</v>
      </c>
      <c r="BZ63" s="523"/>
      <c r="CA63" s="523"/>
      <c r="CB63" s="523"/>
      <c r="CC63" s="523"/>
      <c r="CD63" s="523"/>
      <c r="CE63" s="523"/>
      <c r="CF63" s="523"/>
      <c r="CG63" s="523"/>
      <c r="CH63" s="523"/>
      <c r="CI63" s="523">
        <f t="shared" si="2"/>
        <v>0</v>
      </c>
    </row>
    <row r="64" spans="1:87" ht="15" x14ac:dyDescent="0.2">
      <c r="A64" s="680" t="s">
        <v>1400</v>
      </c>
      <c r="B64" s="569" t="s">
        <v>1401</v>
      </c>
      <c r="C64" s="569" t="s">
        <v>1324</v>
      </c>
      <c r="D64" s="569" t="s">
        <v>1402</v>
      </c>
      <c r="E64" s="681" t="s">
        <v>48</v>
      </c>
      <c r="F64" s="644">
        <v>49.48</v>
      </c>
      <c r="G64" s="682">
        <v>98.55</v>
      </c>
      <c r="H64" s="681">
        <v>33.83</v>
      </c>
      <c r="I64" s="573">
        <f t="shared" si="3"/>
        <v>0</v>
      </c>
      <c r="J64" s="574">
        <f t="shared" si="4"/>
        <v>0</v>
      </c>
      <c r="K64" s="573">
        <f t="shared" si="11"/>
        <v>33.83</v>
      </c>
      <c r="L64" s="708">
        <f t="shared" si="15"/>
        <v>3333.95</v>
      </c>
      <c r="M64" s="708">
        <f t="shared" si="15"/>
        <v>0</v>
      </c>
      <c r="N64" s="708">
        <f t="shared" si="15"/>
        <v>0</v>
      </c>
      <c r="O64" s="718">
        <f t="shared" si="15"/>
        <v>3333.95</v>
      </c>
      <c r="P64" s="617">
        <f t="shared" si="0"/>
        <v>0</v>
      </c>
      <c r="Q64" s="525"/>
      <c r="S64" s="189">
        <v>0</v>
      </c>
      <c r="T64" s="189">
        <v>0</v>
      </c>
      <c r="BT64" s="525"/>
      <c r="BU64" s="523"/>
      <c r="BV64" s="523">
        <v>0</v>
      </c>
      <c r="BW64" s="523">
        <v>0</v>
      </c>
      <c r="BX64" s="523">
        <v>0</v>
      </c>
      <c r="BY64" s="523">
        <v>0</v>
      </c>
      <c r="BZ64" s="523"/>
      <c r="CA64" s="523"/>
      <c r="CB64" s="523"/>
      <c r="CC64" s="523"/>
      <c r="CD64" s="523"/>
      <c r="CE64" s="523"/>
      <c r="CF64" s="523"/>
      <c r="CG64" s="523"/>
      <c r="CH64" s="523"/>
      <c r="CI64" s="523">
        <f t="shared" si="2"/>
        <v>0</v>
      </c>
    </row>
    <row r="65" spans="1:87" ht="15.75" x14ac:dyDescent="0.2">
      <c r="A65" s="680" t="s">
        <v>1403</v>
      </c>
      <c r="B65" s="569">
        <v>85662</v>
      </c>
      <c r="C65" s="569" t="s">
        <v>1324</v>
      </c>
      <c r="D65" s="569" t="s">
        <v>1404</v>
      </c>
      <c r="E65" s="681" t="s">
        <v>14</v>
      </c>
      <c r="F65" s="578"/>
      <c r="G65" s="682">
        <v>10.34</v>
      </c>
      <c r="H65" s="681">
        <v>1001.47</v>
      </c>
      <c r="I65" s="573">
        <f t="shared" si="3"/>
        <v>0</v>
      </c>
      <c r="J65" s="574">
        <f t="shared" si="4"/>
        <v>0</v>
      </c>
      <c r="K65" s="573">
        <f t="shared" si="11"/>
        <v>1001.47</v>
      </c>
      <c r="L65" s="708">
        <f t="shared" si="15"/>
        <v>10355.200000000001</v>
      </c>
      <c r="M65" s="708">
        <f t="shared" si="15"/>
        <v>0</v>
      </c>
      <c r="N65" s="708">
        <f t="shared" si="15"/>
        <v>0</v>
      </c>
      <c r="O65" s="718">
        <f t="shared" si="15"/>
        <v>10355.200000000001</v>
      </c>
      <c r="P65" s="617">
        <f t="shared" si="0"/>
        <v>0</v>
      </c>
      <c r="Q65" s="525"/>
      <c r="S65" s="189">
        <v>0</v>
      </c>
      <c r="T65" s="189">
        <v>0</v>
      </c>
      <c r="BT65" s="525"/>
      <c r="BU65" s="523"/>
      <c r="BV65" s="523">
        <v>0</v>
      </c>
      <c r="BW65" s="523">
        <v>0</v>
      </c>
      <c r="BX65" s="523">
        <v>0</v>
      </c>
      <c r="BY65" s="523">
        <v>0</v>
      </c>
      <c r="BZ65" s="523"/>
      <c r="CA65" s="523"/>
      <c r="CB65" s="523"/>
      <c r="CC65" s="523"/>
      <c r="CD65" s="523"/>
      <c r="CE65" s="523"/>
      <c r="CF65" s="523"/>
      <c r="CG65" s="523"/>
      <c r="CH65" s="523"/>
      <c r="CI65" s="523">
        <f t="shared" si="2"/>
        <v>0</v>
      </c>
    </row>
    <row r="66" spans="1:87" s="657" customFormat="1" ht="15" x14ac:dyDescent="0.2">
      <c r="A66" s="680" t="s">
        <v>1405</v>
      </c>
      <c r="B66" s="569">
        <v>92720</v>
      </c>
      <c r="C66" s="569" t="s">
        <v>1324</v>
      </c>
      <c r="D66" s="569" t="s">
        <v>1375</v>
      </c>
      <c r="E66" s="681" t="s">
        <v>48</v>
      </c>
      <c r="F66" s="571"/>
      <c r="G66" s="682">
        <v>323.87</v>
      </c>
      <c r="H66" s="681">
        <v>27.07</v>
      </c>
      <c r="I66" s="573">
        <f t="shared" si="3"/>
        <v>0</v>
      </c>
      <c r="J66" s="574">
        <f t="shared" si="4"/>
        <v>0</v>
      </c>
      <c r="K66" s="573">
        <f t="shared" si="11"/>
        <v>27.07</v>
      </c>
      <c r="L66" s="708">
        <f t="shared" si="15"/>
        <v>8767.16</v>
      </c>
      <c r="M66" s="708">
        <f t="shared" si="15"/>
        <v>0</v>
      </c>
      <c r="N66" s="708">
        <f t="shared" si="15"/>
        <v>0</v>
      </c>
      <c r="O66" s="718">
        <f t="shared" si="15"/>
        <v>8767.16</v>
      </c>
      <c r="P66" s="617">
        <f t="shared" si="0"/>
        <v>0</v>
      </c>
      <c r="Q66" s="525"/>
      <c r="S66" s="190">
        <v>0</v>
      </c>
      <c r="T66" s="190">
        <v>33.9</v>
      </c>
      <c r="BT66" s="525"/>
      <c r="BU66" s="523"/>
      <c r="BV66" s="523">
        <v>0</v>
      </c>
      <c r="BW66" s="523">
        <v>0</v>
      </c>
      <c r="BX66" s="523">
        <v>0</v>
      </c>
      <c r="BY66" s="523">
        <v>0</v>
      </c>
      <c r="BZ66" s="523"/>
      <c r="CA66" s="523"/>
      <c r="CB66" s="523"/>
      <c r="CC66" s="523"/>
      <c r="CD66" s="523"/>
      <c r="CE66" s="523"/>
      <c r="CF66" s="523"/>
      <c r="CG66" s="523"/>
      <c r="CH66" s="523"/>
      <c r="CI66" s="523">
        <f t="shared" si="2"/>
        <v>0</v>
      </c>
    </row>
    <row r="67" spans="1:87" ht="15.75" x14ac:dyDescent="0.2">
      <c r="A67" s="605" t="s">
        <v>1406</v>
      </c>
      <c r="B67" s="586"/>
      <c r="C67" s="586"/>
      <c r="D67" s="586" t="s">
        <v>1407</v>
      </c>
      <c r="E67" s="609"/>
      <c r="F67" s="609"/>
      <c r="G67" s="609"/>
      <c r="H67" s="609"/>
      <c r="I67" s="609"/>
      <c r="J67" s="609"/>
      <c r="K67" s="609"/>
      <c r="L67" s="733">
        <f>L68</f>
        <v>912.59</v>
      </c>
      <c r="M67" s="733">
        <f>M68</f>
        <v>0</v>
      </c>
      <c r="N67" s="733">
        <f>N68</f>
        <v>912.59</v>
      </c>
      <c r="O67" s="722">
        <f>O68</f>
        <v>0</v>
      </c>
      <c r="P67" s="611">
        <f t="shared" si="0"/>
        <v>1</v>
      </c>
      <c r="Q67" s="525"/>
      <c r="S67" s="189">
        <v>0</v>
      </c>
      <c r="T67" s="189">
        <v>33.9</v>
      </c>
      <c r="BT67" s="525"/>
      <c r="BU67" s="523"/>
      <c r="BV67" s="523">
        <v>0</v>
      </c>
      <c r="BW67" s="523">
        <v>33.9</v>
      </c>
      <c r="BX67" s="523"/>
      <c r="BY67" s="523"/>
      <c r="BZ67" s="523"/>
      <c r="CA67" s="523"/>
      <c r="CB67" s="523"/>
      <c r="CC67" s="523"/>
      <c r="CD67" s="523"/>
      <c r="CE67" s="523"/>
      <c r="CF67" s="523"/>
      <c r="CG67" s="523"/>
      <c r="CH67" s="523"/>
      <c r="CI67" s="523">
        <f t="shared" si="2"/>
        <v>33.9</v>
      </c>
    </row>
    <row r="68" spans="1:87" s="657" customFormat="1" ht="15" x14ac:dyDescent="0.2">
      <c r="A68" s="680" t="s">
        <v>1408</v>
      </c>
      <c r="B68" s="569" t="s">
        <v>1409</v>
      </c>
      <c r="C68" s="569" t="s">
        <v>1324</v>
      </c>
      <c r="D68" s="569" t="s">
        <v>1410</v>
      </c>
      <c r="E68" s="681" t="s">
        <v>81</v>
      </c>
      <c r="F68" s="644">
        <v>329.55</v>
      </c>
      <c r="G68" s="682">
        <v>26.92</v>
      </c>
      <c r="H68" s="681">
        <v>33.9</v>
      </c>
      <c r="I68" s="573">
        <f t="shared" si="3"/>
        <v>0</v>
      </c>
      <c r="J68" s="574">
        <f t="shared" si="4"/>
        <v>33.9</v>
      </c>
      <c r="K68" s="573">
        <f t="shared" si="11"/>
        <v>0</v>
      </c>
      <c r="L68" s="708">
        <f>ROUND(H68*$G68,2)</f>
        <v>912.59</v>
      </c>
      <c r="M68" s="708">
        <f>ROUND(I68*$G68,2)</f>
        <v>0</v>
      </c>
      <c r="N68" s="708">
        <f>ROUND(J68*$G68,2)</f>
        <v>912.59</v>
      </c>
      <c r="O68" s="718">
        <f>ROUND(K68*$G68,2)</f>
        <v>0</v>
      </c>
      <c r="P68" s="617">
        <f t="shared" si="0"/>
        <v>1</v>
      </c>
      <c r="Q68" s="525"/>
      <c r="S68" s="190">
        <v>0</v>
      </c>
      <c r="T68" s="190">
        <v>0</v>
      </c>
      <c r="BT68" s="525"/>
      <c r="BU68" s="523"/>
      <c r="BV68" s="523">
        <v>0</v>
      </c>
      <c r="BW68" s="523">
        <v>33.9</v>
      </c>
      <c r="BX68" s="523">
        <v>0</v>
      </c>
      <c r="BY68" s="523">
        <v>0</v>
      </c>
      <c r="BZ68" s="523"/>
      <c r="CA68" s="523"/>
      <c r="CB68" s="523"/>
      <c r="CC68" s="523"/>
      <c r="CD68" s="523"/>
      <c r="CE68" s="523"/>
      <c r="CF68" s="523"/>
      <c r="CG68" s="523"/>
      <c r="CH68" s="523"/>
      <c r="CI68" s="523">
        <f t="shared" si="2"/>
        <v>33.9</v>
      </c>
    </row>
    <row r="69" spans="1:87" s="657" customFormat="1" ht="15.75" x14ac:dyDescent="0.2">
      <c r="A69" s="600">
        <v>5</v>
      </c>
      <c r="B69" s="558"/>
      <c r="C69" s="558"/>
      <c r="D69" s="558" t="s">
        <v>1411</v>
      </c>
      <c r="E69" s="626"/>
      <c r="F69" s="626"/>
      <c r="G69" s="626"/>
      <c r="H69" s="626"/>
      <c r="I69" s="626"/>
      <c r="J69" s="626"/>
      <c r="K69" s="626"/>
      <c r="L69" s="709">
        <f>SUM(L70,L72,L75)</f>
        <v>31428.92</v>
      </c>
      <c r="M69" s="709">
        <f>SUM(M70,M72,M75)</f>
        <v>1700.36</v>
      </c>
      <c r="N69" s="709">
        <f>SUM(N70,N72,N75)</f>
        <v>17427.12</v>
      </c>
      <c r="O69" s="719">
        <f>SUM(O70,O72,O75)</f>
        <v>14001.8</v>
      </c>
      <c r="P69" s="604">
        <f>N69/L69</f>
        <v>0.55449312289445518</v>
      </c>
      <c r="Q69" s="525"/>
      <c r="S69" s="190">
        <v>0</v>
      </c>
      <c r="T69" s="190">
        <v>0</v>
      </c>
      <c r="BT69" s="525"/>
      <c r="BU69" s="523"/>
      <c r="BV69" s="523">
        <v>0</v>
      </c>
      <c r="BW69" s="523">
        <v>0</v>
      </c>
      <c r="BX69" s="523"/>
      <c r="BY69" s="523"/>
      <c r="BZ69" s="523"/>
      <c r="CA69" s="523"/>
      <c r="CB69" s="523"/>
      <c r="CC69" s="523"/>
      <c r="CD69" s="523"/>
      <c r="CE69" s="523"/>
      <c r="CF69" s="523"/>
      <c r="CG69" s="523"/>
      <c r="CH69" s="523"/>
      <c r="CI69" s="523">
        <f t="shared" si="2"/>
        <v>0</v>
      </c>
    </row>
    <row r="70" spans="1:87" ht="15.75" x14ac:dyDescent="0.2">
      <c r="A70" s="605" t="s">
        <v>98</v>
      </c>
      <c r="B70" s="586"/>
      <c r="C70" s="586"/>
      <c r="D70" s="586" t="s">
        <v>1412</v>
      </c>
      <c r="E70" s="609"/>
      <c r="F70" s="609"/>
      <c r="G70" s="609"/>
      <c r="H70" s="609"/>
      <c r="I70" s="609"/>
      <c r="J70" s="609"/>
      <c r="K70" s="609"/>
      <c r="L70" s="733">
        <f>L71</f>
        <v>7200.78</v>
      </c>
      <c r="M70" s="733">
        <f>M71</f>
        <v>0</v>
      </c>
      <c r="N70" s="733">
        <f>N71</f>
        <v>0</v>
      </c>
      <c r="O70" s="722">
        <f>O71</f>
        <v>7200.78</v>
      </c>
      <c r="P70" s="611">
        <f t="shared" si="0"/>
        <v>0</v>
      </c>
      <c r="Q70" s="525"/>
      <c r="S70" s="189">
        <v>0</v>
      </c>
      <c r="T70" s="189">
        <v>0</v>
      </c>
      <c r="BT70" s="525"/>
      <c r="BU70" s="523"/>
      <c r="BV70" s="523">
        <v>0</v>
      </c>
      <c r="BW70" s="523">
        <v>0</v>
      </c>
      <c r="BX70" s="523"/>
      <c r="BY70" s="523"/>
      <c r="BZ70" s="523"/>
      <c r="CA70" s="523"/>
      <c r="CB70" s="523"/>
      <c r="CC70" s="523"/>
      <c r="CD70" s="523"/>
      <c r="CE70" s="523"/>
      <c r="CF70" s="523"/>
      <c r="CG70" s="523"/>
      <c r="CH70" s="523"/>
      <c r="CI70" s="523">
        <f t="shared" si="2"/>
        <v>0</v>
      </c>
    </row>
    <row r="71" spans="1:87" s="657" customFormat="1" ht="15" x14ac:dyDescent="0.2">
      <c r="A71" s="680" t="s">
        <v>100</v>
      </c>
      <c r="B71" s="569" t="s">
        <v>1413</v>
      </c>
      <c r="C71" s="569" t="s">
        <v>1324</v>
      </c>
      <c r="D71" s="569" t="s">
        <v>1414</v>
      </c>
      <c r="E71" s="681" t="s">
        <v>14</v>
      </c>
      <c r="F71" s="644">
        <v>222.6</v>
      </c>
      <c r="G71" s="682">
        <v>53.45</v>
      </c>
      <c r="H71" s="681">
        <v>134.72</v>
      </c>
      <c r="I71" s="573">
        <f t="shared" si="3"/>
        <v>0</v>
      </c>
      <c r="J71" s="574">
        <f t="shared" si="4"/>
        <v>0</v>
      </c>
      <c r="K71" s="644">
        <f>H71-J71</f>
        <v>134.72</v>
      </c>
      <c r="L71" s="708">
        <f>ROUND(H71*$G71,2)</f>
        <v>7200.78</v>
      </c>
      <c r="M71" s="708">
        <f>ROUND(I71*$G71,2)</f>
        <v>0</v>
      </c>
      <c r="N71" s="708">
        <f>ROUND(J71*$G71,2)</f>
        <v>0</v>
      </c>
      <c r="O71" s="718">
        <f>ROUND(K71*$G71,2)</f>
        <v>7200.78</v>
      </c>
      <c r="P71" s="617">
        <f t="shared" si="0"/>
        <v>0</v>
      </c>
      <c r="Q71" s="525"/>
      <c r="S71" s="190">
        <v>0</v>
      </c>
      <c r="T71" s="190">
        <v>328.62</v>
      </c>
      <c r="BT71" s="525"/>
      <c r="BU71" s="523"/>
      <c r="BV71" s="523">
        <v>0</v>
      </c>
      <c r="BW71" s="523">
        <v>0</v>
      </c>
      <c r="BX71" s="523">
        <v>0</v>
      </c>
      <c r="BY71" s="523">
        <v>0</v>
      </c>
      <c r="BZ71" s="523"/>
      <c r="CA71" s="523"/>
      <c r="CB71" s="523"/>
      <c r="CC71" s="523"/>
      <c r="CD71" s="523"/>
      <c r="CE71" s="523"/>
      <c r="CF71" s="523"/>
      <c r="CG71" s="523"/>
      <c r="CH71" s="523"/>
      <c r="CI71" s="523">
        <f t="shared" si="2"/>
        <v>0</v>
      </c>
    </row>
    <row r="72" spans="1:87" ht="15.75" x14ac:dyDescent="0.2">
      <c r="A72" s="605" t="s">
        <v>116</v>
      </c>
      <c r="B72" s="586"/>
      <c r="C72" s="586"/>
      <c r="D72" s="586" t="s">
        <v>1415</v>
      </c>
      <c r="E72" s="609"/>
      <c r="F72" s="609"/>
      <c r="G72" s="609"/>
      <c r="H72" s="609"/>
      <c r="I72" s="609"/>
      <c r="J72" s="609"/>
      <c r="K72" s="609"/>
      <c r="L72" s="711">
        <f>SUM(L73:L74)</f>
        <v>15726.869999999999</v>
      </c>
      <c r="M72" s="711">
        <f>SUM(M73:M74)</f>
        <v>0.11</v>
      </c>
      <c r="N72" s="711">
        <f>SUM(N73:N74)</f>
        <v>15726.869999999999</v>
      </c>
      <c r="O72" s="722">
        <f>SUM(O73:O74)</f>
        <v>0</v>
      </c>
      <c r="P72" s="611">
        <f t="shared" si="0"/>
        <v>1</v>
      </c>
      <c r="Q72" s="525"/>
      <c r="S72" s="189">
        <v>0</v>
      </c>
      <c r="T72" s="189">
        <v>259.22000000000003</v>
      </c>
      <c r="BT72" s="525"/>
      <c r="BU72" s="523"/>
      <c r="BV72" s="523">
        <v>0</v>
      </c>
      <c r="BW72" s="523">
        <v>224.93</v>
      </c>
      <c r="BX72" s="523"/>
      <c r="BY72" s="523"/>
      <c r="BZ72" s="523"/>
      <c r="CA72" s="523"/>
      <c r="CB72" s="523"/>
      <c r="CC72" s="523"/>
      <c r="CD72" s="523"/>
      <c r="CE72" s="523"/>
      <c r="CF72" s="523"/>
      <c r="CG72" s="523"/>
      <c r="CH72" s="523"/>
      <c r="CI72" s="523">
        <f t="shared" si="2"/>
        <v>224.93</v>
      </c>
    </row>
    <row r="73" spans="1:87" ht="30" x14ac:dyDescent="0.2">
      <c r="A73" s="680" t="s">
        <v>118</v>
      </c>
      <c r="B73" s="569">
        <v>87519</v>
      </c>
      <c r="C73" s="569" t="s">
        <v>1324</v>
      </c>
      <c r="D73" s="569" t="s">
        <v>1416</v>
      </c>
      <c r="E73" s="681" t="s">
        <v>14</v>
      </c>
      <c r="F73" s="644">
        <v>378.98</v>
      </c>
      <c r="G73" s="682">
        <v>56.29</v>
      </c>
      <c r="H73" s="681">
        <v>259.22000000000003</v>
      </c>
      <c r="I73" s="573">
        <f t="shared" si="3"/>
        <v>2.0000000000095497E-3</v>
      </c>
      <c r="J73" s="574">
        <f t="shared" si="4"/>
        <v>259.22000000000003</v>
      </c>
      <c r="K73" s="573">
        <f t="shared" ref="K73:K74" si="16">H73-J73</f>
        <v>0</v>
      </c>
      <c r="L73" s="708">
        <f t="shared" ref="L73:O74" si="17">ROUND(H73*$G73,2)</f>
        <v>14591.49</v>
      </c>
      <c r="M73" s="708">
        <f t="shared" si="17"/>
        <v>0.11</v>
      </c>
      <c r="N73" s="708">
        <f t="shared" si="17"/>
        <v>14591.49</v>
      </c>
      <c r="O73" s="718">
        <f t="shared" si="17"/>
        <v>0</v>
      </c>
      <c r="P73" s="617">
        <f t="shared" si="0"/>
        <v>1</v>
      </c>
      <c r="Q73" s="525"/>
      <c r="S73" s="189">
        <v>0</v>
      </c>
      <c r="T73" s="189">
        <v>69.400000000000006</v>
      </c>
      <c r="BT73" s="525"/>
      <c r="BU73" s="523">
        <v>2.0000000000095497E-3</v>
      </c>
      <c r="BV73" s="523">
        <v>0</v>
      </c>
      <c r="BW73" s="523">
        <v>155.53</v>
      </c>
      <c r="BX73" s="523">
        <v>103.68800000000002</v>
      </c>
      <c r="BY73" s="523">
        <v>0</v>
      </c>
      <c r="BZ73" s="523"/>
      <c r="CA73" s="523"/>
      <c r="CB73" s="523"/>
      <c r="CC73" s="523"/>
      <c r="CD73" s="523"/>
      <c r="CE73" s="523"/>
      <c r="CF73" s="523"/>
      <c r="CG73" s="523"/>
      <c r="CH73" s="523"/>
      <c r="CI73" s="523">
        <f t="shared" si="2"/>
        <v>259.22000000000003</v>
      </c>
    </row>
    <row r="74" spans="1:87" s="657" customFormat="1" ht="30" x14ac:dyDescent="0.2">
      <c r="A74" s="680" t="s">
        <v>123</v>
      </c>
      <c r="B74" s="569" t="s">
        <v>1417</v>
      </c>
      <c r="C74" s="569" t="s">
        <v>1324</v>
      </c>
      <c r="D74" s="569" t="s">
        <v>1418</v>
      </c>
      <c r="E74" s="681" t="s">
        <v>81</v>
      </c>
      <c r="F74" s="644">
        <v>421.82</v>
      </c>
      <c r="G74" s="682">
        <v>16.36</v>
      </c>
      <c r="H74" s="681">
        <v>69.400000000000006</v>
      </c>
      <c r="I74" s="573">
        <f t="shared" si="3"/>
        <v>0</v>
      </c>
      <c r="J74" s="574">
        <f t="shared" si="4"/>
        <v>69.400000000000006</v>
      </c>
      <c r="K74" s="573">
        <f t="shared" si="16"/>
        <v>0</v>
      </c>
      <c r="L74" s="708">
        <f t="shared" si="17"/>
        <v>1135.3800000000001</v>
      </c>
      <c r="M74" s="708">
        <f t="shared" si="17"/>
        <v>0</v>
      </c>
      <c r="N74" s="708">
        <f t="shared" si="17"/>
        <v>1135.3800000000001</v>
      </c>
      <c r="O74" s="718">
        <f t="shared" si="17"/>
        <v>0</v>
      </c>
      <c r="P74" s="617">
        <f t="shared" si="0"/>
        <v>1</v>
      </c>
      <c r="Q74" s="525"/>
      <c r="S74" s="190">
        <v>0</v>
      </c>
      <c r="T74" s="190">
        <v>0</v>
      </c>
      <c r="BT74" s="525"/>
      <c r="BU74" s="523"/>
      <c r="BV74" s="523">
        <v>0</v>
      </c>
      <c r="BW74" s="523">
        <v>69.400000000000006</v>
      </c>
      <c r="BX74" s="523">
        <v>0</v>
      </c>
      <c r="BY74" s="523">
        <v>0</v>
      </c>
      <c r="BZ74" s="523"/>
      <c r="CA74" s="523"/>
      <c r="CB74" s="523"/>
      <c r="CC74" s="523"/>
      <c r="CD74" s="523"/>
      <c r="CE74" s="523"/>
      <c r="CF74" s="523"/>
      <c r="CG74" s="523"/>
      <c r="CH74" s="523"/>
      <c r="CI74" s="523">
        <f t="shared" si="2"/>
        <v>69.400000000000006</v>
      </c>
    </row>
    <row r="75" spans="1:87" ht="15.75" x14ac:dyDescent="0.2">
      <c r="A75" s="605" t="s">
        <v>1419</v>
      </c>
      <c r="B75" s="586"/>
      <c r="C75" s="586"/>
      <c r="D75" s="586" t="s">
        <v>1420</v>
      </c>
      <c r="E75" s="609"/>
      <c r="F75" s="609"/>
      <c r="G75" s="609"/>
      <c r="H75" s="609"/>
      <c r="I75" s="609"/>
      <c r="J75" s="609"/>
      <c r="K75" s="609"/>
      <c r="L75" s="711">
        <f>L76</f>
        <v>8501.27</v>
      </c>
      <c r="M75" s="711">
        <f>M76</f>
        <v>1700.25</v>
      </c>
      <c r="N75" s="711">
        <f>N76</f>
        <v>1700.25</v>
      </c>
      <c r="O75" s="722">
        <f>O76</f>
        <v>6801.02</v>
      </c>
      <c r="P75" s="611">
        <f t="shared" si="0"/>
        <v>0.19999952948206562</v>
      </c>
      <c r="Q75" s="525"/>
      <c r="S75" s="189">
        <v>0</v>
      </c>
      <c r="T75" s="189">
        <v>0</v>
      </c>
      <c r="BT75" s="525"/>
      <c r="BU75" s="523"/>
      <c r="BV75" s="523">
        <v>0</v>
      </c>
      <c r="BW75" s="523">
        <v>0</v>
      </c>
      <c r="BX75" s="523"/>
      <c r="BY75" s="523"/>
      <c r="BZ75" s="523"/>
      <c r="CA75" s="523"/>
      <c r="CB75" s="523"/>
      <c r="CC75" s="523"/>
      <c r="CD75" s="523"/>
      <c r="CE75" s="523"/>
      <c r="CF75" s="523"/>
      <c r="CG75" s="523"/>
      <c r="CH75" s="523"/>
      <c r="CI75" s="523">
        <f t="shared" si="2"/>
        <v>0</v>
      </c>
    </row>
    <row r="76" spans="1:87" ht="30" x14ac:dyDescent="0.2">
      <c r="A76" s="680" t="s">
        <v>1421</v>
      </c>
      <c r="B76" s="569" t="s">
        <v>1422</v>
      </c>
      <c r="C76" s="569" t="s">
        <v>1324</v>
      </c>
      <c r="D76" s="569" t="s">
        <v>1423</v>
      </c>
      <c r="E76" s="681" t="s">
        <v>14</v>
      </c>
      <c r="F76" s="578"/>
      <c r="G76" s="682">
        <v>57.41</v>
      </c>
      <c r="H76" s="681">
        <v>148.08000000000001</v>
      </c>
      <c r="I76" s="573">
        <f t="shared" si="3"/>
        <v>29.616000000000003</v>
      </c>
      <c r="J76" s="574">
        <f t="shared" si="4"/>
        <v>29.616000000000003</v>
      </c>
      <c r="K76" s="644">
        <f>H76-J76</f>
        <v>118.46400000000001</v>
      </c>
      <c r="L76" s="708">
        <f>ROUND(H76*$G76,2)</f>
        <v>8501.27</v>
      </c>
      <c r="M76" s="708">
        <f>ROUND(I76*$G76,2)</f>
        <v>1700.25</v>
      </c>
      <c r="N76" s="708">
        <f>ROUND(J76*$G76,2)</f>
        <v>1700.25</v>
      </c>
      <c r="O76" s="718">
        <f>ROUND(K76*$G76,2)</f>
        <v>6801.02</v>
      </c>
      <c r="P76" s="617">
        <f t="shared" si="0"/>
        <v>0.19999952948206562</v>
      </c>
      <c r="Q76" s="525"/>
      <c r="S76" s="189">
        <v>0</v>
      </c>
      <c r="T76" s="189">
        <v>0</v>
      </c>
      <c r="BT76" s="525"/>
      <c r="BU76" s="659">
        <f>H76*0.2</f>
        <v>29.616000000000003</v>
      </c>
      <c r="BV76" s="523">
        <v>0</v>
      </c>
      <c r="BW76" s="523">
        <v>0</v>
      </c>
      <c r="BX76" s="523">
        <v>0</v>
      </c>
      <c r="BY76" s="523">
        <v>0</v>
      </c>
      <c r="BZ76" s="523"/>
      <c r="CA76" s="523"/>
      <c r="CB76" s="523"/>
      <c r="CC76" s="523"/>
      <c r="CD76" s="523"/>
      <c r="CE76" s="523"/>
      <c r="CF76" s="523"/>
      <c r="CG76" s="523"/>
      <c r="CH76" s="523"/>
      <c r="CI76" s="523">
        <f t="shared" si="2"/>
        <v>29.616000000000003</v>
      </c>
    </row>
    <row r="77" spans="1:87" s="657" customFormat="1" ht="15.75" x14ac:dyDescent="0.2">
      <c r="A77" s="600">
        <v>6</v>
      </c>
      <c r="B77" s="558"/>
      <c r="C77" s="558"/>
      <c r="D77" s="558" t="s">
        <v>97</v>
      </c>
      <c r="E77" s="626"/>
      <c r="F77" s="626"/>
      <c r="G77" s="626"/>
      <c r="H77" s="626"/>
      <c r="I77" s="626"/>
      <c r="J77" s="626"/>
      <c r="K77" s="626"/>
      <c r="L77" s="628">
        <f>SUM(L78,L83,L87,L90)</f>
        <v>10373.979999999998</v>
      </c>
      <c r="M77" s="628">
        <f>SUM(M78,M83,M87,M90)</f>
        <v>0</v>
      </c>
      <c r="N77" s="628">
        <f>SUM(N78,N83,N87,N90)</f>
        <v>0</v>
      </c>
      <c r="O77" s="721">
        <f>SUM(O78,O83,O87,O90)</f>
        <v>10373.979999999998</v>
      </c>
      <c r="P77" s="604">
        <f t="shared" si="0"/>
        <v>0</v>
      </c>
      <c r="Q77" s="525"/>
      <c r="S77" s="190">
        <v>0</v>
      </c>
      <c r="T77" s="190">
        <v>0</v>
      </c>
      <c r="BT77" s="525"/>
      <c r="BU77" s="523"/>
      <c r="BV77" s="523">
        <v>0</v>
      </c>
      <c r="BW77" s="523">
        <v>0</v>
      </c>
      <c r="BX77" s="523"/>
      <c r="BY77" s="523"/>
      <c r="BZ77" s="523"/>
      <c r="CA77" s="523"/>
      <c r="CB77" s="523"/>
      <c r="CC77" s="523"/>
      <c r="CD77" s="523"/>
      <c r="CE77" s="523"/>
      <c r="CF77" s="523"/>
      <c r="CG77" s="523"/>
      <c r="CH77" s="523"/>
      <c r="CI77" s="523">
        <f t="shared" si="2"/>
        <v>0</v>
      </c>
    </row>
    <row r="78" spans="1:87" ht="15.75" x14ac:dyDescent="0.2">
      <c r="A78" s="605" t="s">
        <v>186</v>
      </c>
      <c r="B78" s="586"/>
      <c r="C78" s="586"/>
      <c r="D78" s="586" t="s">
        <v>1424</v>
      </c>
      <c r="E78" s="609"/>
      <c r="F78" s="609"/>
      <c r="G78" s="609"/>
      <c r="H78" s="609"/>
      <c r="I78" s="609"/>
      <c r="J78" s="609"/>
      <c r="K78" s="609"/>
      <c r="L78" s="711">
        <f>SUM(L79:L82)</f>
        <v>7440.7899999999991</v>
      </c>
      <c r="M78" s="711">
        <f>SUM(M79:M82)</f>
        <v>0</v>
      </c>
      <c r="N78" s="711">
        <f>SUM(N79:N82)</f>
        <v>0</v>
      </c>
      <c r="O78" s="722">
        <f>SUM(O79:O82)</f>
        <v>7440.7899999999991</v>
      </c>
      <c r="P78" s="611">
        <f t="shared" ref="P78:P87" si="18">N78/L78</f>
        <v>0</v>
      </c>
      <c r="Q78" s="525"/>
      <c r="S78" s="189">
        <v>0</v>
      </c>
      <c r="T78" s="189">
        <v>0</v>
      </c>
      <c r="BT78" s="525"/>
      <c r="BU78" s="523"/>
      <c r="BV78" s="523">
        <v>0</v>
      </c>
      <c r="BW78" s="523">
        <v>0</v>
      </c>
      <c r="BX78" s="523"/>
      <c r="BY78" s="523"/>
      <c r="BZ78" s="523"/>
      <c r="CA78" s="523"/>
      <c r="CB78" s="523"/>
      <c r="CC78" s="523"/>
      <c r="CD78" s="523"/>
      <c r="CE78" s="523"/>
      <c r="CF78" s="523"/>
      <c r="CG78" s="523"/>
      <c r="CH78" s="523"/>
      <c r="CI78" s="523">
        <f t="shared" si="2"/>
        <v>0</v>
      </c>
    </row>
    <row r="79" spans="1:87" ht="30" x14ac:dyDescent="0.2">
      <c r="A79" s="680" t="s">
        <v>1425</v>
      </c>
      <c r="B79" s="569">
        <v>90843</v>
      </c>
      <c r="C79" s="569" t="s">
        <v>1324</v>
      </c>
      <c r="D79" s="569" t="s">
        <v>1426</v>
      </c>
      <c r="E79" s="681" t="s">
        <v>102</v>
      </c>
      <c r="F79" s="571"/>
      <c r="G79" s="682">
        <v>688.65</v>
      </c>
      <c r="H79" s="681">
        <v>2</v>
      </c>
      <c r="I79" s="573">
        <f t="shared" si="3"/>
        <v>0</v>
      </c>
      <c r="J79" s="574">
        <f t="shared" si="4"/>
        <v>0</v>
      </c>
      <c r="K79" s="644">
        <f>H79-J79</f>
        <v>2</v>
      </c>
      <c r="L79" s="708">
        <f t="shared" ref="L79:O82" si="19">ROUND(H79*$G79,2)</f>
        <v>1377.3</v>
      </c>
      <c r="M79" s="708">
        <f t="shared" si="19"/>
        <v>0</v>
      </c>
      <c r="N79" s="708">
        <f t="shared" si="19"/>
        <v>0</v>
      </c>
      <c r="O79" s="718">
        <f t="shared" si="19"/>
        <v>1377.3</v>
      </c>
      <c r="P79" s="617">
        <f t="shared" si="18"/>
        <v>0</v>
      </c>
      <c r="Q79" s="525"/>
      <c r="S79" s="189">
        <v>0</v>
      </c>
      <c r="T79" s="189">
        <v>0</v>
      </c>
      <c r="BT79" s="525"/>
      <c r="BU79" s="523"/>
      <c r="BV79" s="523">
        <v>0</v>
      </c>
      <c r="BW79" s="523">
        <v>0</v>
      </c>
      <c r="BX79" s="523">
        <v>0</v>
      </c>
      <c r="BY79" s="523">
        <v>0</v>
      </c>
      <c r="BZ79" s="523"/>
      <c r="CA79" s="523"/>
      <c r="CB79" s="523"/>
      <c r="CC79" s="523"/>
      <c r="CD79" s="523"/>
      <c r="CE79" s="523"/>
      <c r="CF79" s="523"/>
      <c r="CG79" s="523"/>
      <c r="CH79" s="523"/>
      <c r="CI79" s="523">
        <f t="shared" ref="CI79:CI142" si="20">SUM(BU79:CH79)</f>
        <v>0</v>
      </c>
    </row>
    <row r="80" spans="1:87" ht="30" x14ac:dyDescent="0.2">
      <c r="A80" s="680" t="s">
        <v>1427</v>
      </c>
      <c r="B80" s="569">
        <v>90844</v>
      </c>
      <c r="C80" s="569" t="s">
        <v>1324</v>
      </c>
      <c r="D80" s="569" t="s">
        <v>1428</v>
      </c>
      <c r="E80" s="681" t="s">
        <v>102</v>
      </c>
      <c r="F80" s="644">
        <v>179.33</v>
      </c>
      <c r="G80" s="682">
        <v>926.13</v>
      </c>
      <c r="H80" s="681">
        <v>1</v>
      </c>
      <c r="I80" s="622">
        <f t="shared" ref="I80:I143" si="21">BU80</f>
        <v>0</v>
      </c>
      <c r="J80" s="574">
        <f t="shared" ref="J80:J143" si="22">CI80</f>
        <v>0</v>
      </c>
      <c r="K80" s="644">
        <f>H80-J80</f>
        <v>1</v>
      </c>
      <c r="L80" s="708">
        <f t="shared" si="19"/>
        <v>926.13</v>
      </c>
      <c r="M80" s="708">
        <f t="shared" si="19"/>
        <v>0</v>
      </c>
      <c r="N80" s="708">
        <f t="shared" si="19"/>
        <v>0</v>
      </c>
      <c r="O80" s="718">
        <f t="shared" si="19"/>
        <v>926.13</v>
      </c>
      <c r="P80" s="617">
        <f t="shared" si="18"/>
        <v>0</v>
      </c>
      <c r="Q80" s="525"/>
      <c r="S80" s="189">
        <v>0</v>
      </c>
      <c r="T80" s="189">
        <v>0</v>
      </c>
      <c r="BT80" s="525"/>
      <c r="BU80" s="523"/>
      <c r="BV80" s="523">
        <v>0</v>
      </c>
      <c r="BW80" s="523">
        <v>0</v>
      </c>
      <c r="BX80" s="523">
        <v>0</v>
      </c>
      <c r="BY80" s="523">
        <v>0</v>
      </c>
      <c r="BZ80" s="523"/>
      <c r="CA80" s="523"/>
      <c r="CB80" s="523"/>
      <c r="CC80" s="523"/>
      <c r="CD80" s="523"/>
      <c r="CE80" s="523"/>
      <c r="CF80" s="523"/>
      <c r="CG80" s="523"/>
      <c r="CH80" s="523"/>
      <c r="CI80" s="523">
        <f t="shared" si="20"/>
        <v>0</v>
      </c>
    </row>
    <row r="81" spans="1:87" ht="30" x14ac:dyDescent="0.2">
      <c r="A81" s="680" t="s">
        <v>1429</v>
      </c>
      <c r="B81" s="569" t="s">
        <v>1430</v>
      </c>
      <c r="C81" s="569" t="s">
        <v>1324</v>
      </c>
      <c r="D81" s="569" t="s">
        <v>1431</v>
      </c>
      <c r="E81" s="681" t="s">
        <v>102</v>
      </c>
      <c r="F81" s="644">
        <v>268.98</v>
      </c>
      <c r="G81" s="682">
        <v>825.22</v>
      </c>
      <c r="H81" s="681">
        <v>4</v>
      </c>
      <c r="I81" s="622">
        <f t="shared" si="21"/>
        <v>0</v>
      </c>
      <c r="J81" s="574">
        <f t="shared" si="22"/>
        <v>0</v>
      </c>
      <c r="K81" s="644">
        <f>H81-J81</f>
        <v>4</v>
      </c>
      <c r="L81" s="708">
        <f t="shared" si="19"/>
        <v>3300.88</v>
      </c>
      <c r="M81" s="708">
        <f t="shared" si="19"/>
        <v>0</v>
      </c>
      <c r="N81" s="708">
        <f t="shared" si="19"/>
        <v>0</v>
      </c>
      <c r="O81" s="718">
        <f t="shared" si="19"/>
        <v>3300.88</v>
      </c>
      <c r="P81" s="617">
        <f t="shared" si="18"/>
        <v>0</v>
      </c>
      <c r="Q81" s="525"/>
      <c r="S81" s="189">
        <v>0</v>
      </c>
      <c r="T81" s="189">
        <v>0</v>
      </c>
      <c r="BT81" s="525"/>
      <c r="BU81" s="523"/>
      <c r="BV81" s="523">
        <v>0</v>
      </c>
      <c r="BW81" s="523">
        <v>0</v>
      </c>
      <c r="BX81" s="523">
        <v>0</v>
      </c>
      <c r="BY81" s="523">
        <v>0</v>
      </c>
      <c r="BZ81" s="523"/>
      <c r="CA81" s="523"/>
      <c r="CB81" s="523"/>
      <c r="CC81" s="523"/>
      <c r="CD81" s="523"/>
      <c r="CE81" s="523"/>
      <c r="CF81" s="523"/>
      <c r="CG81" s="523"/>
      <c r="CH81" s="523"/>
      <c r="CI81" s="523">
        <f t="shared" si="20"/>
        <v>0</v>
      </c>
    </row>
    <row r="82" spans="1:87" s="657" customFormat="1" ht="30" x14ac:dyDescent="0.2">
      <c r="A82" s="680" t="s">
        <v>1432</v>
      </c>
      <c r="B82" s="569" t="s">
        <v>1433</v>
      </c>
      <c r="C82" s="569" t="s">
        <v>1324</v>
      </c>
      <c r="D82" s="569" t="s">
        <v>1434</v>
      </c>
      <c r="E82" s="681" t="s">
        <v>102</v>
      </c>
      <c r="F82" s="644">
        <v>134.49</v>
      </c>
      <c r="G82" s="682">
        <v>918.24</v>
      </c>
      <c r="H82" s="681">
        <v>2</v>
      </c>
      <c r="I82" s="622">
        <f t="shared" si="21"/>
        <v>0</v>
      </c>
      <c r="J82" s="574">
        <f t="shared" si="22"/>
        <v>0</v>
      </c>
      <c r="K82" s="644">
        <f>H82-J82</f>
        <v>2</v>
      </c>
      <c r="L82" s="708">
        <f t="shared" si="19"/>
        <v>1836.48</v>
      </c>
      <c r="M82" s="708">
        <f t="shared" si="19"/>
        <v>0</v>
      </c>
      <c r="N82" s="708">
        <f t="shared" si="19"/>
        <v>0</v>
      </c>
      <c r="O82" s="718">
        <f t="shared" si="19"/>
        <v>1836.48</v>
      </c>
      <c r="P82" s="617">
        <f t="shared" si="18"/>
        <v>0</v>
      </c>
      <c r="Q82" s="525"/>
      <c r="S82" s="190">
        <v>0</v>
      </c>
      <c r="T82" s="190">
        <v>0</v>
      </c>
      <c r="BT82" s="525"/>
      <c r="BU82" s="523"/>
      <c r="BV82" s="523">
        <v>0</v>
      </c>
      <c r="BW82" s="523">
        <v>0</v>
      </c>
      <c r="BX82" s="523">
        <v>0</v>
      </c>
      <c r="BY82" s="523">
        <v>0</v>
      </c>
      <c r="BZ82" s="523"/>
      <c r="CA82" s="523"/>
      <c r="CB82" s="523"/>
      <c r="CC82" s="523"/>
      <c r="CD82" s="523"/>
      <c r="CE82" s="523"/>
      <c r="CF82" s="523"/>
      <c r="CG82" s="523"/>
      <c r="CH82" s="523"/>
      <c r="CI82" s="523">
        <f t="shared" si="20"/>
        <v>0</v>
      </c>
    </row>
    <row r="83" spans="1:87" ht="15.75" x14ac:dyDescent="0.2">
      <c r="A83" s="605" t="s">
        <v>188</v>
      </c>
      <c r="B83" s="586"/>
      <c r="C83" s="586"/>
      <c r="D83" s="586" t="s">
        <v>1435</v>
      </c>
      <c r="E83" s="609"/>
      <c r="F83" s="609"/>
      <c r="G83" s="609"/>
      <c r="H83" s="609"/>
      <c r="I83" s="609"/>
      <c r="J83" s="609"/>
      <c r="K83" s="609"/>
      <c r="L83" s="733">
        <f>SUM(L84:L86)</f>
        <v>773.29</v>
      </c>
      <c r="M83" s="733">
        <f>SUM(M84:M86)</f>
        <v>0</v>
      </c>
      <c r="N83" s="733">
        <f>SUM(N84:N86)</f>
        <v>0</v>
      </c>
      <c r="O83" s="722">
        <f>SUM(O84:O86)</f>
        <v>773.29</v>
      </c>
      <c r="P83" s="611">
        <f t="shared" si="18"/>
        <v>0</v>
      </c>
      <c r="Q83" s="525"/>
      <c r="S83" s="189">
        <v>0</v>
      </c>
      <c r="T83" s="189">
        <v>0</v>
      </c>
      <c r="BT83" s="525"/>
      <c r="BU83" s="523"/>
      <c r="BV83" s="523">
        <v>0</v>
      </c>
      <c r="BW83" s="523">
        <v>0</v>
      </c>
      <c r="BX83" s="523"/>
      <c r="BY83" s="523"/>
      <c r="BZ83" s="523"/>
      <c r="CA83" s="523"/>
      <c r="CB83" s="523"/>
      <c r="CC83" s="523"/>
      <c r="CD83" s="523"/>
      <c r="CE83" s="523"/>
      <c r="CF83" s="523"/>
      <c r="CG83" s="523"/>
      <c r="CH83" s="523"/>
      <c r="CI83" s="523">
        <f t="shared" si="20"/>
        <v>0</v>
      </c>
    </row>
    <row r="84" spans="1:87" ht="15" x14ac:dyDescent="0.2">
      <c r="A84" s="680" t="s">
        <v>1436</v>
      </c>
      <c r="B84" s="569" t="s">
        <v>2007</v>
      </c>
      <c r="C84" s="569" t="s">
        <v>1339</v>
      </c>
      <c r="D84" s="569" t="s">
        <v>1437</v>
      </c>
      <c r="E84" s="681" t="s">
        <v>81</v>
      </c>
      <c r="F84" s="644">
        <v>627.62</v>
      </c>
      <c r="G84" s="682">
        <v>48.24</v>
      </c>
      <c r="H84" s="681">
        <v>11.6</v>
      </c>
      <c r="I84" s="622">
        <f t="shared" si="21"/>
        <v>0</v>
      </c>
      <c r="J84" s="574">
        <f t="shared" si="22"/>
        <v>0</v>
      </c>
      <c r="K84" s="644">
        <f t="shared" ref="K84:K91" si="23">H84-J84</f>
        <v>11.6</v>
      </c>
      <c r="L84" s="708">
        <f t="shared" ref="L84:O86" si="24">ROUND(H84*$G84,2)</f>
        <v>559.58000000000004</v>
      </c>
      <c r="M84" s="708">
        <f t="shared" si="24"/>
        <v>0</v>
      </c>
      <c r="N84" s="708">
        <f t="shared" si="24"/>
        <v>0</v>
      </c>
      <c r="O84" s="718">
        <f t="shared" si="24"/>
        <v>559.58000000000004</v>
      </c>
      <c r="P84" s="617">
        <f t="shared" si="18"/>
        <v>0</v>
      </c>
      <c r="Q84" s="525"/>
      <c r="S84" s="189">
        <v>0</v>
      </c>
      <c r="T84" s="189">
        <v>0</v>
      </c>
      <c r="BT84" s="525"/>
      <c r="BU84" s="523"/>
      <c r="BV84" s="523">
        <v>0</v>
      </c>
      <c r="BW84" s="523">
        <v>0</v>
      </c>
      <c r="BX84" s="523">
        <v>0</v>
      </c>
      <c r="BY84" s="523">
        <v>0</v>
      </c>
      <c r="BZ84" s="523"/>
      <c r="CA84" s="523"/>
      <c r="CB84" s="523"/>
      <c r="CC84" s="523"/>
      <c r="CD84" s="523"/>
      <c r="CE84" s="523"/>
      <c r="CF84" s="523"/>
      <c r="CG84" s="523"/>
      <c r="CH84" s="523"/>
      <c r="CI84" s="523">
        <f t="shared" si="20"/>
        <v>0</v>
      </c>
    </row>
    <row r="85" spans="1:87" ht="15" x14ac:dyDescent="0.2">
      <c r="A85" s="680" t="s">
        <v>1438</v>
      </c>
      <c r="B85" s="569" t="s">
        <v>2007</v>
      </c>
      <c r="C85" s="569" t="s">
        <v>1339</v>
      </c>
      <c r="D85" s="569" t="s">
        <v>1439</v>
      </c>
      <c r="E85" s="681" t="s">
        <v>14</v>
      </c>
      <c r="F85" s="644">
        <v>358.64</v>
      </c>
      <c r="G85" s="682">
        <v>5.44</v>
      </c>
      <c r="H85" s="681">
        <v>4.3</v>
      </c>
      <c r="I85" s="622">
        <f t="shared" si="21"/>
        <v>0</v>
      </c>
      <c r="J85" s="574">
        <f t="shared" si="22"/>
        <v>0</v>
      </c>
      <c r="K85" s="644">
        <f t="shared" si="23"/>
        <v>4.3</v>
      </c>
      <c r="L85" s="708">
        <f t="shared" si="24"/>
        <v>23.39</v>
      </c>
      <c r="M85" s="708">
        <f t="shared" si="24"/>
        <v>0</v>
      </c>
      <c r="N85" s="708">
        <f t="shared" si="24"/>
        <v>0</v>
      </c>
      <c r="O85" s="718">
        <f t="shared" si="24"/>
        <v>23.39</v>
      </c>
      <c r="P85" s="617">
        <f t="shared" si="18"/>
        <v>0</v>
      </c>
      <c r="Q85" s="525"/>
      <c r="S85" s="189">
        <v>0</v>
      </c>
      <c r="T85" s="189">
        <v>0</v>
      </c>
      <c r="BT85" s="525"/>
      <c r="BU85" s="523"/>
      <c r="BV85" s="523">
        <v>0</v>
      </c>
      <c r="BW85" s="523">
        <v>0</v>
      </c>
      <c r="BX85" s="523">
        <v>0</v>
      </c>
      <c r="BY85" s="523">
        <v>0</v>
      </c>
      <c r="BZ85" s="523"/>
      <c r="CA85" s="523"/>
      <c r="CB85" s="523"/>
      <c r="CC85" s="523"/>
      <c r="CD85" s="523"/>
      <c r="CE85" s="523"/>
      <c r="CF85" s="523"/>
      <c r="CG85" s="523"/>
      <c r="CH85" s="523"/>
      <c r="CI85" s="523">
        <f t="shared" si="20"/>
        <v>0</v>
      </c>
    </row>
    <row r="86" spans="1:87" s="657" customFormat="1" ht="15" x14ac:dyDescent="0.2">
      <c r="A86" s="680" t="s">
        <v>1440</v>
      </c>
      <c r="B86" s="569" t="s">
        <v>1441</v>
      </c>
      <c r="C86" s="569" t="s">
        <v>1324</v>
      </c>
      <c r="D86" s="569" t="s">
        <v>1442</v>
      </c>
      <c r="E86" s="681" t="s">
        <v>102</v>
      </c>
      <c r="F86" s="644">
        <v>448.3</v>
      </c>
      <c r="G86" s="682">
        <v>31.72</v>
      </c>
      <c r="H86" s="681">
        <v>6</v>
      </c>
      <c r="I86" s="622">
        <f t="shared" si="21"/>
        <v>0</v>
      </c>
      <c r="J86" s="574">
        <f t="shared" si="22"/>
        <v>0</v>
      </c>
      <c r="K86" s="644">
        <f t="shared" si="23"/>
        <v>6</v>
      </c>
      <c r="L86" s="708">
        <f t="shared" si="24"/>
        <v>190.32</v>
      </c>
      <c r="M86" s="708">
        <f t="shared" si="24"/>
        <v>0</v>
      </c>
      <c r="N86" s="708">
        <f t="shared" si="24"/>
        <v>0</v>
      </c>
      <c r="O86" s="718">
        <f t="shared" si="24"/>
        <v>190.32</v>
      </c>
      <c r="P86" s="617">
        <f t="shared" si="18"/>
        <v>0</v>
      </c>
      <c r="Q86" s="525"/>
      <c r="S86" s="190">
        <v>0</v>
      </c>
      <c r="T86" s="190">
        <v>0</v>
      </c>
      <c r="BT86" s="525"/>
      <c r="BU86" s="523"/>
      <c r="BV86" s="523">
        <v>0</v>
      </c>
      <c r="BW86" s="523">
        <v>0</v>
      </c>
      <c r="BX86" s="523">
        <v>0</v>
      </c>
      <c r="BY86" s="523">
        <v>0</v>
      </c>
      <c r="BZ86" s="523"/>
      <c r="CA86" s="523"/>
      <c r="CB86" s="523"/>
      <c r="CC86" s="523"/>
      <c r="CD86" s="523"/>
      <c r="CE86" s="523"/>
      <c r="CF86" s="523"/>
      <c r="CG86" s="523"/>
      <c r="CH86" s="523"/>
      <c r="CI86" s="523">
        <f t="shared" si="20"/>
        <v>0</v>
      </c>
    </row>
    <row r="87" spans="1:87" ht="15.75" x14ac:dyDescent="0.2">
      <c r="A87" s="605" t="s">
        <v>1443</v>
      </c>
      <c r="B87" s="586"/>
      <c r="C87" s="586"/>
      <c r="D87" s="586" t="s">
        <v>1444</v>
      </c>
      <c r="E87" s="609"/>
      <c r="F87" s="609"/>
      <c r="G87" s="609"/>
      <c r="H87" s="609"/>
      <c r="I87" s="609"/>
      <c r="J87" s="609"/>
      <c r="K87" s="609"/>
      <c r="L87" s="712">
        <f>L89</f>
        <v>331.68</v>
      </c>
      <c r="M87" s="712">
        <f>M89</f>
        <v>0</v>
      </c>
      <c r="N87" s="712">
        <f>N89</f>
        <v>0</v>
      </c>
      <c r="O87" s="723">
        <f>O89</f>
        <v>331.68</v>
      </c>
      <c r="P87" s="611">
        <f t="shared" si="18"/>
        <v>0</v>
      </c>
      <c r="Q87" s="525"/>
      <c r="S87" s="189">
        <v>0</v>
      </c>
      <c r="T87" s="189">
        <v>0</v>
      </c>
      <c r="BT87" s="525"/>
      <c r="BU87" s="523"/>
      <c r="BV87" s="523">
        <v>0</v>
      </c>
      <c r="BW87" s="523">
        <v>0</v>
      </c>
      <c r="BX87" s="523"/>
      <c r="BY87" s="523"/>
      <c r="BZ87" s="523"/>
      <c r="CA87" s="523"/>
      <c r="CB87" s="523"/>
      <c r="CC87" s="523"/>
      <c r="CD87" s="523"/>
      <c r="CE87" s="523"/>
      <c r="CF87" s="523"/>
      <c r="CG87" s="523"/>
      <c r="CH87" s="523"/>
      <c r="CI87" s="523">
        <f t="shared" si="20"/>
        <v>0</v>
      </c>
    </row>
    <row r="88" spans="1:87" ht="15" x14ac:dyDescent="0.2">
      <c r="A88" s="680" t="s">
        <v>1445</v>
      </c>
      <c r="B88" s="569">
        <v>68052</v>
      </c>
      <c r="C88" s="569" t="s">
        <v>1324</v>
      </c>
      <c r="D88" s="624" t="s">
        <v>1446</v>
      </c>
      <c r="E88" s="681" t="s">
        <v>14</v>
      </c>
      <c r="F88" s="644">
        <v>390.13</v>
      </c>
      <c r="G88" s="682">
        <v>0</v>
      </c>
      <c r="H88" s="681">
        <v>10.8</v>
      </c>
      <c r="I88" s="622">
        <f t="shared" si="21"/>
        <v>0</v>
      </c>
      <c r="J88" s="574">
        <f t="shared" si="22"/>
        <v>0</v>
      </c>
      <c r="K88" s="644">
        <f t="shared" si="23"/>
        <v>10.8</v>
      </c>
      <c r="L88" s="708">
        <f t="shared" ref="L88:O89" si="25">ROUND(H88*$G88,2)</f>
        <v>0</v>
      </c>
      <c r="M88" s="708">
        <f t="shared" si="25"/>
        <v>0</v>
      </c>
      <c r="N88" s="708">
        <f t="shared" si="25"/>
        <v>0</v>
      </c>
      <c r="O88" s="718">
        <f t="shared" si="25"/>
        <v>0</v>
      </c>
      <c r="P88" s="617">
        <v>1</v>
      </c>
      <c r="Q88" s="525"/>
      <c r="S88" s="189">
        <v>0</v>
      </c>
      <c r="T88" s="189">
        <v>0</v>
      </c>
      <c r="BT88" s="525"/>
      <c r="BU88" s="523"/>
      <c r="BV88" s="523">
        <v>0</v>
      </c>
      <c r="BW88" s="523">
        <v>0</v>
      </c>
      <c r="BX88" s="523">
        <v>0</v>
      </c>
      <c r="BY88" s="523">
        <v>0</v>
      </c>
      <c r="BZ88" s="523"/>
      <c r="CA88" s="523"/>
      <c r="CB88" s="523"/>
      <c r="CC88" s="523"/>
      <c r="CD88" s="523"/>
      <c r="CE88" s="523"/>
      <c r="CF88" s="523"/>
      <c r="CG88" s="523"/>
      <c r="CH88" s="523"/>
      <c r="CI88" s="523">
        <f t="shared" si="20"/>
        <v>0</v>
      </c>
    </row>
    <row r="89" spans="1:87" s="657" customFormat="1" ht="15" x14ac:dyDescent="0.2">
      <c r="A89" s="680" t="s">
        <v>1447</v>
      </c>
      <c r="B89" s="569">
        <v>85010</v>
      </c>
      <c r="C89" s="569" t="s">
        <v>1324</v>
      </c>
      <c r="D89" s="569" t="s">
        <v>1448</v>
      </c>
      <c r="E89" s="681" t="s">
        <v>14</v>
      </c>
      <c r="F89" s="644">
        <v>975.33</v>
      </c>
      <c r="G89" s="682">
        <v>159.46</v>
      </c>
      <c r="H89" s="681">
        <v>2.08</v>
      </c>
      <c r="I89" s="622">
        <f t="shared" si="21"/>
        <v>0</v>
      </c>
      <c r="J89" s="574">
        <f t="shared" si="22"/>
        <v>0</v>
      </c>
      <c r="K89" s="644">
        <f t="shared" si="23"/>
        <v>2.08</v>
      </c>
      <c r="L89" s="708">
        <f t="shared" si="25"/>
        <v>331.68</v>
      </c>
      <c r="M89" s="708">
        <f t="shared" si="25"/>
        <v>0</v>
      </c>
      <c r="N89" s="708">
        <f t="shared" si="25"/>
        <v>0</v>
      </c>
      <c r="O89" s="718">
        <f t="shared" si="25"/>
        <v>331.68</v>
      </c>
      <c r="P89" s="617">
        <f t="shared" ref="P89:P139" si="26">N89/L89</f>
        <v>0</v>
      </c>
      <c r="Q89" s="525"/>
      <c r="S89" s="190">
        <v>0</v>
      </c>
      <c r="T89" s="190">
        <v>0</v>
      </c>
      <c r="BT89" s="525"/>
      <c r="BU89" s="523"/>
      <c r="BV89" s="523">
        <v>0</v>
      </c>
      <c r="BW89" s="523">
        <v>0</v>
      </c>
      <c r="BX89" s="523">
        <v>0</v>
      </c>
      <c r="BY89" s="523">
        <v>0</v>
      </c>
      <c r="BZ89" s="523"/>
      <c r="CA89" s="523"/>
      <c r="CB89" s="523"/>
      <c r="CC89" s="523"/>
      <c r="CD89" s="523"/>
      <c r="CE89" s="523"/>
      <c r="CF89" s="523"/>
      <c r="CG89" s="523"/>
      <c r="CH89" s="523"/>
      <c r="CI89" s="523">
        <f t="shared" si="20"/>
        <v>0</v>
      </c>
    </row>
    <row r="90" spans="1:87" ht="15.75" x14ac:dyDescent="0.2">
      <c r="A90" s="605" t="s">
        <v>1449</v>
      </c>
      <c r="B90" s="586"/>
      <c r="C90" s="586"/>
      <c r="D90" s="586" t="s">
        <v>184</v>
      </c>
      <c r="E90" s="609"/>
      <c r="F90" s="609"/>
      <c r="G90" s="609"/>
      <c r="H90" s="609"/>
      <c r="I90" s="609"/>
      <c r="J90" s="609"/>
      <c r="K90" s="609"/>
      <c r="L90" s="712">
        <f>L91</f>
        <v>1828.22</v>
      </c>
      <c r="M90" s="712">
        <f>M91</f>
        <v>0</v>
      </c>
      <c r="N90" s="712">
        <f>N91</f>
        <v>0</v>
      </c>
      <c r="O90" s="723">
        <f>O91</f>
        <v>1828.22</v>
      </c>
      <c r="P90" s="611">
        <f t="shared" si="26"/>
        <v>0</v>
      </c>
      <c r="Q90" s="525"/>
      <c r="S90" s="189">
        <v>0</v>
      </c>
      <c r="T90" s="189">
        <v>0</v>
      </c>
      <c r="BT90" s="525"/>
      <c r="BU90" s="523"/>
      <c r="BV90" s="523">
        <v>0</v>
      </c>
      <c r="BW90" s="523">
        <v>0</v>
      </c>
      <c r="BX90" s="523"/>
      <c r="BY90" s="523"/>
      <c r="BZ90" s="523"/>
      <c r="CA90" s="523"/>
      <c r="CB90" s="523"/>
      <c r="CC90" s="523"/>
      <c r="CD90" s="523"/>
      <c r="CE90" s="523"/>
      <c r="CF90" s="523"/>
      <c r="CG90" s="523"/>
      <c r="CH90" s="523"/>
      <c r="CI90" s="523">
        <f t="shared" si="20"/>
        <v>0</v>
      </c>
    </row>
    <row r="91" spans="1:87" ht="15" x14ac:dyDescent="0.2">
      <c r="A91" s="680" t="s">
        <v>1450</v>
      </c>
      <c r="B91" s="569" t="s">
        <v>1451</v>
      </c>
      <c r="C91" s="569" t="s">
        <v>1324</v>
      </c>
      <c r="D91" s="569" t="s">
        <v>1452</v>
      </c>
      <c r="E91" s="681" t="s">
        <v>14</v>
      </c>
      <c r="F91" s="644">
        <v>877.8</v>
      </c>
      <c r="G91" s="682">
        <v>423.2</v>
      </c>
      <c r="H91" s="681">
        <v>4.32</v>
      </c>
      <c r="I91" s="622">
        <f t="shared" si="21"/>
        <v>0</v>
      </c>
      <c r="J91" s="574">
        <f t="shared" si="22"/>
        <v>0</v>
      </c>
      <c r="K91" s="644">
        <f t="shared" si="23"/>
        <v>4.32</v>
      </c>
      <c r="L91" s="708">
        <f>ROUND(H91*$G91,2)</f>
        <v>1828.22</v>
      </c>
      <c r="M91" s="708">
        <f>ROUND(I91*$G91,2)</f>
        <v>0</v>
      </c>
      <c r="N91" s="708">
        <f>ROUND(J91*$G91,2)</f>
        <v>0</v>
      </c>
      <c r="O91" s="718">
        <f>ROUND(K91*$G91,2)</f>
        <v>1828.22</v>
      </c>
      <c r="P91" s="617">
        <f t="shared" si="26"/>
        <v>0</v>
      </c>
      <c r="Q91" s="525"/>
      <c r="S91" s="189">
        <v>0</v>
      </c>
      <c r="T91" s="189">
        <v>0</v>
      </c>
      <c r="BT91" s="525"/>
      <c r="BU91" s="523"/>
      <c r="BV91" s="523">
        <v>0</v>
      </c>
      <c r="BW91" s="523">
        <v>0</v>
      </c>
      <c r="BX91" s="523">
        <v>0</v>
      </c>
      <c r="BY91" s="523">
        <v>0</v>
      </c>
      <c r="BZ91" s="523"/>
      <c r="CA91" s="523"/>
      <c r="CB91" s="523"/>
      <c r="CC91" s="523"/>
      <c r="CD91" s="523"/>
      <c r="CE91" s="523"/>
      <c r="CF91" s="523"/>
      <c r="CG91" s="523"/>
      <c r="CH91" s="523"/>
      <c r="CI91" s="523">
        <f t="shared" si="20"/>
        <v>0</v>
      </c>
    </row>
    <row r="92" spans="1:87" ht="15.75" x14ac:dyDescent="0.2">
      <c r="A92" s="600">
        <v>7</v>
      </c>
      <c r="B92" s="558"/>
      <c r="C92" s="558"/>
      <c r="D92" s="558" t="s">
        <v>1453</v>
      </c>
      <c r="E92" s="626"/>
      <c r="F92" s="626"/>
      <c r="G92" s="626"/>
      <c r="H92" s="626"/>
      <c r="I92" s="626"/>
      <c r="J92" s="626"/>
      <c r="K92" s="626"/>
      <c r="L92" s="628">
        <f>SUM(L93:L94)</f>
        <v>173274.06</v>
      </c>
      <c r="M92" s="628">
        <f>SUM(M93:M94)</f>
        <v>55370.1</v>
      </c>
      <c r="N92" s="628">
        <f>SUM(N93:N94)</f>
        <v>55370.1</v>
      </c>
      <c r="O92" s="721">
        <f>SUM(O93:O94)</f>
        <v>117903.96</v>
      </c>
      <c r="P92" s="604">
        <f t="shared" si="26"/>
        <v>0.31955215916335084</v>
      </c>
      <c r="Q92" s="525"/>
      <c r="S92" s="189">
        <v>0</v>
      </c>
      <c r="T92" s="189">
        <v>0</v>
      </c>
      <c r="BT92" s="525"/>
      <c r="BU92" s="523"/>
      <c r="BV92" s="523">
        <v>0</v>
      </c>
      <c r="BW92" s="523">
        <v>0</v>
      </c>
      <c r="BX92" s="523"/>
      <c r="BY92" s="523"/>
      <c r="BZ92" s="523"/>
      <c r="CA92" s="523"/>
      <c r="CB92" s="523"/>
      <c r="CC92" s="523"/>
      <c r="CD92" s="523"/>
      <c r="CE92" s="523"/>
      <c r="CF92" s="523"/>
      <c r="CG92" s="523"/>
      <c r="CH92" s="523"/>
      <c r="CI92" s="523">
        <f t="shared" si="20"/>
        <v>0</v>
      </c>
    </row>
    <row r="93" spans="1:87" ht="15" x14ac:dyDescent="0.2">
      <c r="A93" s="680" t="s">
        <v>193</v>
      </c>
      <c r="B93" s="569" t="s">
        <v>1454</v>
      </c>
      <c r="C93" s="569" t="s">
        <v>1324</v>
      </c>
      <c r="D93" s="569" t="s">
        <v>1455</v>
      </c>
      <c r="E93" s="681" t="s">
        <v>14</v>
      </c>
      <c r="F93" s="688">
        <v>1560.54</v>
      </c>
      <c r="G93" s="682">
        <v>51.14</v>
      </c>
      <c r="H93" s="681">
        <v>1030.4000000000001</v>
      </c>
      <c r="I93" s="622">
        <f t="shared" si="21"/>
        <v>0</v>
      </c>
      <c r="J93" s="574">
        <f t="shared" si="22"/>
        <v>0</v>
      </c>
      <c r="K93" s="644">
        <f>H93-J93</f>
        <v>1030.4000000000001</v>
      </c>
      <c r="L93" s="708">
        <f t="shared" ref="L93:O94" si="27">ROUND(H93*$G93,2)</f>
        <v>52694.66</v>
      </c>
      <c r="M93" s="708">
        <f t="shared" si="27"/>
        <v>0</v>
      </c>
      <c r="N93" s="708">
        <f t="shared" si="27"/>
        <v>0</v>
      </c>
      <c r="O93" s="718">
        <f t="shared" si="27"/>
        <v>52694.66</v>
      </c>
      <c r="P93" s="617">
        <f t="shared" si="26"/>
        <v>0</v>
      </c>
      <c r="Q93" s="525"/>
      <c r="S93" s="189">
        <v>0</v>
      </c>
      <c r="T93" s="189">
        <v>0</v>
      </c>
      <c r="BT93" s="525"/>
      <c r="BU93" s="659"/>
      <c r="BV93" s="523">
        <v>0</v>
      </c>
      <c r="BW93" s="523">
        <v>0</v>
      </c>
      <c r="BX93" s="523">
        <v>0</v>
      </c>
      <c r="BY93" s="523">
        <v>0</v>
      </c>
      <c r="BZ93" s="523"/>
      <c r="CA93" s="523"/>
      <c r="CB93" s="523"/>
      <c r="CC93" s="523"/>
      <c r="CD93" s="523"/>
      <c r="CE93" s="523"/>
      <c r="CF93" s="523"/>
      <c r="CG93" s="523"/>
      <c r="CH93" s="523"/>
      <c r="CI93" s="523">
        <f t="shared" si="20"/>
        <v>0</v>
      </c>
    </row>
    <row r="94" spans="1:87" s="110" customFormat="1" ht="15" x14ac:dyDescent="0.2">
      <c r="A94" s="680" t="s">
        <v>195</v>
      </c>
      <c r="B94" s="569">
        <v>72112</v>
      </c>
      <c r="C94" s="569" t="s">
        <v>1324</v>
      </c>
      <c r="D94" s="569" t="s">
        <v>1456</v>
      </c>
      <c r="E94" s="681" t="s">
        <v>14</v>
      </c>
      <c r="F94" s="688">
        <v>1950.67</v>
      </c>
      <c r="G94" s="682">
        <v>122.99</v>
      </c>
      <c r="H94" s="681">
        <v>980.4</v>
      </c>
      <c r="I94" s="622">
        <f t="shared" si="21"/>
        <v>450.2</v>
      </c>
      <c r="J94" s="574">
        <f t="shared" si="22"/>
        <v>450.2</v>
      </c>
      <c r="K94" s="644">
        <f>H94-J94</f>
        <v>530.20000000000005</v>
      </c>
      <c r="L94" s="708">
        <f t="shared" si="27"/>
        <v>120579.4</v>
      </c>
      <c r="M94" s="708">
        <f t="shared" si="27"/>
        <v>55370.1</v>
      </c>
      <c r="N94" s="708">
        <f t="shared" si="27"/>
        <v>55370.1</v>
      </c>
      <c r="O94" s="718">
        <f t="shared" si="27"/>
        <v>65209.3</v>
      </c>
      <c r="P94" s="617">
        <f t="shared" si="26"/>
        <v>0.45920032775084302</v>
      </c>
      <c r="Q94" s="525"/>
      <c r="S94" s="192">
        <v>0</v>
      </c>
      <c r="T94" s="192">
        <v>0</v>
      </c>
      <c r="BT94" s="525"/>
      <c r="BU94" s="659">
        <v>450.2</v>
      </c>
      <c r="BV94" s="523">
        <v>0</v>
      </c>
      <c r="BW94" s="523">
        <v>0</v>
      </c>
      <c r="BX94" s="523">
        <v>0</v>
      </c>
      <c r="BY94" s="523">
        <v>0</v>
      </c>
      <c r="BZ94" s="523"/>
      <c r="CA94" s="523"/>
      <c r="CB94" s="523"/>
      <c r="CC94" s="523"/>
      <c r="CD94" s="523"/>
      <c r="CE94" s="523"/>
      <c r="CF94" s="523"/>
      <c r="CG94" s="523"/>
      <c r="CH94" s="523"/>
      <c r="CI94" s="523">
        <f t="shared" si="20"/>
        <v>450.2</v>
      </c>
    </row>
    <row r="95" spans="1:87" s="110" customFormat="1" ht="15.75" x14ac:dyDescent="0.2">
      <c r="A95" s="600">
        <v>8</v>
      </c>
      <c r="B95" s="601"/>
      <c r="C95" s="601"/>
      <c r="D95" s="602" t="s">
        <v>208</v>
      </c>
      <c r="E95" s="626"/>
      <c r="F95" s="626"/>
      <c r="G95" s="626"/>
      <c r="H95" s="626"/>
      <c r="I95" s="626"/>
      <c r="J95" s="626"/>
      <c r="K95" s="626"/>
      <c r="L95" s="734">
        <f>SUM(L96:L97)</f>
        <v>5634.27</v>
      </c>
      <c r="M95" s="628">
        <f>SUM(M96:M97)</f>
        <v>0</v>
      </c>
      <c r="N95" s="707">
        <f>SUM(N96:N97)</f>
        <v>2048.5</v>
      </c>
      <c r="O95" s="721">
        <f>SUM(O96:O97)</f>
        <v>3585.77</v>
      </c>
      <c r="P95" s="604">
        <f t="shared" si="26"/>
        <v>0.36357860024457467</v>
      </c>
      <c r="Q95" s="525"/>
      <c r="S95" s="192">
        <v>265.61</v>
      </c>
      <c r="T95" s="192">
        <v>265.61</v>
      </c>
      <c r="BT95" s="525"/>
      <c r="BU95" s="523"/>
      <c r="BV95" s="523">
        <v>241</v>
      </c>
      <c r="BW95" s="523">
        <v>0</v>
      </c>
      <c r="BX95" s="523"/>
      <c r="BY95" s="523"/>
      <c r="BZ95" s="523"/>
      <c r="CA95" s="523"/>
      <c r="CB95" s="523"/>
      <c r="CC95" s="523"/>
      <c r="CD95" s="523"/>
      <c r="CE95" s="523"/>
      <c r="CF95" s="523"/>
      <c r="CG95" s="523"/>
      <c r="CH95" s="523"/>
      <c r="CI95" s="523">
        <f t="shared" si="20"/>
        <v>241</v>
      </c>
    </row>
    <row r="96" spans="1:87" ht="15" x14ac:dyDescent="0.2">
      <c r="A96" s="612" t="s">
        <v>210</v>
      </c>
      <c r="B96" s="613" t="s">
        <v>1457</v>
      </c>
      <c r="C96" s="613" t="s">
        <v>1324</v>
      </c>
      <c r="D96" s="614" t="s">
        <v>1458</v>
      </c>
      <c r="E96" s="615" t="s">
        <v>14</v>
      </c>
      <c r="F96" s="688">
        <v>3121.08</v>
      </c>
      <c r="G96" s="616">
        <v>8.5</v>
      </c>
      <c r="H96" s="615">
        <v>265.61</v>
      </c>
      <c r="I96" s="574">
        <f t="shared" si="21"/>
        <v>0</v>
      </c>
      <c r="J96" s="574">
        <f t="shared" si="22"/>
        <v>241</v>
      </c>
      <c r="K96" s="644">
        <f>H96-J96</f>
        <v>24.610000000000014</v>
      </c>
      <c r="L96" s="708">
        <f t="shared" ref="L96:O97" si="28">ROUND(H96*$G96,2)</f>
        <v>2257.69</v>
      </c>
      <c r="M96" s="708">
        <f t="shared" si="28"/>
        <v>0</v>
      </c>
      <c r="N96" s="708">
        <f t="shared" si="28"/>
        <v>2048.5</v>
      </c>
      <c r="O96" s="718">
        <f t="shared" si="28"/>
        <v>209.19</v>
      </c>
      <c r="P96" s="617">
        <f t="shared" si="26"/>
        <v>0.90734334651790105</v>
      </c>
      <c r="Q96" s="525"/>
      <c r="S96" s="189">
        <v>0</v>
      </c>
      <c r="T96" s="189">
        <v>0</v>
      </c>
      <c r="BT96" s="525"/>
      <c r="BU96" s="523"/>
      <c r="BV96" s="523">
        <v>241</v>
      </c>
      <c r="BW96" s="523">
        <v>0</v>
      </c>
      <c r="BX96" s="523">
        <v>0</v>
      </c>
      <c r="BY96" s="523">
        <v>0</v>
      </c>
      <c r="BZ96" s="523"/>
      <c r="CA96" s="523"/>
      <c r="CB96" s="523"/>
      <c r="CC96" s="523"/>
      <c r="CD96" s="523"/>
      <c r="CE96" s="523"/>
      <c r="CF96" s="523"/>
      <c r="CG96" s="523"/>
      <c r="CH96" s="523"/>
      <c r="CI96" s="523">
        <f t="shared" si="20"/>
        <v>241</v>
      </c>
    </row>
    <row r="97" spans="1:87" s="656" customFormat="1" ht="15" x14ac:dyDescent="0.2">
      <c r="A97" s="680" t="s">
        <v>213</v>
      </c>
      <c r="B97" s="569">
        <v>68053</v>
      </c>
      <c r="C97" s="569" t="s">
        <v>1324</v>
      </c>
      <c r="D97" s="569" t="s">
        <v>1459</v>
      </c>
      <c r="E97" s="681" t="s">
        <v>14</v>
      </c>
      <c r="F97" s="688">
        <v>1137.9000000000001</v>
      </c>
      <c r="G97" s="682">
        <v>4.99</v>
      </c>
      <c r="H97" s="681">
        <v>676.67</v>
      </c>
      <c r="I97" s="622">
        <f t="shared" si="21"/>
        <v>0</v>
      </c>
      <c r="J97" s="574">
        <f t="shared" si="22"/>
        <v>0</v>
      </c>
      <c r="K97" s="644">
        <f>H97-J97</f>
        <v>676.67</v>
      </c>
      <c r="L97" s="708">
        <f t="shared" si="28"/>
        <v>3376.58</v>
      </c>
      <c r="M97" s="708">
        <f t="shared" si="28"/>
        <v>0</v>
      </c>
      <c r="N97" s="708">
        <f t="shared" si="28"/>
        <v>0</v>
      </c>
      <c r="O97" s="718">
        <f t="shared" si="28"/>
        <v>3376.58</v>
      </c>
      <c r="P97" s="617">
        <f t="shared" si="26"/>
        <v>0</v>
      </c>
      <c r="Q97" s="525"/>
      <c r="S97" s="191">
        <v>0</v>
      </c>
      <c r="T97" s="191">
        <v>0</v>
      </c>
      <c r="BT97" s="525"/>
      <c r="BU97" s="523"/>
      <c r="BV97" s="523">
        <v>0</v>
      </c>
      <c r="BW97" s="523">
        <v>0</v>
      </c>
      <c r="BX97" s="523">
        <v>0</v>
      </c>
      <c r="BY97" s="523">
        <v>0</v>
      </c>
      <c r="BZ97" s="523"/>
      <c r="CA97" s="523"/>
      <c r="CB97" s="523"/>
      <c r="CC97" s="523"/>
      <c r="CD97" s="523"/>
      <c r="CE97" s="523"/>
      <c r="CF97" s="523"/>
      <c r="CG97" s="523"/>
      <c r="CH97" s="523"/>
      <c r="CI97" s="523">
        <f t="shared" si="20"/>
        <v>0</v>
      </c>
    </row>
    <row r="98" spans="1:87" ht="15.75" x14ac:dyDescent="0.2">
      <c r="A98" s="600">
        <v>9</v>
      </c>
      <c r="B98" s="601"/>
      <c r="C98" s="601"/>
      <c r="D98" s="602" t="s">
        <v>1460</v>
      </c>
      <c r="E98" s="626"/>
      <c r="F98" s="626"/>
      <c r="G98" s="626"/>
      <c r="H98" s="626"/>
      <c r="I98" s="626"/>
      <c r="J98" s="626"/>
      <c r="K98" s="626"/>
      <c r="L98" s="734">
        <f>SUM(L99:L108)</f>
        <v>51794.2</v>
      </c>
      <c r="M98" s="734">
        <f>SUM(M99:M108)</f>
        <v>2581.44</v>
      </c>
      <c r="N98" s="734">
        <f>SUM(N99:N108)</f>
        <v>29694.82</v>
      </c>
      <c r="O98" s="721">
        <f>SUM(O99:O108)</f>
        <v>22099.38</v>
      </c>
      <c r="P98" s="604">
        <f t="shared" si="26"/>
        <v>0.57332326785624643</v>
      </c>
      <c r="Q98" s="525"/>
      <c r="S98" s="189">
        <v>0</v>
      </c>
      <c r="T98" s="189">
        <v>803.09</v>
      </c>
      <c r="BT98" s="525"/>
      <c r="BU98" s="523"/>
      <c r="BV98" s="523">
        <v>0</v>
      </c>
      <c r="BW98" s="523">
        <v>803.09</v>
      </c>
      <c r="BX98" s="523"/>
      <c r="BY98" s="523"/>
      <c r="BZ98" s="523"/>
      <c r="CA98" s="523"/>
      <c r="CB98" s="523"/>
      <c r="CC98" s="523"/>
      <c r="CD98" s="523"/>
      <c r="CE98" s="523"/>
      <c r="CF98" s="523"/>
      <c r="CG98" s="523"/>
      <c r="CH98" s="523"/>
      <c r="CI98" s="523">
        <f t="shared" si="20"/>
        <v>803.09</v>
      </c>
    </row>
    <row r="99" spans="1:87" ht="15" x14ac:dyDescent="0.2">
      <c r="A99" s="680" t="s">
        <v>223</v>
      </c>
      <c r="B99" s="569">
        <v>87905</v>
      </c>
      <c r="C99" s="569" t="s">
        <v>1324</v>
      </c>
      <c r="D99" s="569" t="s">
        <v>1461</v>
      </c>
      <c r="E99" s="681" t="s">
        <v>14</v>
      </c>
      <c r="F99" s="644">
        <v>582.46</v>
      </c>
      <c r="G99" s="682">
        <v>6.11</v>
      </c>
      <c r="H99" s="681">
        <v>803.09</v>
      </c>
      <c r="I99" s="622">
        <f t="shared" si="21"/>
        <v>0</v>
      </c>
      <c r="J99" s="574">
        <f t="shared" si="22"/>
        <v>803.09</v>
      </c>
      <c r="K99" s="644">
        <f>H99-J99</f>
        <v>0</v>
      </c>
      <c r="L99" s="708">
        <f t="shared" ref="L99:O108" si="29">ROUND(H99*$G99,2)</f>
        <v>4906.88</v>
      </c>
      <c r="M99" s="708">
        <f t="shared" si="29"/>
        <v>0</v>
      </c>
      <c r="N99" s="708">
        <f t="shared" si="29"/>
        <v>4906.88</v>
      </c>
      <c r="O99" s="718">
        <f t="shared" si="29"/>
        <v>0</v>
      </c>
      <c r="P99" s="617">
        <f t="shared" si="26"/>
        <v>1</v>
      </c>
      <c r="Q99" s="525"/>
      <c r="S99" s="189">
        <v>0</v>
      </c>
      <c r="T99" s="189">
        <v>0</v>
      </c>
      <c r="BT99" s="525"/>
      <c r="BU99" s="523"/>
      <c r="BV99" s="523">
        <v>0</v>
      </c>
      <c r="BW99" s="523">
        <v>803.09</v>
      </c>
      <c r="BX99" s="523">
        <v>0</v>
      </c>
      <c r="BY99" s="523">
        <v>0</v>
      </c>
      <c r="BZ99" s="523"/>
      <c r="CA99" s="523"/>
      <c r="CB99" s="523"/>
      <c r="CC99" s="523"/>
      <c r="CD99" s="523"/>
      <c r="CE99" s="523"/>
      <c r="CF99" s="523"/>
      <c r="CG99" s="523"/>
      <c r="CH99" s="523"/>
      <c r="CI99" s="523">
        <f t="shared" si="20"/>
        <v>803.09</v>
      </c>
    </row>
    <row r="100" spans="1:87" s="110" customFormat="1" ht="15" x14ac:dyDescent="0.2">
      <c r="A100" s="680" t="s">
        <v>239</v>
      </c>
      <c r="B100" s="569">
        <v>87882</v>
      </c>
      <c r="C100" s="569" t="s">
        <v>1324</v>
      </c>
      <c r="D100" s="569" t="s">
        <v>1462</v>
      </c>
      <c r="E100" s="681" t="s">
        <v>14</v>
      </c>
      <c r="F100" s="571"/>
      <c r="G100" s="682">
        <v>4.03</v>
      </c>
      <c r="H100" s="681">
        <v>84.33</v>
      </c>
      <c r="I100" s="622">
        <f t="shared" si="21"/>
        <v>42</v>
      </c>
      <c r="J100" s="574">
        <f t="shared" si="22"/>
        <v>42</v>
      </c>
      <c r="K100" s="644">
        <f t="shared" ref="K100:K108" si="30">H100-J100</f>
        <v>42.33</v>
      </c>
      <c r="L100" s="708">
        <f t="shared" si="29"/>
        <v>339.85</v>
      </c>
      <c r="M100" s="708">
        <f t="shared" si="29"/>
        <v>169.26</v>
      </c>
      <c r="N100" s="708">
        <f t="shared" si="29"/>
        <v>169.26</v>
      </c>
      <c r="O100" s="718">
        <f t="shared" si="29"/>
        <v>170.59</v>
      </c>
      <c r="P100" s="617">
        <f t="shared" si="26"/>
        <v>0.49804325437693092</v>
      </c>
      <c r="Q100" s="525"/>
      <c r="S100" s="192">
        <v>600</v>
      </c>
      <c r="T100" s="192">
        <v>600</v>
      </c>
      <c r="BT100" s="659"/>
      <c r="BU100" s="659">
        <v>42</v>
      </c>
      <c r="BV100" s="523">
        <v>0</v>
      </c>
      <c r="BW100" s="523">
        <v>0</v>
      </c>
      <c r="BX100" s="523">
        <v>0</v>
      </c>
      <c r="BY100" s="523">
        <v>0</v>
      </c>
      <c r="BZ100" s="523"/>
      <c r="CA100" s="523"/>
      <c r="CB100" s="523"/>
      <c r="CC100" s="523"/>
      <c r="CD100" s="523"/>
      <c r="CE100" s="523"/>
      <c r="CF100" s="523"/>
      <c r="CG100" s="523"/>
      <c r="CH100" s="523"/>
      <c r="CI100" s="523">
        <f t="shared" si="20"/>
        <v>42</v>
      </c>
    </row>
    <row r="101" spans="1:87" s="110" customFormat="1" ht="15" x14ac:dyDescent="0.2">
      <c r="A101" s="612" t="s">
        <v>1463</v>
      </c>
      <c r="B101" s="613">
        <v>87531</v>
      </c>
      <c r="C101" s="613" t="s">
        <v>1324</v>
      </c>
      <c r="D101" s="614" t="s">
        <v>1464</v>
      </c>
      <c r="E101" s="615" t="s">
        <v>14</v>
      </c>
      <c r="F101" s="644">
        <v>180.11</v>
      </c>
      <c r="G101" s="616">
        <v>26.27</v>
      </c>
      <c r="H101" s="615">
        <v>743.93</v>
      </c>
      <c r="I101" s="574">
        <f t="shared" si="21"/>
        <v>36</v>
      </c>
      <c r="J101" s="574">
        <f t="shared" si="22"/>
        <v>706</v>
      </c>
      <c r="K101" s="644">
        <f t="shared" si="30"/>
        <v>37.92999999999995</v>
      </c>
      <c r="L101" s="708">
        <f t="shared" si="29"/>
        <v>19543.04</v>
      </c>
      <c r="M101" s="708">
        <f t="shared" si="29"/>
        <v>945.72</v>
      </c>
      <c r="N101" s="708">
        <f t="shared" si="29"/>
        <v>18546.62</v>
      </c>
      <c r="O101" s="718">
        <f t="shared" si="29"/>
        <v>996.42</v>
      </c>
      <c r="P101" s="617">
        <f t="shared" si="26"/>
        <v>0.94901407355252809</v>
      </c>
      <c r="Q101" s="525"/>
      <c r="S101" s="192">
        <v>358.92</v>
      </c>
      <c r="T101" s="192">
        <v>358.92</v>
      </c>
      <c r="BT101" s="659"/>
      <c r="BU101" s="659">
        <v>36</v>
      </c>
      <c r="BV101" s="523">
        <v>670</v>
      </c>
      <c r="BW101" s="523">
        <v>0</v>
      </c>
      <c r="BX101" s="523">
        <v>0</v>
      </c>
      <c r="BY101" s="523">
        <v>0</v>
      </c>
      <c r="BZ101" s="523"/>
      <c r="CA101" s="523"/>
      <c r="CB101" s="523"/>
      <c r="CC101" s="523"/>
      <c r="CD101" s="523"/>
      <c r="CE101" s="523"/>
      <c r="CF101" s="523"/>
      <c r="CG101" s="523"/>
      <c r="CH101" s="523"/>
      <c r="CI101" s="523">
        <f t="shared" si="20"/>
        <v>706</v>
      </c>
    </row>
    <row r="102" spans="1:87" ht="15" x14ac:dyDescent="0.2">
      <c r="A102" s="612" t="s">
        <v>1465</v>
      </c>
      <c r="B102" s="613" t="s">
        <v>1466</v>
      </c>
      <c r="C102" s="613" t="s">
        <v>1324</v>
      </c>
      <c r="D102" s="614" t="s">
        <v>1467</v>
      </c>
      <c r="E102" s="615" t="s">
        <v>14</v>
      </c>
      <c r="F102" s="644">
        <v>327.47000000000003</v>
      </c>
      <c r="G102" s="616">
        <v>12.12</v>
      </c>
      <c r="H102" s="615">
        <v>445.04</v>
      </c>
      <c r="I102" s="574">
        <f t="shared" si="21"/>
        <v>21</v>
      </c>
      <c r="J102" s="574">
        <f t="shared" si="22"/>
        <v>401</v>
      </c>
      <c r="K102" s="644">
        <f t="shared" si="30"/>
        <v>44.04000000000002</v>
      </c>
      <c r="L102" s="708">
        <f t="shared" si="29"/>
        <v>5393.88</v>
      </c>
      <c r="M102" s="708">
        <f t="shared" si="29"/>
        <v>254.52</v>
      </c>
      <c r="N102" s="708">
        <f t="shared" si="29"/>
        <v>4860.12</v>
      </c>
      <c r="O102" s="718">
        <f t="shared" si="29"/>
        <v>533.76</v>
      </c>
      <c r="P102" s="617">
        <f t="shared" si="26"/>
        <v>0.90104340474760281</v>
      </c>
      <c r="Q102" s="525"/>
      <c r="S102" s="189">
        <v>0</v>
      </c>
      <c r="T102" s="189">
        <v>0</v>
      </c>
      <c r="BT102" s="659"/>
      <c r="BU102" s="659">
        <v>21</v>
      </c>
      <c r="BV102" s="523">
        <v>380</v>
      </c>
      <c r="BW102" s="523">
        <v>0</v>
      </c>
      <c r="BX102" s="523">
        <v>0</v>
      </c>
      <c r="BY102" s="523">
        <v>0</v>
      </c>
      <c r="BZ102" s="523"/>
      <c r="CA102" s="523"/>
      <c r="CB102" s="523"/>
      <c r="CC102" s="523"/>
      <c r="CD102" s="523"/>
      <c r="CE102" s="523"/>
      <c r="CF102" s="523"/>
      <c r="CG102" s="523"/>
      <c r="CH102" s="523"/>
      <c r="CI102" s="523">
        <f t="shared" si="20"/>
        <v>401</v>
      </c>
    </row>
    <row r="103" spans="1:87" ht="15" x14ac:dyDescent="0.2">
      <c r="A103" s="680" t="s">
        <v>1468</v>
      </c>
      <c r="B103" s="569" t="s">
        <v>1466</v>
      </c>
      <c r="C103" s="569" t="s">
        <v>1324</v>
      </c>
      <c r="D103" s="569" t="s">
        <v>1469</v>
      </c>
      <c r="E103" s="681" t="s">
        <v>14</v>
      </c>
      <c r="F103" s="644">
        <v>381.87</v>
      </c>
      <c r="G103" s="682">
        <v>14.08</v>
      </c>
      <c r="H103" s="681">
        <v>84.33</v>
      </c>
      <c r="I103" s="622">
        <f t="shared" si="21"/>
        <v>80</v>
      </c>
      <c r="J103" s="574">
        <f t="shared" si="22"/>
        <v>80</v>
      </c>
      <c r="K103" s="644">
        <f t="shared" si="30"/>
        <v>4.3299999999999983</v>
      </c>
      <c r="L103" s="708">
        <f t="shared" si="29"/>
        <v>1187.3699999999999</v>
      </c>
      <c r="M103" s="708">
        <f t="shared" si="29"/>
        <v>1126.4000000000001</v>
      </c>
      <c r="N103" s="708">
        <f t="shared" si="29"/>
        <v>1126.4000000000001</v>
      </c>
      <c r="O103" s="718">
        <f t="shared" si="29"/>
        <v>60.97</v>
      </c>
      <c r="P103" s="617">
        <f t="shared" si="26"/>
        <v>0.94865122076522079</v>
      </c>
      <c r="Q103" s="525"/>
      <c r="S103" s="189">
        <v>0</v>
      </c>
      <c r="T103" s="189">
        <v>0</v>
      </c>
      <c r="BT103" s="659"/>
      <c r="BU103" s="659">
        <v>80</v>
      </c>
      <c r="BV103" s="523">
        <v>0</v>
      </c>
      <c r="BW103" s="523">
        <v>0</v>
      </c>
      <c r="BX103" s="523">
        <v>0</v>
      </c>
      <c r="BY103" s="523">
        <v>0</v>
      </c>
      <c r="BZ103" s="523"/>
      <c r="CA103" s="523"/>
      <c r="CB103" s="523"/>
      <c r="CC103" s="523"/>
      <c r="CD103" s="523"/>
      <c r="CE103" s="523"/>
      <c r="CF103" s="523"/>
      <c r="CG103" s="523"/>
      <c r="CH103" s="523"/>
      <c r="CI103" s="523">
        <f t="shared" si="20"/>
        <v>80</v>
      </c>
    </row>
    <row r="104" spans="1:87" ht="15.75" x14ac:dyDescent="0.2">
      <c r="A104" s="680" t="s">
        <v>1470</v>
      </c>
      <c r="B104" s="569">
        <v>87905</v>
      </c>
      <c r="C104" s="569" t="s">
        <v>1324</v>
      </c>
      <c r="D104" s="569" t="s">
        <v>1471</v>
      </c>
      <c r="E104" s="681" t="s">
        <v>14</v>
      </c>
      <c r="F104" s="578"/>
      <c r="G104" s="682">
        <v>6.11</v>
      </c>
      <c r="H104" s="681">
        <v>140.33000000000001</v>
      </c>
      <c r="I104" s="622">
        <f t="shared" si="21"/>
        <v>14</v>
      </c>
      <c r="J104" s="574">
        <f t="shared" si="22"/>
        <v>14</v>
      </c>
      <c r="K104" s="644">
        <f t="shared" si="30"/>
        <v>126.33000000000001</v>
      </c>
      <c r="L104" s="708">
        <f t="shared" si="29"/>
        <v>857.42</v>
      </c>
      <c r="M104" s="708">
        <f t="shared" si="29"/>
        <v>85.54</v>
      </c>
      <c r="N104" s="708">
        <f t="shared" si="29"/>
        <v>85.54</v>
      </c>
      <c r="O104" s="718">
        <f t="shared" si="29"/>
        <v>771.88</v>
      </c>
      <c r="P104" s="617">
        <f t="shared" si="26"/>
        <v>9.9764409507592564E-2</v>
      </c>
      <c r="Q104" s="525"/>
      <c r="S104" s="189">
        <v>0</v>
      </c>
      <c r="T104" s="189">
        <v>0</v>
      </c>
      <c r="BT104" s="659"/>
      <c r="BU104" s="659">
        <v>14</v>
      </c>
      <c r="BV104" s="523">
        <v>0</v>
      </c>
      <c r="BW104" s="523">
        <v>0</v>
      </c>
      <c r="BX104" s="523">
        <v>0</v>
      </c>
      <c r="BY104" s="523">
        <v>0</v>
      </c>
      <c r="BZ104" s="523"/>
      <c r="CA104" s="523"/>
      <c r="CB104" s="523"/>
      <c r="CC104" s="523"/>
      <c r="CD104" s="523"/>
      <c r="CE104" s="523"/>
      <c r="CF104" s="523"/>
      <c r="CG104" s="523"/>
      <c r="CH104" s="523"/>
      <c r="CI104" s="523">
        <f t="shared" si="20"/>
        <v>14</v>
      </c>
    </row>
    <row r="105" spans="1:87" ht="15.75" x14ac:dyDescent="0.2">
      <c r="A105" s="680" t="s">
        <v>1472</v>
      </c>
      <c r="B105" s="569">
        <v>87531</v>
      </c>
      <c r="C105" s="569" t="s">
        <v>1324</v>
      </c>
      <c r="D105" s="569" t="s">
        <v>1473</v>
      </c>
      <c r="E105" s="681" t="s">
        <v>14</v>
      </c>
      <c r="F105" s="578"/>
      <c r="G105" s="682">
        <v>26.27</v>
      </c>
      <c r="H105" s="681">
        <v>140.33000000000001</v>
      </c>
      <c r="I105" s="622">
        <f>BU105</f>
        <v>0</v>
      </c>
      <c r="J105" s="574">
        <f t="shared" si="22"/>
        <v>0</v>
      </c>
      <c r="K105" s="644">
        <f t="shared" si="30"/>
        <v>140.33000000000001</v>
      </c>
      <c r="L105" s="708">
        <f t="shared" si="29"/>
        <v>3686.47</v>
      </c>
      <c r="M105" s="708">
        <f>ROUND(I105*$G105,2)</f>
        <v>0</v>
      </c>
      <c r="N105" s="708">
        <f t="shared" si="29"/>
        <v>0</v>
      </c>
      <c r="O105" s="718">
        <f t="shared" si="29"/>
        <v>3686.47</v>
      </c>
      <c r="P105" s="617">
        <f t="shared" si="26"/>
        <v>0</v>
      </c>
      <c r="Q105" s="525"/>
      <c r="S105" s="189">
        <v>0</v>
      </c>
      <c r="T105" s="189">
        <v>0</v>
      </c>
      <c r="BT105" s="525"/>
      <c r="BU105" s="523"/>
      <c r="BV105" s="523">
        <v>0</v>
      </c>
      <c r="BW105" s="523">
        <v>0</v>
      </c>
      <c r="BX105" s="523">
        <v>0</v>
      </c>
      <c r="BY105" s="523">
        <v>0</v>
      </c>
      <c r="BZ105" s="523"/>
      <c r="CA105" s="523"/>
      <c r="CB105" s="523"/>
      <c r="CC105" s="523"/>
      <c r="CD105" s="523"/>
      <c r="CE105" s="523"/>
      <c r="CF105" s="523"/>
      <c r="CG105" s="523"/>
      <c r="CH105" s="523"/>
      <c r="CI105" s="523">
        <f t="shared" si="20"/>
        <v>0</v>
      </c>
    </row>
    <row r="106" spans="1:87" ht="15.75" x14ac:dyDescent="0.2">
      <c r="A106" s="680" t="s">
        <v>1474</v>
      </c>
      <c r="B106" s="569" t="s">
        <v>1466</v>
      </c>
      <c r="C106" s="569" t="s">
        <v>1324</v>
      </c>
      <c r="D106" s="569" t="s">
        <v>1475</v>
      </c>
      <c r="E106" s="681" t="s">
        <v>14</v>
      </c>
      <c r="F106" s="578"/>
      <c r="G106" s="682">
        <v>16.23</v>
      </c>
      <c r="H106" s="681">
        <v>140.33000000000001</v>
      </c>
      <c r="I106" s="622">
        <f t="shared" si="21"/>
        <v>0</v>
      </c>
      <c r="J106" s="574">
        <f t="shared" si="22"/>
        <v>0</v>
      </c>
      <c r="K106" s="644">
        <f t="shared" si="30"/>
        <v>140.33000000000001</v>
      </c>
      <c r="L106" s="708">
        <f t="shared" si="29"/>
        <v>2277.56</v>
      </c>
      <c r="M106" s="708">
        <f t="shared" si="29"/>
        <v>0</v>
      </c>
      <c r="N106" s="708">
        <f t="shared" si="29"/>
        <v>0</v>
      </c>
      <c r="O106" s="718">
        <f t="shared" si="29"/>
        <v>2277.56</v>
      </c>
      <c r="P106" s="617">
        <f t="shared" si="26"/>
        <v>0</v>
      </c>
      <c r="Q106" s="525"/>
      <c r="S106" s="189">
        <v>0</v>
      </c>
      <c r="T106" s="189">
        <v>0</v>
      </c>
      <c r="BT106" s="525"/>
      <c r="BU106" s="523"/>
      <c r="BV106" s="523">
        <v>0</v>
      </c>
      <c r="BW106" s="523">
        <v>0</v>
      </c>
      <c r="BX106" s="523">
        <v>0</v>
      </c>
      <c r="BY106" s="523">
        <v>0</v>
      </c>
      <c r="BZ106" s="523"/>
      <c r="CA106" s="523"/>
      <c r="CB106" s="523"/>
      <c r="CC106" s="523"/>
      <c r="CD106" s="523"/>
      <c r="CE106" s="523"/>
      <c r="CF106" s="523"/>
      <c r="CG106" s="523"/>
      <c r="CH106" s="523"/>
      <c r="CI106" s="523">
        <f t="shared" si="20"/>
        <v>0</v>
      </c>
    </row>
    <row r="107" spans="1:87" ht="30" x14ac:dyDescent="0.2">
      <c r="A107" s="680" t="s">
        <v>1476</v>
      </c>
      <c r="B107" s="569">
        <v>87272</v>
      </c>
      <c r="C107" s="569" t="s">
        <v>1324</v>
      </c>
      <c r="D107" s="569" t="s">
        <v>1477</v>
      </c>
      <c r="E107" s="681" t="s">
        <v>14</v>
      </c>
      <c r="F107" s="644">
        <v>319.5</v>
      </c>
      <c r="G107" s="682">
        <v>45.67</v>
      </c>
      <c r="H107" s="681">
        <v>210.5</v>
      </c>
      <c r="I107" s="622">
        <f t="shared" si="21"/>
        <v>0</v>
      </c>
      <c r="J107" s="574">
        <f t="shared" si="22"/>
        <v>0</v>
      </c>
      <c r="K107" s="644">
        <f t="shared" si="30"/>
        <v>210.5</v>
      </c>
      <c r="L107" s="708">
        <f t="shared" si="29"/>
        <v>9613.5400000000009</v>
      </c>
      <c r="M107" s="708">
        <f t="shared" si="29"/>
        <v>0</v>
      </c>
      <c r="N107" s="708">
        <f t="shared" si="29"/>
        <v>0</v>
      </c>
      <c r="O107" s="718">
        <f t="shared" si="29"/>
        <v>9613.5400000000009</v>
      </c>
      <c r="P107" s="617">
        <f t="shared" si="26"/>
        <v>0</v>
      </c>
      <c r="Q107" s="525"/>
      <c r="S107" s="189">
        <v>0</v>
      </c>
      <c r="T107" s="189">
        <v>0</v>
      </c>
      <c r="BT107" s="525"/>
      <c r="BU107" s="523"/>
      <c r="BV107" s="523">
        <v>0</v>
      </c>
      <c r="BW107" s="523">
        <v>0</v>
      </c>
      <c r="BX107" s="523">
        <v>0</v>
      </c>
      <c r="BY107" s="523">
        <v>0</v>
      </c>
      <c r="BZ107" s="523"/>
      <c r="CA107" s="523"/>
      <c r="CB107" s="523"/>
      <c r="CC107" s="523"/>
      <c r="CD107" s="523"/>
      <c r="CE107" s="523"/>
      <c r="CF107" s="523"/>
      <c r="CG107" s="523"/>
      <c r="CH107" s="523"/>
      <c r="CI107" s="523">
        <f t="shared" si="20"/>
        <v>0</v>
      </c>
    </row>
    <row r="108" spans="1:87" ht="30" x14ac:dyDescent="0.2">
      <c r="A108" s="680" t="s">
        <v>1478</v>
      </c>
      <c r="B108" s="569">
        <v>87267</v>
      </c>
      <c r="C108" s="569" t="s">
        <v>1324</v>
      </c>
      <c r="D108" s="569" t="s">
        <v>1479</v>
      </c>
      <c r="E108" s="681" t="s">
        <v>14</v>
      </c>
      <c r="F108" s="644">
        <v>347.14</v>
      </c>
      <c r="G108" s="682">
        <v>46.64</v>
      </c>
      <c r="H108" s="681">
        <v>85.51</v>
      </c>
      <c r="I108" s="622">
        <f t="shared" si="21"/>
        <v>0</v>
      </c>
      <c r="J108" s="574">
        <f t="shared" si="22"/>
        <v>0</v>
      </c>
      <c r="K108" s="644">
        <f t="shared" si="30"/>
        <v>85.51</v>
      </c>
      <c r="L108" s="708">
        <f t="shared" si="29"/>
        <v>3988.19</v>
      </c>
      <c r="M108" s="708">
        <f t="shared" si="29"/>
        <v>0</v>
      </c>
      <c r="N108" s="708">
        <f t="shared" si="29"/>
        <v>0</v>
      </c>
      <c r="O108" s="718">
        <f t="shared" si="29"/>
        <v>3988.19</v>
      </c>
      <c r="P108" s="617">
        <f t="shared" si="26"/>
        <v>0</v>
      </c>
      <c r="Q108" s="525"/>
      <c r="S108" s="189">
        <v>0</v>
      </c>
      <c r="T108" s="189">
        <v>0</v>
      </c>
      <c r="BT108" s="525"/>
      <c r="BU108" s="523"/>
      <c r="BV108" s="523">
        <v>0</v>
      </c>
      <c r="BW108" s="523">
        <v>0</v>
      </c>
      <c r="BX108" s="523">
        <v>0</v>
      </c>
      <c r="BY108" s="523">
        <v>0</v>
      </c>
      <c r="BZ108" s="523"/>
      <c r="CA108" s="523"/>
      <c r="CB108" s="523"/>
      <c r="CC108" s="523"/>
      <c r="CD108" s="523"/>
      <c r="CE108" s="523"/>
      <c r="CF108" s="523"/>
      <c r="CG108" s="523"/>
      <c r="CH108" s="523"/>
      <c r="CI108" s="523">
        <f t="shared" si="20"/>
        <v>0</v>
      </c>
    </row>
    <row r="109" spans="1:87" s="657" customFormat="1" ht="15.75" x14ac:dyDescent="0.2">
      <c r="A109" s="600">
        <v>10</v>
      </c>
      <c r="B109" s="558"/>
      <c r="C109" s="558"/>
      <c r="D109" s="558" t="s">
        <v>1480</v>
      </c>
      <c r="E109" s="626"/>
      <c r="F109" s="626"/>
      <c r="G109" s="626"/>
      <c r="H109" s="626"/>
      <c r="I109" s="626"/>
      <c r="J109" s="626"/>
      <c r="K109" s="626"/>
      <c r="L109" s="734">
        <f>SUM(L110,L116)</f>
        <v>60566.09</v>
      </c>
      <c r="M109" s="734">
        <f>SUM(M110,M116)</f>
        <v>1847.65</v>
      </c>
      <c r="N109" s="734">
        <f>SUM(N110,N116)</f>
        <v>8865.6</v>
      </c>
      <c r="O109" s="721">
        <f>SUM(O110,O116)</f>
        <v>51700.490000000005</v>
      </c>
      <c r="P109" s="604">
        <f t="shared" si="26"/>
        <v>0.14637893910602454</v>
      </c>
      <c r="Q109" s="525"/>
      <c r="S109" s="190">
        <v>0</v>
      </c>
      <c r="T109" s="190">
        <v>0</v>
      </c>
      <c r="BT109" s="525"/>
      <c r="BU109" s="523"/>
      <c r="BV109" s="523">
        <v>0</v>
      </c>
      <c r="BW109" s="523">
        <v>0</v>
      </c>
      <c r="BX109" s="523"/>
      <c r="BY109" s="523"/>
      <c r="BZ109" s="523"/>
      <c r="CA109" s="523"/>
      <c r="CB109" s="523"/>
      <c r="CC109" s="523"/>
      <c r="CD109" s="523"/>
      <c r="CE109" s="523"/>
      <c r="CF109" s="523"/>
      <c r="CG109" s="523"/>
      <c r="CH109" s="523"/>
      <c r="CI109" s="523">
        <f t="shared" si="20"/>
        <v>0</v>
      </c>
    </row>
    <row r="110" spans="1:87" ht="15.75" x14ac:dyDescent="0.2">
      <c r="A110" s="605" t="s">
        <v>254</v>
      </c>
      <c r="B110" s="586"/>
      <c r="C110" s="586"/>
      <c r="D110" s="586" t="s">
        <v>1481</v>
      </c>
      <c r="E110" s="609"/>
      <c r="F110" s="609"/>
      <c r="G110" s="609"/>
      <c r="H110" s="609"/>
      <c r="I110" s="609"/>
      <c r="J110" s="609"/>
      <c r="K110" s="609"/>
      <c r="L110" s="733">
        <f>SUM(L111:L115)</f>
        <v>54520.32</v>
      </c>
      <c r="M110" s="733">
        <f>SUM(M111:M115)</f>
        <v>1847.65</v>
      </c>
      <c r="N110" s="733">
        <f>SUM(N111:N115)</f>
        <v>8865.6</v>
      </c>
      <c r="O110" s="722">
        <f>SUM(O111:O115)</f>
        <v>45654.720000000001</v>
      </c>
      <c r="P110" s="611">
        <f t="shared" si="26"/>
        <v>0.16261093111705874</v>
      </c>
      <c r="Q110" s="525"/>
      <c r="BT110" s="525"/>
      <c r="BU110" s="523"/>
      <c r="BV110" s="523">
        <v>0</v>
      </c>
      <c r="BW110" s="523">
        <v>0</v>
      </c>
      <c r="BX110" s="523"/>
      <c r="BY110" s="523"/>
      <c r="BZ110" s="523"/>
      <c r="CA110" s="523"/>
      <c r="CB110" s="523"/>
      <c r="CC110" s="523"/>
      <c r="CD110" s="523"/>
      <c r="CE110" s="523"/>
      <c r="CF110" s="523"/>
      <c r="CG110" s="523"/>
      <c r="CH110" s="523"/>
      <c r="CI110" s="523">
        <f t="shared" si="20"/>
        <v>0</v>
      </c>
    </row>
    <row r="111" spans="1:87" ht="15" x14ac:dyDescent="0.2">
      <c r="A111" s="680" t="s">
        <v>1482</v>
      </c>
      <c r="B111" s="569" t="s">
        <v>2007</v>
      </c>
      <c r="C111" s="569" t="s">
        <v>1339</v>
      </c>
      <c r="D111" s="569" t="s">
        <v>1483</v>
      </c>
      <c r="E111" s="681" t="s">
        <v>14</v>
      </c>
      <c r="F111" s="644">
        <v>52.1</v>
      </c>
      <c r="G111" s="682">
        <v>30.94</v>
      </c>
      <c r="H111" s="681">
        <v>64.91</v>
      </c>
      <c r="I111" s="622">
        <f t="shared" si="21"/>
        <v>59.717199999999998</v>
      </c>
      <c r="J111" s="574">
        <f t="shared" si="22"/>
        <v>59.717199999999998</v>
      </c>
      <c r="K111" s="644">
        <f>H111-J111</f>
        <v>5.1927999999999983</v>
      </c>
      <c r="L111" s="708">
        <f t="shared" ref="L111:O115" si="31">ROUND(H111*$G111,2)</f>
        <v>2008.32</v>
      </c>
      <c r="M111" s="708">
        <f t="shared" si="31"/>
        <v>1847.65</v>
      </c>
      <c r="N111" s="708">
        <f t="shared" si="31"/>
        <v>1847.65</v>
      </c>
      <c r="O111" s="718">
        <f t="shared" si="31"/>
        <v>160.66999999999999</v>
      </c>
      <c r="P111" s="617">
        <f t="shared" si="26"/>
        <v>0.91999780911408546</v>
      </c>
      <c r="Q111" s="525"/>
      <c r="BT111" s="525"/>
      <c r="BU111" s="659">
        <f>H111*0.92</f>
        <v>59.717199999999998</v>
      </c>
      <c r="BV111" s="523">
        <v>0</v>
      </c>
      <c r="BW111" s="523">
        <v>0</v>
      </c>
      <c r="BX111" s="523">
        <v>0</v>
      </c>
      <c r="BY111" s="523">
        <v>0</v>
      </c>
      <c r="BZ111" s="523"/>
      <c r="CA111" s="523"/>
      <c r="CB111" s="523"/>
      <c r="CC111" s="523"/>
      <c r="CD111" s="523"/>
      <c r="CE111" s="523"/>
      <c r="CF111" s="523"/>
      <c r="CG111" s="523"/>
      <c r="CH111" s="523"/>
      <c r="CI111" s="523">
        <f t="shared" si="20"/>
        <v>59.717199999999998</v>
      </c>
    </row>
    <row r="112" spans="1:87" ht="15" x14ac:dyDescent="0.2">
      <c r="A112" s="680" t="s">
        <v>1484</v>
      </c>
      <c r="B112" s="569">
        <v>87630</v>
      </c>
      <c r="C112" s="569" t="s">
        <v>1324</v>
      </c>
      <c r="D112" s="569" t="s">
        <v>1485</v>
      </c>
      <c r="E112" s="681" t="s">
        <v>14</v>
      </c>
      <c r="F112" s="644">
        <v>15.24</v>
      </c>
      <c r="G112" s="682">
        <v>30.71</v>
      </c>
      <c r="H112" s="681">
        <v>64.91</v>
      </c>
      <c r="I112" s="622">
        <f t="shared" si="21"/>
        <v>0</v>
      </c>
      <c r="J112" s="574">
        <f t="shared" si="22"/>
        <v>0</v>
      </c>
      <c r="K112" s="644">
        <f>H112-J112</f>
        <v>64.91</v>
      </c>
      <c r="L112" s="708">
        <f t="shared" si="31"/>
        <v>1993.39</v>
      </c>
      <c r="M112" s="708">
        <f t="shared" si="31"/>
        <v>0</v>
      </c>
      <c r="N112" s="708">
        <f t="shared" si="31"/>
        <v>0</v>
      </c>
      <c r="O112" s="718">
        <f t="shared" si="31"/>
        <v>1993.39</v>
      </c>
      <c r="P112" s="617">
        <f t="shared" si="26"/>
        <v>0</v>
      </c>
      <c r="Q112" s="525"/>
      <c r="BT112" s="525"/>
      <c r="BU112" s="523"/>
      <c r="BV112" s="523">
        <v>0</v>
      </c>
      <c r="BW112" s="523">
        <v>0</v>
      </c>
      <c r="BX112" s="523">
        <v>0</v>
      </c>
      <c r="BY112" s="523">
        <v>0</v>
      </c>
      <c r="BZ112" s="523"/>
      <c r="CA112" s="523"/>
      <c r="CB112" s="523"/>
      <c r="CC112" s="523"/>
      <c r="CD112" s="523"/>
      <c r="CE112" s="523"/>
      <c r="CF112" s="523"/>
      <c r="CG112" s="523"/>
      <c r="CH112" s="523"/>
      <c r="CI112" s="523">
        <f t="shared" si="20"/>
        <v>0</v>
      </c>
    </row>
    <row r="113" spans="1:87" ht="30" x14ac:dyDescent="0.2">
      <c r="A113" s="680" t="s">
        <v>1486</v>
      </c>
      <c r="B113" s="569">
        <v>72136</v>
      </c>
      <c r="C113" s="569" t="s">
        <v>1324</v>
      </c>
      <c r="D113" s="569" t="s">
        <v>1487</v>
      </c>
      <c r="E113" s="681" t="s">
        <v>14</v>
      </c>
      <c r="F113" s="644">
        <v>584.54999999999995</v>
      </c>
      <c r="G113" s="682">
        <v>71.489999999999995</v>
      </c>
      <c r="H113" s="681">
        <v>676.67</v>
      </c>
      <c r="I113" s="622">
        <f t="shared" si="21"/>
        <v>0</v>
      </c>
      <c r="J113" s="574">
        <f t="shared" si="22"/>
        <v>98.166899999999998</v>
      </c>
      <c r="K113" s="644">
        <f>H113-J113</f>
        <v>578.5030999999999</v>
      </c>
      <c r="L113" s="708">
        <f t="shared" si="31"/>
        <v>48375.14</v>
      </c>
      <c r="M113" s="708">
        <f t="shared" si="31"/>
        <v>0</v>
      </c>
      <c r="N113" s="708">
        <f t="shared" si="31"/>
        <v>7017.95</v>
      </c>
      <c r="O113" s="718">
        <f t="shared" si="31"/>
        <v>41357.19</v>
      </c>
      <c r="P113" s="617">
        <f t="shared" si="26"/>
        <v>0.14507348195788167</v>
      </c>
      <c r="Q113" s="525"/>
      <c r="BT113" s="525"/>
      <c r="BU113" s="523"/>
      <c r="BV113" s="523">
        <v>98.166899999999998</v>
      </c>
      <c r="BW113" s="523">
        <v>0</v>
      </c>
      <c r="BX113" s="523">
        <v>0</v>
      </c>
      <c r="BY113" s="523">
        <v>0</v>
      </c>
      <c r="BZ113" s="523"/>
      <c r="CA113" s="523"/>
      <c r="CB113" s="523"/>
      <c r="CC113" s="523"/>
      <c r="CD113" s="523"/>
      <c r="CE113" s="523"/>
      <c r="CF113" s="523"/>
      <c r="CG113" s="523"/>
      <c r="CH113" s="523"/>
      <c r="CI113" s="523">
        <f t="shared" si="20"/>
        <v>98.166899999999998</v>
      </c>
    </row>
    <row r="114" spans="1:87" ht="15" x14ac:dyDescent="0.2">
      <c r="A114" s="680" t="s">
        <v>1488</v>
      </c>
      <c r="B114" s="569">
        <v>87251</v>
      </c>
      <c r="C114" s="569" t="s">
        <v>1324</v>
      </c>
      <c r="D114" s="569" t="s">
        <v>1489</v>
      </c>
      <c r="E114" s="681" t="s">
        <v>14</v>
      </c>
      <c r="F114" s="644">
        <v>18.86</v>
      </c>
      <c r="G114" s="682">
        <v>31.13</v>
      </c>
      <c r="H114" s="681">
        <v>64.91</v>
      </c>
      <c r="I114" s="622">
        <f t="shared" si="21"/>
        <v>0</v>
      </c>
      <c r="J114" s="574">
        <f t="shared" si="22"/>
        <v>0</v>
      </c>
      <c r="K114" s="644">
        <f>H114-J114</f>
        <v>64.91</v>
      </c>
      <c r="L114" s="708">
        <f t="shared" si="31"/>
        <v>2020.65</v>
      </c>
      <c r="M114" s="708">
        <f t="shared" si="31"/>
        <v>0</v>
      </c>
      <c r="N114" s="708">
        <f t="shared" si="31"/>
        <v>0</v>
      </c>
      <c r="O114" s="718">
        <f t="shared" si="31"/>
        <v>2020.65</v>
      </c>
      <c r="P114" s="617">
        <f t="shared" si="26"/>
        <v>0</v>
      </c>
      <c r="Q114" s="525"/>
      <c r="BT114" s="525"/>
      <c r="BU114" s="523"/>
      <c r="BV114" s="523">
        <v>0</v>
      </c>
      <c r="BW114" s="523">
        <v>0</v>
      </c>
      <c r="BX114" s="523">
        <v>0</v>
      </c>
      <c r="BY114" s="523">
        <v>0</v>
      </c>
      <c r="BZ114" s="523"/>
      <c r="CA114" s="523"/>
      <c r="CB114" s="523"/>
      <c r="CC114" s="523"/>
      <c r="CD114" s="523"/>
      <c r="CE114" s="523"/>
      <c r="CF114" s="523"/>
      <c r="CG114" s="523"/>
      <c r="CH114" s="523"/>
      <c r="CI114" s="523">
        <f t="shared" si="20"/>
        <v>0</v>
      </c>
    </row>
    <row r="115" spans="1:87" s="657" customFormat="1" ht="15" x14ac:dyDescent="0.2">
      <c r="A115" s="680" t="s">
        <v>1490</v>
      </c>
      <c r="B115" s="569" t="s">
        <v>2007</v>
      </c>
      <c r="C115" s="569" t="s">
        <v>1339</v>
      </c>
      <c r="D115" s="569" t="s">
        <v>1491</v>
      </c>
      <c r="E115" s="681" t="s">
        <v>81</v>
      </c>
      <c r="F115" s="644">
        <v>42.78</v>
      </c>
      <c r="G115" s="682">
        <v>45.49</v>
      </c>
      <c r="H115" s="681">
        <v>2.7</v>
      </c>
      <c r="I115" s="622">
        <f t="shared" si="21"/>
        <v>0</v>
      </c>
      <c r="J115" s="574">
        <f t="shared" si="22"/>
        <v>0</v>
      </c>
      <c r="K115" s="644">
        <f>H115-J115</f>
        <v>2.7</v>
      </c>
      <c r="L115" s="708">
        <f t="shared" si="31"/>
        <v>122.82</v>
      </c>
      <c r="M115" s="708">
        <f t="shared" si="31"/>
        <v>0</v>
      </c>
      <c r="N115" s="708">
        <f t="shared" si="31"/>
        <v>0</v>
      </c>
      <c r="O115" s="718">
        <f t="shared" si="31"/>
        <v>122.82</v>
      </c>
      <c r="P115" s="617">
        <f t="shared" si="26"/>
        <v>0</v>
      </c>
      <c r="Q115" s="525"/>
      <c r="S115" s="190">
        <v>0</v>
      </c>
      <c r="T115" s="190">
        <v>0</v>
      </c>
      <c r="BT115" s="525"/>
      <c r="BU115" s="523"/>
      <c r="BV115" s="523">
        <v>0</v>
      </c>
      <c r="BW115" s="523">
        <v>0</v>
      </c>
      <c r="BX115" s="523">
        <v>0</v>
      </c>
      <c r="BY115" s="523">
        <v>0</v>
      </c>
      <c r="BZ115" s="523"/>
      <c r="CA115" s="523"/>
      <c r="CB115" s="523"/>
      <c r="CC115" s="523"/>
      <c r="CD115" s="523"/>
      <c r="CE115" s="523"/>
      <c r="CF115" s="523"/>
      <c r="CG115" s="523"/>
      <c r="CH115" s="523"/>
      <c r="CI115" s="523">
        <f t="shared" si="20"/>
        <v>0</v>
      </c>
    </row>
    <row r="116" spans="1:87" ht="15.75" x14ac:dyDescent="0.2">
      <c r="A116" s="605" t="s">
        <v>256</v>
      </c>
      <c r="B116" s="586"/>
      <c r="C116" s="586"/>
      <c r="D116" s="586" t="s">
        <v>1256</v>
      </c>
      <c r="E116" s="609"/>
      <c r="F116" s="609"/>
      <c r="G116" s="609"/>
      <c r="H116" s="609"/>
      <c r="I116" s="609"/>
      <c r="J116" s="609"/>
      <c r="K116" s="609"/>
      <c r="L116" s="733">
        <f>SUM(L117:L119)</f>
        <v>6045.77</v>
      </c>
      <c r="M116" s="733">
        <f>SUM(M117:M119)</f>
        <v>0</v>
      </c>
      <c r="N116" s="733">
        <f>SUM(N117:N119)</f>
        <v>0</v>
      </c>
      <c r="O116" s="722">
        <f>SUM(O117:O119)</f>
        <v>6045.77</v>
      </c>
      <c r="P116" s="611">
        <f t="shared" si="26"/>
        <v>0</v>
      </c>
      <c r="Q116" s="525"/>
      <c r="S116" s="189">
        <v>0</v>
      </c>
      <c r="T116" s="189">
        <v>0</v>
      </c>
      <c r="BT116" s="525"/>
      <c r="BU116" s="523"/>
      <c r="BV116" s="523">
        <v>0</v>
      </c>
      <c r="BW116" s="523">
        <v>0</v>
      </c>
      <c r="BX116" s="523"/>
      <c r="BY116" s="523"/>
      <c r="BZ116" s="523"/>
      <c r="CA116" s="523"/>
      <c r="CB116" s="523"/>
      <c r="CC116" s="523"/>
      <c r="CD116" s="523"/>
      <c r="CE116" s="523"/>
      <c r="CF116" s="523"/>
      <c r="CG116" s="523"/>
      <c r="CH116" s="523"/>
      <c r="CI116" s="523">
        <f t="shared" si="20"/>
        <v>0</v>
      </c>
    </row>
    <row r="117" spans="1:87" ht="15" x14ac:dyDescent="0.2">
      <c r="A117" s="680" t="s">
        <v>1492</v>
      </c>
      <c r="B117" s="569">
        <v>85181</v>
      </c>
      <c r="C117" s="569" t="s">
        <v>1324</v>
      </c>
      <c r="D117" s="569" t="s">
        <v>1493</v>
      </c>
      <c r="E117" s="681" t="s">
        <v>14</v>
      </c>
      <c r="F117" s="630"/>
      <c r="G117" s="682">
        <v>523.70000000000005</v>
      </c>
      <c r="H117" s="681">
        <v>9.7899999999999991</v>
      </c>
      <c r="I117" s="622">
        <f t="shared" si="21"/>
        <v>0</v>
      </c>
      <c r="J117" s="574">
        <f t="shared" si="22"/>
        <v>0</v>
      </c>
      <c r="K117" s="644">
        <f>H117-J117</f>
        <v>9.7899999999999991</v>
      </c>
      <c r="L117" s="708">
        <f t="shared" ref="L117:O119" si="32">ROUND(H117*$G117,2)</f>
        <v>5127.0200000000004</v>
      </c>
      <c r="M117" s="708">
        <f t="shared" si="32"/>
        <v>0</v>
      </c>
      <c r="N117" s="708">
        <f t="shared" si="32"/>
        <v>0</v>
      </c>
      <c r="O117" s="718">
        <f t="shared" si="32"/>
        <v>5127.0200000000004</v>
      </c>
      <c r="P117" s="617">
        <f t="shared" si="26"/>
        <v>0</v>
      </c>
      <c r="Q117" s="525"/>
      <c r="S117" s="189">
        <v>0</v>
      </c>
      <c r="T117" s="189">
        <v>0</v>
      </c>
      <c r="BT117" s="525"/>
      <c r="BU117" s="523"/>
      <c r="BV117" s="523">
        <v>0</v>
      </c>
      <c r="BW117" s="523">
        <v>0</v>
      </c>
      <c r="BX117" s="523">
        <v>0</v>
      </c>
      <c r="BY117" s="523">
        <v>0</v>
      </c>
      <c r="BZ117" s="523"/>
      <c r="CA117" s="523"/>
      <c r="CB117" s="523"/>
      <c r="CC117" s="523"/>
      <c r="CD117" s="523"/>
      <c r="CE117" s="523"/>
      <c r="CF117" s="523"/>
      <c r="CG117" s="523"/>
      <c r="CH117" s="523"/>
      <c r="CI117" s="523">
        <f t="shared" si="20"/>
        <v>0</v>
      </c>
    </row>
    <row r="118" spans="1:87" ht="15" x14ac:dyDescent="0.2">
      <c r="A118" s="680" t="s">
        <v>1494</v>
      </c>
      <c r="B118" s="569">
        <v>5652</v>
      </c>
      <c r="C118" s="569" t="s">
        <v>1324</v>
      </c>
      <c r="D118" s="569" t="s">
        <v>1495</v>
      </c>
      <c r="E118" s="681" t="s">
        <v>48</v>
      </c>
      <c r="F118" s="630"/>
      <c r="G118" s="682">
        <v>276.27</v>
      </c>
      <c r="H118" s="681">
        <v>1.82</v>
      </c>
      <c r="I118" s="622">
        <f t="shared" si="21"/>
        <v>0</v>
      </c>
      <c r="J118" s="574">
        <f t="shared" si="22"/>
        <v>0</v>
      </c>
      <c r="K118" s="644">
        <f>H118-J118</f>
        <v>1.82</v>
      </c>
      <c r="L118" s="708">
        <f t="shared" si="32"/>
        <v>502.81</v>
      </c>
      <c r="M118" s="708">
        <f t="shared" si="32"/>
        <v>0</v>
      </c>
      <c r="N118" s="708">
        <f t="shared" si="32"/>
        <v>0</v>
      </c>
      <c r="O118" s="718">
        <f t="shared" si="32"/>
        <v>502.81</v>
      </c>
      <c r="P118" s="617">
        <f t="shared" si="26"/>
        <v>0</v>
      </c>
      <c r="Q118" s="525"/>
      <c r="S118" s="189">
        <v>0</v>
      </c>
      <c r="T118" s="189">
        <v>0</v>
      </c>
      <c r="BT118" s="525"/>
      <c r="BU118" s="523"/>
      <c r="BV118" s="523">
        <v>0</v>
      </c>
      <c r="BW118" s="523">
        <v>0</v>
      </c>
      <c r="BX118" s="523">
        <v>0</v>
      </c>
      <c r="BY118" s="523">
        <v>0</v>
      </c>
      <c r="BZ118" s="523"/>
      <c r="CA118" s="523"/>
      <c r="CB118" s="523"/>
      <c r="CC118" s="523"/>
      <c r="CD118" s="523"/>
      <c r="CE118" s="523"/>
      <c r="CF118" s="523"/>
      <c r="CG118" s="523"/>
      <c r="CH118" s="523"/>
      <c r="CI118" s="523">
        <f t="shared" si="20"/>
        <v>0</v>
      </c>
    </row>
    <row r="119" spans="1:87" s="657" customFormat="1" ht="30" x14ac:dyDescent="0.2">
      <c r="A119" s="680" t="s">
        <v>1496</v>
      </c>
      <c r="B119" s="569" t="s">
        <v>2007</v>
      </c>
      <c r="C119" s="569" t="s">
        <v>1339</v>
      </c>
      <c r="D119" s="569" t="s">
        <v>1497</v>
      </c>
      <c r="E119" s="681" t="s">
        <v>14</v>
      </c>
      <c r="F119" s="644">
        <v>7.73</v>
      </c>
      <c r="G119" s="682">
        <v>71.099999999999994</v>
      </c>
      <c r="H119" s="681">
        <v>5.85</v>
      </c>
      <c r="I119" s="622">
        <f t="shared" si="21"/>
        <v>0</v>
      </c>
      <c r="J119" s="574">
        <f t="shared" si="22"/>
        <v>0</v>
      </c>
      <c r="K119" s="644">
        <f>H119-J119</f>
        <v>5.85</v>
      </c>
      <c r="L119" s="708">
        <f t="shared" si="32"/>
        <v>415.94</v>
      </c>
      <c r="M119" s="708">
        <f t="shared" si="32"/>
        <v>0</v>
      </c>
      <c r="N119" s="708">
        <f t="shared" si="32"/>
        <v>0</v>
      </c>
      <c r="O119" s="718">
        <f t="shared" si="32"/>
        <v>415.94</v>
      </c>
      <c r="P119" s="617">
        <f t="shared" si="26"/>
        <v>0</v>
      </c>
      <c r="Q119" s="525"/>
      <c r="S119" s="190">
        <v>0</v>
      </c>
      <c r="T119" s="190">
        <v>0</v>
      </c>
      <c r="BT119" s="525"/>
      <c r="BU119" s="523"/>
      <c r="BV119" s="523">
        <v>0</v>
      </c>
      <c r="BW119" s="523">
        <v>0</v>
      </c>
      <c r="BX119" s="523">
        <v>0</v>
      </c>
      <c r="BY119" s="523">
        <v>0</v>
      </c>
      <c r="BZ119" s="523"/>
      <c r="CA119" s="523"/>
      <c r="CB119" s="523"/>
      <c r="CC119" s="523"/>
      <c r="CD119" s="523"/>
      <c r="CE119" s="523"/>
      <c r="CF119" s="523"/>
      <c r="CG119" s="523"/>
      <c r="CH119" s="523"/>
      <c r="CI119" s="523">
        <f t="shared" si="20"/>
        <v>0</v>
      </c>
    </row>
    <row r="120" spans="1:87" ht="15.75" x14ac:dyDescent="0.2">
      <c r="A120" s="600">
        <v>11</v>
      </c>
      <c r="B120" s="558"/>
      <c r="C120" s="558"/>
      <c r="D120" s="558" t="s">
        <v>1498</v>
      </c>
      <c r="E120" s="626"/>
      <c r="F120" s="626"/>
      <c r="G120" s="626"/>
      <c r="H120" s="626"/>
      <c r="I120" s="626"/>
      <c r="J120" s="626"/>
      <c r="K120" s="626"/>
      <c r="L120" s="628">
        <f>SUM(L121:L128)</f>
        <v>62088.5</v>
      </c>
      <c r="M120" s="628">
        <f>SUM(M121:M128)</f>
        <v>0</v>
      </c>
      <c r="N120" s="628">
        <f>SUM(N121:N128)</f>
        <v>0</v>
      </c>
      <c r="O120" s="721">
        <f>SUM(O121:O128)</f>
        <v>62088.5</v>
      </c>
      <c r="P120" s="604">
        <f t="shared" si="26"/>
        <v>0</v>
      </c>
      <c r="Q120" s="525"/>
      <c r="S120" s="189">
        <v>0</v>
      </c>
      <c r="T120" s="189">
        <v>0</v>
      </c>
      <c r="BT120" s="525"/>
      <c r="BU120" s="523"/>
      <c r="BV120" s="523">
        <v>0</v>
      </c>
      <c r="BW120" s="523">
        <v>0</v>
      </c>
      <c r="BX120" s="523"/>
      <c r="BY120" s="523"/>
      <c r="BZ120" s="523"/>
      <c r="CA120" s="523"/>
      <c r="CB120" s="523"/>
      <c r="CC120" s="523"/>
      <c r="CD120" s="523"/>
      <c r="CE120" s="523"/>
      <c r="CF120" s="523"/>
      <c r="CG120" s="523"/>
      <c r="CH120" s="523"/>
      <c r="CI120" s="523">
        <f t="shared" si="20"/>
        <v>0</v>
      </c>
    </row>
    <row r="121" spans="1:87" ht="15" x14ac:dyDescent="0.2">
      <c r="A121" s="680" t="s">
        <v>274</v>
      </c>
      <c r="B121" s="569" t="s">
        <v>2007</v>
      </c>
      <c r="C121" s="569" t="s">
        <v>1339</v>
      </c>
      <c r="D121" s="569" t="s">
        <v>1499</v>
      </c>
      <c r="E121" s="681" t="s">
        <v>14</v>
      </c>
      <c r="F121" s="644">
        <v>14.07</v>
      </c>
      <c r="G121" s="682">
        <v>7.03</v>
      </c>
      <c r="H121" s="681">
        <v>529.37</v>
      </c>
      <c r="I121" s="622">
        <f t="shared" si="21"/>
        <v>0</v>
      </c>
      <c r="J121" s="574">
        <f t="shared" si="22"/>
        <v>0</v>
      </c>
      <c r="K121" s="644">
        <f t="shared" ref="K121:K128" si="33">H121-J121</f>
        <v>529.37</v>
      </c>
      <c r="L121" s="708">
        <f t="shared" ref="L121:O128" si="34">ROUND(H121*$G121,2)</f>
        <v>3721.47</v>
      </c>
      <c r="M121" s="708">
        <f t="shared" si="34"/>
        <v>0</v>
      </c>
      <c r="N121" s="708">
        <f t="shared" si="34"/>
        <v>0</v>
      </c>
      <c r="O121" s="718">
        <f t="shared" si="34"/>
        <v>3721.47</v>
      </c>
      <c r="P121" s="617">
        <f t="shared" si="26"/>
        <v>0</v>
      </c>
      <c r="Q121" s="525"/>
      <c r="S121" s="189">
        <v>0</v>
      </c>
      <c r="T121" s="189">
        <v>0</v>
      </c>
      <c r="BT121" s="525"/>
      <c r="BU121" s="523"/>
      <c r="BV121" s="523">
        <v>0</v>
      </c>
      <c r="BW121" s="523">
        <v>0</v>
      </c>
      <c r="BX121" s="523">
        <v>0</v>
      </c>
      <c r="BY121" s="523">
        <v>0</v>
      </c>
      <c r="BZ121" s="523"/>
      <c r="CA121" s="523"/>
      <c r="CB121" s="523"/>
      <c r="CC121" s="523"/>
      <c r="CD121" s="523"/>
      <c r="CE121" s="523"/>
      <c r="CF121" s="523"/>
      <c r="CG121" s="523"/>
      <c r="CH121" s="523"/>
      <c r="CI121" s="523">
        <f t="shared" si="20"/>
        <v>0</v>
      </c>
    </row>
    <row r="122" spans="1:87" ht="15" x14ac:dyDescent="0.2">
      <c r="A122" s="680" t="s">
        <v>276</v>
      </c>
      <c r="B122" s="569">
        <v>88489</v>
      </c>
      <c r="C122" s="569" t="s">
        <v>1324</v>
      </c>
      <c r="D122" s="569" t="s">
        <v>1500</v>
      </c>
      <c r="E122" s="681" t="s">
        <v>14</v>
      </c>
      <c r="F122" s="644">
        <v>14.07</v>
      </c>
      <c r="G122" s="682">
        <v>9.48</v>
      </c>
      <c r="H122" s="681">
        <v>445.04</v>
      </c>
      <c r="I122" s="622">
        <f t="shared" si="21"/>
        <v>0</v>
      </c>
      <c r="J122" s="574">
        <f t="shared" si="22"/>
        <v>0</v>
      </c>
      <c r="K122" s="644">
        <f t="shared" si="33"/>
        <v>445.04</v>
      </c>
      <c r="L122" s="708">
        <f t="shared" si="34"/>
        <v>4218.9799999999996</v>
      </c>
      <c r="M122" s="708">
        <f t="shared" si="34"/>
        <v>0</v>
      </c>
      <c r="N122" s="708">
        <f t="shared" si="34"/>
        <v>0</v>
      </c>
      <c r="O122" s="718">
        <f t="shared" si="34"/>
        <v>4218.9799999999996</v>
      </c>
      <c r="P122" s="617">
        <f t="shared" si="26"/>
        <v>0</v>
      </c>
      <c r="Q122" s="525"/>
      <c r="S122" s="189">
        <v>0</v>
      </c>
      <c r="T122" s="189">
        <v>0</v>
      </c>
      <c r="BT122" s="525"/>
      <c r="BU122" s="523"/>
      <c r="BV122" s="523">
        <v>0</v>
      </c>
      <c r="BW122" s="523">
        <v>0</v>
      </c>
      <c r="BX122" s="523">
        <v>0</v>
      </c>
      <c r="BY122" s="523">
        <v>0</v>
      </c>
      <c r="BZ122" s="523"/>
      <c r="CA122" s="523"/>
      <c r="CB122" s="523"/>
      <c r="CC122" s="523"/>
      <c r="CD122" s="523"/>
      <c r="CE122" s="523"/>
      <c r="CF122" s="523"/>
      <c r="CG122" s="523"/>
      <c r="CH122" s="523"/>
      <c r="CI122" s="523">
        <f t="shared" si="20"/>
        <v>0</v>
      </c>
    </row>
    <row r="123" spans="1:87" ht="15.75" x14ac:dyDescent="0.2">
      <c r="A123" s="680" t="s">
        <v>278</v>
      </c>
      <c r="B123" s="569">
        <v>88486</v>
      </c>
      <c r="C123" s="569" t="s">
        <v>1324</v>
      </c>
      <c r="D123" s="569" t="s">
        <v>1501</v>
      </c>
      <c r="E123" s="681" t="s">
        <v>14</v>
      </c>
      <c r="F123" s="578"/>
      <c r="G123" s="682">
        <v>8.2899999999999991</v>
      </c>
      <c r="H123" s="681">
        <v>84.33</v>
      </c>
      <c r="I123" s="622">
        <f t="shared" si="21"/>
        <v>0</v>
      </c>
      <c r="J123" s="574">
        <f t="shared" si="22"/>
        <v>0</v>
      </c>
      <c r="K123" s="644">
        <f t="shared" si="33"/>
        <v>84.33</v>
      </c>
      <c r="L123" s="708">
        <f t="shared" si="34"/>
        <v>699.1</v>
      </c>
      <c r="M123" s="708">
        <f t="shared" si="34"/>
        <v>0</v>
      </c>
      <c r="N123" s="708">
        <f t="shared" si="34"/>
        <v>0</v>
      </c>
      <c r="O123" s="718">
        <f t="shared" si="34"/>
        <v>699.1</v>
      </c>
      <c r="P123" s="617">
        <f t="shared" si="26"/>
        <v>0</v>
      </c>
      <c r="Q123" s="525"/>
      <c r="S123" s="189">
        <v>0</v>
      </c>
      <c r="T123" s="189">
        <v>0</v>
      </c>
      <c r="BT123" s="525"/>
      <c r="BU123" s="523"/>
      <c r="BV123" s="523">
        <v>0</v>
      </c>
      <c r="BW123" s="523">
        <v>0</v>
      </c>
      <c r="BX123" s="523">
        <v>0</v>
      </c>
      <c r="BY123" s="523">
        <v>0</v>
      </c>
      <c r="BZ123" s="523"/>
      <c r="CA123" s="523"/>
      <c r="CB123" s="523"/>
      <c r="CC123" s="523"/>
      <c r="CD123" s="523"/>
      <c r="CE123" s="523"/>
      <c r="CF123" s="523"/>
      <c r="CG123" s="523"/>
      <c r="CH123" s="523"/>
      <c r="CI123" s="523">
        <f t="shared" si="20"/>
        <v>0</v>
      </c>
    </row>
    <row r="124" spans="1:87" ht="15.75" x14ac:dyDescent="0.2">
      <c r="A124" s="680" t="s">
        <v>281</v>
      </c>
      <c r="B124" s="569">
        <v>72815</v>
      </c>
      <c r="C124" s="569" t="s">
        <v>1324</v>
      </c>
      <c r="D124" s="569" t="s">
        <v>1502</v>
      </c>
      <c r="E124" s="681" t="s">
        <v>14</v>
      </c>
      <c r="F124" s="578"/>
      <c r="G124" s="682">
        <v>43.08</v>
      </c>
      <c r="H124" s="681">
        <v>483.8</v>
      </c>
      <c r="I124" s="622">
        <f t="shared" si="21"/>
        <v>0</v>
      </c>
      <c r="J124" s="574">
        <f t="shared" si="22"/>
        <v>0</v>
      </c>
      <c r="K124" s="644">
        <f t="shared" si="33"/>
        <v>483.8</v>
      </c>
      <c r="L124" s="708">
        <f t="shared" si="34"/>
        <v>20842.099999999999</v>
      </c>
      <c r="M124" s="708">
        <f t="shared" si="34"/>
        <v>0</v>
      </c>
      <c r="N124" s="708">
        <f t="shared" si="34"/>
        <v>0</v>
      </c>
      <c r="O124" s="718">
        <f t="shared" si="34"/>
        <v>20842.099999999999</v>
      </c>
      <c r="P124" s="617">
        <f t="shared" si="26"/>
        <v>0</v>
      </c>
      <c r="Q124" s="525"/>
      <c r="S124" s="189">
        <v>0</v>
      </c>
      <c r="T124" s="189">
        <v>0</v>
      </c>
      <c r="BT124" s="525"/>
      <c r="BU124" s="523"/>
      <c r="BV124" s="523">
        <v>0</v>
      </c>
      <c r="BW124" s="523">
        <v>0</v>
      </c>
      <c r="BX124" s="523">
        <v>0</v>
      </c>
      <c r="BY124" s="523">
        <v>0</v>
      </c>
      <c r="BZ124" s="523"/>
      <c r="CA124" s="523"/>
      <c r="CB124" s="523"/>
      <c r="CC124" s="523"/>
      <c r="CD124" s="523"/>
      <c r="CE124" s="523"/>
      <c r="CF124" s="523"/>
      <c r="CG124" s="523"/>
      <c r="CH124" s="523"/>
      <c r="CI124" s="523">
        <f t="shared" si="20"/>
        <v>0</v>
      </c>
    </row>
    <row r="125" spans="1:87" ht="15.75" x14ac:dyDescent="0.2">
      <c r="A125" s="680" t="s">
        <v>1503</v>
      </c>
      <c r="B125" s="569">
        <v>41595</v>
      </c>
      <c r="C125" s="569" t="s">
        <v>1324</v>
      </c>
      <c r="D125" s="569" t="s">
        <v>1504</v>
      </c>
      <c r="E125" s="681" t="s">
        <v>81</v>
      </c>
      <c r="F125" s="578"/>
      <c r="G125" s="682">
        <v>8.86</v>
      </c>
      <c r="H125" s="681">
        <v>275.60000000000002</v>
      </c>
      <c r="I125" s="622">
        <f t="shared" si="21"/>
        <v>0</v>
      </c>
      <c r="J125" s="574">
        <f t="shared" si="22"/>
        <v>0</v>
      </c>
      <c r="K125" s="644">
        <f t="shared" si="33"/>
        <v>275.60000000000002</v>
      </c>
      <c r="L125" s="708">
        <f t="shared" si="34"/>
        <v>2441.8200000000002</v>
      </c>
      <c r="M125" s="708">
        <f t="shared" si="34"/>
        <v>0</v>
      </c>
      <c r="N125" s="708">
        <f t="shared" si="34"/>
        <v>0</v>
      </c>
      <c r="O125" s="718">
        <f t="shared" si="34"/>
        <v>2441.8200000000002</v>
      </c>
      <c r="P125" s="617">
        <f t="shared" si="26"/>
        <v>0</v>
      </c>
      <c r="Q125" s="525"/>
      <c r="S125" s="189">
        <v>0</v>
      </c>
      <c r="T125" s="189">
        <v>0</v>
      </c>
      <c r="BT125" s="525"/>
      <c r="BU125" s="523"/>
      <c r="BV125" s="523">
        <v>0</v>
      </c>
      <c r="BW125" s="523">
        <v>0</v>
      </c>
      <c r="BX125" s="523">
        <v>0</v>
      </c>
      <c r="BY125" s="523">
        <v>0</v>
      </c>
      <c r="BZ125" s="523"/>
      <c r="CA125" s="523"/>
      <c r="CB125" s="523"/>
      <c r="CC125" s="523"/>
      <c r="CD125" s="523"/>
      <c r="CE125" s="523"/>
      <c r="CF125" s="523"/>
      <c r="CG125" s="523"/>
      <c r="CH125" s="523"/>
      <c r="CI125" s="523">
        <f t="shared" si="20"/>
        <v>0</v>
      </c>
    </row>
    <row r="126" spans="1:87" ht="15" x14ac:dyDescent="0.2">
      <c r="A126" s="680" t="s">
        <v>1505</v>
      </c>
      <c r="B126" s="569" t="s">
        <v>1506</v>
      </c>
      <c r="C126" s="569" t="s">
        <v>1324</v>
      </c>
      <c r="D126" s="569" t="s">
        <v>1507</v>
      </c>
      <c r="E126" s="681" t="s">
        <v>14</v>
      </c>
      <c r="F126" s="571"/>
      <c r="G126" s="682">
        <v>7.25</v>
      </c>
      <c r="H126" s="681">
        <v>366.82</v>
      </c>
      <c r="I126" s="622">
        <f t="shared" si="21"/>
        <v>0</v>
      </c>
      <c r="J126" s="574">
        <f t="shared" si="22"/>
        <v>0</v>
      </c>
      <c r="K126" s="644">
        <f t="shared" si="33"/>
        <v>366.82</v>
      </c>
      <c r="L126" s="708">
        <f t="shared" si="34"/>
        <v>2659.45</v>
      </c>
      <c r="M126" s="708">
        <f t="shared" si="34"/>
        <v>0</v>
      </c>
      <c r="N126" s="708">
        <f t="shared" si="34"/>
        <v>0</v>
      </c>
      <c r="O126" s="718">
        <f t="shared" si="34"/>
        <v>2659.45</v>
      </c>
      <c r="P126" s="617">
        <f t="shared" si="26"/>
        <v>0</v>
      </c>
      <c r="Q126" s="525"/>
      <c r="S126" s="189">
        <v>0</v>
      </c>
      <c r="T126" s="189">
        <v>0</v>
      </c>
      <c r="BT126" s="525"/>
      <c r="BU126" s="523"/>
      <c r="BV126" s="523">
        <v>0</v>
      </c>
      <c r="BW126" s="523">
        <v>0</v>
      </c>
      <c r="BX126" s="523">
        <v>0</v>
      </c>
      <c r="BY126" s="523">
        <v>0</v>
      </c>
      <c r="BZ126" s="523"/>
      <c r="CA126" s="523"/>
      <c r="CB126" s="523"/>
      <c r="CC126" s="523"/>
      <c r="CD126" s="523"/>
      <c r="CE126" s="523"/>
      <c r="CF126" s="523"/>
      <c r="CG126" s="523"/>
      <c r="CH126" s="523"/>
      <c r="CI126" s="523">
        <f t="shared" si="20"/>
        <v>0</v>
      </c>
    </row>
    <row r="127" spans="1:87" ht="15" x14ac:dyDescent="0.2">
      <c r="A127" s="680" t="s">
        <v>1508</v>
      </c>
      <c r="B127" s="569" t="s">
        <v>1509</v>
      </c>
      <c r="C127" s="569" t="s">
        <v>1324</v>
      </c>
      <c r="D127" s="569" t="s">
        <v>1510</v>
      </c>
      <c r="E127" s="681" t="s">
        <v>14</v>
      </c>
      <c r="F127" s="644">
        <v>37.78</v>
      </c>
      <c r="G127" s="682">
        <v>21.62</v>
      </c>
      <c r="H127" s="681">
        <v>567.82000000000005</v>
      </c>
      <c r="I127" s="622">
        <f t="shared" si="21"/>
        <v>0</v>
      </c>
      <c r="J127" s="574">
        <f t="shared" si="22"/>
        <v>0</v>
      </c>
      <c r="K127" s="644">
        <f t="shared" si="33"/>
        <v>567.82000000000005</v>
      </c>
      <c r="L127" s="708">
        <f t="shared" si="34"/>
        <v>12276.27</v>
      </c>
      <c r="M127" s="708">
        <f t="shared" si="34"/>
        <v>0</v>
      </c>
      <c r="N127" s="708">
        <f t="shared" si="34"/>
        <v>0</v>
      </c>
      <c r="O127" s="718">
        <f t="shared" si="34"/>
        <v>12276.27</v>
      </c>
      <c r="P127" s="617">
        <f t="shared" si="26"/>
        <v>0</v>
      </c>
      <c r="Q127" s="525"/>
      <c r="S127" s="189">
        <v>0</v>
      </c>
      <c r="T127" s="189">
        <v>0</v>
      </c>
      <c r="BT127" s="525"/>
      <c r="BU127" s="523"/>
      <c r="BV127" s="523">
        <v>0</v>
      </c>
      <c r="BW127" s="523">
        <v>0</v>
      </c>
      <c r="BX127" s="523">
        <v>0</v>
      </c>
      <c r="BY127" s="523">
        <v>0</v>
      </c>
      <c r="BZ127" s="523"/>
      <c r="CA127" s="523"/>
      <c r="CB127" s="523"/>
      <c r="CC127" s="523"/>
      <c r="CD127" s="523"/>
      <c r="CE127" s="523"/>
      <c r="CF127" s="523"/>
      <c r="CG127" s="523"/>
      <c r="CH127" s="523"/>
      <c r="CI127" s="523">
        <f t="shared" si="20"/>
        <v>0</v>
      </c>
    </row>
    <row r="128" spans="1:87" ht="15" x14ac:dyDescent="0.2">
      <c r="A128" s="680" t="s">
        <v>1511</v>
      </c>
      <c r="B128" s="569" t="s">
        <v>1512</v>
      </c>
      <c r="C128" s="569" t="s">
        <v>1324</v>
      </c>
      <c r="D128" s="569" t="s">
        <v>1513</v>
      </c>
      <c r="E128" s="681" t="s">
        <v>14</v>
      </c>
      <c r="F128" s="644">
        <v>21.63</v>
      </c>
      <c r="G128" s="682">
        <v>14.78</v>
      </c>
      <c r="H128" s="681">
        <v>1030.4000000000001</v>
      </c>
      <c r="I128" s="622">
        <f t="shared" si="21"/>
        <v>0</v>
      </c>
      <c r="J128" s="574">
        <f t="shared" si="22"/>
        <v>0</v>
      </c>
      <c r="K128" s="644">
        <f t="shared" si="33"/>
        <v>1030.4000000000001</v>
      </c>
      <c r="L128" s="708">
        <f t="shared" si="34"/>
        <v>15229.31</v>
      </c>
      <c r="M128" s="708">
        <f t="shared" si="34"/>
        <v>0</v>
      </c>
      <c r="N128" s="708">
        <f t="shared" si="34"/>
        <v>0</v>
      </c>
      <c r="O128" s="718">
        <f t="shared" si="34"/>
        <v>15229.31</v>
      </c>
      <c r="P128" s="617">
        <f t="shared" si="26"/>
        <v>0</v>
      </c>
      <c r="Q128" s="525"/>
      <c r="S128" s="189">
        <v>0</v>
      </c>
      <c r="T128" s="189">
        <v>271</v>
      </c>
      <c r="BT128" s="525"/>
      <c r="BU128" s="523"/>
      <c r="BV128" s="523">
        <v>0</v>
      </c>
      <c r="BW128" s="523">
        <v>0</v>
      </c>
      <c r="BX128" s="523">
        <v>0</v>
      </c>
      <c r="BY128" s="523">
        <v>0</v>
      </c>
      <c r="BZ128" s="523"/>
      <c r="CA128" s="523"/>
      <c r="CB128" s="523"/>
      <c r="CC128" s="523"/>
      <c r="CD128" s="523"/>
      <c r="CE128" s="523"/>
      <c r="CF128" s="523"/>
      <c r="CG128" s="523"/>
      <c r="CH128" s="523"/>
      <c r="CI128" s="523">
        <f t="shared" si="20"/>
        <v>0</v>
      </c>
    </row>
    <row r="129" spans="1:87" s="657" customFormat="1" ht="15.75" x14ac:dyDescent="0.2">
      <c r="A129" s="600">
        <v>12</v>
      </c>
      <c r="B129" s="558"/>
      <c r="C129" s="558"/>
      <c r="D129" s="558" t="s">
        <v>1514</v>
      </c>
      <c r="E129" s="626"/>
      <c r="F129" s="626"/>
      <c r="G129" s="626"/>
      <c r="H129" s="626"/>
      <c r="I129" s="626"/>
      <c r="J129" s="626"/>
      <c r="K129" s="626"/>
      <c r="L129" s="734">
        <f>SUM(L130,L152)</f>
        <v>4556.04</v>
      </c>
      <c r="M129" s="734">
        <f>SUM(M130,M152)</f>
        <v>0</v>
      </c>
      <c r="N129" s="734">
        <f>SUM(N130,N152)</f>
        <v>1885.7800000000002</v>
      </c>
      <c r="O129" s="721">
        <f>SUM(O130,O152)</f>
        <v>2670.26</v>
      </c>
      <c r="P129" s="604">
        <f t="shared" si="26"/>
        <v>0.4139076917674121</v>
      </c>
      <c r="Q129" s="525"/>
      <c r="S129" s="190">
        <v>0</v>
      </c>
      <c r="T129" s="190">
        <v>237</v>
      </c>
      <c r="BT129" s="525"/>
      <c r="BU129" s="523"/>
      <c r="BV129" s="523">
        <v>0</v>
      </c>
      <c r="BW129" s="523">
        <v>271</v>
      </c>
      <c r="BX129" s="523"/>
      <c r="BY129" s="523"/>
      <c r="BZ129" s="523"/>
      <c r="CA129" s="523"/>
      <c r="CB129" s="523"/>
      <c r="CC129" s="523"/>
      <c r="CD129" s="523"/>
      <c r="CE129" s="523"/>
      <c r="CF129" s="523"/>
      <c r="CG129" s="523"/>
      <c r="CH129" s="523"/>
      <c r="CI129" s="523">
        <f t="shared" si="20"/>
        <v>271</v>
      </c>
    </row>
    <row r="130" spans="1:87" ht="15.75" x14ac:dyDescent="0.2">
      <c r="A130" s="605" t="s">
        <v>1515</v>
      </c>
      <c r="B130" s="586"/>
      <c r="C130" s="586"/>
      <c r="D130" s="586" t="s">
        <v>1516</v>
      </c>
      <c r="E130" s="609"/>
      <c r="F130" s="609"/>
      <c r="G130" s="609"/>
      <c r="H130" s="609"/>
      <c r="I130" s="609"/>
      <c r="J130" s="609"/>
      <c r="K130" s="609"/>
      <c r="L130" s="733">
        <f>SUM(L131:L151)</f>
        <v>1719.64</v>
      </c>
      <c r="M130" s="733">
        <f>SUM(M131:M151)</f>
        <v>0</v>
      </c>
      <c r="N130" s="733">
        <f>SUM(N131:N151)</f>
        <v>1719.64</v>
      </c>
      <c r="O130" s="722">
        <f>SUM(O131:O151)</f>
        <v>0</v>
      </c>
      <c r="P130" s="611">
        <f t="shared" si="26"/>
        <v>1</v>
      </c>
      <c r="Q130" s="525"/>
      <c r="S130" s="189">
        <v>0</v>
      </c>
      <c r="T130" s="189">
        <v>12</v>
      </c>
      <c r="BT130" s="525"/>
      <c r="BU130" s="523"/>
      <c r="BV130" s="523">
        <v>0</v>
      </c>
      <c r="BW130" s="523">
        <v>237</v>
      </c>
      <c r="BX130" s="523"/>
      <c r="BY130" s="523"/>
      <c r="BZ130" s="523"/>
      <c r="CA130" s="523"/>
      <c r="CB130" s="523"/>
      <c r="CC130" s="523"/>
      <c r="CD130" s="523"/>
      <c r="CE130" s="523"/>
      <c r="CF130" s="523"/>
      <c r="CG130" s="523"/>
      <c r="CH130" s="523"/>
      <c r="CI130" s="523">
        <f t="shared" si="20"/>
        <v>237</v>
      </c>
    </row>
    <row r="131" spans="1:87" ht="15" x14ac:dyDescent="0.2">
      <c r="A131" s="680" t="s">
        <v>1517</v>
      </c>
      <c r="B131" s="569">
        <v>89401</v>
      </c>
      <c r="C131" s="569" t="s">
        <v>1324</v>
      </c>
      <c r="D131" s="569" t="s">
        <v>1518</v>
      </c>
      <c r="E131" s="681" t="s">
        <v>81</v>
      </c>
      <c r="F131" s="644">
        <v>22.03</v>
      </c>
      <c r="G131" s="682">
        <v>5.29</v>
      </c>
      <c r="H131" s="681">
        <v>12</v>
      </c>
      <c r="I131" s="622">
        <f t="shared" si="21"/>
        <v>0</v>
      </c>
      <c r="J131" s="574">
        <f t="shared" si="22"/>
        <v>12</v>
      </c>
      <c r="K131" s="689">
        <f t="shared" ref="K131:K193" si="35">H131-J131</f>
        <v>0</v>
      </c>
      <c r="L131" s="708">
        <f t="shared" ref="L131:O151" si="36">ROUND(H131*$G131,2)</f>
        <v>63.48</v>
      </c>
      <c r="M131" s="708">
        <f t="shared" si="36"/>
        <v>0</v>
      </c>
      <c r="N131" s="708">
        <f t="shared" si="36"/>
        <v>63.48</v>
      </c>
      <c r="O131" s="718">
        <f t="shared" si="36"/>
        <v>0</v>
      </c>
      <c r="P131" s="617">
        <f t="shared" si="26"/>
        <v>1</v>
      </c>
      <c r="Q131" s="525"/>
      <c r="S131" s="189">
        <v>0</v>
      </c>
      <c r="T131" s="189">
        <v>42</v>
      </c>
      <c r="BT131" s="525"/>
      <c r="BU131" s="523"/>
      <c r="BV131" s="523">
        <v>0</v>
      </c>
      <c r="BW131" s="523">
        <v>12</v>
      </c>
      <c r="BX131" s="523">
        <v>0</v>
      </c>
      <c r="BY131" s="523">
        <v>0</v>
      </c>
      <c r="BZ131" s="523"/>
      <c r="CA131" s="523"/>
      <c r="CB131" s="523"/>
      <c r="CC131" s="523"/>
      <c r="CD131" s="523"/>
      <c r="CE131" s="523"/>
      <c r="CF131" s="523"/>
      <c r="CG131" s="523"/>
      <c r="CH131" s="523"/>
      <c r="CI131" s="523">
        <f t="shared" si="20"/>
        <v>12</v>
      </c>
    </row>
    <row r="132" spans="1:87" ht="15.75" x14ac:dyDescent="0.2">
      <c r="A132" s="680" t="s">
        <v>1519</v>
      </c>
      <c r="B132" s="569">
        <v>89446</v>
      </c>
      <c r="C132" s="569" t="s">
        <v>1324</v>
      </c>
      <c r="D132" s="569" t="s">
        <v>1520</v>
      </c>
      <c r="E132" s="681" t="s">
        <v>81</v>
      </c>
      <c r="F132" s="578"/>
      <c r="G132" s="682">
        <v>3.19</v>
      </c>
      <c r="H132" s="681">
        <v>42</v>
      </c>
      <c r="I132" s="622">
        <f t="shared" si="21"/>
        <v>0</v>
      </c>
      <c r="J132" s="574">
        <f t="shared" si="22"/>
        <v>42</v>
      </c>
      <c r="K132" s="681">
        <f t="shared" si="35"/>
        <v>0</v>
      </c>
      <c r="L132" s="708">
        <f t="shared" si="36"/>
        <v>133.97999999999999</v>
      </c>
      <c r="M132" s="708">
        <f t="shared" si="36"/>
        <v>0</v>
      </c>
      <c r="N132" s="708">
        <f t="shared" si="36"/>
        <v>133.97999999999999</v>
      </c>
      <c r="O132" s="718">
        <f t="shared" si="36"/>
        <v>0</v>
      </c>
      <c r="P132" s="617">
        <f t="shared" si="26"/>
        <v>1</v>
      </c>
      <c r="Q132" s="525"/>
      <c r="S132" s="189">
        <v>0</v>
      </c>
      <c r="T132" s="189">
        <v>28</v>
      </c>
      <c r="BT132" s="525"/>
      <c r="BU132" s="523"/>
      <c r="BV132" s="523">
        <v>0</v>
      </c>
      <c r="BW132" s="523">
        <v>42</v>
      </c>
      <c r="BX132" s="523">
        <v>0</v>
      </c>
      <c r="BY132" s="523">
        <v>0</v>
      </c>
      <c r="BZ132" s="523"/>
      <c r="CA132" s="523"/>
      <c r="CB132" s="523"/>
      <c r="CC132" s="523"/>
      <c r="CD132" s="523"/>
      <c r="CE132" s="523"/>
      <c r="CF132" s="523"/>
      <c r="CG132" s="523"/>
      <c r="CH132" s="523"/>
      <c r="CI132" s="523">
        <f t="shared" si="20"/>
        <v>42</v>
      </c>
    </row>
    <row r="133" spans="1:87" ht="15.75" x14ac:dyDescent="0.2">
      <c r="A133" s="680" t="s">
        <v>1521</v>
      </c>
      <c r="B133" s="569">
        <v>89447</v>
      </c>
      <c r="C133" s="569" t="s">
        <v>1324</v>
      </c>
      <c r="D133" s="569" t="s">
        <v>1522</v>
      </c>
      <c r="E133" s="681" t="s">
        <v>81</v>
      </c>
      <c r="F133" s="578"/>
      <c r="G133" s="682">
        <v>6.33</v>
      </c>
      <c r="H133" s="681">
        <v>28</v>
      </c>
      <c r="I133" s="622">
        <f t="shared" si="21"/>
        <v>0</v>
      </c>
      <c r="J133" s="574">
        <f t="shared" si="22"/>
        <v>28</v>
      </c>
      <c r="K133" s="681">
        <f t="shared" si="35"/>
        <v>0</v>
      </c>
      <c r="L133" s="708">
        <f t="shared" si="36"/>
        <v>177.24</v>
      </c>
      <c r="M133" s="708">
        <f t="shared" si="36"/>
        <v>0</v>
      </c>
      <c r="N133" s="708">
        <f t="shared" si="36"/>
        <v>177.24</v>
      </c>
      <c r="O133" s="718">
        <f t="shared" si="36"/>
        <v>0</v>
      </c>
      <c r="P133" s="617">
        <f t="shared" si="26"/>
        <v>1</v>
      </c>
      <c r="Q133" s="525"/>
      <c r="S133" s="189">
        <v>0</v>
      </c>
      <c r="T133" s="189">
        <v>30</v>
      </c>
      <c r="BT133" s="525"/>
      <c r="BU133" s="523"/>
      <c r="BV133" s="523">
        <v>0</v>
      </c>
      <c r="BW133" s="523">
        <v>28</v>
      </c>
      <c r="BX133" s="523">
        <v>0</v>
      </c>
      <c r="BY133" s="523">
        <v>0</v>
      </c>
      <c r="BZ133" s="523"/>
      <c r="CA133" s="523"/>
      <c r="CB133" s="523"/>
      <c r="CC133" s="523"/>
      <c r="CD133" s="523"/>
      <c r="CE133" s="523"/>
      <c r="CF133" s="523"/>
      <c r="CG133" s="523"/>
      <c r="CH133" s="523"/>
      <c r="CI133" s="523">
        <f t="shared" si="20"/>
        <v>28</v>
      </c>
    </row>
    <row r="134" spans="1:87" ht="15" x14ac:dyDescent="0.2">
      <c r="A134" s="680" t="s">
        <v>1523</v>
      </c>
      <c r="B134" s="569">
        <v>89448</v>
      </c>
      <c r="C134" s="569" t="s">
        <v>1324</v>
      </c>
      <c r="D134" s="569" t="s">
        <v>1524</v>
      </c>
      <c r="E134" s="681" t="s">
        <v>81</v>
      </c>
      <c r="F134" s="571"/>
      <c r="G134" s="682">
        <v>10.15</v>
      </c>
      <c r="H134" s="681">
        <v>30</v>
      </c>
      <c r="I134" s="622">
        <f t="shared" si="21"/>
        <v>0</v>
      </c>
      <c r="J134" s="574">
        <f t="shared" si="22"/>
        <v>30</v>
      </c>
      <c r="K134" s="681">
        <f t="shared" si="35"/>
        <v>0</v>
      </c>
      <c r="L134" s="708">
        <f t="shared" si="36"/>
        <v>304.5</v>
      </c>
      <c r="M134" s="708">
        <f t="shared" si="36"/>
        <v>0</v>
      </c>
      <c r="N134" s="708">
        <f t="shared" si="36"/>
        <v>304.5</v>
      </c>
      <c r="O134" s="718">
        <f t="shared" si="36"/>
        <v>0</v>
      </c>
      <c r="P134" s="617">
        <f t="shared" si="26"/>
        <v>1</v>
      </c>
      <c r="Q134" s="525"/>
      <c r="S134" s="189">
        <v>0</v>
      </c>
      <c r="T134" s="189">
        <v>36</v>
      </c>
      <c r="BT134" s="525"/>
      <c r="BU134" s="523"/>
      <c r="BV134" s="523">
        <v>0</v>
      </c>
      <c r="BW134" s="523">
        <v>30</v>
      </c>
      <c r="BX134" s="523">
        <v>0</v>
      </c>
      <c r="BY134" s="523">
        <v>0</v>
      </c>
      <c r="BZ134" s="523"/>
      <c r="CA134" s="523"/>
      <c r="CB134" s="523"/>
      <c r="CC134" s="523"/>
      <c r="CD134" s="523"/>
      <c r="CE134" s="523"/>
      <c r="CF134" s="523"/>
      <c r="CG134" s="523"/>
      <c r="CH134" s="523"/>
      <c r="CI134" s="523">
        <f t="shared" si="20"/>
        <v>30</v>
      </c>
    </row>
    <row r="135" spans="1:87" ht="15" x14ac:dyDescent="0.2">
      <c r="A135" s="680" t="s">
        <v>1525</v>
      </c>
      <c r="B135" s="569">
        <v>89449</v>
      </c>
      <c r="C135" s="569" t="s">
        <v>1324</v>
      </c>
      <c r="D135" s="569" t="s">
        <v>1526</v>
      </c>
      <c r="E135" s="681" t="s">
        <v>81</v>
      </c>
      <c r="F135" s="644">
        <v>5.81</v>
      </c>
      <c r="G135" s="682">
        <v>11.27</v>
      </c>
      <c r="H135" s="681">
        <v>36</v>
      </c>
      <c r="I135" s="622">
        <f t="shared" si="21"/>
        <v>0</v>
      </c>
      <c r="J135" s="574">
        <f t="shared" si="22"/>
        <v>36</v>
      </c>
      <c r="K135" s="681">
        <f t="shared" si="35"/>
        <v>0</v>
      </c>
      <c r="L135" s="708">
        <f t="shared" si="36"/>
        <v>405.72</v>
      </c>
      <c r="M135" s="708">
        <f t="shared" si="36"/>
        <v>0</v>
      </c>
      <c r="N135" s="708">
        <f t="shared" si="36"/>
        <v>405.72</v>
      </c>
      <c r="O135" s="718">
        <f t="shared" si="36"/>
        <v>0</v>
      </c>
      <c r="P135" s="617">
        <f t="shared" si="26"/>
        <v>1</v>
      </c>
      <c r="Q135" s="525"/>
      <c r="S135" s="189">
        <v>0</v>
      </c>
      <c r="T135" s="189">
        <v>15</v>
      </c>
      <c r="BT135" s="525"/>
      <c r="BU135" s="523"/>
      <c r="BV135" s="523">
        <v>0</v>
      </c>
      <c r="BW135" s="523">
        <v>36</v>
      </c>
      <c r="BX135" s="523">
        <v>0</v>
      </c>
      <c r="BY135" s="523">
        <v>0</v>
      </c>
      <c r="BZ135" s="523"/>
      <c r="CA135" s="523"/>
      <c r="CB135" s="523"/>
      <c r="CC135" s="523"/>
      <c r="CD135" s="523"/>
      <c r="CE135" s="523"/>
      <c r="CF135" s="523"/>
      <c r="CG135" s="523"/>
      <c r="CH135" s="523"/>
      <c r="CI135" s="523">
        <f t="shared" si="20"/>
        <v>36</v>
      </c>
    </row>
    <row r="136" spans="1:87" ht="15" x14ac:dyDescent="0.2">
      <c r="A136" s="680" t="s">
        <v>1527</v>
      </c>
      <c r="B136" s="569">
        <v>89408</v>
      </c>
      <c r="C136" s="569" t="s">
        <v>1324</v>
      </c>
      <c r="D136" s="569" t="s">
        <v>1528</v>
      </c>
      <c r="E136" s="681" t="s">
        <v>102</v>
      </c>
      <c r="F136" s="644">
        <v>37.78</v>
      </c>
      <c r="G136" s="682">
        <v>4.28</v>
      </c>
      <c r="H136" s="681">
        <v>15</v>
      </c>
      <c r="I136" s="622">
        <f t="shared" si="21"/>
        <v>0</v>
      </c>
      <c r="J136" s="574">
        <f t="shared" si="22"/>
        <v>15</v>
      </c>
      <c r="K136" s="681">
        <f t="shared" si="35"/>
        <v>0</v>
      </c>
      <c r="L136" s="708">
        <f t="shared" si="36"/>
        <v>64.2</v>
      </c>
      <c r="M136" s="708">
        <f t="shared" si="36"/>
        <v>0</v>
      </c>
      <c r="N136" s="708">
        <f t="shared" si="36"/>
        <v>64.2</v>
      </c>
      <c r="O136" s="718">
        <f t="shared" si="36"/>
        <v>0</v>
      </c>
      <c r="P136" s="617">
        <f t="shared" si="26"/>
        <v>1</v>
      </c>
      <c r="Q136" s="525"/>
      <c r="S136" s="189">
        <v>0</v>
      </c>
      <c r="T136" s="189">
        <v>8</v>
      </c>
      <c r="BT136" s="525"/>
      <c r="BU136" s="523"/>
      <c r="BV136" s="523">
        <v>0</v>
      </c>
      <c r="BW136" s="523">
        <v>15</v>
      </c>
      <c r="BX136" s="523">
        <v>0</v>
      </c>
      <c r="BY136" s="523">
        <v>0</v>
      </c>
      <c r="BZ136" s="523"/>
      <c r="CA136" s="523"/>
      <c r="CB136" s="523"/>
      <c r="CC136" s="523"/>
      <c r="CD136" s="523"/>
      <c r="CE136" s="523"/>
      <c r="CF136" s="523"/>
      <c r="CG136" s="523"/>
      <c r="CH136" s="523"/>
      <c r="CI136" s="523">
        <f t="shared" si="20"/>
        <v>15</v>
      </c>
    </row>
    <row r="137" spans="1:87" ht="15" x14ac:dyDescent="0.2">
      <c r="A137" s="690" t="s">
        <v>1529</v>
      </c>
      <c r="B137" s="624">
        <v>89492</v>
      </c>
      <c r="C137" s="624" t="s">
        <v>1324</v>
      </c>
      <c r="D137" s="624" t="s">
        <v>1530</v>
      </c>
      <c r="E137" s="691" t="s">
        <v>102</v>
      </c>
      <c r="F137" s="692">
        <v>21.63</v>
      </c>
      <c r="G137" s="693">
        <v>4.79</v>
      </c>
      <c r="H137" s="691">
        <v>8</v>
      </c>
      <c r="I137" s="636">
        <f t="shared" si="21"/>
        <v>0</v>
      </c>
      <c r="J137" s="637">
        <f t="shared" si="22"/>
        <v>8</v>
      </c>
      <c r="K137" s="691">
        <f t="shared" si="35"/>
        <v>0</v>
      </c>
      <c r="L137" s="708">
        <f t="shared" si="36"/>
        <v>38.32</v>
      </c>
      <c r="M137" s="708">
        <f t="shared" si="36"/>
        <v>0</v>
      </c>
      <c r="N137" s="708">
        <f t="shared" si="36"/>
        <v>38.32</v>
      </c>
      <c r="O137" s="718">
        <f t="shared" si="36"/>
        <v>0</v>
      </c>
      <c r="P137" s="694">
        <f t="shared" si="26"/>
        <v>1</v>
      </c>
      <c r="Q137" s="525"/>
      <c r="S137" s="189">
        <v>0</v>
      </c>
      <c r="T137" s="189">
        <v>6</v>
      </c>
      <c r="BT137" s="525"/>
      <c r="BU137" s="523"/>
      <c r="BV137" s="523">
        <v>0</v>
      </c>
      <c r="BW137" s="523">
        <v>8</v>
      </c>
      <c r="BX137" s="523">
        <v>0</v>
      </c>
      <c r="BY137" s="523">
        <v>0</v>
      </c>
      <c r="BZ137" s="523"/>
      <c r="CA137" s="523"/>
      <c r="CB137" s="523"/>
      <c r="CC137" s="523"/>
      <c r="CD137" s="523"/>
      <c r="CE137" s="523"/>
      <c r="CF137" s="523"/>
      <c r="CG137" s="523"/>
      <c r="CH137" s="523"/>
      <c r="CI137" s="523">
        <f t="shared" si="20"/>
        <v>8</v>
      </c>
    </row>
    <row r="138" spans="1:87" ht="15" x14ac:dyDescent="0.2">
      <c r="A138" s="690" t="s">
        <v>1531</v>
      </c>
      <c r="B138" s="624">
        <v>89501</v>
      </c>
      <c r="C138" s="624" t="s">
        <v>1324</v>
      </c>
      <c r="D138" s="624" t="s">
        <v>1532</v>
      </c>
      <c r="E138" s="691" t="s">
        <v>102</v>
      </c>
      <c r="F138" s="692">
        <v>38.770000000000003</v>
      </c>
      <c r="G138" s="693">
        <v>9.3800000000000008</v>
      </c>
      <c r="H138" s="691">
        <v>6</v>
      </c>
      <c r="I138" s="636">
        <f t="shared" si="21"/>
        <v>0</v>
      </c>
      <c r="J138" s="637">
        <f t="shared" si="22"/>
        <v>6</v>
      </c>
      <c r="K138" s="691">
        <f t="shared" si="35"/>
        <v>0</v>
      </c>
      <c r="L138" s="708">
        <f t="shared" si="36"/>
        <v>56.28</v>
      </c>
      <c r="M138" s="708">
        <f t="shared" si="36"/>
        <v>0</v>
      </c>
      <c r="N138" s="708">
        <f t="shared" si="36"/>
        <v>56.28</v>
      </c>
      <c r="O138" s="718">
        <f t="shared" si="36"/>
        <v>0</v>
      </c>
      <c r="P138" s="694">
        <f t="shared" si="26"/>
        <v>1</v>
      </c>
      <c r="Q138" s="525"/>
      <c r="S138" s="189">
        <v>0</v>
      </c>
      <c r="T138" s="189">
        <v>2</v>
      </c>
      <c r="BT138" s="525"/>
      <c r="BU138" s="523"/>
      <c r="BV138" s="523">
        <v>0</v>
      </c>
      <c r="BW138" s="523">
        <v>6</v>
      </c>
      <c r="BX138" s="523">
        <v>0</v>
      </c>
      <c r="BY138" s="523">
        <v>0</v>
      </c>
      <c r="BZ138" s="523"/>
      <c r="CA138" s="523"/>
      <c r="CB138" s="523"/>
      <c r="CC138" s="523"/>
      <c r="CD138" s="523"/>
      <c r="CE138" s="523"/>
      <c r="CF138" s="523"/>
      <c r="CG138" s="523"/>
      <c r="CH138" s="523"/>
      <c r="CI138" s="523">
        <f t="shared" si="20"/>
        <v>6</v>
      </c>
    </row>
    <row r="139" spans="1:87" ht="15.75" x14ac:dyDescent="0.2">
      <c r="A139" s="690" t="s">
        <v>1533</v>
      </c>
      <c r="B139" s="624">
        <v>90373</v>
      </c>
      <c r="C139" s="624" t="s">
        <v>1324</v>
      </c>
      <c r="D139" s="624" t="s">
        <v>1534</v>
      </c>
      <c r="E139" s="691" t="s">
        <v>102</v>
      </c>
      <c r="F139" s="578"/>
      <c r="G139" s="693">
        <v>10.06</v>
      </c>
      <c r="H139" s="691">
        <v>2</v>
      </c>
      <c r="I139" s="636">
        <f t="shared" si="21"/>
        <v>0</v>
      </c>
      <c r="J139" s="637">
        <f t="shared" si="22"/>
        <v>2</v>
      </c>
      <c r="K139" s="691">
        <f t="shared" si="35"/>
        <v>0</v>
      </c>
      <c r="L139" s="708">
        <f t="shared" si="36"/>
        <v>20.12</v>
      </c>
      <c r="M139" s="708">
        <f t="shared" si="36"/>
        <v>0</v>
      </c>
      <c r="N139" s="708">
        <f t="shared" si="36"/>
        <v>20.12</v>
      </c>
      <c r="O139" s="718">
        <f t="shared" si="36"/>
        <v>0</v>
      </c>
      <c r="P139" s="694">
        <f t="shared" si="26"/>
        <v>1</v>
      </c>
      <c r="Q139" s="525"/>
      <c r="S139" s="189">
        <v>0</v>
      </c>
      <c r="T139" s="189">
        <v>4</v>
      </c>
      <c r="BT139" s="525"/>
      <c r="BU139" s="523"/>
      <c r="BV139" s="523">
        <v>0</v>
      </c>
      <c r="BW139" s="523">
        <v>2</v>
      </c>
      <c r="BX139" s="523">
        <v>0</v>
      </c>
      <c r="BY139" s="523">
        <v>0</v>
      </c>
      <c r="BZ139" s="523"/>
      <c r="CA139" s="523"/>
      <c r="CB139" s="523"/>
      <c r="CC139" s="523"/>
      <c r="CD139" s="523"/>
      <c r="CE139" s="523"/>
      <c r="CF139" s="523"/>
      <c r="CG139" s="523"/>
      <c r="CH139" s="523"/>
      <c r="CI139" s="523">
        <f t="shared" si="20"/>
        <v>2</v>
      </c>
    </row>
    <row r="140" spans="1:87" ht="15.75" x14ac:dyDescent="0.2">
      <c r="A140" s="690" t="s">
        <v>1535</v>
      </c>
      <c r="B140" s="624" t="s">
        <v>2007</v>
      </c>
      <c r="C140" s="624" t="s">
        <v>1339</v>
      </c>
      <c r="D140" s="624" t="s">
        <v>1536</v>
      </c>
      <c r="E140" s="691" t="s">
        <v>102</v>
      </c>
      <c r="F140" s="578"/>
      <c r="G140" s="693">
        <v>0</v>
      </c>
      <c r="H140" s="691">
        <v>4</v>
      </c>
      <c r="I140" s="636">
        <f t="shared" si="21"/>
        <v>0</v>
      </c>
      <c r="J140" s="637">
        <f t="shared" si="22"/>
        <v>4</v>
      </c>
      <c r="K140" s="691">
        <f t="shared" si="35"/>
        <v>0</v>
      </c>
      <c r="L140" s="708">
        <f t="shared" si="36"/>
        <v>0</v>
      </c>
      <c r="M140" s="708">
        <f t="shared" si="36"/>
        <v>0</v>
      </c>
      <c r="N140" s="708">
        <f t="shared" si="36"/>
        <v>0</v>
      </c>
      <c r="O140" s="718">
        <f t="shared" si="36"/>
        <v>0</v>
      </c>
      <c r="P140" s="694">
        <v>0</v>
      </c>
      <c r="Q140" s="525"/>
      <c r="S140" s="189">
        <v>0</v>
      </c>
      <c r="T140" s="189">
        <v>16</v>
      </c>
      <c r="BT140" s="525"/>
      <c r="BU140" s="523"/>
      <c r="BV140" s="523">
        <v>0</v>
      </c>
      <c r="BW140" s="523">
        <v>4</v>
      </c>
      <c r="BX140" s="523">
        <v>0</v>
      </c>
      <c r="BY140" s="523">
        <v>0</v>
      </c>
      <c r="BZ140" s="523"/>
      <c r="CA140" s="523"/>
      <c r="CB140" s="523"/>
      <c r="CC140" s="523"/>
      <c r="CD140" s="523"/>
      <c r="CE140" s="523"/>
      <c r="CF140" s="523"/>
      <c r="CG140" s="523"/>
      <c r="CH140" s="523"/>
      <c r="CI140" s="523">
        <f t="shared" si="20"/>
        <v>4</v>
      </c>
    </row>
    <row r="141" spans="1:87" ht="30" x14ac:dyDescent="0.2">
      <c r="A141" s="690" t="s">
        <v>1537</v>
      </c>
      <c r="B141" s="624">
        <v>90373</v>
      </c>
      <c r="C141" s="624" t="s">
        <v>1324</v>
      </c>
      <c r="D141" s="624" t="s">
        <v>1538</v>
      </c>
      <c r="E141" s="691" t="s">
        <v>102</v>
      </c>
      <c r="F141" s="578"/>
      <c r="G141" s="693">
        <v>10.06</v>
      </c>
      <c r="H141" s="691">
        <v>16</v>
      </c>
      <c r="I141" s="636">
        <f t="shared" si="21"/>
        <v>0</v>
      </c>
      <c r="J141" s="637">
        <f t="shared" si="22"/>
        <v>16</v>
      </c>
      <c r="K141" s="691">
        <f t="shared" si="35"/>
        <v>0</v>
      </c>
      <c r="L141" s="708">
        <f t="shared" si="36"/>
        <v>160.96</v>
      </c>
      <c r="M141" s="708">
        <f t="shared" si="36"/>
        <v>0</v>
      </c>
      <c r="N141" s="708">
        <f t="shared" si="36"/>
        <v>160.96</v>
      </c>
      <c r="O141" s="718">
        <f t="shared" si="36"/>
        <v>0</v>
      </c>
      <c r="P141" s="694">
        <f t="shared" ref="P141:P204" si="37">N141/L141</f>
        <v>1</v>
      </c>
      <c r="Q141" s="525"/>
      <c r="S141" s="189">
        <v>0</v>
      </c>
      <c r="T141" s="189">
        <v>4</v>
      </c>
      <c r="BT141" s="525"/>
      <c r="BU141" s="523"/>
      <c r="BV141" s="523">
        <v>0</v>
      </c>
      <c r="BW141" s="523">
        <v>16</v>
      </c>
      <c r="BX141" s="523">
        <v>0</v>
      </c>
      <c r="BY141" s="523">
        <v>0</v>
      </c>
      <c r="BZ141" s="523"/>
      <c r="CA141" s="523"/>
      <c r="CB141" s="523"/>
      <c r="CC141" s="523"/>
      <c r="CD141" s="523"/>
      <c r="CE141" s="523"/>
      <c r="CF141" s="523"/>
      <c r="CG141" s="523"/>
      <c r="CH141" s="523"/>
      <c r="CI141" s="523">
        <f t="shared" si="20"/>
        <v>16</v>
      </c>
    </row>
    <row r="142" spans="1:87" ht="15" x14ac:dyDescent="0.2">
      <c r="A142" s="690" t="s">
        <v>1539</v>
      </c>
      <c r="B142" s="624">
        <v>89622</v>
      </c>
      <c r="C142" s="624" t="s">
        <v>1324</v>
      </c>
      <c r="D142" s="624" t="s">
        <v>1540</v>
      </c>
      <c r="E142" s="691" t="s">
        <v>102</v>
      </c>
      <c r="F142" s="692">
        <v>29.86</v>
      </c>
      <c r="G142" s="693">
        <v>9.23</v>
      </c>
      <c r="H142" s="691">
        <v>4</v>
      </c>
      <c r="I142" s="636">
        <f t="shared" si="21"/>
        <v>0</v>
      </c>
      <c r="J142" s="637">
        <f t="shared" si="22"/>
        <v>4</v>
      </c>
      <c r="K142" s="691">
        <f t="shared" si="35"/>
        <v>0</v>
      </c>
      <c r="L142" s="708">
        <f t="shared" si="36"/>
        <v>36.92</v>
      </c>
      <c r="M142" s="708">
        <f t="shared" si="36"/>
        <v>0</v>
      </c>
      <c r="N142" s="708">
        <f t="shared" si="36"/>
        <v>36.92</v>
      </c>
      <c r="O142" s="718">
        <f t="shared" si="36"/>
        <v>0</v>
      </c>
      <c r="P142" s="694">
        <f t="shared" si="37"/>
        <v>1</v>
      </c>
      <c r="Q142" s="525"/>
      <c r="S142" s="189">
        <v>0</v>
      </c>
      <c r="T142" s="189">
        <v>2</v>
      </c>
      <c r="BT142" s="525"/>
      <c r="BU142" s="523"/>
      <c r="BV142" s="523">
        <v>0</v>
      </c>
      <c r="BW142" s="523">
        <v>4</v>
      </c>
      <c r="BX142" s="523">
        <v>0</v>
      </c>
      <c r="BY142" s="523">
        <v>0</v>
      </c>
      <c r="BZ142" s="523"/>
      <c r="CA142" s="523"/>
      <c r="CB142" s="523"/>
      <c r="CC142" s="523"/>
      <c r="CD142" s="523"/>
      <c r="CE142" s="523"/>
      <c r="CF142" s="523"/>
      <c r="CG142" s="523"/>
      <c r="CH142" s="523"/>
      <c r="CI142" s="523">
        <f t="shared" si="20"/>
        <v>4</v>
      </c>
    </row>
    <row r="143" spans="1:87" ht="15" x14ac:dyDescent="0.2">
      <c r="A143" s="690" t="s">
        <v>1541</v>
      </c>
      <c r="B143" s="624">
        <v>89626</v>
      </c>
      <c r="C143" s="624" t="s">
        <v>1324</v>
      </c>
      <c r="D143" s="624" t="s">
        <v>1542</v>
      </c>
      <c r="E143" s="691" t="s">
        <v>102</v>
      </c>
      <c r="F143" s="692">
        <v>32.090000000000003</v>
      </c>
      <c r="G143" s="693">
        <v>17.79</v>
      </c>
      <c r="H143" s="691">
        <v>2</v>
      </c>
      <c r="I143" s="636">
        <f t="shared" si="21"/>
        <v>0</v>
      </c>
      <c r="J143" s="637">
        <f t="shared" si="22"/>
        <v>2</v>
      </c>
      <c r="K143" s="691">
        <f t="shared" si="35"/>
        <v>0</v>
      </c>
      <c r="L143" s="708">
        <f t="shared" si="36"/>
        <v>35.58</v>
      </c>
      <c r="M143" s="708">
        <f t="shared" si="36"/>
        <v>0</v>
      </c>
      <c r="N143" s="708">
        <f t="shared" si="36"/>
        <v>35.58</v>
      </c>
      <c r="O143" s="718">
        <f t="shared" si="36"/>
        <v>0</v>
      </c>
      <c r="P143" s="694">
        <f t="shared" si="37"/>
        <v>1</v>
      </c>
      <c r="Q143" s="525"/>
      <c r="S143" s="189">
        <v>0</v>
      </c>
      <c r="T143" s="189">
        <v>8</v>
      </c>
      <c r="BT143" s="525"/>
      <c r="BU143" s="523"/>
      <c r="BV143" s="523">
        <v>0</v>
      </c>
      <c r="BW143" s="523">
        <v>2</v>
      </c>
      <c r="BX143" s="523">
        <v>0</v>
      </c>
      <c r="BY143" s="523">
        <v>0</v>
      </c>
      <c r="BZ143" s="523"/>
      <c r="CA143" s="523"/>
      <c r="CB143" s="523"/>
      <c r="CC143" s="523"/>
      <c r="CD143" s="523"/>
      <c r="CE143" s="523"/>
      <c r="CF143" s="523"/>
      <c r="CG143" s="523"/>
      <c r="CH143" s="523"/>
      <c r="CI143" s="523">
        <f t="shared" ref="CI143:CI206" si="38">SUM(BU143:CH143)</f>
        <v>2</v>
      </c>
    </row>
    <row r="144" spans="1:87" ht="15" x14ac:dyDescent="0.2">
      <c r="A144" s="690" t="s">
        <v>1543</v>
      </c>
      <c r="B144" s="624">
        <v>89534</v>
      </c>
      <c r="C144" s="624" t="s">
        <v>1324</v>
      </c>
      <c r="D144" s="624" t="s">
        <v>1544</v>
      </c>
      <c r="E144" s="691" t="s">
        <v>102</v>
      </c>
      <c r="F144" s="692">
        <v>46.88</v>
      </c>
      <c r="G144" s="693">
        <v>2.9</v>
      </c>
      <c r="H144" s="691">
        <v>8</v>
      </c>
      <c r="I144" s="636">
        <f t="shared" ref="I144:I207" si="39">BU144</f>
        <v>0</v>
      </c>
      <c r="J144" s="637">
        <f t="shared" ref="J144:J207" si="40">CI144</f>
        <v>8</v>
      </c>
      <c r="K144" s="691">
        <f t="shared" si="35"/>
        <v>0</v>
      </c>
      <c r="L144" s="708">
        <f t="shared" si="36"/>
        <v>23.2</v>
      </c>
      <c r="M144" s="708">
        <f t="shared" si="36"/>
        <v>0</v>
      </c>
      <c r="N144" s="708">
        <f t="shared" si="36"/>
        <v>23.2</v>
      </c>
      <c r="O144" s="718">
        <f t="shared" si="36"/>
        <v>0</v>
      </c>
      <c r="P144" s="694">
        <f t="shared" si="37"/>
        <v>1</v>
      </c>
      <c r="Q144" s="525"/>
      <c r="S144" s="189">
        <v>0</v>
      </c>
      <c r="T144" s="189">
        <v>4</v>
      </c>
      <c r="BT144" s="525"/>
      <c r="BU144" s="523"/>
      <c r="BV144" s="523">
        <v>0</v>
      </c>
      <c r="BW144" s="523">
        <v>8</v>
      </c>
      <c r="BX144" s="523">
        <v>0</v>
      </c>
      <c r="BY144" s="523">
        <v>0</v>
      </c>
      <c r="BZ144" s="523"/>
      <c r="CA144" s="523"/>
      <c r="CB144" s="523"/>
      <c r="CC144" s="523"/>
      <c r="CD144" s="523"/>
      <c r="CE144" s="523"/>
      <c r="CF144" s="523"/>
      <c r="CG144" s="523"/>
      <c r="CH144" s="523"/>
      <c r="CI144" s="523">
        <f t="shared" si="38"/>
        <v>8</v>
      </c>
    </row>
    <row r="145" spans="1:87" ht="15" x14ac:dyDescent="0.2">
      <c r="A145" s="690" t="s">
        <v>1545</v>
      </c>
      <c r="B145" s="624">
        <v>89386</v>
      </c>
      <c r="C145" s="624" t="s">
        <v>1324</v>
      </c>
      <c r="D145" s="624" t="s">
        <v>1546</v>
      </c>
      <c r="E145" s="691" t="s">
        <v>102</v>
      </c>
      <c r="F145" s="692">
        <v>31.2</v>
      </c>
      <c r="G145" s="693">
        <v>6</v>
      </c>
      <c r="H145" s="691">
        <v>4</v>
      </c>
      <c r="I145" s="636">
        <f t="shared" si="39"/>
        <v>0</v>
      </c>
      <c r="J145" s="637">
        <f t="shared" si="40"/>
        <v>4</v>
      </c>
      <c r="K145" s="691">
        <f t="shared" si="35"/>
        <v>0</v>
      </c>
      <c r="L145" s="708">
        <f t="shared" si="36"/>
        <v>24</v>
      </c>
      <c r="M145" s="708">
        <f t="shared" si="36"/>
        <v>0</v>
      </c>
      <c r="N145" s="708">
        <f t="shared" si="36"/>
        <v>24</v>
      </c>
      <c r="O145" s="718">
        <f t="shared" si="36"/>
        <v>0</v>
      </c>
      <c r="P145" s="694">
        <f t="shared" si="37"/>
        <v>1</v>
      </c>
      <c r="Q145" s="525"/>
      <c r="S145" s="189">
        <v>0</v>
      </c>
      <c r="T145" s="189">
        <v>4</v>
      </c>
      <c r="BT145" s="525"/>
      <c r="BU145" s="523"/>
      <c r="BV145" s="523">
        <v>0</v>
      </c>
      <c r="BW145" s="523">
        <v>4</v>
      </c>
      <c r="BX145" s="523">
        <v>0</v>
      </c>
      <c r="BY145" s="523">
        <v>0</v>
      </c>
      <c r="BZ145" s="523"/>
      <c r="CA145" s="523"/>
      <c r="CB145" s="523"/>
      <c r="CC145" s="523"/>
      <c r="CD145" s="523"/>
      <c r="CE145" s="523"/>
      <c r="CF145" s="523"/>
      <c r="CG145" s="523"/>
      <c r="CH145" s="523"/>
      <c r="CI145" s="523">
        <f t="shared" si="38"/>
        <v>4</v>
      </c>
    </row>
    <row r="146" spans="1:87" ht="15" x14ac:dyDescent="0.2">
      <c r="A146" s="690" t="s">
        <v>1547</v>
      </c>
      <c r="B146" s="624">
        <v>89433</v>
      </c>
      <c r="C146" s="624" t="s">
        <v>1324</v>
      </c>
      <c r="D146" s="624" t="s">
        <v>1548</v>
      </c>
      <c r="E146" s="691" t="s">
        <v>102</v>
      </c>
      <c r="F146" s="692">
        <v>19.170000000000002</v>
      </c>
      <c r="G146" s="693">
        <v>5.63</v>
      </c>
      <c r="H146" s="691">
        <v>4</v>
      </c>
      <c r="I146" s="636">
        <f t="shared" si="39"/>
        <v>0</v>
      </c>
      <c r="J146" s="637">
        <f t="shared" si="40"/>
        <v>4</v>
      </c>
      <c r="K146" s="691">
        <f t="shared" si="35"/>
        <v>0</v>
      </c>
      <c r="L146" s="708">
        <f t="shared" si="36"/>
        <v>22.52</v>
      </c>
      <c r="M146" s="708">
        <f t="shared" si="36"/>
        <v>0</v>
      </c>
      <c r="N146" s="708">
        <f t="shared" si="36"/>
        <v>22.52</v>
      </c>
      <c r="O146" s="718">
        <f t="shared" si="36"/>
        <v>0</v>
      </c>
      <c r="P146" s="694">
        <f t="shared" si="37"/>
        <v>1</v>
      </c>
      <c r="Q146" s="525"/>
      <c r="S146" s="189">
        <v>0</v>
      </c>
      <c r="T146" s="189">
        <v>2</v>
      </c>
      <c r="BT146" s="525"/>
      <c r="BU146" s="523"/>
      <c r="BV146" s="523">
        <v>0</v>
      </c>
      <c r="BW146" s="523">
        <v>4</v>
      </c>
      <c r="BX146" s="523">
        <v>0</v>
      </c>
      <c r="BY146" s="523">
        <v>0</v>
      </c>
      <c r="BZ146" s="523"/>
      <c r="CA146" s="523"/>
      <c r="CB146" s="523"/>
      <c r="CC146" s="523"/>
      <c r="CD146" s="523"/>
      <c r="CE146" s="523"/>
      <c r="CF146" s="523"/>
      <c r="CG146" s="523"/>
      <c r="CH146" s="523"/>
      <c r="CI146" s="523">
        <f t="shared" si="38"/>
        <v>4</v>
      </c>
    </row>
    <row r="147" spans="1:87" ht="15" x14ac:dyDescent="0.2">
      <c r="A147" s="680" t="s">
        <v>1549</v>
      </c>
      <c r="B147" s="569">
        <v>89605</v>
      </c>
      <c r="C147" s="569" t="s">
        <v>1324</v>
      </c>
      <c r="D147" s="569" t="s">
        <v>1550</v>
      </c>
      <c r="E147" s="681" t="s">
        <v>102</v>
      </c>
      <c r="F147" s="644">
        <v>98.11</v>
      </c>
      <c r="G147" s="682">
        <v>11.65</v>
      </c>
      <c r="H147" s="681">
        <v>2</v>
      </c>
      <c r="I147" s="622">
        <f t="shared" si="39"/>
        <v>0</v>
      </c>
      <c r="J147" s="574">
        <f t="shared" si="40"/>
        <v>2</v>
      </c>
      <c r="K147" s="681">
        <f t="shared" si="35"/>
        <v>0</v>
      </c>
      <c r="L147" s="708">
        <f t="shared" si="36"/>
        <v>23.3</v>
      </c>
      <c r="M147" s="708">
        <f t="shared" si="36"/>
        <v>0</v>
      </c>
      <c r="N147" s="708">
        <f t="shared" si="36"/>
        <v>23.3</v>
      </c>
      <c r="O147" s="718">
        <f t="shared" si="36"/>
        <v>0</v>
      </c>
      <c r="P147" s="617">
        <f t="shared" si="37"/>
        <v>1</v>
      </c>
      <c r="Q147" s="525"/>
      <c r="S147" s="189">
        <v>0</v>
      </c>
      <c r="T147" s="189">
        <v>2</v>
      </c>
      <c r="BT147" s="525"/>
      <c r="BU147" s="523"/>
      <c r="BV147" s="523">
        <v>0</v>
      </c>
      <c r="BW147" s="523">
        <v>2</v>
      </c>
      <c r="BX147" s="523">
        <v>0</v>
      </c>
      <c r="BY147" s="523">
        <v>0</v>
      </c>
      <c r="BZ147" s="523"/>
      <c r="CA147" s="523"/>
      <c r="CB147" s="523"/>
      <c r="CC147" s="523"/>
      <c r="CD147" s="523"/>
      <c r="CE147" s="523"/>
      <c r="CF147" s="523"/>
      <c r="CG147" s="523"/>
      <c r="CH147" s="523"/>
      <c r="CI147" s="523">
        <f t="shared" si="38"/>
        <v>2</v>
      </c>
    </row>
    <row r="148" spans="1:87" ht="15" x14ac:dyDescent="0.2">
      <c r="A148" s="680" t="s">
        <v>1551</v>
      </c>
      <c r="B148" s="569">
        <v>90375</v>
      </c>
      <c r="C148" s="569" t="s">
        <v>1324</v>
      </c>
      <c r="D148" s="569" t="s">
        <v>1552</v>
      </c>
      <c r="E148" s="681" t="s">
        <v>102</v>
      </c>
      <c r="F148" s="644">
        <v>174.65</v>
      </c>
      <c r="G148" s="682">
        <v>6.61</v>
      </c>
      <c r="H148" s="681">
        <v>2</v>
      </c>
      <c r="I148" s="622">
        <f t="shared" si="39"/>
        <v>0</v>
      </c>
      <c r="J148" s="574">
        <f t="shared" si="40"/>
        <v>2</v>
      </c>
      <c r="K148" s="681">
        <f t="shared" si="35"/>
        <v>0</v>
      </c>
      <c r="L148" s="708">
        <f t="shared" si="36"/>
        <v>13.22</v>
      </c>
      <c r="M148" s="708">
        <f t="shared" si="36"/>
        <v>0</v>
      </c>
      <c r="N148" s="708">
        <f t="shared" si="36"/>
        <v>13.22</v>
      </c>
      <c r="O148" s="718">
        <f t="shared" si="36"/>
        <v>0</v>
      </c>
      <c r="P148" s="617">
        <f t="shared" si="37"/>
        <v>1</v>
      </c>
      <c r="Q148" s="525"/>
      <c r="S148" s="189">
        <v>0</v>
      </c>
      <c r="T148" s="189">
        <v>4</v>
      </c>
      <c r="BT148" s="525"/>
      <c r="BU148" s="523"/>
      <c r="BV148" s="523">
        <v>0</v>
      </c>
      <c r="BW148" s="523">
        <v>2</v>
      </c>
      <c r="BX148" s="523">
        <v>0</v>
      </c>
      <c r="BY148" s="523">
        <v>0</v>
      </c>
      <c r="BZ148" s="523"/>
      <c r="CA148" s="523"/>
      <c r="CB148" s="523"/>
      <c r="CC148" s="523"/>
      <c r="CD148" s="523"/>
      <c r="CE148" s="523"/>
      <c r="CF148" s="523"/>
      <c r="CG148" s="523"/>
      <c r="CH148" s="523"/>
      <c r="CI148" s="523">
        <f t="shared" si="38"/>
        <v>2</v>
      </c>
    </row>
    <row r="149" spans="1:87" ht="15.75" x14ac:dyDescent="0.2">
      <c r="A149" s="680" t="s">
        <v>1553</v>
      </c>
      <c r="B149" s="569">
        <v>90375</v>
      </c>
      <c r="C149" s="569" t="s">
        <v>1324</v>
      </c>
      <c r="D149" s="569" t="s">
        <v>1554</v>
      </c>
      <c r="E149" s="681" t="s">
        <v>102</v>
      </c>
      <c r="F149" s="578"/>
      <c r="G149" s="682">
        <v>6.61</v>
      </c>
      <c r="H149" s="681">
        <v>4</v>
      </c>
      <c r="I149" s="622">
        <f t="shared" si="39"/>
        <v>0</v>
      </c>
      <c r="J149" s="574">
        <f t="shared" si="40"/>
        <v>4</v>
      </c>
      <c r="K149" s="681">
        <f t="shared" si="35"/>
        <v>0</v>
      </c>
      <c r="L149" s="708">
        <f t="shared" si="36"/>
        <v>26.44</v>
      </c>
      <c r="M149" s="708">
        <f t="shared" si="36"/>
        <v>0</v>
      </c>
      <c r="N149" s="708">
        <f t="shared" si="36"/>
        <v>26.44</v>
      </c>
      <c r="O149" s="718">
        <f t="shared" si="36"/>
        <v>0</v>
      </c>
      <c r="P149" s="617">
        <f t="shared" si="37"/>
        <v>1</v>
      </c>
      <c r="Q149" s="525"/>
      <c r="S149" s="189">
        <v>0</v>
      </c>
      <c r="T149" s="189">
        <v>6</v>
      </c>
      <c r="BT149" s="525"/>
      <c r="BU149" s="523"/>
      <c r="BV149" s="523">
        <v>0</v>
      </c>
      <c r="BW149" s="523">
        <v>4</v>
      </c>
      <c r="BX149" s="523">
        <v>0</v>
      </c>
      <c r="BY149" s="523">
        <v>0</v>
      </c>
      <c r="BZ149" s="523"/>
      <c r="CA149" s="523"/>
      <c r="CB149" s="523"/>
      <c r="CC149" s="523"/>
      <c r="CD149" s="523"/>
      <c r="CE149" s="523"/>
      <c r="CF149" s="523"/>
      <c r="CG149" s="523"/>
      <c r="CH149" s="523"/>
      <c r="CI149" s="523">
        <f t="shared" si="38"/>
        <v>4</v>
      </c>
    </row>
    <row r="150" spans="1:87" ht="15.75" x14ac:dyDescent="0.2">
      <c r="A150" s="680" t="s">
        <v>1555</v>
      </c>
      <c r="B150" s="569">
        <v>89375</v>
      </c>
      <c r="C150" s="569" t="s">
        <v>1324</v>
      </c>
      <c r="D150" s="569" t="s">
        <v>1556</v>
      </c>
      <c r="E150" s="681" t="s">
        <v>102</v>
      </c>
      <c r="F150" s="578"/>
      <c r="G150" s="682">
        <v>7.45</v>
      </c>
      <c r="H150" s="681">
        <v>6</v>
      </c>
      <c r="I150" s="622">
        <f t="shared" si="39"/>
        <v>0</v>
      </c>
      <c r="J150" s="574">
        <f t="shared" si="40"/>
        <v>6</v>
      </c>
      <c r="K150" s="681">
        <f t="shared" si="35"/>
        <v>0</v>
      </c>
      <c r="L150" s="708">
        <f t="shared" si="36"/>
        <v>44.7</v>
      </c>
      <c r="M150" s="708">
        <f t="shared" si="36"/>
        <v>0</v>
      </c>
      <c r="N150" s="708">
        <f t="shared" si="36"/>
        <v>44.7</v>
      </c>
      <c r="O150" s="718">
        <f t="shared" si="36"/>
        <v>0</v>
      </c>
      <c r="P150" s="617">
        <f t="shared" si="37"/>
        <v>1</v>
      </c>
      <c r="Q150" s="525"/>
      <c r="S150" s="189">
        <v>0</v>
      </c>
      <c r="T150" s="189">
        <v>2</v>
      </c>
      <c r="BT150" s="525"/>
      <c r="BU150" s="523"/>
      <c r="BV150" s="523">
        <v>0</v>
      </c>
      <c r="BW150" s="523">
        <v>6</v>
      </c>
      <c r="BX150" s="523">
        <v>0</v>
      </c>
      <c r="BY150" s="523">
        <v>0</v>
      </c>
      <c r="BZ150" s="523"/>
      <c r="CA150" s="523"/>
      <c r="CB150" s="523"/>
      <c r="CC150" s="523"/>
      <c r="CD150" s="523"/>
      <c r="CE150" s="523"/>
      <c r="CF150" s="523"/>
      <c r="CG150" s="523"/>
      <c r="CH150" s="523"/>
      <c r="CI150" s="523">
        <f t="shared" si="38"/>
        <v>6</v>
      </c>
    </row>
    <row r="151" spans="1:87" s="657" customFormat="1" ht="15" x14ac:dyDescent="0.2">
      <c r="A151" s="680" t="s">
        <v>1557</v>
      </c>
      <c r="B151" s="569">
        <v>89594</v>
      </c>
      <c r="C151" s="569" t="s">
        <v>1324</v>
      </c>
      <c r="D151" s="569" t="s">
        <v>1558</v>
      </c>
      <c r="E151" s="681" t="s">
        <v>102</v>
      </c>
      <c r="F151" s="644">
        <v>33.909999999999997</v>
      </c>
      <c r="G151" s="682">
        <v>22.48</v>
      </c>
      <c r="H151" s="681">
        <v>2</v>
      </c>
      <c r="I151" s="622">
        <f t="shared" si="39"/>
        <v>0</v>
      </c>
      <c r="J151" s="574">
        <f t="shared" si="40"/>
        <v>2</v>
      </c>
      <c r="K151" s="681">
        <f t="shared" si="35"/>
        <v>0</v>
      </c>
      <c r="L151" s="708">
        <f t="shared" si="36"/>
        <v>44.96</v>
      </c>
      <c r="M151" s="708">
        <f t="shared" si="36"/>
        <v>0</v>
      </c>
      <c r="N151" s="708">
        <f t="shared" si="36"/>
        <v>44.96</v>
      </c>
      <c r="O151" s="718">
        <f t="shared" si="36"/>
        <v>0</v>
      </c>
      <c r="P151" s="617">
        <f t="shared" si="37"/>
        <v>1</v>
      </c>
      <c r="Q151" s="525"/>
      <c r="S151" s="190">
        <v>0</v>
      </c>
      <c r="T151" s="190">
        <v>34</v>
      </c>
      <c r="BT151" s="525"/>
      <c r="BU151" s="523"/>
      <c r="BV151" s="523">
        <v>0</v>
      </c>
      <c r="BW151" s="523">
        <v>2</v>
      </c>
      <c r="BX151" s="523">
        <v>0</v>
      </c>
      <c r="BY151" s="523">
        <v>0</v>
      </c>
      <c r="BZ151" s="523"/>
      <c r="CA151" s="523"/>
      <c r="CB151" s="523"/>
      <c r="CC151" s="523"/>
      <c r="CD151" s="523"/>
      <c r="CE151" s="523"/>
      <c r="CF151" s="523"/>
      <c r="CG151" s="523"/>
      <c r="CH151" s="523"/>
      <c r="CI151" s="523">
        <f t="shared" si="38"/>
        <v>2</v>
      </c>
    </row>
    <row r="152" spans="1:87" ht="15.75" x14ac:dyDescent="0.2">
      <c r="A152" s="605" t="s">
        <v>290</v>
      </c>
      <c r="B152" s="586"/>
      <c r="C152" s="586"/>
      <c r="D152" s="586" t="s">
        <v>1559</v>
      </c>
      <c r="E152" s="609"/>
      <c r="F152" s="687"/>
      <c r="G152" s="609"/>
      <c r="H152" s="609"/>
      <c r="I152" s="609"/>
      <c r="J152" s="609"/>
      <c r="K152" s="609"/>
      <c r="L152" s="733">
        <f>SUM(L153:L167)</f>
        <v>2836.4</v>
      </c>
      <c r="M152" s="733">
        <f>SUM(M153:M167)</f>
        <v>0</v>
      </c>
      <c r="N152" s="733">
        <f>SUM(N153:N167)</f>
        <v>166.14000000000001</v>
      </c>
      <c r="O152" s="722">
        <f>SUM(O153:O167)</f>
        <v>2670.26</v>
      </c>
      <c r="P152" s="611">
        <f t="shared" si="37"/>
        <v>5.8574249048089132E-2</v>
      </c>
      <c r="Q152" s="525"/>
      <c r="S152" s="189">
        <v>0</v>
      </c>
      <c r="T152" s="189">
        <v>0</v>
      </c>
      <c r="BT152" s="525"/>
      <c r="BU152" s="523"/>
      <c r="BV152" s="523">
        <v>0</v>
      </c>
      <c r="BW152" s="523">
        <v>34</v>
      </c>
      <c r="BX152" s="523"/>
      <c r="BY152" s="523"/>
      <c r="BZ152" s="523"/>
      <c r="CA152" s="523"/>
      <c r="CB152" s="523"/>
      <c r="CC152" s="523"/>
      <c r="CD152" s="523"/>
      <c r="CE152" s="523"/>
      <c r="CF152" s="523"/>
      <c r="CG152" s="523"/>
      <c r="CH152" s="523"/>
      <c r="CI152" s="523">
        <f t="shared" si="38"/>
        <v>34</v>
      </c>
    </row>
    <row r="153" spans="1:87" ht="15" x14ac:dyDescent="0.2">
      <c r="A153" s="680" t="s">
        <v>1560</v>
      </c>
      <c r="B153" s="569">
        <v>89353</v>
      </c>
      <c r="C153" s="569" t="s">
        <v>1324</v>
      </c>
      <c r="D153" s="569" t="s">
        <v>1561</v>
      </c>
      <c r="E153" s="681" t="s">
        <v>102</v>
      </c>
      <c r="F153" s="644">
        <v>9.81</v>
      </c>
      <c r="G153" s="682">
        <v>30.67</v>
      </c>
      <c r="H153" s="681">
        <v>1</v>
      </c>
      <c r="I153" s="622">
        <f t="shared" si="39"/>
        <v>0</v>
      </c>
      <c r="J153" s="574">
        <f t="shared" si="40"/>
        <v>0</v>
      </c>
      <c r="K153" s="681">
        <f t="shared" si="35"/>
        <v>1</v>
      </c>
      <c r="L153" s="708">
        <f t="shared" ref="L153:O167" si="41">ROUND(H153*$G153,2)</f>
        <v>30.67</v>
      </c>
      <c r="M153" s="708">
        <f t="shared" si="41"/>
        <v>0</v>
      </c>
      <c r="N153" s="708">
        <f t="shared" si="41"/>
        <v>0</v>
      </c>
      <c r="O153" s="718">
        <f t="shared" si="41"/>
        <v>30.67</v>
      </c>
      <c r="P153" s="617">
        <f t="shared" si="37"/>
        <v>0</v>
      </c>
      <c r="Q153" s="525"/>
      <c r="S153" s="189">
        <v>0</v>
      </c>
      <c r="T153" s="189">
        <v>0</v>
      </c>
      <c r="BT153" s="525"/>
      <c r="BU153" s="523"/>
      <c r="BV153" s="523">
        <v>0</v>
      </c>
      <c r="BW153" s="523">
        <v>0</v>
      </c>
      <c r="BX153" s="523">
        <v>0</v>
      </c>
      <c r="BY153" s="523">
        <v>0</v>
      </c>
      <c r="BZ153" s="523"/>
      <c r="CA153" s="523"/>
      <c r="CB153" s="523"/>
      <c r="CC153" s="523"/>
      <c r="CD153" s="523"/>
      <c r="CE153" s="523"/>
      <c r="CF153" s="523"/>
      <c r="CG153" s="523"/>
      <c r="CH153" s="523"/>
      <c r="CI153" s="523">
        <f t="shared" si="38"/>
        <v>0</v>
      </c>
    </row>
    <row r="154" spans="1:87" ht="15" x14ac:dyDescent="0.2">
      <c r="A154" s="680" t="s">
        <v>1562</v>
      </c>
      <c r="B154" s="569" t="s">
        <v>1563</v>
      </c>
      <c r="C154" s="569" t="s">
        <v>1324</v>
      </c>
      <c r="D154" s="569" t="s">
        <v>1564</v>
      </c>
      <c r="E154" s="681" t="s">
        <v>102</v>
      </c>
      <c r="F154" s="644">
        <v>12.72</v>
      </c>
      <c r="G154" s="682">
        <v>86.64</v>
      </c>
      <c r="H154" s="681">
        <v>2</v>
      </c>
      <c r="I154" s="622">
        <f t="shared" si="39"/>
        <v>0</v>
      </c>
      <c r="J154" s="574">
        <f t="shared" si="40"/>
        <v>0</v>
      </c>
      <c r="K154" s="681">
        <f t="shared" si="35"/>
        <v>2</v>
      </c>
      <c r="L154" s="708">
        <f t="shared" si="41"/>
        <v>173.28</v>
      </c>
      <c r="M154" s="708">
        <f t="shared" si="41"/>
        <v>0</v>
      </c>
      <c r="N154" s="708">
        <f t="shared" si="41"/>
        <v>0</v>
      </c>
      <c r="O154" s="718">
        <f t="shared" si="41"/>
        <v>173.28</v>
      </c>
      <c r="P154" s="617">
        <f t="shared" si="37"/>
        <v>0</v>
      </c>
      <c r="Q154" s="525"/>
      <c r="S154" s="189">
        <v>0</v>
      </c>
      <c r="T154" s="189">
        <v>0</v>
      </c>
      <c r="BT154" s="525"/>
      <c r="BU154" s="523"/>
      <c r="BV154" s="523">
        <v>0</v>
      </c>
      <c r="BW154" s="523">
        <v>0</v>
      </c>
      <c r="BX154" s="523">
        <v>0</v>
      </c>
      <c r="BY154" s="523">
        <v>0</v>
      </c>
      <c r="BZ154" s="523"/>
      <c r="CA154" s="523"/>
      <c r="CB154" s="523"/>
      <c r="CC154" s="523"/>
      <c r="CD154" s="523"/>
      <c r="CE154" s="523"/>
      <c r="CF154" s="523"/>
      <c r="CG154" s="523"/>
      <c r="CH154" s="523"/>
      <c r="CI154" s="523">
        <f t="shared" si="38"/>
        <v>0</v>
      </c>
    </row>
    <row r="155" spans="1:87" ht="15.75" x14ac:dyDescent="0.2">
      <c r="A155" s="680" t="s">
        <v>1565</v>
      </c>
      <c r="B155" s="569" t="s">
        <v>1566</v>
      </c>
      <c r="C155" s="569" t="s">
        <v>1324</v>
      </c>
      <c r="D155" s="569" t="s">
        <v>1567</v>
      </c>
      <c r="E155" s="681" t="s">
        <v>102</v>
      </c>
      <c r="F155" s="578"/>
      <c r="G155" s="682">
        <v>52.59</v>
      </c>
      <c r="H155" s="681">
        <v>2</v>
      </c>
      <c r="I155" s="622">
        <f t="shared" si="39"/>
        <v>0</v>
      </c>
      <c r="J155" s="574">
        <f t="shared" si="40"/>
        <v>0</v>
      </c>
      <c r="K155" s="681">
        <f t="shared" si="35"/>
        <v>2</v>
      </c>
      <c r="L155" s="708">
        <f t="shared" si="41"/>
        <v>105.18</v>
      </c>
      <c r="M155" s="708">
        <f t="shared" si="41"/>
        <v>0</v>
      </c>
      <c r="N155" s="708">
        <f t="shared" si="41"/>
        <v>0</v>
      </c>
      <c r="O155" s="718">
        <f t="shared" si="41"/>
        <v>105.18</v>
      </c>
      <c r="P155" s="617">
        <f t="shared" si="37"/>
        <v>0</v>
      </c>
      <c r="Q155" s="525"/>
      <c r="S155" s="189">
        <v>0</v>
      </c>
      <c r="T155" s="189">
        <v>0</v>
      </c>
      <c r="BT155" s="525"/>
      <c r="BU155" s="523"/>
      <c r="BV155" s="523">
        <v>0</v>
      </c>
      <c r="BW155" s="523">
        <v>0</v>
      </c>
      <c r="BX155" s="523">
        <v>0</v>
      </c>
      <c r="BY155" s="523">
        <v>0</v>
      </c>
      <c r="BZ155" s="523"/>
      <c r="CA155" s="523"/>
      <c r="CB155" s="523"/>
      <c r="CC155" s="523"/>
      <c r="CD155" s="523"/>
      <c r="CE155" s="523"/>
      <c r="CF155" s="523"/>
      <c r="CG155" s="523"/>
      <c r="CH155" s="523"/>
      <c r="CI155" s="523">
        <f t="shared" si="38"/>
        <v>0</v>
      </c>
    </row>
    <row r="156" spans="1:87" ht="15.75" x14ac:dyDescent="0.2">
      <c r="A156" s="680" t="s">
        <v>1568</v>
      </c>
      <c r="B156" s="569" t="s">
        <v>1569</v>
      </c>
      <c r="C156" s="569" t="s">
        <v>1324</v>
      </c>
      <c r="D156" s="569" t="s">
        <v>1570</v>
      </c>
      <c r="E156" s="681" t="s">
        <v>102</v>
      </c>
      <c r="F156" s="578"/>
      <c r="G156" s="682">
        <v>120.21</v>
      </c>
      <c r="H156" s="681">
        <v>2</v>
      </c>
      <c r="I156" s="622">
        <f t="shared" si="39"/>
        <v>0</v>
      </c>
      <c r="J156" s="574">
        <f t="shared" si="40"/>
        <v>0</v>
      </c>
      <c r="K156" s="681">
        <f t="shared" si="35"/>
        <v>2</v>
      </c>
      <c r="L156" s="708">
        <f t="shared" si="41"/>
        <v>240.42</v>
      </c>
      <c r="M156" s="708">
        <f t="shared" si="41"/>
        <v>0</v>
      </c>
      <c r="N156" s="708">
        <f t="shared" si="41"/>
        <v>0</v>
      </c>
      <c r="O156" s="718">
        <f t="shared" si="41"/>
        <v>240.42</v>
      </c>
      <c r="P156" s="617">
        <f t="shared" si="37"/>
        <v>0</v>
      </c>
      <c r="Q156" s="525"/>
      <c r="S156" s="189">
        <v>0</v>
      </c>
      <c r="T156" s="189">
        <v>0</v>
      </c>
      <c r="BT156" s="525"/>
      <c r="BU156" s="523"/>
      <c r="BV156" s="523">
        <v>0</v>
      </c>
      <c r="BW156" s="523">
        <v>0</v>
      </c>
      <c r="BX156" s="523">
        <v>0</v>
      </c>
      <c r="BY156" s="523">
        <v>0</v>
      </c>
      <c r="BZ156" s="523"/>
      <c r="CA156" s="523"/>
      <c r="CB156" s="523"/>
      <c r="CC156" s="523"/>
      <c r="CD156" s="523"/>
      <c r="CE156" s="523"/>
      <c r="CF156" s="523"/>
      <c r="CG156" s="523"/>
      <c r="CH156" s="523"/>
      <c r="CI156" s="523">
        <f t="shared" si="38"/>
        <v>0</v>
      </c>
    </row>
    <row r="157" spans="1:87" ht="15" x14ac:dyDescent="0.2">
      <c r="A157" s="680" t="s">
        <v>1571</v>
      </c>
      <c r="B157" s="569" t="s">
        <v>1572</v>
      </c>
      <c r="C157" s="569" t="s">
        <v>1324</v>
      </c>
      <c r="D157" s="569" t="s">
        <v>1573</v>
      </c>
      <c r="E157" s="681" t="s">
        <v>102</v>
      </c>
      <c r="F157" s="571"/>
      <c r="G157" s="682">
        <v>67.349999999999994</v>
      </c>
      <c r="H157" s="681">
        <v>2</v>
      </c>
      <c r="I157" s="622">
        <f t="shared" si="39"/>
        <v>0</v>
      </c>
      <c r="J157" s="574">
        <f t="shared" si="40"/>
        <v>0</v>
      </c>
      <c r="K157" s="681">
        <f t="shared" si="35"/>
        <v>2</v>
      </c>
      <c r="L157" s="708">
        <f t="shared" si="41"/>
        <v>134.69999999999999</v>
      </c>
      <c r="M157" s="708">
        <f t="shared" si="41"/>
        <v>0</v>
      </c>
      <c r="N157" s="708">
        <f t="shared" si="41"/>
        <v>0</v>
      </c>
      <c r="O157" s="718">
        <f t="shared" si="41"/>
        <v>134.69999999999999</v>
      </c>
      <c r="P157" s="617">
        <f t="shared" si="37"/>
        <v>0</v>
      </c>
      <c r="Q157" s="525"/>
      <c r="S157" s="189">
        <v>0</v>
      </c>
      <c r="T157" s="189">
        <v>0</v>
      </c>
      <c r="BT157" s="525"/>
      <c r="BU157" s="523"/>
      <c r="BV157" s="523">
        <v>0</v>
      </c>
      <c r="BW157" s="523">
        <v>0</v>
      </c>
      <c r="BX157" s="523">
        <v>0</v>
      </c>
      <c r="BY157" s="523">
        <v>0</v>
      </c>
      <c r="BZ157" s="523"/>
      <c r="CA157" s="523"/>
      <c r="CB157" s="523"/>
      <c r="CC157" s="523"/>
      <c r="CD157" s="523"/>
      <c r="CE157" s="523"/>
      <c r="CF157" s="523"/>
      <c r="CG157" s="523"/>
      <c r="CH157" s="523"/>
      <c r="CI157" s="523">
        <f t="shared" si="38"/>
        <v>0</v>
      </c>
    </row>
    <row r="158" spans="1:87" ht="15" x14ac:dyDescent="0.2">
      <c r="A158" s="680" t="s">
        <v>1574</v>
      </c>
      <c r="B158" s="569">
        <v>89987</v>
      </c>
      <c r="C158" s="569" t="s">
        <v>1324</v>
      </c>
      <c r="D158" s="569" t="s">
        <v>1575</v>
      </c>
      <c r="E158" s="681" t="s">
        <v>102</v>
      </c>
      <c r="F158" s="644">
        <v>8.41</v>
      </c>
      <c r="G158" s="682">
        <v>35.92</v>
      </c>
      <c r="H158" s="681">
        <v>2</v>
      </c>
      <c r="I158" s="622">
        <f t="shared" si="39"/>
        <v>0</v>
      </c>
      <c r="J158" s="574">
        <f t="shared" si="40"/>
        <v>0</v>
      </c>
      <c r="K158" s="681">
        <f t="shared" si="35"/>
        <v>2</v>
      </c>
      <c r="L158" s="708">
        <f t="shared" si="41"/>
        <v>71.84</v>
      </c>
      <c r="M158" s="708">
        <f t="shared" si="41"/>
        <v>0</v>
      </c>
      <c r="N158" s="708">
        <f t="shared" si="41"/>
        <v>0</v>
      </c>
      <c r="O158" s="718">
        <f t="shared" si="41"/>
        <v>71.84</v>
      </c>
      <c r="P158" s="617">
        <f t="shared" si="37"/>
        <v>0</v>
      </c>
      <c r="Q158" s="525"/>
      <c r="S158" s="189">
        <v>0</v>
      </c>
      <c r="T158" s="189">
        <v>0</v>
      </c>
      <c r="BT158" s="525"/>
      <c r="BU158" s="523"/>
      <c r="BV158" s="523">
        <v>0</v>
      </c>
      <c r="BW158" s="523">
        <v>0</v>
      </c>
      <c r="BX158" s="523">
        <v>0</v>
      </c>
      <c r="BY158" s="523">
        <v>0</v>
      </c>
      <c r="BZ158" s="523"/>
      <c r="CA158" s="523"/>
      <c r="CB158" s="523"/>
      <c r="CC158" s="523"/>
      <c r="CD158" s="523"/>
      <c r="CE158" s="523"/>
      <c r="CF158" s="523"/>
      <c r="CG158" s="523"/>
      <c r="CH158" s="523"/>
      <c r="CI158" s="523">
        <f t="shared" si="38"/>
        <v>0</v>
      </c>
    </row>
    <row r="159" spans="1:87" ht="15" x14ac:dyDescent="0.2">
      <c r="A159" s="680" t="s">
        <v>1576</v>
      </c>
      <c r="B159" s="569">
        <v>89985</v>
      </c>
      <c r="C159" s="569" t="s">
        <v>1324</v>
      </c>
      <c r="D159" s="569" t="s">
        <v>1577</v>
      </c>
      <c r="E159" s="681" t="s">
        <v>102</v>
      </c>
      <c r="F159" s="644">
        <v>9.49</v>
      </c>
      <c r="G159" s="682">
        <v>64.02</v>
      </c>
      <c r="H159" s="681">
        <v>8</v>
      </c>
      <c r="I159" s="622">
        <f t="shared" si="39"/>
        <v>0</v>
      </c>
      <c r="J159" s="574">
        <f t="shared" si="40"/>
        <v>0</v>
      </c>
      <c r="K159" s="681">
        <f t="shared" si="35"/>
        <v>8</v>
      </c>
      <c r="L159" s="708">
        <f t="shared" si="41"/>
        <v>512.16</v>
      </c>
      <c r="M159" s="708">
        <f t="shared" si="41"/>
        <v>0</v>
      </c>
      <c r="N159" s="708">
        <f t="shared" si="41"/>
        <v>0</v>
      </c>
      <c r="O159" s="718">
        <f t="shared" si="41"/>
        <v>512.16</v>
      </c>
      <c r="P159" s="617">
        <f t="shared" si="37"/>
        <v>0</v>
      </c>
      <c r="Q159" s="525"/>
      <c r="S159" s="189">
        <v>0</v>
      </c>
      <c r="T159" s="189">
        <v>12</v>
      </c>
      <c r="BT159" s="525"/>
      <c r="BU159" s="523"/>
      <c r="BV159" s="523">
        <v>0</v>
      </c>
      <c r="BW159" s="523">
        <v>0</v>
      </c>
      <c r="BX159" s="523">
        <v>0</v>
      </c>
      <c r="BY159" s="523">
        <v>0</v>
      </c>
      <c r="BZ159" s="523"/>
      <c r="CA159" s="523"/>
      <c r="CB159" s="523"/>
      <c r="CC159" s="523"/>
      <c r="CD159" s="523"/>
      <c r="CE159" s="523"/>
      <c r="CF159" s="523"/>
      <c r="CG159" s="523"/>
      <c r="CH159" s="523"/>
      <c r="CI159" s="523">
        <f t="shared" si="38"/>
        <v>0</v>
      </c>
    </row>
    <row r="160" spans="1:87" ht="15" x14ac:dyDescent="0.2">
      <c r="A160" s="680" t="s">
        <v>1578</v>
      </c>
      <c r="B160" s="569">
        <v>89538</v>
      </c>
      <c r="C160" s="569" t="s">
        <v>1324</v>
      </c>
      <c r="D160" s="569" t="s">
        <v>1579</v>
      </c>
      <c r="E160" s="681" t="s">
        <v>102</v>
      </c>
      <c r="F160" s="644">
        <v>6.56</v>
      </c>
      <c r="G160" s="682">
        <v>2.75</v>
      </c>
      <c r="H160" s="681">
        <v>12</v>
      </c>
      <c r="I160" s="622">
        <f t="shared" si="39"/>
        <v>0</v>
      </c>
      <c r="J160" s="574">
        <f t="shared" si="40"/>
        <v>12</v>
      </c>
      <c r="K160" s="681">
        <f t="shared" si="35"/>
        <v>0</v>
      </c>
      <c r="L160" s="708">
        <f t="shared" si="41"/>
        <v>33</v>
      </c>
      <c r="M160" s="708">
        <f t="shared" si="41"/>
        <v>0</v>
      </c>
      <c r="N160" s="708">
        <f t="shared" si="41"/>
        <v>33</v>
      </c>
      <c r="O160" s="718">
        <f t="shared" si="41"/>
        <v>0</v>
      </c>
      <c r="P160" s="617">
        <f t="shared" si="37"/>
        <v>1</v>
      </c>
      <c r="Q160" s="525"/>
      <c r="S160" s="189">
        <v>0</v>
      </c>
      <c r="T160" s="189">
        <v>4</v>
      </c>
      <c r="BT160" s="525"/>
      <c r="BU160" s="523"/>
      <c r="BV160" s="523">
        <v>0</v>
      </c>
      <c r="BW160" s="523">
        <v>12</v>
      </c>
      <c r="BX160" s="523">
        <v>0</v>
      </c>
      <c r="BY160" s="523">
        <v>0</v>
      </c>
      <c r="BZ160" s="523"/>
      <c r="CA160" s="523"/>
      <c r="CB160" s="523"/>
      <c r="CC160" s="523"/>
      <c r="CD160" s="523"/>
      <c r="CE160" s="523"/>
      <c r="CF160" s="523"/>
      <c r="CG160" s="523"/>
      <c r="CH160" s="523"/>
      <c r="CI160" s="523">
        <f t="shared" si="38"/>
        <v>12</v>
      </c>
    </row>
    <row r="161" spans="1:87" ht="15.75" x14ac:dyDescent="0.2">
      <c r="A161" s="680" t="s">
        <v>1580</v>
      </c>
      <c r="B161" s="569">
        <v>89553</v>
      </c>
      <c r="C161" s="569" t="s">
        <v>1324</v>
      </c>
      <c r="D161" s="569" t="s">
        <v>1581</v>
      </c>
      <c r="E161" s="681" t="s">
        <v>102</v>
      </c>
      <c r="F161" s="578"/>
      <c r="G161" s="682">
        <v>4.01</v>
      </c>
      <c r="H161" s="681">
        <v>4</v>
      </c>
      <c r="I161" s="622">
        <f t="shared" si="39"/>
        <v>0</v>
      </c>
      <c r="J161" s="574">
        <f t="shared" si="40"/>
        <v>4</v>
      </c>
      <c r="K161" s="681">
        <f t="shared" si="35"/>
        <v>0</v>
      </c>
      <c r="L161" s="708">
        <f t="shared" si="41"/>
        <v>16.04</v>
      </c>
      <c r="M161" s="708">
        <f t="shared" si="41"/>
        <v>0</v>
      </c>
      <c r="N161" s="708">
        <f t="shared" si="41"/>
        <v>16.04</v>
      </c>
      <c r="O161" s="718">
        <f t="shared" si="41"/>
        <v>0</v>
      </c>
      <c r="P161" s="617">
        <f t="shared" si="37"/>
        <v>1</v>
      </c>
      <c r="Q161" s="525"/>
      <c r="S161" s="189">
        <v>0</v>
      </c>
      <c r="T161" s="189">
        <v>4</v>
      </c>
      <c r="BT161" s="525"/>
      <c r="BU161" s="523"/>
      <c r="BV161" s="523">
        <v>0</v>
      </c>
      <c r="BW161" s="523">
        <v>4</v>
      </c>
      <c r="BX161" s="523">
        <v>0</v>
      </c>
      <c r="BY161" s="523">
        <v>0</v>
      </c>
      <c r="BZ161" s="523"/>
      <c r="CA161" s="523"/>
      <c r="CB161" s="523"/>
      <c r="CC161" s="523"/>
      <c r="CD161" s="523"/>
      <c r="CE161" s="523"/>
      <c r="CF161" s="523"/>
      <c r="CG161" s="523"/>
      <c r="CH161" s="523"/>
      <c r="CI161" s="523">
        <f t="shared" si="38"/>
        <v>4</v>
      </c>
    </row>
    <row r="162" spans="1:87" ht="15" x14ac:dyDescent="0.2">
      <c r="A162" s="680" t="s">
        <v>1582</v>
      </c>
      <c r="B162" s="569">
        <v>89570</v>
      </c>
      <c r="C162" s="569" t="s">
        <v>1324</v>
      </c>
      <c r="D162" s="569" t="s">
        <v>1583</v>
      </c>
      <c r="E162" s="681" t="s">
        <v>102</v>
      </c>
      <c r="F162" s="644">
        <v>8.41</v>
      </c>
      <c r="G162" s="682">
        <v>6.66</v>
      </c>
      <c r="H162" s="681">
        <v>4</v>
      </c>
      <c r="I162" s="622">
        <f t="shared" si="39"/>
        <v>0</v>
      </c>
      <c r="J162" s="574">
        <f t="shared" si="40"/>
        <v>4</v>
      </c>
      <c r="K162" s="681">
        <f t="shared" si="35"/>
        <v>0</v>
      </c>
      <c r="L162" s="708">
        <f t="shared" si="41"/>
        <v>26.64</v>
      </c>
      <c r="M162" s="708">
        <f t="shared" si="41"/>
        <v>0</v>
      </c>
      <c r="N162" s="708">
        <f t="shared" si="41"/>
        <v>26.64</v>
      </c>
      <c r="O162" s="718">
        <f t="shared" si="41"/>
        <v>0</v>
      </c>
      <c r="P162" s="617">
        <f t="shared" si="37"/>
        <v>1</v>
      </c>
      <c r="Q162" s="525"/>
      <c r="S162" s="189">
        <v>0</v>
      </c>
      <c r="T162" s="189">
        <v>4</v>
      </c>
      <c r="BT162" s="525"/>
      <c r="BU162" s="523"/>
      <c r="BV162" s="523">
        <v>0</v>
      </c>
      <c r="BW162" s="523">
        <v>4</v>
      </c>
      <c r="BX162" s="523">
        <v>0</v>
      </c>
      <c r="BY162" s="523">
        <v>0</v>
      </c>
      <c r="BZ162" s="523"/>
      <c r="CA162" s="523"/>
      <c r="CB162" s="523"/>
      <c r="CC162" s="523"/>
      <c r="CD162" s="523"/>
      <c r="CE162" s="523"/>
      <c r="CF162" s="523"/>
      <c r="CG162" s="523"/>
      <c r="CH162" s="523"/>
      <c r="CI162" s="523">
        <f t="shared" si="38"/>
        <v>4</v>
      </c>
    </row>
    <row r="163" spans="1:87" ht="15.75" x14ac:dyDescent="0.2">
      <c r="A163" s="680" t="s">
        <v>1584</v>
      </c>
      <c r="B163" s="569">
        <v>89596</v>
      </c>
      <c r="C163" s="569" t="s">
        <v>1324</v>
      </c>
      <c r="D163" s="569" t="s">
        <v>1585</v>
      </c>
      <c r="E163" s="681" t="s">
        <v>102</v>
      </c>
      <c r="F163" s="578"/>
      <c r="G163" s="682">
        <v>7.49</v>
      </c>
      <c r="H163" s="681">
        <v>4</v>
      </c>
      <c r="I163" s="622">
        <f t="shared" si="39"/>
        <v>0</v>
      </c>
      <c r="J163" s="574">
        <f t="shared" si="40"/>
        <v>4</v>
      </c>
      <c r="K163" s="681">
        <f t="shared" si="35"/>
        <v>0</v>
      </c>
      <c r="L163" s="708">
        <f t="shared" si="41"/>
        <v>29.96</v>
      </c>
      <c r="M163" s="708">
        <f t="shared" si="41"/>
        <v>0</v>
      </c>
      <c r="N163" s="708">
        <f t="shared" si="41"/>
        <v>29.96</v>
      </c>
      <c r="O163" s="718">
        <f t="shared" si="41"/>
        <v>0</v>
      </c>
      <c r="P163" s="617">
        <f t="shared" si="37"/>
        <v>1</v>
      </c>
      <c r="Q163" s="525"/>
      <c r="S163" s="189">
        <v>0</v>
      </c>
      <c r="T163" s="189">
        <v>10</v>
      </c>
      <c r="BT163" s="525"/>
      <c r="BU163" s="523"/>
      <c r="BV163" s="523">
        <v>0</v>
      </c>
      <c r="BW163" s="523">
        <v>4</v>
      </c>
      <c r="BX163" s="523">
        <v>0</v>
      </c>
      <c r="BY163" s="523">
        <v>0</v>
      </c>
      <c r="BZ163" s="523"/>
      <c r="CA163" s="523"/>
      <c r="CB163" s="523"/>
      <c r="CC163" s="523"/>
      <c r="CD163" s="523"/>
      <c r="CE163" s="523"/>
      <c r="CF163" s="523"/>
      <c r="CG163" s="523"/>
      <c r="CH163" s="523"/>
      <c r="CI163" s="523">
        <f t="shared" si="38"/>
        <v>4</v>
      </c>
    </row>
    <row r="164" spans="1:87" ht="15" x14ac:dyDescent="0.2">
      <c r="A164" s="680" t="s">
        <v>1586</v>
      </c>
      <c r="B164" s="569">
        <v>86884</v>
      </c>
      <c r="C164" s="569" t="s">
        <v>1324</v>
      </c>
      <c r="D164" s="569" t="s">
        <v>1587</v>
      </c>
      <c r="E164" s="681" t="s">
        <v>102</v>
      </c>
      <c r="F164" s="644">
        <v>6.56</v>
      </c>
      <c r="G164" s="682">
        <v>6.05</v>
      </c>
      <c r="H164" s="681">
        <v>10</v>
      </c>
      <c r="I164" s="622">
        <f t="shared" si="39"/>
        <v>0</v>
      </c>
      <c r="J164" s="574">
        <f t="shared" si="40"/>
        <v>10</v>
      </c>
      <c r="K164" s="681">
        <f t="shared" si="35"/>
        <v>0</v>
      </c>
      <c r="L164" s="708">
        <f t="shared" si="41"/>
        <v>60.5</v>
      </c>
      <c r="M164" s="708">
        <f t="shared" si="41"/>
        <v>0</v>
      </c>
      <c r="N164" s="708">
        <f t="shared" si="41"/>
        <v>60.5</v>
      </c>
      <c r="O164" s="718">
        <f t="shared" si="41"/>
        <v>0</v>
      </c>
      <c r="P164" s="617">
        <f t="shared" si="37"/>
        <v>1</v>
      </c>
      <c r="Q164" s="525"/>
      <c r="S164" s="189">
        <v>0</v>
      </c>
      <c r="T164" s="189">
        <v>0</v>
      </c>
      <c r="BT164" s="525"/>
      <c r="BU164" s="523"/>
      <c r="BV164" s="523">
        <v>0</v>
      </c>
      <c r="BW164" s="523">
        <v>10</v>
      </c>
      <c r="BX164" s="523">
        <v>0</v>
      </c>
      <c r="BY164" s="523">
        <v>0</v>
      </c>
      <c r="BZ164" s="523"/>
      <c r="CA164" s="523"/>
      <c r="CB164" s="523"/>
      <c r="CC164" s="523"/>
      <c r="CD164" s="523"/>
      <c r="CE164" s="523"/>
      <c r="CF164" s="523"/>
      <c r="CG164" s="523"/>
      <c r="CH164" s="523"/>
      <c r="CI164" s="523">
        <f t="shared" si="38"/>
        <v>10</v>
      </c>
    </row>
    <row r="165" spans="1:87" ht="15" x14ac:dyDescent="0.2">
      <c r="A165" s="680" t="s">
        <v>1588</v>
      </c>
      <c r="B165" s="569">
        <v>72789</v>
      </c>
      <c r="C165" s="569" t="s">
        <v>1324</v>
      </c>
      <c r="D165" s="569" t="s">
        <v>1589</v>
      </c>
      <c r="E165" s="681" t="s">
        <v>102</v>
      </c>
      <c r="F165" s="644">
        <v>9.49</v>
      </c>
      <c r="G165" s="682">
        <v>16.59</v>
      </c>
      <c r="H165" s="681">
        <v>3</v>
      </c>
      <c r="I165" s="622">
        <f t="shared" si="39"/>
        <v>0</v>
      </c>
      <c r="J165" s="574">
        <f t="shared" si="40"/>
        <v>0</v>
      </c>
      <c r="K165" s="681">
        <f t="shared" si="35"/>
        <v>3</v>
      </c>
      <c r="L165" s="708">
        <f t="shared" si="41"/>
        <v>49.77</v>
      </c>
      <c r="M165" s="708">
        <f t="shared" si="41"/>
        <v>0</v>
      </c>
      <c r="N165" s="708">
        <f t="shared" si="41"/>
        <v>0</v>
      </c>
      <c r="O165" s="718">
        <f t="shared" si="41"/>
        <v>49.77</v>
      </c>
      <c r="P165" s="617">
        <f t="shared" si="37"/>
        <v>0</v>
      </c>
      <c r="Q165" s="525"/>
      <c r="S165" s="189">
        <v>0</v>
      </c>
      <c r="T165" s="189">
        <v>0</v>
      </c>
      <c r="BT165" s="525"/>
      <c r="BU165" s="523"/>
      <c r="BV165" s="523">
        <v>0</v>
      </c>
      <c r="BW165" s="523">
        <v>0</v>
      </c>
      <c r="BX165" s="523">
        <v>0</v>
      </c>
      <c r="BY165" s="523">
        <v>0</v>
      </c>
      <c r="BZ165" s="523"/>
      <c r="CA165" s="523"/>
      <c r="CB165" s="523"/>
      <c r="CC165" s="523"/>
      <c r="CD165" s="523"/>
      <c r="CE165" s="523"/>
      <c r="CF165" s="523"/>
      <c r="CG165" s="523"/>
      <c r="CH165" s="523"/>
      <c r="CI165" s="523">
        <f t="shared" si="38"/>
        <v>0</v>
      </c>
    </row>
    <row r="166" spans="1:87" ht="15.75" x14ac:dyDescent="0.2">
      <c r="A166" s="680" t="s">
        <v>1590</v>
      </c>
      <c r="B166" s="569">
        <v>72792</v>
      </c>
      <c r="C166" s="569" t="s">
        <v>1324</v>
      </c>
      <c r="D166" s="569" t="s">
        <v>1591</v>
      </c>
      <c r="E166" s="681" t="s">
        <v>102</v>
      </c>
      <c r="F166" s="578"/>
      <c r="G166" s="682">
        <v>32.79</v>
      </c>
      <c r="H166" s="681">
        <v>2</v>
      </c>
      <c r="I166" s="622">
        <f t="shared" si="39"/>
        <v>0</v>
      </c>
      <c r="J166" s="574">
        <f t="shared" si="40"/>
        <v>0</v>
      </c>
      <c r="K166" s="681">
        <f t="shared" si="35"/>
        <v>2</v>
      </c>
      <c r="L166" s="708">
        <f t="shared" si="41"/>
        <v>65.58</v>
      </c>
      <c r="M166" s="708">
        <f t="shared" si="41"/>
        <v>0</v>
      </c>
      <c r="N166" s="708">
        <f t="shared" si="41"/>
        <v>0</v>
      </c>
      <c r="O166" s="718">
        <f t="shared" si="41"/>
        <v>65.58</v>
      </c>
      <c r="P166" s="617">
        <f t="shared" si="37"/>
        <v>0</v>
      </c>
      <c r="Q166" s="525"/>
      <c r="S166" s="189">
        <v>0</v>
      </c>
      <c r="T166" s="189">
        <v>0</v>
      </c>
      <c r="BT166" s="525"/>
      <c r="BU166" s="523"/>
      <c r="BV166" s="523">
        <v>0</v>
      </c>
      <c r="BW166" s="523">
        <v>0</v>
      </c>
      <c r="BX166" s="523">
        <v>0</v>
      </c>
      <c r="BY166" s="523">
        <v>0</v>
      </c>
      <c r="BZ166" s="523"/>
      <c r="CA166" s="523"/>
      <c r="CB166" s="523"/>
      <c r="CC166" s="523"/>
      <c r="CD166" s="523"/>
      <c r="CE166" s="523"/>
      <c r="CF166" s="523"/>
      <c r="CG166" s="523"/>
      <c r="CH166" s="523"/>
      <c r="CI166" s="523">
        <f t="shared" si="38"/>
        <v>0</v>
      </c>
    </row>
    <row r="167" spans="1:87" ht="15" x14ac:dyDescent="0.2">
      <c r="A167" s="680" t="s">
        <v>1592</v>
      </c>
      <c r="B167" s="569" t="s">
        <v>2007</v>
      </c>
      <c r="C167" s="569" t="s">
        <v>1339</v>
      </c>
      <c r="D167" s="569" t="s">
        <v>1593</v>
      </c>
      <c r="E167" s="681" t="s">
        <v>102</v>
      </c>
      <c r="F167" s="644">
        <v>13.87</v>
      </c>
      <c r="G167" s="682">
        <v>1286.6600000000001</v>
      </c>
      <c r="H167" s="681">
        <v>1</v>
      </c>
      <c r="I167" s="622">
        <f t="shared" si="39"/>
        <v>0</v>
      </c>
      <c r="J167" s="574">
        <f t="shared" si="40"/>
        <v>0</v>
      </c>
      <c r="K167" s="681">
        <f t="shared" si="35"/>
        <v>1</v>
      </c>
      <c r="L167" s="708">
        <f t="shared" si="41"/>
        <v>1286.6600000000001</v>
      </c>
      <c r="M167" s="708">
        <f t="shared" si="41"/>
        <v>0</v>
      </c>
      <c r="N167" s="708">
        <f t="shared" si="41"/>
        <v>0</v>
      </c>
      <c r="O167" s="718">
        <f t="shared" si="41"/>
        <v>1286.6600000000001</v>
      </c>
      <c r="P167" s="617">
        <f t="shared" si="37"/>
        <v>0</v>
      </c>
      <c r="Q167" s="525"/>
      <c r="S167" s="189">
        <v>0</v>
      </c>
      <c r="T167" s="189">
        <v>0</v>
      </c>
      <c r="BT167" s="525"/>
      <c r="BU167" s="523"/>
      <c r="BV167" s="523">
        <v>0</v>
      </c>
      <c r="BW167" s="523">
        <v>0</v>
      </c>
      <c r="BX167" s="523">
        <v>0</v>
      </c>
      <c r="BY167" s="523">
        <v>0</v>
      </c>
      <c r="BZ167" s="523"/>
      <c r="CA167" s="523"/>
      <c r="CB167" s="523"/>
      <c r="CC167" s="523"/>
      <c r="CD167" s="523"/>
      <c r="CE167" s="523"/>
      <c r="CF167" s="523"/>
      <c r="CG167" s="523"/>
      <c r="CH167" s="523"/>
      <c r="CI167" s="523">
        <f t="shared" si="38"/>
        <v>0</v>
      </c>
    </row>
    <row r="168" spans="1:87" s="657" customFormat="1" ht="15.75" x14ac:dyDescent="0.2">
      <c r="A168" s="600">
        <v>13</v>
      </c>
      <c r="B168" s="558"/>
      <c r="C168" s="558"/>
      <c r="D168" s="558" t="s">
        <v>1594</v>
      </c>
      <c r="E168" s="626"/>
      <c r="F168" s="626"/>
      <c r="G168" s="626"/>
      <c r="H168" s="626"/>
      <c r="I168" s="626"/>
      <c r="J168" s="626"/>
      <c r="K168" s="626"/>
      <c r="L168" s="734">
        <f>SUM(L169,L181)</f>
        <v>16232.49</v>
      </c>
      <c r="M168" s="734">
        <f>SUM(M169,M181)</f>
        <v>0</v>
      </c>
      <c r="N168" s="734">
        <f>SUM(N169,N181)</f>
        <v>2433.5100000000002</v>
      </c>
      <c r="O168" s="721">
        <f>SUM(O169,O181)</f>
        <v>13798.98</v>
      </c>
      <c r="P168" s="604">
        <f t="shared" si="37"/>
        <v>0.14991600179639725</v>
      </c>
      <c r="Q168" s="525"/>
      <c r="S168" s="190">
        <v>0</v>
      </c>
      <c r="T168" s="190">
        <v>0</v>
      </c>
      <c r="BT168" s="525"/>
      <c r="BU168" s="523"/>
      <c r="BV168" s="523">
        <v>0</v>
      </c>
      <c r="BW168" s="523">
        <v>161</v>
      </c>
      <c r="BX168" s="523"/>
      <c r="BY168" s="523"/>
      <c r="BZ168" s="523"/>
      <c r="CA168" s="523"/>
      <c r="CB168" s="523"/>
      <c r="CC168" s="523"/>
      <c r="CD168" s="523"/>
      <c r="CE168" s="523"/>
      <c r="CF168" s="523"/>
      <c r="CG168" s="523"/>
      <c r="CH168" s="523"/>
      <c r="CI168" s="523">
        <f t="shared" si="38"/>
        <v>161</v>
      </c>
    </row>
    <row r="169" spans="1:87" ht="15.75" x14ac:dyDescent="0.2">
      <c r="A169" s="605" t="s">
        <v>306</v>
      </c>
      <c r="B169" s="586"/>
      <c r="C169" s="586"/>
      <c r="D169" s="586" t="s">
        <v>1516</v>
      </c>
      <c r="E169" s="683"/>
      <c r="F169" s="683"/>
      <c r="G169" s="683"/>
      <c r="H169" s="683"/>
      <c r="I169" s="683"/>
      <c r="J169" s="683"/>
      <c r="K169" s="683"/>
      <c r="L169" s="735">
        <f>SUM(L170:L180)</f>
        <v>2433.5100000000002</v>
      </c>
      <c r="M169" s="735">
        <f t="shared" ref="M169:O169" si="42">SUM(M170:M180)</f>
        <v>0</v>
      </c>
      <c r="N169" s="735">
        <f t="shared" si="42"/>
        <v>2433.5100000000002</v>
      </c>
      <c r="O169" s="724">
        <f t="shared" si="42"/>
        <v>0</v>
      </c>
      <c r="P169" s="611">
        <f t="shared" si="37"/>
        <v>1</v>
      </c>
      <c r="Q169" s="525"/>
      <c r="S169" s="189">
        <v>0</v>
      </c>
      <c r="T169" s="189">
        <v>47.5</v>
      </c>
      <c r="BT169" s="525"/>
      <c r="BU169" s="523"/>
      <c r="BV169" s="523">
        <v>0</v>
      </c>
      <c r="BW169" s="523">
        <v>161</v>
      </c>
      <c r="BX169" s="523"/>
      <c r="BY169" s="523"/>
      <c r="BZ169" s="523"/>
      <c r="CA169" s="523"/>
      <c r="CB169" s="523"/>
      <c r="CC169" s="523"/>
      <c r="CD169" s="523"/>
      <c r="CE169" s="523"/>
      <c r="CF169" s="523"/>
      <c r="CG169" s="523"/>
      <c r="CH169" s="523"/>
      <c r="CI169" s="523">
        <f t="shared" si="38"/>
        <v>161</v>
      </c>
    </row>
    <row r="170" spans="1:87" ht="15.75" x14ac:dyDescent="0.2">
      <c r="A170" s="680" t="s">
        <v>1595</v>
      </c>
      <c r="B170" s="569">
        <v>89711</v>
      </c>
      <c r="C170" s="569" t="s">
        <v>1324</v>
      </c>
      <c r="D170" s="569" t="s">
        <v>1596</v>
      </c>
      <c r="E170" s="681" t="s">
        <v>81</v>
      </c>
      <c r="F170" s="578"/>
      <c r="G170" s="682">
        <v>13.04</v>
      </c>
      <c r="H170" s="681">
        <v>0</v>
      </c>
      <c r="I170" s="622">
        <f t="shared" si="39"/>
        <v>0</v>
      </c>
      <c r="J170" s="574">
        <f t="shared" si="40"/>
        <v>0</v>
      </c>
      <c r="K170" s="681">
        <f t="shared" si="35"/>
        <v>0</v>
      </c>
      <c r="L170" s="708">
        <f t="shared" ref="L170:O180" si="43">ROUND(H170*$G170,2)</f>
        <v>0</v>
      </c>
      <c r="M170" s="708">
        <f t="shared" si="43"/>
        <v>0</v>
      </c>
      <c r="N170" s="708">
        <f t="shared" si="43"/>
        <v>0</v>
      </c>
      <c r="O170" s="718">
        <f t="shared" si="43"/>
        <v>0</v>
      </c>
      <c r="P170" s="617">
        <v>0</v>
      </c>
      <c r="Q170" s="525"/>
      <c r="S170" s="189">
        <v>0</v>
      </c>
      <c r="T170" s="189">
        <v>21.5</v>
      </c>
      <c r="BT170" s="525"/>
      <c r="BU170" s="523"/>
      <c r="BV170" s="523">
        <v>-47.5</v>
      </c>
      <c r="BW170" s="523">
        <v>47.5</v>
      </c>
      <c r="BX170" s="523">
        <v>0</v>
      </c>
      <c r="BY170" s="523">
        <v>0</v>
      </c>
      <c r="BZ170" s="523"/>
      <c r="CA170" s="523"/>
      <c r="CB170" s="523"/>
      <c r="CC170" s="523"/>
      <c r="CD170" s="523"/>
      <c r="CE170" s="523"/>
      <c r="CF170" s="523"/>
      <c r="CG170" s="523"/>
      <c r="CH170" s="523"/>
      <c r="CI170" s="523">
        <f t="shared" si="38"/>
        <v>0</v>
      </c>
    </row>
    <row r="171" spans="1:87" ht="15.75" x14ac:dyDescent="0.2">
      <c r="A171" s="680" t="s">
        <v>1597</v>
      </c>
      <c r="B171" s="569">
        <v>89712</v>
      </c>
      <c r="C171" s="569" t="s">
        <v>1324</v>
      </c>
      <c r="D171" s="569" t="s">
        <v>1598</v>
      </c>
      <c r="E171" s="681" t="s">
        <v>81</v>
      </c>
      <c r="F171" s="578"/>
      <c r="G171" s="682">
        <v>18.98</v>
      </c>
      <c r="H171" s="681">
        <v>21.5</v>
      </c>
      <c r="I171" s="622">
        <f t="shared" si="39"/>
        <v>0</v>
      </c>
      <c r="J171" s="574">
        <f t="shared" si="40"/>
        <v>21.5</v>
      </c>
      <c r="K171" s="681">
        <f t="shared" si="35"/>
        <v>0</v>
      </c>
      <c r="L171" s="708">
        <f t="shared" si="43"/>
        <v>408.07</v>
      </c>
      <c r="M171" s="708">
        <f t="shared" si="43"/>
        <v>0</v>
      </c>
      <c r="N171" s="708">
        <f t="shared" si="43"/>
        <v>408.07</v>
      </c>
      <c r="O171" s="718">
        <f t="shared" si="43"/>
        <v>0</v>
      </c>
      <c r="P171" s="617">
        <f t="shared" si="37"/>
        <v>1</v>
      </c>
      <c r="Q171" s="525"/>
      <c r="S171" s="189">
        <v>0</v>
      </c>
      <c r="T171" s="189">
        <v>36</v>
      </c>
      <c r="BT171" s="525"/>
      <c r="BU171" s="523"/>
      <c r="BV171" s="523">
        <v>0</v>
      </c>
      <c r="BW171" s="523">
        <v>21.5</v>
      </c>
      <c r="BX171" s="523">
        <v>0</v>
      </c>
      <c r="BY171" s="523">
        <v>0</v>
      </c>
      <c r="BZ171" s="523"/>
      <c r="CA171" s="523"/>
      <c r="CB171" s="523"/>
      <c r="CC171" s="523"/>
      <c r="CD171" s="523"/>
      <c r="CE171" s="523"/>
      <c r="CF171" s="523"/>
      <c r="CG171" s="523"/>
      <c r="CH171" s="523"/>
      <c r="CI171" s="523">
        <f t="shared" si="38"/>
        <v>21.5</v>
      </c>
    </row>
    <row r="172" spans="1:87" ht="15" x14ac:dyDescent="0.2">
      <c r="A172" s="680" t="s">
        <v>1599</v>
      </c>
      <c r="B172" s="569">
        <v>89714</v>
      </c>
      <c r="C172" s="569" t="s">
        <v>1324</v>
      </c>
      <c r="D172" s="569" t="s">
        <v>1600</v>
      </c>
      <c r="E172" s="681" t="s">
        <v>81</v>
      </c>
      <c r="F172" s="644">
        <v>224.11</v>
      </c>
      <c r="G172" s="682">
        <v>36.869999999999997</v>
      </c>
      <c r="H172" s="681">
        <v>36</v>
      </c>
      <c r="I172" s="622">
        <f t="shared" si="39"/>
        <v>0</v>
      </c>
      <c r="J172" s="574">
        <f t="shared" si="40"/>
        <v>36</v>
      </c>
      <c r="K172" s="681">
        <f t="shared" si="35"/>
        <v>0</v>
      </c>
      <c r="L172" s="708">
        <f t="shared" si="43"/>
        <v>1327.32</v>
      </c>
      <c r="M172" s="708">
        <f t="shared" si="43"/>
        <v>0</v>
      </c>
      <c r="N172" s="708">
        <f t="shared" si="43"/>
        <v>1327.32</v>
      </c>
      <c r="O172" s="718">
        <f t="shared" si="43"/>
        <v>0</v>
      </c>
      <c r="P172" s="617">
        <f t="shared" si="37"/>
        <v>1</v>
      </c>
      <c r="Q172" s="525"/>
      <c r="S172" s="189">
        <v>0</v>
      </c>
      <c r="T172" s="189">
        <v>7</v>
      </c>
      <c r="BT172" s="525"/>
      <c r="BU172" s="523"/>
      <c r="BV172" s="523">
        <v>0</v>
      </c>
      <c r="BW172" s="523">
        <v>36</v>
      </c>
      <c r="BX172" s="523">
        <v>0</v>
      </c>
      <c r="BY172" s="523">
        <v>0</v>
      </c>
      <c r="BZ172" s="523"/>
      <c r="CA172" s="523"/>
      <c r="CB172" s="523"/>
      <c r="CC172" s="523"/>
      <c r="CD172" s="523"/>
      <c r="CE172" s="523"/>
      <c r="CF172" s="523"/>
      <c r="CG172" s="523"/>
      <c r="CH172" s="523"/>
      <c r="CI172" s="523">
        <f t="shared" si="38"/>
        <v>36</v>
      </c>
    </row>
    <row r="173" spans="1:87" ht="15" x14ac:dyDescent="0.2">
      <c r="A173" s="680" t="s">
        <v>1601</v>
      </c>
      <c r="B173" s="569">
        <v>89726</v>
      </c>
      <c r="C173" s="569" t="s">
        <v>1324</v>
      </c>
      <c r="D173" s="569" t="s">
        <v>1602</v>
      </c>
      <c r="E173" s="681" t="s">
        <v>102</v>
      </c>
      <c r="F173" s="644">
        <v>312.5</v>
      </c>
      <c r="G173" s="682">
        <v>6.33</v>
      </c>
      <c r="H173" s="681">
        <v>7</v>
      </c>
      <c r="I173" s="622">
        <f t="shared" si="39"/>
        <v>0</v>
      </c>
      <c r="J173" s="574">
        <f t="shared" si="40"/>
        <v>7</v>
      </c>
      <c r="K173" s="681">
        <f t="shared" si="35"/>
        <v>0</v>
      </c>
      <c r="L173" s="708">
        <f t="shared" si="43"/>
        <v>44.31</v>
      </c>
      <c r="M173" s="708">
        <f t="shared" si="43"/>
        <v>0</v>
      </c>
      <c r="N173" s="708">
        <f t="shared" si="43"/>
        <v>44.31</v>
      </c>
      <c r="O173" s="718">
        <f t="shared" si="43"/>
        <v>0</v>
      </c>
      <c r="P173" s="617">
        <f t="shared" si="37"/>
        <v>1</v>
      </c>
      <c r="Q173" s="525"/>
      <c r="S173" s="189">
        <v>0</v>
      </c>
      <c r="T173" s="189">
        <v>6</v>
      </c>
      <c r="BT173" s="525"/>
      <c r="BU173" s="523"/>
      <c r="BV173" s="523">
        <v>0</v>
      </c>
      <c r="BW173" s="523">
        <v>7</v>
      </c>
      <c r="BX173" s="523">
        <v>0</v>
      </c>
      <c r="BY173" s="523">
        <v>0</v>
      </c>
      <c r="BZ173" s="523"/>
      <c r="CA173" s="523"/>
      <c r="CB173" s="523"/>
      <c r="CC173" s="523"/>
      <c r="CD173" s="523"/>
      <c r="CE173" s="523"/>
      <c r="CF173" s="523"/>
      <c r="CG173" s="523"/>
      <c r="CH173" s="523"/>
      <c r="CI173" s="523">
        <f t="shared" si="38"/>
        <v>7</v>
      </c>
    </row>
    <row r="174" spans="1:87" ht="15" x14ac:dyDescent="0.2">
      <c r="A174" s="680" t="s">
        <v>1603</v>
      </c>
      <c r="B174" s="569">
        <v>89744</v>
      </c>
      <c r="C174" s="569" t="s">
        <v>1324</v>
      </c>
      <c r="D174" s="569" t="s">
        <v>1604</v>
      </c>
      <c r="E174" s="681" t="s">
        <v>102</v>
      </c>
      <c r="F174" s="644">
        <v>323.14</v>
      </c>
      <c r="G174" s="682">
        <v>16.600000000000001</v>
      </c>
      <c r="H174" s="681">
        <v>6</v>
      </c>
      <c r="I174" s="622">
        <f t="shared" si="39"/>
        <v>0</v>
      </c>
      <c r="J174" s="574">
        <f t="shared" si="40"/>
        <v>6</v>
      </c>
      <c r="K174" s="681">
        <f t="shared" si="35"/>
        <v>0</v>
      </c>
      <c r="L174" s="708">
        <f t="shared" si="43"/>
        <v>99.6</v>
      </c>
      <c r="M174" s="708">
        <f t="shared" si="43"/>
        <v>0</v>
      </c>
      <c r="N174" s="708">
        <f t="shared" si="43"/>
        <v>99.6</v>
      </c>
      <c r="O174" s="718">
        <f t="shared" si="43"/>
        <v>0</v>
      </c>
      <c r="P174" s="617">
        <f t="shared" si="37"/>
        <v>1</v>
      </c>
      <c r="Q174" s="525"/>
      <c r="S174" s="189">
        <v>0</v>
      </c>
      <c r="T174" s="189">
        <v>10</v>
      </c>
      <c r="BT174" s="525"/>
      <c r="BU174" s="523"/>
      <c r="BV174" s="523">
        <v>0</v>
      </c>
      <c r="BW174" s="523">
        <v>6</v>
      </c>
      <c r="BX174" s="523">
        <v>0</v>
      </c>
      <c r="BY174" s="523">
        <v>0</v>
      </c>
      <c r="BZ174" s="523"/>
      <c r="CA174" s="523"/>
      <c r="CB174" s="523"/>
      <c r="CC174" s="523"/>
      <c r="CD174" s="523"/>
      <c r="CE174" s="523"/>
      <c r="CF174" s="523"/>
      <c r="CG174" s="523"/>
      <c r="CH174" s="523"/>
      <c r="CI174" s="523">
        <f t="shared" si="38"/>
        <v>6</v>
      </c>
    </row>
    <row r="175" spans="1:87" ht="15" x14ac:dyDescent="0.2">
      <c r="A175" s="680" t="s">
        <v>1605</v>
      </c>
      <c r="B175" s="569">
        <v>89724</v>
      </c>
      <c r="C175" s="569" t="s">
        <v>1324</v>
      </c>
      <c r="D175" s="569" t="s">
        <v>1606</v>
      </c>
      <c r="E175" s="681" t="s">
        <v>102</v>
      </c>
      <c r="F175" s="644">
        <v>224.11</v>
      </c>
      <c r="G175" s="682">
        <v>5.6</v>
      </c>
      <c r="H175" s="681">
        <v>10</v>
      </c>
      <c r="I175" s="622">
        <f t="shared" si="39"/>
        <v>0</v>
      </c>
      <c r="J175" s="574">
        <f t="shared" si="40"/>
        <v>10</v>
      </c>
      <c r="K175" s="681">
        <f t="shared" si="35"/>
        <v>0</v>
      </c>
      <c r="L175" s="708">
        <f t="shared" si="43"/>
        <v>56</v>
      </c>
      <c r="M175" s="708">
        <f t="shared" si="43"/>
        <v>0</v>
      </c>
      <c r="N175" s="708">
        <f t="shared" si="43"/>
        <v>56</v>
      </c>
      <c r="O175" s="718">
        <f t="shared" si="43"/>
        <v>0</v>
      </c>
      <c r="P175" s="617">
        <f t="shared" si="37"/>
        <v>1</v>
      </c>
      <c r="Q175" s="525"/>
      <c r="S175" s="189">
        <v>0</v>
      </c>
      <c r="T175" s="189">
        <v>6</v>
      </c>
      <c r="BT175" s="525"/>
      <c r="BU175" s="523"/>
      <c r="BV175" s="523">
        <v>0</v>
      </c>
      <c r="BW175" s="523">
        <v>10</v>
      </c>
      <c r="BX175" s="523">
        <v>0</v>
      </c>
      <c r="BY175" s="523">
        <v>0</v>
      </c>
      <c r="BZ175" s="523"/>
      <c r="CA175" s="523"/>
      <c r="CB175" s="523"/>
      <c r="CC175" s="523"/>
      <c r="CD175" s="523"/>
      <c r="CE175" s="523"/>
      <c r="CF175" s="523"/>
      <c r="CG175" s="523"/>
      <c r="CH175" s="523"/>
      <c r="CI175" s="523">
        <f t="shared" si="38"/>
        <v>10</v>
      </c>
    </row>
    <row r="176" spans="1:87" ht="15" x14ac:dyDescent="0.2">
      <c r="A176" s="680" t="s">
        <v>1607</v>
      </c>
      <c r="B176" s="569">
        <v>89827</v>
      </c>
      <c r="C176" s="569" t="s">
        <v>1324</v>
      </c>
      <c r="D176" s="569" t="s">
        <v>1608</v>
      </c>
      <c r="E176" s="681" t="s">
        <v>102</v>
      </c>
      <c r="F176" s="644">
        <v>33.93</v>
      </c>
      <c r="G176" s="682">
        <v>10.23</v>
      </c>
      <c r="H176" s="681">
        <v>6</v>
      </c>
      <c r="I176" s="622">
        <f t="shared" si="39"/>
        <v>0</v>
      </c>
      <c r="J176" s="574">
        <f t="shared" si="40"/>
        <v>6</v>
      </c>
      <c r="K176" s="681">
        <f t="shared" si="35"/>
        <v>0</v>
      </c>
      <c r="L176" s="708">
        <f t="shared" si="43"/>
        <v>61.38</v>
      </c>
      <c r="M176" s="708">
        <f t="shared" si="43"/>
        <v>0</v>
      </c>
      <c r="N176" s="708">
        <f t="shared" si="43"/>
        <v>61.38</v>
      </c>
      <c r="O176" s="718">
        <f t="shared" si="43"/>
        <v>0</v>
      </c>
      <c r="P176" s="617">
        <f t="shared" si="37"/>
        <v>1</v>
      </c>
      <c r="Q176" s="525"/>
      <c r="S176" s="189">
        <v>0</v>
      </c>
      <c r="T176" s="189">
        <v>5</v>
      </c>
      <c r="BT176" s="525"/>
      <c r="BU176" s="523"/>
      <c r="BV176" s="523">
        <v>0</v>
      </c>
      <c r="BW176" s="523">
        <v>6</v>
      </c>
      <c r="BX176" s="523">
        <v>0</v>
      </c>
      <c r="BY176" s="523">
        <v>0</v>
      </c>
      <c r="BZ176" s="523"/>
      <c r="CA176" s="523"/>
      <c r="CB176" s="523"/>
      <c r="CC176" s="523"/>
      <c r="CD176" s="523"/>
      <c r="CE176" s="523"/>
      <c r="CF176" s="523"/>
      <c r="CG176" s="523"/>
      <c r="CH176" s="523"/>
      <c r="CI176" s="523">
        <f t="shared" si="38"/>
        <v>6</v>
      </c>
    </row>
    <row r="177" spans="1:87" ht="15" x14ac:dyDescent="0.2">
      <c r="A177" s="680" t="s">
        <v>1609</v>
      </c>
      <c r="B177" s="569">
        <v>89834</v>
      </c>
      <c r="C177" s="569" t="s">
        <v>1324</v>
      </c>
      <c r="D177" s="569" t="s">
        <v>1610</v>
      </c>
      <c r="E177" s="681" t="s">
        <v>102</v>
      </c>
      <c r="F177" s="644">
        <v>33.93</v>
      </c>
      <c r="G177" s="682">
        <v>25.46</v>
      </c>
      <c r="H177" s="681">
        <v>5</v>
      </c>
      <c r="I177" s="622">
        <f t="shared" si="39"/>
        <v>0</v>
      </c>
      <c r="J177" s="574">
        <f t="shared" si="40"/>
        <v>5</v>
      </c>
      <c r="K177" s="681">
        <f t="shared" si="35"/>
        <v>0</v>
      </c>
      <c r="L177" s="708">
        <f t="shared" si="43"/>
        <v>127.3</v>
      </c>
      <c r="M177" s="708">
        <f t="shared" si="43"/>
        <v>0</v>
      </c>
      <c r="N177" s="708">
        <f t="shared" si="43"/>
        <v>127.3</v>
      </c>
      <c r="O177" s="718">
        <f t="shared" si="43"/>
        <v>0</v>
      </c>
      <c r="P177" s="617">
        <f t="shared" si="37"/>
        <v>1</v>
      </c>
      <c r="Q177" s="525"/>
      <c r="S177" s="189">
        <v>0</v>
      </c>
      <c r="T177" s="189">
        <v>5</v>
      </c>
      <c r="BT177" s="525"/>
      <c r="BU177" s="523"/>
      <c r="BV177" s="523">
        <v>0</v>
      </c>
      <c r="BW177" s="523">
        <v>5</v>
      </c>
      <c r="BX177" s="523">
        <v>0</v>
      </c>
      <c r="BY177" s="523">
        <v>0</v>
      </c>
      <c r="BZ177" s="523"/>
      <c r="CA177" s="523"/>
      <c r="CB177" s="523"/>
      <c r="CC177" s="523"/>
      <c r="CD177" s="523"/>
      <c r="CE177" s="523"/>
      <c r="CF177" s="523"/>
      <c r="CG177" s="523"/>
      <c r="CH177" s="523"/>
      <c r="CI177" s="523">
        <f t="shared" si="38"/>
        <v>5</v>
      </c>
    </row>
    <row r="178" spans="1:87" ht="15" x14ac:dyDescent="0.2">
      <c r="A178" s="680" t="s">
        <v>1611</v>
      </c>
      <c r="B178" s="569">
        <v>89797</v>
      </c>
      <c r="C178" s="569" t="s">
        <v>1324</v>
      </c>
      <c r="D178" s="569" t="s">
        <v>1612</v>
      </c>
      <c r="E178" s="681" t="s">
        <v>102</v>
      </c>
      <c r="F178" s="644">
        <v>33.93</v>
      </c>
      <c r="G178" s="682">
        <v>31.16</v>
      </c>
      <c r="H178" s="681">
        <v>5</v>
      </c>
      <c r="I178" s="622">
        <f t="shared" si="39"/>
        <v>0</v>
      </c>
      <c r="J178" s="574">
        <f t="shared" si="40"/>
        <v>5</v>
      </c>
      <c r="K178" s="681">
        <f t="shared" si="35"/>
        <v>0</v>
      </c>
      <c r="L178" s="708">
        <f t="shared" si="43"/>
        <v>155.80000000000001</v>
      </c>
      <c r="M178" s="708">
        <f t="shared" si="43"/>
        <v>0</v>
      </c>
      <c r="N178" s="708">
        <f t="shared" si="43"/>
        <v>155.80000000000001</v>
      </c>
      <c r="O178" s="718">
        <f t="shared" si="43"/>
        <v>0</v>
      </c>
      <c r="P178" s="617">
        <f t="shared" si="37"/>
        <v>1</v>
      </c>
      <c r="Q178" s="525"/>
      <c r="S178" s="189">
        <v>0</v>
      </c>
      <c r="T178" s="189">
        <v>1</v>
      </c>
      <c r="BT178" s="525"/>
      <c r="BU178" s="523"/>
      <c r="BV178" s="523">
        <v>0</v>
      </c>
      <c r="BW178" s="523">
        <v>5</v>
      </c>
      <c r="BX178" s="523">
        <v>0</v>
      </c>
      <c r="BY178" s="523">
        <v>0</v>
      </c>
      <c r="BZ178" s="523"/>
      <c r="CA178" s="523"/>
      <c r="CB178" s="523"/>
      <c r="CC178" s="523"/>
      <c r="CD178" s="523"/>
      <c r="CE178" s="523"/>
      <c r="CF178" s="523"/>
      <c r="CG178" s="523"/>
      <c r="CH178" s="523"/>
      <c r="CI178" s="523">
        <f t="shared" si="38"/>
        <v>5</v>
      </c>
    </row>
    <row r="179" spans="1:87" ht="15" x14ac:dyDescent="0.2">
      <c r="A179" s="680" t="s">
        <v>1613</v>
      </c>
      <c r="B179" s="569">
        <v>89852</v>
      </c>
      <c r="C179" s="569" t="s">
        <v>1324</v>
      </c>
      <c r="D179" s="569" t="s">
        <v>1614</v>
      </c>
      <c r="E179" s="681" t="s">
        <v>102</v>
      </c>
      <c r="F179" s="644">
        <v>33.93</v>
      </c>
      <c r="G179" s="682">
        <v>27.17</v>
      </c>
      <c r="H179" s="681">
        <v>1</v>
      </c>
      <c r="I179" s="622">
        <f t="shared" si="39"/>
        <v>0</v>
      </c>
      <c r="J179" s="574">
        <f t="shared" si="40"/>
        <v>1</v>
      </c>
      <c r="K179" s="681">
        <f t="shared" si="35"/>
        <v>0</v>
      </c>
      <c r="L179" s="708">
        <f t="shared" si="43"/>
        <v>27.17</v>
      </c>
      <c r="M179" s="708">
        <f t="shared" si="43"/>
        <v>0</v>
      </c>
      <c r="N179" s="708">
        <f t="shared" si="43"/>
        <v>27.17</v>
      </c>
      <c r="O179" s="718">
        <f t="shared" si="43"/>
        <v>0</v>
      </c>
      <c r="P179" s="617">
        <f t="shared" si="37"/>
        <v>1</v>
      </c>
      <c r="Q179" s="525"/>
      <c r="S179" s="189">
        <v>0</v>
      </c>
      <c r="T179" s="189">
        <v>16</v>
      </c>
      <c r="BT179" s="525"/>
      <c r="BU179" s="523"/>
      <c r="BV179" s="523">
        <v>0</v>
      </c>
      <c r="BW179" s="523">
        <v>1</v>
      </c>
      <c r="BX179" s="523">
        <v>0</v>
      </c>
      <c r="BY179" s="523">
        <v>0</v>
      </c>
      <c r="BZ179" s="523"/>
      <c r="CA179" s="523"/>
      <c r="CB179" s="523"/>
      <c r="CC179" s="523"/>
      <c r="CD179" s="523"/>
      <c r="CE179" s="523"/>
      <c r="CF179" s="523"/>
      <c r="CG179" s="523"/>
      <c r="CH179" s="523"/>
      <c r="CI179" s="523">
        <f t="shared" si="38"/>
        <v>1</v>
      </c>
    </row>
    <row r="180" spans="1:87" s="657" customFormat="1" ht="15" x14ac:dyDescent="0.2">
      <c r="A180" s="680" t="s">
        <v>1615</v>
      </c>
      <c r="B180" s="569">
        <v>89728</v>
      </c>
      <c r="C180" s="569" t="s">
        <v>1324</v>
      </c>
      <c r="D180" s="569" t="s">
        <v>1616</v>
      </c>
      <c r="E180" s="681" t="s">
        <v>102</v>
      </c>
      <c r="F180" s="644">
        <v>33.93</v>
      </c>
      <c r="G180" s="682">
        <v>7.91</v>
      </c>
      <c r="H180" s="681">
        <v>16</v>
      </c>
      <c r="I180" s="622">
        <f t="shared" si="39"/>
        <v>0</v>
      </c>
      <c r="J180" s="574">
        <f t="shared" si="40"/>
        <v>16</v>
      </c>
      <c r="K180" s="681">
        <f t="shared" si="35"/>
        <v>0</v>
      </c>
      <c r="L180" s="708">
        <f t="shared" si="43"/>
        <v>126.56</v>
      </c>
      <c r="M180" s="708">
        <f t="shared" si="43"/>
        <v>0</v>
      </c>
      <c r="N180" s="708">
        <f t="shared" si="43"/>
        <v>126.56</v>
      </c>
      <c r="O180" s="718">
        <f t="shared" si="43"/>
        <v>0</v>
      </c>
      <c r="P180" s="617">
        <f t="shared" si="37"/>
        <v>1</v>
      </c>
      <c r="Q180" s="525"/>
      <c r="S180" s="190">
        <v>0</v>
      </c>
      <c r="T180" s="190">
        <v>0</v>
      </c>
      <c r="BT180" s="525"/>
      <c r="BU180" s="523"/>
      <c r="BV180" s="523">
        <v>0</v>
      </c>
      <c r="BW180" s="523">
        <v>16</v>
      </c>
      <c r="BX180" s="523">
        <v>0</v>
      </c>
      <c r="BY180" s="523">
        <v>0</v>
      </c>
      <c r="BZ180" s="523"/>
      <c r="CA180" s="523"/>
      <c r="CB180" s="523"/>
      <c r="CC180" s="523"/>
      <c r="CD180" s="523"/>
      <c r="CE180" s="523"/>
      <c r="CF180" s="523"/>
      <c r="CG180" s="523"/>
      <c r="CH180" s="523"/>
      <c r="CI180" s="523">
        <f t="shared" si="38"/>
        <v>16</v>
      </c>
    </row>
    <row r="181" spans="1:87" ht="15.75" x14ac:dyDescent="0.2">
      <c r="A181" s="605" t="s">
        <v>309</v>
      </c>
      <c r="B181" s="586"/>
      <c r="C181" s="586"/>
      <c r="D181" s="586" t="s">
        <v>1617</v>
      </c>
      <c r="E181" s="609"/>
      <c r="F181" s="609"/>
      <c r="G181" s="609"/>
      <c r="H181" s="609"/>
      <c r="I181" s="609"/>
      <c r="J181" s="609"/>
      <c r="K181" s="609"/>
      <c r="L181" s="733">
        <f>SUM(L182:L189)</f>
        <v>13798.98</v>
      </c>
      <c r="M181" s="733">
        <f>SUM(M182:M189)</f>
        <v>0</v>
      </c>
      <c r="N181" s="733">
        <f>SUM(N182:N189)</f>
        <v>0</v>
      </c>
      <c r="O181" s="722">
        <f>SUM(O182:O189)</f>
        <v>13798.98</v>
      </c>
      <c r="P181" s="611">
        <f t="shared" si="37"/>
        <v>0</v>
      </c>
      <c r="Q181" s="525"/>
      <c r="S181" s="189">
        <v>0</v>
      </c>
      <c r="T181" s="189">
        <v>0</v>
      </c>
      <c r="BT181" s="525"/>
      <c r="BU181" s="523"/>
      <c r="BV181" s="523">
        <v>0</v>
      </c>
      <c r="BW181" s="523">
        <v>0</v>
      </c>
      <c r="BX181" s="523"/>
      <c r="BY181" s="523"/>
      <c r="BZ181" s="523"/>
      <c r="CA181" s="523"/>
      <c r="CB181" s="523"/>
      <c r="CC181" s="523"/>
      <c r="CD181" s="523"/>
      <c r="CE181" s="523"/>
      <c r="CF181" s="523"/>
      <c r="CG181" s="523"/>
      <c r="CH181" s="523"/>
      <c r="CI181" s="523">
        <f t="shared" si="38"/>
        <v>0</v>
      </c>
    </row>
    <row r="182" spans="1:87" ht="15.75" x14ac:dyDescent="0.2">
      <c r="A182" s="680" t="s">
        <v>1618</v>
      </c>
      <c r="B182" s="569" t="s">
        <v>2007</v>
      </c>
      <c r="C182" s="569" t="s">
        <v>1339</v>
      </c>
      <c r="D182" s="569" t="s">
        <v>1619</v>
      </c>
      <c r="E182" s="681" t="s">
        <v>102</v>
      </c>
      <c r="F182" s="644">
        <v>190.09</v>
      </c>
      <c r="G182" s="682">
        <v>46.81</v>
      </c>
      <c r="H182" s="681">
        <v>6</v>
      </c>
      <c r="I182" s="695">
        <f t="shared" si="39"/>
        <v>0</v>
      </c>
      <c r="J182" s="574">
        <f t="shared" si="40"/>
        <v>0</v>
      </c>
      <c r="K182" s="644">
        <f t="shared" si="35"/>
        <v>6</v>
      </c>
      <c r="L182" s="708">
        <f t="shared" ref="L182:O189" si="44">ROUND(H182*$G182,2)</f>
        <v>280.86</v>
      </c>
      <c r="M182" s="708">
        <f t="shared" si="44"/>
        <v>0</v>
      </c>
      <c r="N182" s="708">
        <f t="shared" si="44"/>
        <v>0</v>
      </c>
      <c r="O182" s="718">
        <f t="shared" si="44"/>
        <v>280.86</v>
      </c>
      <c r="P182" s="617">
        <f t="shared" si="37"/>
        <v>0</v>
      </c>
      <c r="Q182" s="525"/>
      <c r="S182" s="189">
        <v>0</v>
      </c>
      <c r="T182" s="189">
        <v>0</v>
      </c>
      <c r="BT182" s="525"/>
      <c r="BU182" s="523"/>
      <c r="BV182" s="523">
        <v>0</v>
      </c>
      <c r="BW182" s="523">
        <v>0</v>
      </c>
      <c r="BX182" s="523">
        <v>0</v>
      </c>
      <c r="BY182" s="523">
        <v>0</v>
      </c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523">
        <f t="shared" si="38"/>
        <v>0</v>
      </c>
    </row>
    <row r="183" spans="1:87" ht="15.75" x14ac:dyDescent="0.2">
      <c r="A183" s="680" t="s">
        <v>1620</v>
      </c>
      <c r="B183" s="569" t="s">
        <v>1621</v>
      </c>
      <c r="C183" s="569" t="s">
        <v>1324</v>
      </c>
      <c r="D183" s="569" t="s">
        <v>1622</v>
      </c>
      <c r="E183" s="681" t="s">
        <v>102</v>
      </c>
      <c r="F183" s="644">
        <v>222.14</v>
      </c>
      <c r="G183" s="682">
        <v>367.21</v>
      </c>
      <c r="H183" s="681">
        <v>2</v>
      </c>
      <c r="I183" s="695">
        <f t="shared" si="39"/>
        <v>0</v>
      </c>
      <c r="J183" s="574">
        <f t="shared" si="40"/>
        <v>0</v>
      </c>
      <c r="K183" s="644">
        <f t="shared" si="35"/>
        <v>2</v>
      </c>
      <c r="L183" s="708">
        <f t="shared" si="44"/>
        <v>734.42</v>
      </c>
      <c r="M183" s="708">
        <f t="shared" si="44"/>
        <v>0</v>
      </c>
      <c r="N183" s="708">
        <f t="shared" si="44"/>
        <v>0</v>
      </c>
      <c r="O183" s="718">
        <f t="shared" si="44"/>
        <v>734.42</v>
      </c>
      <c r="P183" s="617">
        <f t="shared" si="37"/>
        <v>0</v>
      </c>
      <c r="Q183" s="525"/>
      <c r="S183" s="189">
        <v>0</v>
      </c>
      <c r="T183" s="189">
        <v>0</v>
      </c>
      <c r="BT183" s="525"/>
      <c r="BU183" s="523"/>
      <c r="BV183" s="523">
        <v>0</v>
      </c>
      <c r="BW183" s="523">
        <v>0</v>
      </c>
      <c r="BX183" s="523">
        <v>0</v>
      </c>
      <c r="BY183" s="523">
        <v>0</v>
      </c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523">
        <f t="shared" si="38"/>
        <v>0</v>
      </c>
    </row>
    <row r="184" spans="1:87" ht="15.75" x14ac:dyDescent="0.2">
      <c r="A184" s="680" t="s">
        <v>1623</v>
      </c>
      <c r="B184" s="569">
        <v>89710</v>
      </c>
      <c r="C184" s="569" t="s">
        <v>1324</v>
      </c>
      <c r="D184" s="569" t="s">
        <v>1624</v>
      </c>
      <c r="E184" s="681" t="s">
        <v>102</v>
      </c>
      <c r="F184" s="644">
        <v>474.97</v>
      </c>
      <c r="G184" s="682">
        <v>7.75</v>
      </c>
      <c r="H184" s="681">
        <v>6</v>
      </c>
      <c r="I184" s="695">
        <f t="shared" si="39"/>
        <v>0</v>
      </c>
      <c r="J184" s="574">
        <f t="shared" si="40"/>
        <v>0</v>
      </c>
      <c r="K184" s="644">
        <f t="shared" si="35"/>
        <v>6</v>
      </c>
      <c r="L184" s="708">
        <f t="shared" si="44"/>
        <v>46.5</v>
      </c>
      <c r="M184" s="708">
        <f t="shared" si="44"/>
        <v>0</v>
      </c>
      <c r="N184" s="708">
        <f t="shared" si="44"/>
        <v>0</v>
      </c>
      <c r="O184" s="718">
        <f t="shared" si="44"/>
        <v>46.5</v>
      </c>
      <c r="P184" s="617">
        <f t="shared" si="37"/>
        <v>0</v>
      </c>
      <c r="Q184" s="525"/>
      <c r="S184" s="189">
        <v>0</v>
      </c>
      <c r="T184" s="189">
        <v>0</v>
      </c>
      <c r="BT184" s="525"/>
      <c r="BU184" s="523"/>
      <c r="BV184" s="523">
        <v>0</v>
      </c>
      <c r="BW184" s="523">
        <v>0</v>
      </c>
      <c r="BX184" s="523">
        <v>0</v>
      </c>
      <c r="BY184" s="523">
        <v>0</v>
      </c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523">
        <f t="shared" si="38"/>
        <v>0</v>
      </c>
    </row>
    <row r="185" spans="1:87" ht="15.75" x14ac:dyDescent="0.2">
      <c r="A185" s="680" t="s">
        <v>1625</v>
      </c>
      <c r="B185" s="569">
        <v>89798</v>
      </c>
      <c r="C185" s="569" t="s">
        <v>1324</v>
      </c>
      <c r="D185" s="569" t="s">
        <v>1626</v>
      </c>
      <c r="E185" s="681" t="s">
        <v>81</v>
      </c>
      <c r="F185" s="644">
        <v>891.52</v>
      </c>
      <c r="G185" s="682">
        <v>6.93</v>
      </c>
      <c r="H185" s="681">
        <v>8</v>
      </c>
      <c r="I185" s="695">
        <f t="shared" si="39"/>
        <v>0</v>
      </c>
      <c r="J185" s="574">
        <f t="shared" si="40"/>
        <v>0</v>
      </c>
      <c r="K185" s="644">
        <f t="shared" si="35"/>
        <v>8</v>
      </c>
      <c r="L185" s="708">
        <f t="shared" si="44"/>
        <v>55.44</v>
      </c>
      <c r="M185" s="708">
        <f t="shared" si="44"/>
        <v>0</v>
      </c>
      <c r="N185" s="708">
        <f t="shared" si="44"/>
        <v>0</v>
      </c>
      <c r="O185" s="718">
        <f t="shared" si="44"/>
        <v>55.44</v>
      </c>
      <c r="P185" s="617">
        <f t="shared" si="37"/>
        <v>0</v>
      </c>
      <c r="Q185" s="525"/>
      <c r="S185" s="189">
        <v>0</v>
      </c>
      <c r="T185" s="189">
        <v>0</v>
      </c>
      <c r="BT185" s="525"/>
      <c r="BU185" s="523"/>
      <c r="BV185" s="523">
        <v>0</v>
      </c>
      <c r="BW185" s="523">
        <v>0</v>
      </c>
      <c r="BX185" s="523">
        <v>0</v>
      </c>
      <c r="BY185" s="523">
        <v>0</v>
      </c>
      <c r="BZ185" s="523"/>
      <c r="CA185" s="523"/>
      <c r="CB185" s="523"/>
      <c r="CC185" s="523"/>
      <c r="CD185" s="523"/>
      <c r="CE185" s="523"/>
      <c r="CF185" s="523"/>
      <c r="CG185" s="523"/>
      <c r="CH185" s="523"/>
      <c r="CI185" s="523">
        <f t="shared" si="38"/>
        <v>0</v>
      </c>
    </row>
    <row r="186" spans="1:87" ht="15.75" x14ac:dyDescent="0.2">
      <c r="A186" s="680" t="s">
        <v>1627</v>
      </c>
      <c r="B186" s="569">
        <v>86882</v>
      </c>
      <c r="C186" s="569" t="s">
        <v>1324</v>
      </c>
      <c r="D186" s="569" t="s">
        <v>1628</v>
      </c>
      <c r="E186" s="681" t="s">
        <v>102</v>
      </c>
      <c r="F186" s="644">
        <v>179</v>
      </c>
      <c r="G186" s="682">
        <v>13.42</v>
      </c>
      <c r="H186" s="681">
        <v>8</v>
      </c>
      <c r="I186" s="695">
        <f t="shared" si="39"/>
        <v>0</v>
      </c>
      <c r="J186" s="574">
        <f t="shared" si="40"/>
        <v>0</v>
      </c>
      <c r="K186" s="644">
        <f t="shared" si="35"/>
        <v>8</v>
      </c>
      <c r="L186" s="708">
        <f t="shared" si="44"/>
        <v>107.36</v>
      </c>
      <c r="M186" s="708">
        <f t="shared" si="44"/>
        <v>0</v>
      </c>
      <c r="N186" s="708">
        <f t="shared" si="44"/>
        <v>0</v>
      </c>
      <c r="O186" s="718">
        <f t="shared" si="44"/>
        <v>107.36</v>
      </c>
      <c r="P186" s="617">
        <f t="shared" si="37"/>
        <v>0</v>
      </c>
      <c r="Q186" s="525"/>
      <c r="S186" s="189">
        <v>0</v>
      </c>
      <c r="T186" s="189">
        <v>0</v>
      </c>
      <c r="BT186" s="525"/>
      <c r="BU186" s="523"/>
      <c r="BV186" s="523">
        <v>0</v>
      </c>
      <c r="BW186" s="523">
        <v>0</v>
      </c>
      <c r="BX186" s="523">
        <v>0</v>
      </c>
      <c r="BY186" s="523">
        <v>0</v>
      </c>
      <c r="BZ186" s="523"/>
      <c r="CA186" s="523"/>
      <c r="CB186" s="523"/>
      <c r="CC186" s="523"/>
      <c r="CD186" s="523"/>
      <c r="CE186" s="523"/>
      <c r="CF186" s="523"/>
      <c r="CG186" s="523"/>
      <c r="CH186" s="523"/>
      <c r="CI186" s="523">
        <f t="shared" si="38"/>
        <v>0</v>
      </c>
    </row>
    <row r="187" spans="1:87" ht="15.75" x14ac:dyDescent="0.2">
      <c r="A187" s="680" t="s">
        <v>1629</v>
      </c>
      <c r="B187" s="569" t="s">
        <v>1630</v>
      </c>
      <c r="C187" s="569" t="s">
        <v>1324</v>
      </c>
      <c r="D187" s="569" t="s">
        <v>1631</v>
      </c>
      <c r="E187" s="681" t="s">
        <v>102</v>
      </c>
      <c r="F187" s="644">
        <v>144</v>
      </c>
      <c r="G187" s="682">
        <v>57.87</v>
      </c>
      <c r="H187" s="681">
        <v>8</v>
      </c>
      <c r="I187" s="695">
        <f t="shared" si="39"/>
        <v>0</v>
      </c>
      <c r="J187" s="574">
        <f t="shared" si="40"/>
        <v>0</v>
      </c>
      <c r="K187" s="644">
        <f t="shared" si="35"/>
        <v>8</v>
      </c>
      <c r="L187" s="708">
        <f t="shared" si="44"/>
        <v>462.96</v>
      </c>
      <c r="M187" s="708">
        <f t="shared" si="44"/>
        <v>0</v>
      </c>
      <c r="N187" s="708">
        <f t="shared" si="44"/>
        <v>0</v>
      </c>
      <c r="O187" s="718">
        <f t="shared" si="44"/>
        <v>462.96</v>
      </c>
      <c r="P187" s="617">
        <f t="shared" si="37"/>
        <v>0</v>
      </c>
      <c r="Q187" s="525"/>
      <c r="S187" s="189">
        <v>0</v>
      </c>
      <c r="T187" s="189">
        <v>0</v>
      </c>
      <c r="BT187" s="525"/>
      <c r="BU187" s="523"/>
      <c r="BV187" s="523">
        <v>0</v>
      </c>
      <c r="BW187" s="523">
        <v>0</v>
      </c>
      <c r="BX187" s="523">
        <v>0</v>
      </c>
      <c r="BY187" s="523">
        <v>0</v>
      </c>
      <c r="BZ187" s="523"/>
      <c r="CA187" s="523"/>
      <c r="CB187" s="523"/>
      <c r="CC187" s="523"/>
      <c r="CD187" s="523"/>
      <c r="CE187" s="523"/>
      <c r="CF187" s="523"/>
      <c r="CG187" s="523"/>
      <c r="CH187" s="523"/>
      <c r="CI187" s="523">
        <f t="shared" si="38"/>
        <v>0</v>
      </c>
    </row>
    <row r="188" spans="1:87" ht="15.75" x14ac:dyDescent="0.2">
      <c r="A188" s="680" t="s">
        <v>1632</v>
      </c>
      <c r="B188" s="569" t="s">
        <v>1633</v>
      </c>
      <c r="C188" s="569" t="s">
        <v>1324</v>
      </c>
      <c r="D188" s="569" t="s">
        <v>1634</v>
      </c>
      <c r="E188" s="681" t="s">
        <v>102</v>
      </c>
      <c r="F188" s="644">
        <v>201.25</v>
      </c>
      <c r="G188" s="682">
        <v>3019.34</v>
      </c>
      <c r="H188" s="681">
        <v>1</v>
      </c>
      <c r="I188" s="695">
        <f t="shared" si="39"/>
        <v>0</v>
      </c>
      <c r="J188" s="574">
        <f t="shared" si="40"/>
        <v>0</v>
      </c>
      <c r="K188" s="644">
        <f t="shared" si="35"/>
        <v>1</v>
      </c>
      <c r="L188" s="708">
        <f t="shared" si="44"/>
        <v>3019.34</v>
      </c>
      <c r="M188" s="708">
        <f t="shared" si="44"/>
        <v>0</v>
      </c>
      <c r="N188" s="708">
        <f t="shared" si="44"/>
        <v>0</v>
      </c>
      <c r="O188" s="718">
        <f t="shared" si="44"/>
        <v>3019.34</v>
      </c>
      <c r="P188" s="617">
        <f t="shared" si="37"/>
        <v>0</v>
      </c>
      <c r="Q188" s="525"/>
      <c r="S188" s="189">
        <v>0</v>
      </c>
      <c r="T188" s="189">
        <v>0</v>
      </c>
      <c r="BT188" s="525"/>
      <c r="BU188" s="523"/>
      <c r="BV188" s="523">
        <v>0</v>
      </c>
      <c r="BW188" s="523">
        <v>0</v>
      </c>
      <c r="BX188" s="523">
        <v>0</v>
      </c>
      <c r="BY188" s="523">
        <v>0</v>
      </c>
      <c r="BZ188" s="523"/>
      <c r="CA188" s="523"/>
      <c r="CB188" s="523"/>
      <c r="CC188" s="523"/>
      <c r="CD188" s="523"/>
      <c r="CE188" s="523"/>
      <c r="CF188" s="523"/>
      <c r="CG188" s="523"/>
      <c r="CH188" s="523"/>
      <c r="CI188" s="523">
        <f t="shared" si="38"/>
        <v>0</v>
      </c>
    </row>
    <row r="189" spans="1:87" s="657" customFormat="1" ht="15.75" x14ac:dyDescent="0.2">
      <c r="A189" s="680" t="s">
        <v>1635</v>
      </c>
      <c r="B189" s="569" t="s">
        <v>1636</v>
      </c>
      <c r="C189" s="569" t="s">
        <v>1324</v>
      </c>
      <c r="D189" s="569" t="s">
        <v>1637</v>
      </c>
      <c r="E189" s="681" t="s">
        <v>102</v>
      </c>
      <c r="F189" s="644">
        <v>356.72</v>
      </c>
      <c r="G189" s="682">
        <v>9092.1</v>
      </c>
      <c r="H189" s="681">
        <v>1</v>
      </c>
      <c r="I189" s="695">
        <f t="shared" si="39"/>
        <v>0</v>
      </c>
      <c r="J189" s="574">
        <f t="shared" si="40"/>
        <v>0</v>
      </c>
      <c r="K189" s="644">
        <f t="shared" si="35"/>
        <v>1</v>
      </c>
      <c r="L189" s="708">
        <f t="shared" si="44"/>
        <v>9092.1</v>
      </c>
      <c r="M189" s="708">
        <f t="shared" si="44"/>
        <v>0</v>
      </c>
      <c r="N189" s="708">
        <f t="shared" si="44"/>
        <v>0</v>
      </c>
      <c r="O189" s="718">
        <f t="shared" si="44"/>
        <v>9092.1</v>
      </c>
      <c r="P189" s="617">
        <f t="shared" si="37"/>
        <v>0</v>
      </c>
      <c r="Q189" s="525"/>
      <c r="S189" s="190">
        <v>0</v>
      </c>
      <c r="T189" s="190">
        <v>0</v>
      </c>
      <c r="BT189" s="525"/>
      <c r="BU189" s="523"/>
      <c r="BV189" s="523">
        <v>0</v>
      </c>
      <c r="BW189" s="523">
        <v>0</v>
      </c>
      <c r="BX189" s="523">
        <v>0</v>
      </c>
      <c r="BY189" s="523">
        <v>0</v>
      </c>
      <c r="BZ189" s="523"/>
      <c r="CA189" s="523"/>
      <c r="CB189" s="523"/>
      <c r="CC189" s="523"/>
      <c r="CD189" s="523"/>
      <c r="CE189" s="523"/>
      <c r="CF189" s="523"/>
      <c r="CG189" s="523"/>
      <c r="CH189" s="523"/>
      <c r="CI189" s="523">
        <f t="shared" si="38"/>
        <v>0</v>
      </c>
    </row>
    <row r="190" spans="1:87" ht="15.75" x14ac:dyDescent="0.2">
      <c r="A190" s="600">
        <v>14</v>
      </c>
      <c r="B190" s="558"/>
      <c r="C190" s="558"/>
      <c r="D190" s="558" t="s">
        <v>656</v>
      </c>
      <c r="E190" s="626"/>
      <c r="F190" s="626"/>
      <c r="G190" s="626"/>
      <c r="H190" s="626"/>
      <c r="I190" s="626"/>
      <c r="J190" s="626"/>
      <c r="K190" s="626"/>
      <c r="L190" s="734">
        <f>SUM(L191:L193)</f>
        <v>11646.28</v>
      </c>
      <c r="M190" s="734">
        <f>SUM(M191:M193)</f>
        <v>0</v>
      </c>
      <c r="N190" s="734">
        <f>SUM(N191:N193)</f>
        <v>0</v>
      </c>
      <c r="O190" s="721">
        <f>SUM(O191:O193)</f>
        <v>11646.28</v>
      </c>
      <c r="P190" s="604">
        <f t="shared" si="37"/>
        <v>0</v>
      </c>
      <c r="Q190" s="525"/>
      <c r="S190" s="189">
        <v>0</v>
      </c>
      <c r="T190" s="189">
        <v>0</v>
      </c>
      <c r="BT190" s="525"/>
      <c r="BU190" s="523"/>
      <c r="BV190" s="523">
        <v>0</v>
      </c>
      <c r="BW190" s="523">
        <v>0</v>
      </c>
      <c r="BX190" s="523"/>
      <c r="BY190" s="523"/>
      <c r="BZ190" s="523"/>
      <c r="CA190" s="523"/>
      <c r="CB190" s="523"/>
      <c r="CC190" s="523"/>
      <c r="CD190" s="523"/>
      <c r="CE190" s="523"/>
      <c r="CF190" s="523"/>
      <c r="CG190" s="523"/>
      <c r="CH190" s="523"/>
      <c r="CI190" s="523">
        <f t="shared" si="38"/>
        <v>0</v>
      </c>
    </row>
    <row r="191" spans="1:87" ht="15.75" x14ac:dyDescent="0.2">
      <c r="A191" s="680" t="s">
        <v>355</v>
      </c>
      <c r="B191" s="569">
        <v>83688</v>
      </c>
      <c r="C191" s="569" t="s">
        <v>1324</v>
      </c>
      <c r="D191" s="569" t="s">
        <v>1638</v>
      </c>
      <c r="E191" s="681" t="s">
        <v>81</v>
      </c>
      <c r="F191" s="644">
        <v>415</v>
      </c>
      <c r="G191" s="682">
        <v>141.97999999999999</v>
      </c>
      <c r="H191" s="681">
        <v>76.400000000000006</v>
      </c>
      <c r="I191" s="695">
        <f t="shared" si="39"/>
        <v>0</v>
      </c>
      <c r="J191" s="574">
        <f t="shared" si="40"/>
        <v>0</v>
      </c>
      <c r="K191" s="644">
        <f t="shared" si="35"/>
        <v>76.400000000000006</v>
      </c>
      <c r="L191" s="708">
        <f t="shared" ref="L191:O193" si="45">ROUND(H191*$G191,2)</f>
        <v>10847.27</v>
      </c>
      <c r="M191" s="708">
        <f t="shared" si="45"/>
        <v>0</v>
      </c>
      <c r="N191" s="708">
        <f t="shared" si="45"/>
        <v>0</v>
      </c>
      <c r="O191" s="718">
        <f t="shared" si="45"/>
        <v>10847.27</v>
      </c>
      <c r="P191" s="617">
        <f t="shared" si="37"/>
        <v>0</v>
      </c>
      <c r="Q191" s="525"/>
      <c r="S191" s="189">
        <v>0</v>
      </c>
      <c r="T191" s="189">
        <v>0</v>
      </c>
      <c r="BT191" s="525"/>
      <c r="BU191" s="523"/>
      <c r="BV191" s="523">
        <v>0</v>
      </c>
      <c r="BW191" s="523">
        <v>0</v>
      </c>
      <c r="BX191" s="523">
        <v>0</v>
      </c>
      <c r="BY191" s="523">
        <v>0</v>
      </c>
      <c r="BZ191" s="523"/>
      <c r="CA191" s="523"/>
      <c r="CB191" s="523"/>
      <c r="CC191" s="523"/>
      <c r="CD191" s="523"/>
      <c r="CE191" s="523"/>
      <c r="CF191" s="523"/>
      <c r="CG191" s="523"/>
      <c r="CH191" s="523"/>
      <c r="CI191" s="523">
        <f t="shared" si="38"/>
        <v>0</v>
      </c>
    </row>
    <row r="192" spans="1:87" ht="15.75" x14ac:dyDescent="0.2">
      <c r="A192" s="680" t="s">
        <v>1639</v>
      </c>
      <c r="B192" s="569" t="s">
        <v>2007</v>
      </c>
      <c r="C192" s="569" t="s">
        <v>1339</v>
      </c>
      <c r="D192" s="569" t="s">
        <v>1640</v>
      </c>
      <c r="E192" s="681" t="s">
        <v>102</v>
      </c>
      <c r="F192" s="644">
        <v>63.04</v>
      </c>
      <c r="G192" s="682">
        <v>76.84</v>
      </c>
      <c r="H192" s="681">
        <v>8</v>
      </c>
      <c r="I192" s="695">
        <f t="shared" si="39"/>
        <v>0</v>
      </c>
      <c r="J192" s="574">
        <f t="shared" si="40"/>
        <v>0</v>
      </c>
      <c r="K192" s="644">
        <f t="shared" si="35"/>
        <v>8</v>
      </c>
      <c r="L192" s="708">
        <f t="shared" si="45"/>
        <v>614.72</v>
      </c>
      <c r="M192" s="708">
        <f t="shared" si="45"/>
        <v>0</v>
      </c>
      <c r="N192" s="708">
        <f t="shared" si="45"/>
        <v>0</v>
      </c>
      <c r="O192" s="718">
        <f t="shared" si="45"/>
        <v>614.72</v>
      </c>
      <c r="P192" s="617">
        <f t="shared" si="37"/>
        <v>0</v>
      </c>
      <c r="Q192" s="525"/>
      <c r="S192" s="189">
        <v>0</v>
      </c>
      <c r="T192" s="189">
        <v>0</v>
      </c>
      <c r="BT192" s="525"/>
      <c r="BU192" s="523"/>
      <c r="BV192" s="523">
        <v>0</v>
      </c>
      <c r="BW192" s="523">
        <v>0</v>
      </c>
      <c r="BX192" s="523">
        <v>0</v>
      </c>
      <c r="BY192" s="523">
        <v>0</v>
      </c>
      <c r="BZ192" s="523"/>
      <c r="CA192" s="523"/>
      <c r="CB192" s="523"/>
      <c r="CC192" s="523"/>
      <c r="CD192" s="523"/>
      <c r="CE192" s="523"/>
      <c r="CF192" s="523"/>
      <c r="CG192" s="523"/>
      <c r="CH192" s="523"/>
      <c r="CI192" s="523">
        <f t="shared" si="38"/>
        <v>0</v>
      </c>
    </row>
    <row r="193" spans="1:87" s="657" customFormat="1" ht="15.75" x14ac:dyDescent="0.2">
      <c r="A193" s="680" t="s">
        <v>1641</v>
      </c>
      <c r="B193" s="569">
        <v>88549</v>
      </c>
      <c r="C193" s="569" t="s">
        <v>1324</v>
      </c>
      <c r="D193" s="569" t="s">
        <v>1642</v>
      </c>
      <c r="E193" s="681" t="s">
        <v>48</v>
      </c>
      <c r="F193" s="630"/>
      <c r="G193" s="682">
        <v>98.55</v>
      </c>
      <c r="H193" s="681">
        <v>1.87</v>
      </c>
      <c r="I193" s="695">
        <f t="shared" si="39"/>
        <v>0</v>
      </c>
      <c r="J193" s="574">
        <f t="shared" si="40"/>
        <v>0</v>
      </c>
      <c r="K193" s="644">
        <f t="shared" si="35"/>
        <v>1.87</v>
      </c>
      <c r="L193" s="708">
        <f t="shared" si="45"/>
        <v>184.29</v>
      </c>
      <c r="M193" s="708">
        <f t="shared" si="45"/>
        <v>0</v>
      </c>
      <c r="N193" s="708">
        <f t="shared" si="45"/>
        <v>0</v>
      </c>
      <c r="O193" s="718">
        <f t="shared" si="45"/>
        <v>184.29</v>
      </c>
      <c r="P193" s="617">
        <f t="shared" si="37"/>
        <v>0</v>
      </c>
      <c r="Q193" s="525"/>
      <c r="S193" s="190">
        <v>0</v>
      </c>
      <c r="T193" s="190">
        <v>0</v>
      </c>
      <c r="BT193" s="525"/>
      <c r="BU193" s="523"/>
      <c r="BV193" s="523">
        <v>0</v>
      </c>
      <c r="BW193" s="523">
        <v>0</v>
      </c>
      <c r="BX193" s="523">
        <v>0</v>
      </c>
      <c r="BY193" s="523">
        <v>0</v>
      </c>
      <c r="BZ193" s="523"/>
      <c r="CA193" s="523"/>
      <c r="CB193" s="523"/>
      <c r="CC193" s="523"/>
      <c r="CD193" s="523"/>
      <c r="CE193" s="523"/>
      <c r="CF193" s="523"/>
      <c r="CG193" s="523"/>
      <c r="CH193" s="523"/>
      <c r="CI193" s="523">
        <f t="shared" si="38"/>
        <v>0</v>
      </c>
    </row>
    <row r="194" spans="1:87" ht="15.75" x14ac:dyDescent="0.2">
      <c r="A194" s="600">
        <v>15</v>
      </c>
      <c r="B194" s="558"/>
      <c r="C194" s="558"/>
      <c r="D194" s="558" t="s">
        <v>1643</v>
      </c>
      <c r="E194" s="626"/>
      <c r="F194" s="626"/>
      <c r="G194" s="626"/>
      <c r="H194" s="626"/>
      <c r="I194" s="626"/>
      <c r="J194" s="626"/>
      <c r="K194" s="626"/>
      <c r="L194" s="734">
        <f>SUM(L195:L207)</f>
        <v>7636.1200000000017</v>
      </c>
      <c r="M194" s="734">
        <f>SUM(M195:M207)</f>
        <v>0</v>
      </c>
      <c r="N194" s="734">
        <f>SUM(N195:N207)</f>
        <v>0</v>
      </c>
      <c r="O194" s="721">
        <f>SUM(O195:O207)</f>
        <v>7636.1200000000017</v>
      </c>
      <c r="P194" s="604">
        <f t="shared" si="37"/>
        <v>0</v>
      </c>
      <c r="Q194" s="525"/>
      <c r="S194" s="189">
        <v>0</v>
      </c>
      <c r="T194" s="189">
        <v>0</v>
      </c>
      <c r="BT194" s="525"/>
      <c r="BU194" s="523"/>
      <c r="BV194" s="523">
        <v>0</v>
      </c>
      <c r="BW194" s="523">
        <v>0</v>
      </c>
      <c r="BX194" s="523"/>
      <c r="BY194" s="523"/>
      <c r="BZ194" s="523"/>
      <c r="CA194" s="523"/>
      <c r="CB194" s="523"/>
      <c r="CC194" s="523"/>
      <c r="CD194" s="523"/>
      <c r="CE194" s="523"/>
      <c r="CF194" s="523"/>
      <c r="CG194" s="523"/>
      <c r="CH194" s="523"/>
      <c r="CI194" s="523">
        <f t="shared" si="38"/>
        <v>0</v>
      </c>
    </row>
    <row r="195" spans="1:87" ht="15.75" x14ac:dyDescent="0.2">
      <c r="A195" s="680" t="s">
        <v>494</v>
      </c>
      <c r="B195" s="569">
        <v>6021</v>
      </c>
      <c r="C195" s="569" t="s">
        <v>1324</v>
      </c>
      <c r="D195" s="569" t="s">
        <v>1644</v>
      </c>
      <c r="E195" s="681" t="s">
        <v>102</v>
      </c>
      <c r="F195" s="571"/>
      <c r="G195" s="682">
        <v>330.33</v>
      </c>
      <c r="H195" s="681">
        <v>6</v>
      </c>
      <c r="I195" s="695">
        <f t="shared" si="39"/>
        <v>0</v>
      </c>
      <c r="J195" s="574">
        <f t="shared" si="40"/>
        <v>0</v>
      </c>
      <c r="K195" s="644">
        <f t="shared" ref="K195:K258" si="46">H195-J195</f>
        <v>6</v>
      </c>
      <c r="L195" s="708">
        <f t="shared" ref="L195:O207" si="47">ROUND(H195*$G195,2)</f>
        <v>1981.98</v>
      </c>
      <c r="M195" s="708">
        <f t="shared" si="47"/>
        <v>0</v>
      </c>
      <c r="N195" s="708">
        <f t="shared" si="47"/>
        <v>0</v>
      </c>
      <c r="O195" s="718">
        <f t="shared" si="47"/>
        <v>1981.98</v>
      </c>
      <c r="P195" s="617">
        <f t="shared" si="37"/>
        <v>0</v>
      </c>
      <c r="Q195" s="525"/>
      <c r="S195" s="189">
        <v>0</v>
      </c>
      <c r="T195" s="189">
        <v>0</v>
      </c>
      <c r="BT195" s="525"/>
      <c r="BU195" s="523"/>
      <c r="BV195" s="523">
        <v>0</v>
      </c>
      <c r="BW195" s="523">
        <v>0</v>
      </c>
      <c r="BX195" s="523">
        <v>0</v>
      </c>
      <c r="BY195" s="523">
        <v>0</v>
      </c>
      <c r="BZ195" s="523"/>
      <c r="CA195" s="523"/>
      <c r="CB195" s="523"/>
      <c r="CC195" s="523"/>
      <c r="CD195" s="523"/>
      <c r="CE195" s="523"/>
      <c r="CF195" s="523"/>
      <c r="CG195" s="523"/>
      <c r="CH195" s="523"/>
      <c r="CI195" s="523">
        <f t="shared" si="38"/>
        <v>0</v>
      </c>
    </row>
    <row r="196" spans="1:87" ht="15.75" x14ac:dyDescent="0.2">
      <c r="A196" s="680" t="s">
        <v>496</v>
      </c>
      <c r="B196" s="569">
        <v>40729</v>
      </c>
      <c r="C196" s="569" t="s">
        <v>1324</v>
      </c>
      <c r="D196" s="569" t="s">
        <v>1645</v>
      </c>
      <c r="E196" s="681" t="s">
        <v>102</v>
      </c>
      <c r="F196" s="571"/>
      <c r="G196" s="682">
        <v>204.63</v>
      </c>
      <c r="H196" s="681">
        <v>6</v>
      </c>
      <c r="I196" s="695">
        <f t="shared" si="39"/>
        <v>0</v>
      </c>
      <c r="J196" s="574">
        <f t="shared" si="40"/>
        <v>0</v>
      </c>
      <c r="K196" s="644">
        <f t="shared" si="46"/>
        <v>6</v>
      </c>
      <c r="L196" s="708">
        <f t="shared" si="47"/>
        <v>1227.78</v>
      </c>
      <c r="M196" s="708">
        <f t="shared" si="47"/>
        <v>0</v>
      </c>
      <c r="N196" s="708">
        <f t="shared" si="47"/>
        <v>0</v>
      </c>
      <c r="O196" s="718">
        <f t="shared" si="47"/>
        <v>1227.78</v>
      </c>
      <c r="P196" s="617">
        <f t="shared" si="37"/>
        <v>0</v>
      </c>
      <c r="Q196" s="525"/>
      <c r="S196" s="189">
        <v>0</v>
      </c>
      <c r="T196" s="189">
        <v>0</v>
      </c>
      <c r="BT196" s="525"/>
      <c r="BU196" s="523"/>
      <c r="BV196" s="523">
        <v>0</v>
      </c>
      <c r="BW196" s="523">
        <v>0</v>
      </c>
      <c r="BX196" s="523">
        <v>0</v>
      </c>
      <c r="BY196" s="523">
        <v>0</v>
      </c>
      <c r="BZ196" s="523"/>
      <c r="CA196" s="523"/>
      <c r="CB196" s="523"/>
      <c r="CC196" s="523"/>
      <c r="CD196" s="523"/>
      <c r="CE196" s="523"/>
      <c r="CF196" s="523"/>
      <c r="CG196" s="523"/>
      <c r="CH196" s="523"/>
      <c r="CI196" s="523">
        <f t="shared" si="38"/>
        <v>0</v>
      </c>
    </row>
    <row r="197" spans="1:87" ht="15.75" x14ac:dyDescent="0.2">
      <c r="A197" s="680" t="s">
        <v>498</v>
      </c>
      <c r="B197" s="569">
        <v>86901</v>
      </c>
      <c r="C197" s="569" t="s">
        <v>1324</v>
      </c>
      <c r="D197" s="569" t="s">
        <v>1646</v>
      </c>
      <c r="E197" s="681" t="s">
        <v>102</v>
      </c>
      <c r="F197" s="644">
        <v>11.27</v>
      </c>
      <c r="G197" s="682">
        <v>102.4</v>
      </c>
      <c r="H197" s="681">
        <v>6</v>
      </c>
      <c r="I197" s="695">
        <f t="shared" si="39"/>
        <v>0</v>
      </c>
      <c r="J197" s="574">
        <f t="shared" si="40"/>
        <v>0</v>
      </c>
      <c r="K197" s="644">
        <f t="shared" si="46"/>
        <v>6</v>
      </c>
      <c r="L197" s="708">
        <f t="shared" si="47"/>
        <v>614.4</v>
      </c>
      <c r="M197" s="708">
        <f t="shared" si="47"/>
        <v>0</v>
      </c>
      <c r="N197" s="708">
        <f t="shared" si="47"/>
        <v>0</v>
      </c>
      <c r="O197" s="718">
        <f t="shared" si="47"/>
        <v>614.4</v>
      </c>
      <c r="P197" s="617">
        <f t="shared" si="37"/>
        <v>0</v>
      </c>
      <c r="Q197" s="525"/>
      <c r="S197" s="189">
        <v>0</v>
      </c>
      <c r="T197" s="189">
        <v>0</v>
      </c>
      <c r="BT197" s="525"/>
      <c r="BU197" s="523"/>
      <c r="BV197" s="523">
        <v>0</v>
      </c>
      <c r="BW197" s="523">
        <v>0</v>
      </c>
      <c r="BX197" s="523">
        <v>0</v>
      </c>
      <c r="BY197" s="523">
        <v>0</v>
      </c>
      <c r="BZ197" s="523"/>
      <c r="CA197" s="523"/>
      <c r="CB197" s="523"/>
      <c r="CC197" s="523"/>
      <c r="CD197" s="523"/>
      <c r="CE197" s="523"/>
      <c r="CF197" s="523"/>
      <c r="CG197" s="523"/>
      <c r="CH197" s="523"/>
      <c r="CI197" s="523">
        <f t="shared" si="38"/>
        <v>0</v>
      </c>
    </row>
    <row r="198" spans="1:87" ht="15.75" x14ac:dyDescent="0.2">
      <c r="A198" s="680" t="s">
        <v>500</v>
      </c>
      <c r="B198" s="569">
        <v>86942</v>
      </c>
      <c r="C198" s="569" t="s">
        <v>1324</v>
      </c>
      <c r="D198" s="569" t="s">
        <v>1647</v>
      </c>
      <c r="E198" s="681" t="s">
        <v>102</v>
      </c>
      <c r="F198" s="644">
        <v>11.89</v>
      </c>
      <c r="G198" s="682">
        <v>160.06</v>
      </c>
      <c r="H198" s="681">
        <v>2</v>
      </c>
      <c r="I198" s="695">
        <f t="shared" si="39"/>
        <v>0</v>
      </c>
      <c r="J198" s="574">
        <f t="shared" si="40"/>
        <v>0</v>
      </c>
      <c r="K198" s="644">
        <f t="shared" si="46"/>
        <v>2</v>
      </c>
      <c r="L198" s="708">
        <f t="shared" si="47"/>
        <v>320.12</v>
      </c>
      <c r="M198" s="708">
        <f t="shared" si="47"/>
        <v>0</v>
      </c>
      <c r="N198" s="708">
        <f t="shared" si="47"/>
        <v>0</v>
      </c>
      <c r="O198" s="718">
        <f t="shared" si="47"/>
        <v>320.12</v>
      </c>
      <c r="P198" s="617">
        <f t="shared" si="37"/>
        <v>0</v>
      </c>
      <c r="Q198" s="525"/>
      <c r="S198" s="189">
        <v>0</v>
      </c>
      <c r="T198" s="189">
        <v>0</v>
      </c>
      <c r="BT198" s="525"/>
      <c r="BU198" s="523"/>
      <c r="BV198" s="523">
        <v>0</v>
      </c>
      <c r="BW198" s="523">
        <v>0</v>
      </c>
      <c r="BX198" s="523">
        <v>0</v>
      </c>
      <c r="BY198" s="523">
        <v>0</v>
      </c>
      <c r="BZ198" s="523"/>
      <c r="CA198" s="523"/>
      <c r="CB198" s="523"/>
      <c r="CC198" s="523"/>
      <c r="CD198" s="523"/>
      <c r="CE198" s="523"/>
      <c r="CF198" s="523"/>
      <c r="CG198" s="523"/>
      <c r="CH198" s="523"/>
      <c r="CI198" s="523">
        <f t="shared" si="38"/>
        <v>0</v>
      </c>
    </row>
    <row r="199" spans="1:87" ht="15.75" x14ac:dyDescent="0.2">
      <c r="A199" s="680" t="s">
        <v>502</v>
      </c>
      <c r="B199" s="569" t="s">
        <v>2007</v>
      </c>
      <c r="C199" s="569" t="s">
        <v>1339</v>
      </c>
      <c r="D199" s="569" t="s">
        <v>1648</v>
      </c>
      <c r="E199" s="681" t="s">
        <v>102</v>
      </c>
      <c r="F199" s="644">
        <v>28.56</v>
      </c>
      <c r="G199" s="682">
        <v>223.26</v>
      </c>
      <c r="H199" s="681">
        <v>2</v>
      </c>
      <c r="I199" s="695">
        <f t="shared" si="39"/>
        <v>0</v>
      </c>
      <c r="J199" s="574">
        <f t="shared" si="40"/>
        <v>0</v>
      </c>
      <c r="K199" s="644">
        <f t="shared" si="46"/>
        <v>2</v>
      </c>
      <c r="L199" s="708">
        <f t="shared" si="47"/>
        <v>446.52</v>
      </c>
      <c r="M199" s="708">
        <f t="shared" si="47"/>
        <v>0</v>
      </c>
      <c r="N199" s="708">
        <f t="shared" si="47"/>
        <v>0</v>
      </c>
      <c r="O199" s="718">
        <f t="shared" si="47"/>
        <v>446.52</v>
      </c>
      <c r="P199" s="617">
        <f t="shared" si="37"/>
        <v>0</v>
      </c>
      <c r="Q199" s="525"/>
      <c r="S199" s="189">
        <v>0</v>
      </c>
      <c r="T199" s="189">
        <v>0</v>
      </c>
      <c r="BT199" s="525"/>
      <c r="BU199" s="523"/>
      <c r="BV199" s="523">
        <v>0</v>
      </c>
      <c r="BW199" s="523">
        <v>0</v>
      </c>
      <c r="BX199" s="523">
        <v>0</v>
      </c>
      <c r="BY199" s="523">
        <v>0</v>
      </c>
      <c r="BZ199" s="523"/>
      <c r="CA199" s="523"/>
      <c r="CB199" s="523"/>
      <c r="CC199" s="523"/>
      <c r="CD199" s="523"/>
      <c r="CE199" s="523"/>
      <c r="CF199" s="523"/>
      <c r="CG199" s="523"/>
      <c r="CH199" s="523"/>
      <c r="CI199" s="523">
        <f t="shared" si="38"/>
        <v>0</v>
      </c>
    </row>
    <row r="200" spans="1:87" ht="15.75" x14ac:dyDescent="0.2">
      <c r="A200" s="680" t="s">
        <v>504</v>
      </c>
      <c r="B200" s="569">
        <v>86906</v>
      </c>
      <c r="C200" s="569" t="s">
        <v>1324</v>
      </c>
      <c r="D200" s="569" t="s">
        <v>1649</v>
      </c>
      <c r="E200" s="681" t="s">
        <v>102</v>
      </c>
      <c r="F200" s="644">
        <v>35.53</v>
      </c>
      <c r="G200" s="682">
        <v>39.97</v>
      </c>
      <c r="H200" s="681">
        <v>8</v>
      </c>
      <c r="I200" s="695">
        <f t="shared" si="39"/>
        <v>0</v>
      </c>
      <c r="J200" s="574">
        <f t="shared" si="40"/>
        <v>0</v>
      </c>
      <c r="K200" s="644">
        <f t="shared" si="46"/>
        <v>8</v>
      </c>
      <c r="L200" s="708">
        <f t="shared" si="47"/>
        <v>319.76</v>
      </c>
      <c r="M200" s="708">
        <f t="shared" si="47"/>
        <v>0</v>
      </c>
      <c r="N200" s="708">
        <f t="shared" si="47"/>
        <v>0</v>
      </c>
      <c r="O200" s="718">
        <f t="shared" si="47"/>
        <v>319.76</v>
      </c>
      <c r="P200" s="617">
        <f t="shared" si="37"/>
        <v>0</v>
      </c>
      <c r="Q200" s="525"/>
      <c r="S200" s="189">
        <v>0</v>
      </c>
      <c r="T200" s="189">
        <v>0</v>
      </c>
      <c r="BT200" s="525"/>
      <c r="BU200" s="523"/>
      <c r="BV200" s="523">
        <v>0</v>
      </c>
      <c r="BW200" s="523">
        <v>0</v>
      </c>
      <c r="BX200" s="523">
        <v>0</v>
      </c>
      <c r="BY200" s="523">
        <v>0</v>
      </c>
      <c r="BZ200" s="523"/>
      <c r="CA200" s="523"/>
      <c r="CB200" s="523"/>
      <c r="CC200" s="523"/>
      <c r="CD200" s="523"/>
      <c r="CE200" s="523"/>
      <c r="CF200" s="523"/>
      <c r="CG200" s="523"/>
      <c r="CH200" s="523"/>
      <c r="CI200" s="523">
        <f t="shared" si="38"/>
        <v>0</v>
      </c>
    </row>
    <row r="201" spans="1:87" ht="15.75" x14ac:dyDescent="0.2">
      <c r="A201" s="680" t="s">
        <v>506</v>
      </c>
      <c r="B201" s="569">
        <v>86914</v>
      </c>
      <c r="C201" s="569" t="s">
        <v>1324</v>
      </c>
      <c r="D201" s="569" t="s">
        <v>1650</v>
      </c>
      <c r="E201" s="681" t="s">
        <v>102</v>
      </c>
      <c r="F201" s="644">
        <v>47.11</v>
      </c>
      <c r="G201" s="682">
        <v>31.02</v>
      </c>
      <c r="H201" s="681">
        <v>2</v>
      </c>
      <c r="I201" s="695">
        <f t="shared" si="39"/>
        <v>0</v>
      </c>
      <c r="J201" s="574">
        <f t="shared" si="40"/>
        <v>0</v>
      </c>
      <c r="K201" s="644">
        <f t="shared" si="46"/>
        <v>2</v>
      </c>
      <c r="L201" s="708">
        <f t="shared" si="47"/>
        <v>62.04</v>
      </c>
      <c r="M201" s="708">
        <f t="shared" si="47"/>
        <v>0</v>
      </c>
      <c r="N201" s="708">
        <f t="shared" si="47"/>
        <v>0</v>
      </c>
      <c r="O201" s="718">
        <f t="shared" si="47"/>
        <v>62.04</v>
      </c>
      <c r="P201" s="617">
        <f t="shared" si="37"/>
        <v>0</v>
      </c>
      <c r="Q201" s="525"/>
      <c r="S201" s="189">
        <v>0</v>
      </c>
      <c r="T201" s="189">
        <v>0</v>
      </c>
      <c r="BT201" s="525"/>
      <c r="BU201" s="523"/>
      <c r="BV201" s="523">
        <v>0</v>
      </c>
      <c r="BW201" s="523">
        <v>0</v>
      </c>
      <c r="BX201" s="523">
        <v>0</v>
      </c>
      <c r="BY201" s="523">
        <v>0</v>
      </c>
      <c r="BZ201" s="523"/>
      <c r="CA201" s="523"/>
      <c r="CB201" s="523"/>
      <c r="CC201" s="523"/>
      <c r="CD201" s="523"/>
      <c r="CE201" s="523"/>
      <c r="CF201" s="523"/>
      <c r="CG201" s="523"/>
      <c r="CH201" s="523"/>
      <c r="CI201" s="523">
        <f t="shared" si="38"/>
        <v>0</v>
      </c>
    </row>
    <row r="202" spans="1:87" ht="15.75" x14ac:dyDescent="0.2">
      <c r="A202" s="680" t="s">
        <v>508</v>
      </c>
      <c r="B202" s="569">
        <v>9535</v>
      </c>
      <c r="C202" s="569" t="s">
        <v>1324</v>
      </c>
      <c r="D202" s="569" t="s">
        <v>1651</v>
      </c>
      <c r="E202" s="681" t="s">
        <v>102</v>
      </c>
      <c r="F202" s="571"/>
      <c r="G202" s="682">
        <v>30.06</v>
      </c>
      <c r="H202" s="681">
        <v>6</v>
      </c>
      <c r="I202" s="695">
        <f t="shared" si="39"/>
        <v>0</v>
      </c>
      <c r="J202" s="574">
        <f t="shared" si="40"/>
        <v>0</v>
      </c>
      <c r="K202" s="644">
        <f t="shared" si="46"/>
        <v>6</v>
      </c>
      <c r="L202" s="708">
        <f t="shared" si="47"/>
        <v>180.36</v>
      </c>
      <c r="M202" s="708">
        <f t="shared" si="47"/>
        <v>0</v>
      </c>
      <c r="N202" s="708">
        <f t="shared" si="47"/>
        <v>0</v>
      </c>
      <c r="O202" s="718">
        <f t="shared" si="47"/>
        <v>180.36</v>
      </c>
      <c r="P202" s="617">
        <f t="shared" si="37"/>
        <v>0</v>
      </c>
      <c r="Q202" s="525"/>
      <c r="S202" s="189">
        <v>0</v>
      </c>
      <c r="T202" s="189">
        <v>0</v>
      </c>
      <c r="BT202" s="525"/>
      <c r="BU202" s="523"/>
      <c r="BV202" s="523">
        <v>0</v>
      </c>
      <c r="BW202" s="523">
        <v>0</v>
      </c>
      <c r="BX202" s="523">
        <v>0</v>
      </c>
      <c r="BY202" s="523">
        <v>0</v>
      </c>
      <c r="BZ202" s="523"/>
      <c r="CA202" s="523"/>
      <c r="CB202" s="523"/>
      <c r="CC202" s="523"/>
      <c r="CD202" s="523"/>
      <c r="CE202" s="523"/>
      <c r="CF202" s="523"/>
      <c r="CG202" s="523"/>
      <c r="CH202" s="523"/>
      <c r="CI202" s="523">
        <f t="shared" si="38"/>
        <v>0</v>
      </c>
    </row>
    <row r="203" spans="1:87" ht="30" x14ac:dyDescent="0.2">
      <c r="A203" s="680" t="s">
        <v>511</v>
      </c>
      <c r="B203" s="569" t="s">
        <v>2007</v>
      </c>
      <c r="C203" s="569" t="s">
        <v>1339</v>
      </c>
      <c r="D203" s="569" t="s">
        <v>1652</v>
      </c>
      <c r="E203" s="681" t="s">
        <v>102</v>
      </c>
      <c r="F203" s="644">
        <v>5.09</v>
      </c>
      <c r="G203" s="682">
        <v>141.72</v>
      </c>
      <c r="H203" s="681">
        <v>6</v>
      </c>
      <c r="I203" s="695">
        <f t="shared" si="39"/>
        <v>0</v>
      </c>
      <c r="J203" s="574">
        <f t="shared" si="40"/>
        <v>0</v>
      </c>
      <c r="K203" s="644">
        <f t="shared" si="46"/>
        <v>6</v>
      </c>
      <c r="L203" s="708">
        <f t="shared" si="47"/>
        <v>850.32</v>
      </c>
      <c r="M203" s="708">
        <f t="shared" si="47"/>
        <v>0</v>
      </c>
      <c r="N203" s="708">
        <f t="shared" si="47"/>
        <v>0</v>
      </c>
      <c r="O203" s="718">
        <f t="shared" si="47"/>
        <v>850.32</v>
      </c>
      <c r="P203" s="617">
        <f t="shared" si="37"/>
        <v>0</v>
      </c>
      <c r="Q203" s="525"/>
      <c r="S203" s="189">
        <v>0</v>
      </c>
      <c r="T203" s="189">
        <v>0</v>
      </c>
      <c r="BT203" s="525"/>
      <c r="BU203" s="523"/>
      <c r="BV203" s="523">
        <v>0</v>
      </c>
      <c r="BW203" s="523">
        <v>0</v>
      </c>
      <c r="BX203" s="523">
        <v>0</v>
      </c>
      <c r="BY203" s="523">
        <v>0</v>
      </c>
      <c r="BZ203" s="523"/>
      <c r="CA203" s="523"/>
      <c r="CB203" s="523"/>
      <c r="CC203" s="523"/>
      <c r="CD203" s="523"/>
      <c r="CE203" s="523"/>
      <c r="CF203" s="523"/>
      <c r="CG203" s="523"/>
      <c r="CH203" s="523"/>
      <c r="CI203" s="523">
        <f t="shared" si="38"/>
        <v>0</v>
      </c>
    </row>
    <row r="204" spans="1:87" ht="15.75" x14ac:dyDescent="0.2">
      <c r="A204" s="680" t="s">
        <v>513</v>
      </c>
      <c r="B204" s="569" t="s">
        <v>2007</v>
      </c>
      <c r="C204" s="569" t="s">
        <v>1339</v>
      </c>
      <c r="D204" s="569" t="s">
        <v>1653</v>
      </c>
      <c r="E204" s="681" t="s">
        <v>102</v>
      </c>
      <c r="F204" s="644">
        <v>6.77</v>
      </c>
      <c r="G204" s="682">
        <v>39.700000000000003</v>
      </c>
      <c r="H204" s="681">
        <v>4</v>
      </c>
      <c r="I204" s="695">
        <f t="shared" si="39"/>
        <v>0</v>
      </c>
      <c r="J204" s="574">
        <f t="shared" si="40"/>
        <v>0</v>
      </c>
      <c r="K204" s="644">
        <f t="shared" si="46"/>
        <v>4</v>
      </c>
      <c r="L204" s="708">
        <f t="shared" si="47"/>
        <v>158.80000000000001</v>
      </c>
      <c r="M204" s="708">
        <f t="shared" si="47"/>
        <v>0</v>
      </c>
      <c r="N204" s="708">
        <f t="shared" si="47"/>
        <v>0</v>
      </c>
      <c r="O204" s="718">
        <f t="shared" si="47"/>
        <v>158.80000000000001</v>
      </c>
      <c r="P204" s="617">
        <f t="shared" si="37"/>
        <v>0</v>
      </c>
      <c r="Q204" s="525"/>
      <c r="S204" s="189">
        <v>0</v>
      </c>
      <c r="T204" s="189">
        <v>0</v>
      </c>
      <c r="BT204" s="525"/>
      <c r="BU204" s="523"/>
      <c r="BV204" s="523">
        <v>0</v>
      </c>
      <c r="BW204" s="523">
        <v>0</v>
      </c>
      <c r="BX204" s="523">
        <v>0</v>
      </c>
      <c r="BY204" s="523">
        <v>0</v>
      </c>
      <c r="BZ204" s="523"/>
      <c r="CA204" s="523"/>
      <c r="CB204" s="523"/>
      <c r="CC204" s="523"/>
      <c r="CD204" s="523"/>
      <c r="CE204" s="523"/>
      <c r="CF204" s="523"/>
      <c r="CG204" s="523"/>
      <c r="CH204" s="523"/>
      <c r="CI204" s="523">
        <f t="shared" si="38"/>
        <v>0</v>
      </c>
    </row>
    <row r="205" spans="1:87" ht="15.75" x14ac:dyDescent="0.2">
      <c r="A205" s="680" t="s">
        <v>515</v>
      </c>
      <c r="B205" s="569" t="s">
        <v>2007</v>
      </c>
      <c r="C205" s="569" t="s">
        <v>1339</v>
      </c>
      <c r="D205" s="569" t="s">
        <v>1654</v>
      </c>
      <c r="E205" s="681" t="s">
        <v>102</v>
      </c>
      <c r="F205" s="644">
        <v>10.76</v>
      </c>
      <c r="G205" s="682">
        <v>30.45</v>
      </c>
      <c r="H205" s="681">
        <v>4</v>
      </c>
      <c r="I205" s="695">
        <f t="shared" si="39"/>
        <v>0</v>
      </c>
      <c r="J205" s="574">
        <f t="shared" si="40"/>
        <v>0</v>
      </c>
      <c r="K205" s="644">
        <f t="shared" si="46"/>
        <v>4</v>
      </c>
      <c r="L205" s="708">
        <f t="shared" si="47"/>
        <v>121.8</v>
      </c>
      <c r="M205" s="708">
        <f t="shared" si="47"/>
        <v>0</v>
      </c>
      <c r="N205" s="708">
        <f t="shared" si="47"/>
        <v>0</v>
      </c>
      <c r="O205" s="718">
        <f t="shared" si="47"/>
        <v>121.8</v>
      </c>
      <c r="P205" s="617">
        <f t="shared" ref="P205:P268" si="48">N205/L205</f>
        <v>0</v>
      </c>
      <c r="Q205" s="525"/>
      <c r="S205" s="189">
        <v>0</v>
      </c>
      <c r="T205" s="189">
        <v>0</v>
      </c>
      <c r="BT205" s="525"/>
      <c r="BU205" s="523"/>
      <c r="BV205" s="523">
        <v>0</v>
      </c>
      <c r="BW205" s="523">
        <v>0</v>
      </c>
      <c r="BX205" s="523">
        <v>0</v>
      </c>
      <c r="BY205" s="523">
        <v>0</v>
      </c>
      <c r="BZ205" s="523"/>
      <c r="CA205" s="523"/>
      <c r="CB205" s="523"/>
      <c r="CC205" s="523"/>
      <c r="CD205" s="523"/>
      <c r="CE205" s="523"/>
      <c r="CF205" s="523"/>
      <c r="CG205" s="523"/>
      <c r="CH205" s="523"/>
      <c r="CI205" s="523">
        <f t="shared" si="38"/>
        <v>0</v>
      </c>
    </row>
    <row r="206" spans="1:87" ht="15.75" x14ac:dyDescent="0.2">
      <c r="A206" s="680" t="s">
        <v>517</v>
      </c>
      <c r="B206" s="569" t="s">
        <v>2007</v>
      </c>
      <c r="C206" s="569" t="s">
        <v>1339</v>
      </c>
      <c r="D206" s="569" t="s">
        <v>1655</v>
      </c>
      <c r="E206" s="681" t="s">
        <v>102</v>
      </c>
      <c r="F206" s="644">
        <v>42.01</v>
      </c>
      <c r="G206" s="682">
        <v>32.1</v>
      </c>
      <c r="H206" s="681">
        <v>6</v>
      </c>
      <c r="I206" s="695">
        <f t="shared" si="39"/>
        <v>0</v>
      </c>
      <c r="J206" s="574">
        <f t="shared" si="40"/>
        <v>0</v>
      </c>
      <c r="K206" s="644">
        <f t="shared" si="46"/>
        <v>6</v>
      </c>
      <c r="L206" s="708">
        <f t="shared" si="47"/>
        <v>192.6</v>
      </c>
      <c r="M206" s="708">
        <f t="shared" si="47"/>
        <v>0</v>
      </c>
      <c r="N206" s="708">
        <f t="shared" si="47"/>
        <v>0</v>
      </c>
      <c r="O206" s="718">
        <f t="shared" si="47"/>
        <v>192.6</v>
      </c>
      <c r="P206" s="617">
        <f t="shared" si="48"/>
        <v>0</v>
      </c>
      <c r="Q206" s="525"/>
      <c r="S206" s="189">
        <v>0</v>
      </c>
      <c r="T206" s="189">
        <v>0</v>
      </c>
      <c r="BT206" s="525"/>
      <c r="BU206" s="523"/>
      <c r="BV206" s="523">
        <v>0</v>
      </c>
      <c r="BW206" s="523">
        <v>0</v>
      </c>
      <c r="BX206" s="523">
        <v>0</v>
      </c>
      <c r="BY206" s="523">
        <v>0</v>
      </c>
      <c r="BZ206" s="523"/>
      <c r="CA206" s="523"/>
      <c r="CB206" s="523"/>
      <c r="CC206" s="523"/>
      <c r="CD206" s="523"/>
      <c r="CE206" s="523"/>
      <c r="CF206" s="523"/>
      <c r="CG206" s="523"/>
      <c r="CH206" s="523"/>
      <c r="CI206" s="523">
        <f t="shared" si="38"/>
        <v>0</v>
      </c>
    </row>
    <row r="207" spans="1:87" s="657" customFormat="1" ht="15.75" x14ac:dyDescent="0.2">
      <c r="A207" s="680" t="s">
        <v>519</v>
      </c>
      <c r="B207" s="569" t="s">
        <v>2007</v>
      </c>
      <c r="C207" s="569" t="s">
        <v>1339</v>
      </c>
      <c r="D207" s="569" t="s">
        <v>1656</v>
      </c>
      <c r="E207" s="681" t="s">
        <v>102</v>
      </c>
      <c r="F207" s="644">
        <v>19.79</v>
      </c>
      <c r="G207" s="682">
        <v>579.82000000000005</v>
      </c>
      <c r="H207" s="681">
        <v>2</v>
      </c>
      <c r="I207" s="695">
        <f t="shared" si="39"/>
        <v>0</v>
      </c>
      <c r="J207" s="574">
        <f t="shared" si="40"/>
        <v>0</v>
      </c>
      <c r="K207" s="644">
        <f t="shared" si="46"/>
        <v>2</v>
      </c>
      <c r="L207" s="708">
        <f t="shared" si="47"/>
        <v>1159.6400000000001</v>
      </c>
      <c r="M207" s="708">
        <f t="shared" si="47"/>
        <v>0</v>
      </c>
      <c r="N207" s="708">
        <f t="shared" si="47"/>
        <v>0</v>
      </c>
      <c r="O207" s="718">
        <f t="shared" si="47"/>
        <v>1159.6400000000001</v>
      </c>
      <c r="P207" s="617">
        <f t="shared" si="48"/>
        <v>0</v>
      </c>
      <c r="Q207" s="525"/>
      <c r="S207" s="190">
        <v>0</v>
      </c>
      <c r="T207" s="190">
        <v>0</v>
      </c>
      <c r="BT207" s="525"/>
      <c r="BU207" s="523"/>
      <c r="BV207" s="523">
        <v>0</v>
      </c>
      <c r="BW207" s="523">
        <v>0</v>
      </c>
      <c r="BX207" s="523">
        <v>0</v>
      </c>
      <c r="BY207" s="523">
        <v>0</v>
      </c>
      <c r="BZ207" s="523"/>
      <c r="CA207" s="523"/>
      <c r="CB207" s="523"/>
      <c r="CC207" s="523"/>
      <c r="CD207" s="523"/>
      <c r="CE207" s="523"/>
      <c r="CF207" s="523"/>
      <c r="CG207" s="523"/>
      <c r="CH207" s="523"/>
      <c r="CI207" s="523">
        <f t="shared" ref="CI207:CI270" si="49">SUM(BU207:CH207)</f>
        <v>0</v>
      </c>
    </row>
    <row r="208" spans="1:87" ht="15.75" x14ac:dyDescent="0.2">
      <c r="A208" s="600">
        <v>16</v>
      </c>
      <c r="B208" s="558"/>
      <c r="C208" s="558"/>
      <c r="D208" s="558" t="s">
        <v>1657</v>
      </c>
      <c r="E208" s="626"/>
      <c r="F208" s="626"/>
      <c r="G208" s="626"/>
      <c r="H208" s="626"/>
      <c r="I208" s="626"/>
      <c r="J208" s="626"/>
      <c r="K208" s="626"/>
      <c r="L208" s="734">
        <f>SUM(L209:L213)</f>
        <v>792.22</v>
      </c>
      <c r="M208" s="734">
        <f>SUM(M209:M213)</f>
        <v>0</v>
      </c>
      <c r="N208" s="734">
        <f>SUM(N209:N213)</f>
        <v>0</v>
      </c>
      <c r="O208" s="721">
        <f>SUM(O209:O213)</f>
        <v>792.22</v>
      </c>
      <c r="P208" s="604">
        <f t="shared" si="48"/>
        <v>0</v>
      </c>
      <c r="Q208" s="525"/>
      <c r="S208" s="189">
        <v>0</v>
      </c>
      <c r="T208" s="189">
        <v>0</v>
      </c>
      <c r="BT208" s="525"/>
      <c r="BU208" s="523"/>
      <c r="BV208" s="523">
        <v>0</v>
      </c>
      <c r="BW208" s="523">
        <v>0</v>
      </c>
      <c r="BX208" s="523"/>
      <c r="BY208" s="523"/>
      <c r="BZ208" s="523"/>
      <c r="CA208" s="523"/>
      <c r="CB208" s="523"/>
      <c r="CC208" s="523"/>
      <c r="CD208" s="523"/>
      <c r="CE208" s="523"/>
      <c r="CF208" s="523"/>
      <c r="CG208" s="523"/>
      <c r="CH208" s="523"/>
      <c r="CI208" s="523">
        <f t="shared" si="49"/>
        <v>0</v>
      </c>
    </row>
    <row r="209" spans="1:87" ht="15.75" x14ac:dyDescent="0.2">
      <c r="A209" s="680" t="s">
        <v>616</v>
      </c>
      <c r="B209" s="569" t="s">
        <v>2007</v>
      </c>
      <c r="C209" s="569" t="s">
        <v>1339</v>
      </c>
      <c r="D209" s="569" t="s">
        <v>1658</v>
      </c>
      <c r="E209" s="681" t="s">
        <v>102</v>
      </c>
      <c r="F209" s="644">
        <v>40.08</v>
      </c>
      <c r="G209" s="682">
        <v>109.5</v>
      </c>
      <c r="H209" s="681">
        <v>2</v>
      </c>
      <c r="I209" s="695">
        <f t="shared" ref="I209:I272" si="50">BU209</f>
        <v>0</v>
      </c>
      <c r="J209" s="574">
        <f t="shared" ref="J209:J272" si="51">CI209</f>
        <v>0</v>
      </c>
      <c r="K209" s="644">
        <f t="shared" si="46"/>
        <v>2</v>
      </c>
      <c r="L209" s="708">
        <f t="shared" ref="L209:O213" si="52">ROUND(H209*$G209,2)</f>
        <v>219</v>
      </c>
      <c r="M209" s="708">
        <f t="shared" si="52"/>
        <v>0</v>
      </c>
      <c r="N209" s="708">
        <f t="shared" si="52"/>
        <v>0</v>
      </c>
      <c r="O209" s="718">
        <f t="shared" si="52"/>
        <v>219</v>
      </c>
      <c r="P209" s="617">
        <f t="shared" si="48"/>
        <v>0</v>
      </c>
      <c r="Q209" s="525"/>
      <c r="S209" s="189">
        <v>0</v>
      </c>
      <c r="T209" s="189">
        <v>0</v>
      </c>
      <c r="BT209" s="525"/>
      <c r="BU209" s="523"/>
      <c r="BV209" s="523">
        <v>0</v>
      </c>
      <c r="BW209" s="523">
        <v>0</v>
      </c>
      <c r="BX209" s="523">
        <v>0</v>
      </c>
      <c r="BY209" s="523">
        <v>0</v>
      </c>
      <c r="BZ209" s="523"/>
      <c r="CA209" s="523"/>
      <c r="CB209" s="523"/>
      <c r="CC209" s="523"/>
      <c r="CD209" s="523"/>
      <c r="CE209" s="523"/>
      <c r="CF209" s="523"/>
      <c r="CG209" s="523"/>
      <c r="CH209" s="523"/>
      <c r="CI209" s="523">
        <f t="shared" si="49"/>
        <v>0</v>
      </c>
    </row>
    <row r="210" spans="1:87" ht="15.75" x14ac:dyDescent="0.2">
      <c r="A210" s="680" t="s">
        <v>618</v>
      </c>
      <c r="B210" s="569" t="s">
        <v>2007</v>
      </c>
      <c r="C210" s="569" t="s">
        <v>1339</v>
      </c>
      <c r="D210" s="569" t="s">
        <v>1659</v>
      </c>
      <c r="E210" s="681" t="s">
        <v>102</v>
      </c>
      <c r="F210" s="644">
        <v>199.75</v>
      </c>
      <c r="G210" s="682">
        <v>227.16</v>
      </c>
      <c r="H210" s="681">
        <v>2</v>
      </c>
      <c r="I210" s="695">
        <f t="shared" si="50"/>
        <v>0</v>
      </c>
      <c r="J210" s="574">
        <f t="shared" si="51"/>
        <v>0</v>
      </c>
      <c r="K210" s="644">
        <f t="shared" si="46"/>
        <v>2</v>
      </c>
      <c r="L210" s="708">
        <f t="shared" si="52"/>
        <v>454.32</v>
      </c>
      <c r="M210" s="708">
        <f t="shared" si="52"/>
        <v>0</v>
      </c>
      <c r="N210" s="708">
        <f t="shared" si="52"/>
        <v>0</v>
      </c>
      <c r="O210" s="718">
        <f t="shared" si="52"/>
        <v>454.32</v>
      </c>
      <c r="P210" s="617">
        <f t="shared" si="48"/>
        <v>0</v>
      </c>
      <c r="Q210" s="525"/>
      <c r="S210" s="189">
        <v>0</v>
      </c>
      <c r="T210" s="189">
        <v>0</v>
      </c>
      <c r="BT210" s="525"/>
      <c r="BU210" s="523"/>
      <c r="BV210" s="523">
        <v>0</v>
      </c>
      <c r="BW210" s="523">
        <v>0</v>
      </c>
      <c r="BX210" s="523">
        <v>0</v>
      </c>
      <c r="BY210" s="523">
        <v>0</v>
      </c>
      <c r="BZ210" s="523"/>
      <c r="CA210" s="523"/>
      <c r="CB210" s="523"/>
      <c r="CC210" s="523"/>
      <c r="CD210" s="523"/>
      <c r="CE210" s="523"/>
      <c r="CF210" s="523"/>
      <c r="CG210" s="523"/>
      <c r="CH210" s="523"/>
      <c r="CI210" s="523">
        <f t="shared" si="49"/>
        <v>0</v>
      </c>
    </row>
    <row r="211" spans="1:87" ht="15.75" x14ac:dyDescent="0.2">
      <c r="A211" s="680" t="s">
        <v>620</v>
      </c>
      <c r="B211" s="569" t="s">
        <v>2007</v>
      </c>
      <c r="C211" s="569" t="s">
        <v>1339</v>
      </c>
      <c r="D211" s="569" t="s">
        <v>1660</v>
      </c>
      <c r="E211" s="681" t="s">
        <v>102</v>
      </c>
      <c r="F211" s="571"/>
      <c r="G211" s="682">
        <v>27.98</v>
      </c>
      <c r="H211" s="681">
        <v>2</v>
      </c>
      <c r="I211" s="695">
        <f t="shared" si="50"/>
        <v>0</v>
      </c>
      <c r="J211" s="574">
        <f t="shared" si="51"/>
        <v>0</v>
      </c>
      <c r="K211" s="644">
        <f t="shared" si="46"/>
        <v>2</v>
      </c>
      <c r="L211" s="708">
        <f t="shared" si="52"/>
        <v>55.96</v>
      </c>
      <c r="M211" s="708">
        <f t="shared" si="52"/>
        <v>0</v>
      </c>
      <c r="N211" s="708">
        <f t="shared" si="52"/>
        <v>0</v>
      </c>
      <c r="O211" s="718">
        <f t="shared" si="52"/>
        <v>55.96</v>
      </c>
      <c r="P211" s="617">
        <f t="shared" si="48"/>
        <v>0</v>
      </c>
      <c r="Q211" s="525"/>
      <c r="S211" s="189">
        <v>0</v>
      </c>
      <c r="T211" s="189">
        <v>0</v>
      </c>
      <c r="BT211" s="525"/>
      <c r="BU211" s="523"/>
      <c r="BV211" s="523">
        <v>0</v>
      </c>
      <c r="BW211" s="523">
        <v>0</v>
      </c>
      <c r="BX211" s="523">
        <v>0</v>
      </c>
      <c r="BY211" s="523">
        <v>0</v>
      </c>
      <c r="BZ211" s="523"/>
      <c r="CA211" s="523"/>
      <c r="CB211" s="523"/>
      <c r="CC211" s="523"/>
      <c r="CD211" s="523"/>
      <c r="CE211" s="523"/>
      <c r="CF211" s="523"/>
      <c r="CG211" s="523"/>
      <c r="CH211" s="523"/>
      <c r="CI211" s="523">
        <f t="shared" si="49"/>
        <v>0</v>
      </c>
    </row>
    <row r="212" spans="1:87" ht="15.75" x14ac:dyDescent="0.2">
      <c r="A212" s="680" t="s">
        <v>1661</v>
      </c>
      <c r="B212" s="569" t="s">
        <v>2007</v>
      </c>
      <c r="C212" s="569" t="s">
        <v>1339</v>
      </c>
      <c r="D212" s="569" t="s">
        <v>1662</v>
      </c>
      <c r="E212" s="681" t="s">
        <v>102</v>
      </c>
      <c r="F212" s="644">
        <v>3.37</v>
      </c>
      <c r="G212" s="682">
        <v>16.36</v>
      </c>
      <c r="H212" s="681">
        <v>2</v>
      </c>
      <c r="I212" s="695">
        <f t="shared" si="50"/>
        <v>0</v>
      </c>
      <c r="J212" s="574">
        <f t="shared" si="51"/>
        <v>0</v>
      </c>
      <c r="K212" s="644">
        <f t="shared" si="46"/>
        <v>2</v>
      </c>
      <c r="L212" s="708">
        <f t="shared" si="52"/>
        <v>32.72</v>
      </c>
      <c r="M212" s="708">
        <f t="shared" si="52"/>
        <v>0</v>
      </c>
      <c r="N212" s="708">
        <f t="shared" si="52"/>
        <v>0</v>
      </c>
      <c r="O212" s="718">
        <f t="shared" si="52"/>
        <v>32.72</v>
      </c>
      <c r="P212" s="617">
        <f t="shared" si="48"/>
        <v>0</v>
      </c>
      <c r="Q212" s="525"/>
      <c r="S212" s="189">
        <v>0</v>
      </c>
      <c r="T212" s="189">
        <v>0</v>
      </c>
      <c r="BT212" s="525"/>
      <c r="BU212" s="523"/>
      <c r="BV212" s="523">
        <v>0</v>
      </c>
      <c r="BW212" s="523">
        <v>0</v>
      </c>
      <c r="BX212" s="523">
        <v>0</v>
      </c>
      <c r="BY212" s="523">
        <v>0</v>
      </c>
      <c r="BZ212" s="523"/>
      <c r="CA212" s="523"/>
      <c r="CB212" s="523"/>
      <c r="CC212" s="523"/>
      <c r="CD212" s="523"/>
      <c r="CE212" s="523"/>
      <c r="CF212" s="523"/>
      <c r="CG212" s="523"/>
      <c r="CH212" s="523"/>
      <c r="CI212" s="523">
        <f t="shared" si="49"/>
        <v>0</v>
      </c>
    </row>
    <row r="213" spans="1:87" s="194" customFormat="1" ht="15.75" x14ac:dyDescent="0.2">
      <c r="A213" s="680" t="s">
        <v>1663</v>
      </c>
      <c r="B213" s="569" t="s">
        <v>2007</v>
      </c>
      <c r="C213" s="569" t="s">
        <v>1339</v>
      </c>
      <c r="D213" s="569" t="s">
        <v>1664</v>
      </c>
      <c r="E213" s="681" t="s">
        <v>102</v>
      </c>
      <c r="F213" s="644">
        <v>10.220000000000001</v>
      </c>
      <c r="G213" s="682">
        <v>15.11</v>
      </c>
      <c r="H213" s="681">
        <v>2</v>
      </c>
      <c r="I213" s="695">
        <f t="shared" si="50"/>
        <v>0</v>
      </c>
      <c r="J213" s="574">
        <f t="shared" si="51"/>
        <v>0</v>
      </c>
      <c r="K213" s="644">
        <f t="shared" si="46"/>
        <v>2</v>
      </c>
      <c r="L213" s="708">
        <f t="shared" si="52"/>
        <v>30.22</v>
      </c>
      <c r="M213" s="708">
        <f t="shared" si="52"/>
        <v>0</v>
      </c>
      <c r="N213" s="708">
        <f t="shared" si="52"/>
        <v>0</v>
      </c>
      <c r="O213" s="718">
        <f t="shared" si="52"/>
        <v>30.22</v>
      </c>
      <c r="P213" s="617">
        <f t="shared" si="48"/>
        <v>0</v>
      </c>
      <c r="Q213" s="525"/>
      <c r="S213" s="195">
        <v>0</v>
      </c>
      <c r="T213" s="195">
        <v>0</v>
      </c>
      <c r="BT213" s="525"/>
      <c r="BU213" s="523"/>
      <c r="BV213" s="523">
        <v>0</v>
      </c>
      <c r="BW213" s="523">
        <v>0</v>
      </c>
      <c r="BX213" s="523">
        <v>0</v>
      </c>
      <c r="BY213" s="523">
        <v>0</v>
      </c>
      <c r="BZ213" s="523"/>
      <c r="CA213" s="523"/>
      <c r="CB213" s="523"/>
      <c r="CC213" s="523"/>
      <c r="CD213" s="523"/>
      <c r="CE213" s="523"/>
      <c r="CF213" s="523"/>
      <c r="CG213" s="523"/>
      <c r="CH213" s="523"/>
      <c r="CI213" s="523">
        <f t="shared" si="49"/>
        <v>0</v>
      </c>
    </row>
    <row r="214" spans="1:87" s="657" customFormat="1" ht="15.75" x14ac:dyDescent="0.2">
      <c r="A214" s="600">
        <v>17</v>
      </c>
      <c r="B214" s="558"/>
      <c r="C214" s="558"/>
      <c r="D214" s="558" t="s">
        <v>1665</v>
      </c>
      <c r="E214" s="626"/>
      <c r="F214" s="626"/>
      <c r="G214" s="626"/>
      <c r="H214" s="626"/>
      <c r="I214" s="626"/>
      <c r="J214" s="626"/>
      <c r="K214" s="626"/>
      <c r="L214" s="734">
        <f>SUM(L215,L225,L247,L252)</f>
        <v>20098.660000000003</v>
      </c>
      <c r="M214" s="734">
        <f>SUM(M215,M225,M247,M252)</f>
        <v>0</v>
      </c>
      <c r="N214" s="734">
        <f>SUM(N215,N225,N247,N252)</f>
        <v>311.62</v>
      </c>
      <c r="O214" s="721">
        <f>SUM(O215,O225,O247,O252)</f>
        <v>19787.04</v>
      </c>
      <c r="P214" s="604">
        <f t="shared" si="48"/>
        <v>1.550451622147944E-2</v>
      </c>
      <c r="Q214" s="525"/>
      <c r="S214" s="190">
        <v>0</v>
      </c>
      <c r="T214" s="190">
        <v>0</v>
      </c>
      <c r="BT214" s="525"/>
      <c r="BU214" s="523"/>
      <c r="BV214" s="523">
        <v>46</v>
      </c>
      <c r="BW214" s="523">
        <v>0</v>
      </c>
      <c r="BX214" s="523"/>
      <c r="BY214" s="523"/>
      <c r="BZ214" s="523"/>
      <c r="CA214" s="523"/>
      <c r="CB214" s="523"/>
      <c r="CC214" s="523"/>
      <c r="CD214" s="523"/>
      <c r="CE214" s="523"/>
      <c r="CF214" s="523"/>
      <c r="CG214" s="523"/>
      <c r="CH214" s="523"/>
      <c r="CI214" s="523">
        <f t="shared" si="49"/>
        <v>46</v>
      </c>
    </row>
    <row r="215" spans="1:87" ht="15.75" x14ac:dyDescent="0.2">
      <c r="A215" s="605" t="s">
        <v>625</v>
      </c>
      <c r="B215" s="586"/>
      <c r="C215" s="586"/>
      <c r="D215" s="586" t="s">
        <v>1666</v>
      </c>
      <c r="E215" s="683"/>
      <c r="F215" s="683"/>
      <c r="G215" s="683"/>
      <c r="H215" s="683"/>
      <c r="I215" s="683"/>
      <c r="J215" s="683"/>
      <c r="K215" s="683"/>
      <c r="L215" s="733">
        <f>SUM(L216:L224)</f>
        <v>1711.6100000000001</v>
      </c>
      <c r="M215" s="733">
        <f>SUM(M216:M224)</f>
        <v>0</v>
      </c>
      <c r="N215" s="733">
        <f>SUM(N216:N224)</f>
        <v>0</v>
      </c>
      <c r="O215" s="722">
        <f>SUM(O216:O224)</f>
        <v>1711.6100000000001</v>
      </c>
      <c r="P215" s="611">
        <f t="shared" si="48"/>
        <v>0</v>
      </c>
      <c r="Q215" s="525"/>
      <c r="S215" s="189">
        <v>0</v>
      </c>
      <c r="T215" s="189">
        <v>0</v>
      </c>
      <c r="BT215" s="525"/>
      <c r="BU215" s="523"/>
      <c r="BV215" s="523">
        <v>0</v>
      </c>
      <c r="BW215" s="523">
        <v>0</v>
      </c>
      <c r="BX215" s="523"/>
      <c r="BY215" s="523"/>
      <c r="BZ215" s="523"/>
      <c r="CA215" s="523"/>
      <c r="CB215" s="523"/>
      <c r="CC215" s="523"/>
      <c r="CD215" s="523"/>
      <c r="CE215" s="523"/>
      <c r="CF215" s="523"/>
      <c r="CG215" s="523"/>
      <c r="CH215" s="523"/>
      <c r="CI215" s="523">
        <f t="shared" si="49"/>
        <v>0</v>
      </c>
    </row>
    <row r="216" spans="1:87" ht="15.75" x14ac:dyDescent="0.2">
      <c r="A216" s="680" t="s">
        <v>1667</v>
      </c>
      <c r="B216" s="569">
        <v>83463</v>
      </c>
      <c r="C216" s="569" t="s">
        <v>1324</v>
      </c>
      <c r="D216" s="569" t="s">
        <v>1668</v>
      </c>
      <c r="E216" s="681" t="s">
        <v>102</v>
      </c>
      <c r="F216" s="644">
        <v>12.73</v>
      </c>
      <c r="G216" s="682">
        <v>211.62</v>
      </c>
      <c r="H216" s="681">
        <v>1</v>
      </c>
      <c r="I216" s="695">
        <f t="shared" si="50"/>
        <v>0</v>
      </c>
      <c r="J216" s="574">
        <f t="shared" si="51"/>
        <v>0</v>
      </c>
      <c r="K216" s="644">
        <f t="shared" si="46"/>
        <v>1</v>
      </c>
      <c r="L216" s="708">
        <f t="shared" ref="L216:O224" si="53">ROUND(H216*$G216,2)</f>
        <v>211.62</v>
      </c>
      <c r="M216" s="708">
        <f t="shared" si="53"/>
        <v>0</v>
      </c>
      <c r="N216" s="708">
        <f t="shared" si="53"/>
        <v>0</v>
      </c>
      <c r="O216" s="718">
        <f t="shared" si="53"/>
        <v>211.62</v>
      </c>
      <c r="P216" s="617">
        <f t="shared" si="48"/>
        <v>0</v>
      </c>
      <c r="Q216" s="525"/>
      <c r="S216" s="189">
        <v>0</v>
      </c>
      <c r="T216" s="189">
        <v>0</v>
      </c>
      <c r="BT216" s="525"/>
      <c r="BU216" s="523"/>
      <c r="BV216" s="523">
        <v>0</v>
      </c>
      <c r="BW216" s="523">
        <v>0</v>
      </c>
      <c r="BX216" s="523">
        <v>0</v>
      </c>
      <c r="BY216" s="523">
        <v>0</v>
      </c>
      <c r="BZ216" s="523"/>
      <c r="CA216" s="523"/>
      <c r="CB216" s="523"/>
      <c r="CC216" s="523"/>
      <c r="CD216" s="523"/>
      <c r="CE216" s="523"/>
      <c r="CF216" s="523"/>
      <c r="CG216" s="523"/>
      <c r="CH216" s="523"/>
      <c r="CI216" s="523">
        <f t="shared" si="49"/>
        <v>0</v>
      </c>
    </row>
    <row r="217" spans="1:87" ht="15.75" x14ac:dyDescent="0.2">
      <c r="A217" s="680" t="s">
        <v>1669</v>
      </c>
      <c r="B217" s="569" t="s">
        <v>1670</v>
      </c>
      <c r="C217" s="569" t="s">
        <v>1324</v>
      </c>
      <c r="D217" s="569" t="s">
        <v>1671</v>
      </c>
      <c r="E217" s="681" t="s">
        <v>102</v>
      </c>
      <c r="F217" s="644">
        <v>8.5299999999999994</v>
      </c>
      <c r="G217" s="682">
        <v>332.47</v>
      </c>
      <c r="H217" s="681">
        <v>1</v>
      </c>
      <c r="I217" s="695">
        <f t="shared" si="50"/>
        <v>0</v>
      </c>
      <c r="J217" s="574">
        <f t="shared" si="51"/>
        <v>0</v>
      </c>
      <c r="K217" s="644">
        <f t="shared" si="46"/>
        <v>1</v>
      </c>
      <c r="L217" s="708">
        <f t="shared" si="53"/>
        <v>332.47</v>
      </c>
      <c r="M217" s="708">
        <f t="shared" si="53"/>
        <v>0</v>
      </c>
      <c r="N217" s="708">
        <f t="shared" si="53"/>
        <v>0</v>
      </c>
      <c r="O217" s="718">
        <f t="shared" si="53"/>
        <v>332.47</v>
      </c>
      <c r="P217" s="617">
        <f t="shared" si="48"/>
        <v>0</v>
      </c>
      <c r="Q217" s="525"/>
      <c r="S217" s="189">
        <v>0</v>
      </c>
      <c r="T217" s="189">
        <v>0</v>
      </c>
      <c r="BT217" s="525"/>
      <c r="BU217" s="523"/>
      <c r="BV217" s="523">
        <v>0</v>
      </c>
      <c r="BW217" s="523">
        <v>0</v>
      </c>
      <c r="BX217" s="523">
        <v>0</v>
      </c>
      <c r="BY217" s="523">
        <v>0</v>
      </c>
      <c r="BZ217" s="523"/>
      <c r="CA217" s="523"/>
      <c r="CB217" s="523"/>
      <c r="CC217" s="523"/>
      <c r="CD217" s="523"/>
      <c r="CE217" s="523"/>
      <c r="CF217" s="523"/>
      <c r="CG217" s="523"/>
      <c r="CH217" s="523"/>
      <c r="CI217" s="523">
        <f t="shared" si="49"/>
        <v>0</v>
      </c>
    </row>
    <row r="218" spans="1:87" ht="30" x14ac:dyDescent="0.2">
      <c r="A218" s="680" t="s">
        <v>1672</v>
      </c>
      <c r="B218" s="569" t="s">
        <v>1673</v>
      </c>
      <c r="C218" s="569" t="s">
        <v>1343</v>
      </c>
      <c r="D218" s="569" t="s">
        <v>1674</v>
      </c>
      <c r="E218" s="681" t="s">
        <v>102</v>
      </c>
      <c r="F218" s="644">
        <v>22.59</v>
      </c>
      <c r="G218" s="682">
        <v>65.62</v>
      </c>
      <c r="H218" s="681">
        <v>1</v>
      </c>
      <c r="I218" s="695">
        <f t="shared" si="50"/>
        <v>0</v>
      </c>
      <c r="J218" s="574">
        <f t="shared" si="51"/>
        <v>0</v>
      </c>
      <c r="K218" s="644">
        <f t="shared" si="46"/>
        <v>1</v>
      </c>
      <c r="L218" s="708">
        <f t="shared" si="53"/>
        <v>65.62</v>
      </c>
      <c r="M218" s="708">
        <f t="shared" si="53"/>
        <v>0</v>
      </c>
      <c r="N218" s="708">
        <f t="shared" si="53"/>
        <v>0</v>
      </c>
      <c r="O218" s="718">
        <f t="shared" si="53"/>
        <v>65.62</v>
      </c>
      <c r="P218" s="617">
        <f t="shared" si="48"/>
        <v>0</v>
      </c>
      <c r="Q218" s="525"/>
      <c r="S218" s="189">
        <v>0</v>
      </c>
      <c r="T218" s="189">
        <v>0</v>
      </c>
      <c r="BT218" s="525"/>
      <c r="BU218" s="523"/>
      <c r="BV218" s="523">
        <v>0</v>
      </c>
      <c r="BW218" s="523">
        <v>0</v>
      </c>
      <c r="BX218" s="523">
        <v>0</v>
      </c>
      <c r="BY218" s="523">
        <v>0</v>
      </c>
      <c r="BZ218" s="523"/>
      <c r="CA218" s="523"/>
      <c r="CB218" s="523"/>
      <c r="CC218" s="523"/>
      <c r="CD218" s="523"/>
      <c r="CE218" s="523"/>
      <c r="CF218" s="523"/>
      <c r="CG218" s="523"/>
      <c r="CH218" s="523"/>
      <c r="CI218" s="523">
        <f t="shared" si="49"/>
        <v>0</v>
      </c>
    </row>
    <row r="219" spans="1:87" ht="15.75" x14ac:dyDescent="0.2">
      <c r="A219" s="680" t="s">
        <v>1675</v>
      </c>
      <c r="B219" s="569" t="s">
        <v>1676</v>
      </c>
      <c r="C219" s="569" t="s">
        <v>1324</v>
      </c>
      <c r="D219" s="569" t="s">
        <v>1677</v>
      </c>
      <c r="E219" s="681" t="s">
        <v>102</v>
      </c>
      <c r="F219" s="571"/>
      <c r="G219" s="682">
        <v>11.27</v>
      </c>
      <c r="H219" s="681">
        <v>7</v>
      </c>
      <c r="I219" s="695">
        <f t="shared" si="50"/>
        <v>0</v>
      </c>
      <c r="J219" s="574">
        <f t="shared" si="51"/>
        <v>0</v>
      </c>
      <c r="K219" s="644">
        <f t="shared" si="46"/>
        <v>7</v>
      </c>
      <c r="L219" s="708">
        <f t="shared" si="53"/>
        <v>78.89</v>
      </c>
      <c r="M219" s="708">
        <f t="shared" si="53"/>
        <v>0</v>
      </c>
      <c r="N219" s="708">
        <f t="shared" si="53"/>
        <v>0</v>
      </c>
      <c r="O219" s="718">
        <f t="shared" si="53"/>
        <v>78.89</v>
      </c>
      <c r="P219" s="617">
        <f t="shared" si="48"/>
        <v>0</v>
      </c>
      <c r="Q219" s="525"/>
      <c r="S219" s="189">
        <v>0</v>
      </c>
      <c r="T219" s="189">
        <v>0</v>
      </c>
      <c r="BT219" s="525"/>
      <c r="BU219" s="523"/>
      <c r="BV219" s="523">
        <v>0</v>
      </c>
      <c r="BW219" s="523">
        <v>0</v>
      </c>
      <c r="BX219" s="523">
        <v>0</v>
      </c>
      <c r="BY219" s="523">
        <v>0</v>
      </c>
      <c r="BZ219" s="523"/>
      <c r="CA219" s="523"/>
      <c r="CB219" s="523"/>
      <c r="CC219" s="523"/>
      <c r="CD219" s="523"/>
      <c r="CE219" s="523"/>
      <c r="CF219" s="523"/>
      <c r="CG219" s="523"/>
      <c r="CH219" s="523"/>
      <c r="CI219" s="523">
        <f t="shared" si="49"/>
        <v>0</v>
      </c>
    </row>
    <row r="220" spans="1:87" ht="15.75" x14ac:dyDescent="0.2">
      <c r="A220" s="680" t="s">
        <v>1678</v>
      </c>
      <c r="B220" s="569" t="s">
        <v>1676</v>
      </c>
      <c r="C220" s="569" t="s">
        <v>1324</v>
      </c>
      <c r="D220" s="569" t="s">
        <v>1679</v>
      </c>
      <c r="E220" s="681" t="s">
        <v>102</v>
      </c>
      <c r="F220" s="644">
        <v>4.09</v>
      </c>
      <c r="G220" s="682">
        <v>11.27</v>
      </c>
      <c r="H220" s="681">
        <v>5</v>
      </c>
      <c r="I220" s="695">
        <f t="shared" si="50"/>
        <v>0</v>
      </c>
      <c r="J220" s="574">
        <f t="shared" si="51"/>
        <v>0</v>
      </c>
      <c r="K220" s="644">
        <f t="shared" si="46"/>
        <v>5</v>
      </c>
      <c r="L220" s="708">
        <f t="shared" si="53"/>
        <v>56.35</v>
      </c>
      <c r="M220" s="708">
        <f t="shared" si="53"/>
        <v>0</v>
      </c>
      <c r="N220" s="708">
        <f t="shared" si="53"/>
        <v>0</v>
      </c>
      <c r="O220" s="718">
        <f t="shared" si="53"/>
        <v>56.35</v>
      </c>
      <c r="P220" s="617">
        <f t="shared" si="48"/>
        <v>0</v>
      </c>
      <c r="Q220" s="525"/>
      <c r="S220" s="189">
        <v>0</v>
      </c>
      <c r="T220" s="189">
        <v>0</v>
      </c>
      <c r="BT220" s="525"/>
      <c r="BU220" s="523"/>
      <c r="BV220" s="523">
        <v>0</v>
      </c>
      <c r="BW220" s="523">
        <v>0</v>
      </c>
      <c r="BX220" s="523">
        <v>0</v>
      </c>
      <c r="BY220" s="523">
        <v>0</v>
      </c>
      <c r="BZ220" s="523"/>
      <c r="CA220" s="523"/>
      <c r="CB220" s="523"/>
      <c r="CC220" s="523"/>
      <c r="CD220" s="523"/>
      <c r="CE220" s="523"/>
      <c r="CF220" s="523"/>
      <c r="CG220" s="523"/>
      <c r="CH220" s="523"/>
      <c r="CI220" s="523">
        <f t="shared" si="49"/>
        <v>0</v>
      </c>
    </row>
    <row r="221" spans="1:87" ht="15.75" x14ac:dyDescent="0.2">
      <c r="A221" s="680" t="s">
        <v>1680</v>
      </c>
      <c r="B221" s="569" t="s">
        <v>1676</v>
      </c>
      <c r="C221" s="569" t="s">
        <v>1324</v>
      </c>
      <c r="D221" s="569" t="s">
        <v>1681</v>
      </c>
      <c r="E221" s="681" t="s">
        <v>102</v>
      </c>
      <c r="F221" s="644">
        <v>5.71</v>
      </c>
      <c r="G221" s="682">
        <v>11.27</v>
      </c>
      <c r="H221" s="681">
        <v>8</v>
      </c>
      <c r="I221" s="695">
        <f t="shared" si="50"/>
        <v>0</v>
      </c>
      <c r="J221" s="574">
        <f t="shared" si="51"/>
        <v>0</v>
      </c>
      <c r="K221" s="644">
        <f t="shared" si="46"/>
        <v>8</v>
      </c>
      <c r="L221" s="708">
        <f t="shared" si="53"/>
        <v>90.16</v>
      </c>
      <c r="M221" s="708">
        <f t="shared" si="53"/>
        <v>0</v>
      </c>
      <c r="N221" s="708">
        <f t="shared" si="53"/>
        <v>0</v>
      </c>
      <c r="O221" s="718">
        <f t="shared" si="53"/>
        <v>90.16</v>
      </c>
      <c r="P221" s="617">
        <f t="shared" si="48"/>
        <v>0</v>
      </c>
      <c r="Q221" s="525"/>
      <c r="S221" s="189">
        <v>0</v>
      </c>
      <c r="T221" s="189">
        <v>0</v>
      </c>
      <c r="BT221" s="525"/>
      <c r="BU221" s="523"/>
      <c r="BV221" s="523">
        <v>0</v>
      </c>
      <c r="BW221" s="523">
        <v>0</v>
      </c>
      <c r="BX221" s="523">
        <v>0</v>
      </c>
      <c r="BY221" s="523">
        <v>0</v>
      </c>
      <c r="BZ221" s="523"/>
      <c r="CA221" s="523"/>
      <c r="CB221" s="523"/>
      <c r="CC221" s="523"/>
      <c r="CD221" s="523"/>
      <c r="CE221" s="523"/>
      <c r="CF221" s="523"/>
      <c r="CG221" s="523"/>
      <c r="CH221" s="523"/>
      <c r="CI221" s="523">
        <f t="shared" si="49"/>
        <v>0</v>
      </c>
    </row>
    <row r="222" spans="1:87" ht="15.75" x14ac:dyDescent="0.2">
      <c r="A222" s="680" t="s">
        <v>1682</v>
      </c>
      <c r="B222" s="569" t="s">
        <v>1683</v>
      </c>
      <c r="C222" s="569" t="s">
        <v>1324</v>
      </c>
      <c r="D222" s="569" t="s">
        <v>1684</v>
      </c>
      <c r="E222" s="681" t="s">
        <v>102</v>
      </c>
      <c r="F222" s="644">
        <v>8.99</v>
      </c>
      <c r="G222" s="682">
        <v>97.76</v>
      </c>
      <c r="H222" s="681">
        <v>2</v>
      </c>
      <c r="I222" s="695">
        <f t="shared" si="50"/>
        <v>0</v>
      </c>
      <c r="J222" s="574">
        <f t="shared" si="51"/>
        <v>0</v>
      </c>
      <c r="K222" s="644">
        <f t="shared" si="46"/>
        <v>2</v>
      </c>
      <c r="L222" s="708">
        <f t="shared" si="53"/>
        <v>195.52</v>
      </c>
      <c r="M222" s="708">
        <f t="shared" si="53"/>
        <v>0</v>
      </c>
      <c r="N222" s="708">
        <f t="shared" si="53"/>
        <v>0</v>
      </c>
      <c r="O222" s="718">
        <f t="shared" si="53"/>
        <v>195.52</v>
      </c>
      <c r="P222" s="617">
        <f t="shared" si="48"/>
        <v>0</v>
      </c>
      <c r="Q222" s="525"/>
      <c r="S222" s="189">
        <v>0</v>
      </c>
      <c r="T222" s="189">
        <v>0</v>
      </c>
      <c r="BT222" s="525"/>
      <c r="BU222" s="523"/>
      <c r="BV222" s="523">
        <v>0</v>
      </c>
      <c r="BW222" s="523">
        <v>0</v>
      </c>
      <c r="BX222" s="523">
        <v>0</v>
      </c>
      <c r="BY222" s="523">
        <v>0</v>
      </c>
      <c r="BZ222" s="523"/>
      <c r="CA222" s="523"/>
      <c r="CB222" s="523"/>
      <c r="CC222" s="523"/>
      <c r="CD222" s="523"/>
      <c r="CE222" s="523"/>
      <c r="CF222" s="523"/>
      <c r="CG222" s="523"/>
      <c r="CH222" s="523"/>
      <c r="CI222" s="523">
        <f t="shared" si="49"/>
        <v>0</v>
      </c>
    </row>
    <row r="223" spans="1:87" ht="15.75" x14ac:dyDescent="0.2">
      <c r="A223" s="680" t="s">
        <v>1685</v>
      </c>
      <c r="B223" s="569" t="s">
        <v>1686</v>
      </c>
      <c r="C223" s="569" t="s">
        <v>1324</v>
      </c>
      <c r="D223" s="569" t="s">
        <v>1687</v>
      </c>
      <c r="E223" s="681" t="s">
        <v>102</v>
      </c>
      <c r="F223" s="644">
        <v>23.78</v>
      </c>
      <c r="G223" s="682">
        <v>276.94</v>
      </c>
      <c r="H223" s="681">
        <v>1</v>
      </c>
      <c r="I223" s="695">
        <f t="shared" si="50"/>
        <v>0</v>
      </c>
      <c r="J223" s="574">
        <f t="shared" si="51"/>
        <v>0</v>
      </c>
      <c r="K223" s="644">
        <f t="shared" si="46"/>
        <v>1</v>
      </c>
      <c r="L223" s="708">
        <f t="shared" si="53"/>
        <v>276.94</v>
      </c>
      <c r="M223" s="708">
        <f t="shared" si="53"/>
        <v>0</v>
      </c>
      <c r="N223" s="708">
        <f t="shared" si="53"/>
        <v>0</v>
      </c>
      <c r="O223" s="718">
        <f t="shared" si="53"/>
        <v>276.94</v>
      </c>
      <c r="P223" s="617">
        <f t="shared" si="48"/>
        <v>0</v>
      </c>
      <c r="Q223" s="525"/>
      <c r="S223" s="189">
        <v>0</v>
      </c>
      <c r="T223" s="189">
        <v>0</v>
      </c>
      <c r="BT223" s="525"/>
      <c r="BU223" s="523"/>
      <c r="BV223" s="523">
        <v>0</v>
      </c>
      <c r="BW223" s="523">
        <v>0</v>
      </c>
      <c r="BX223" s="523">
        <v>0</v>
      </c>
      <c r="BY223" s="523">
        <v>0</v>
      </c>
      <c r="BZ223" s="523"/>
      <c r="CA223" s="523"/>
      <c r="CB223" s="523"/>
      <c r="CC223" s="523"/>
      <c r="CD223" s="523"/>
      <c r="CE223" s="523"/>
      <c r="CF223" s="523"/>
      <c r="CG223" s="523"/>
      <c r="CH223" s="523"/>
      <c r="CI223" s="523">
        <f t="shared" si="49"/>
        <v>0</v>
      </c>
    </row>
    <row r="224" spans="1:87" s="656" customFormat="1" ht="15.75" x14ac:dyDescent="0.2">
      <c r="A224" s="680" t="s">
        <v>1688</v>
      </c>
      <c r="B224" s="569" t="s">
        <v>2007</v>
      </c>
      <c r="C224" s="569" t="s">
        <v>1339</v>
      </c>
      <c r="D224" s="569" t="s">
        <v>1689</v>
      </c>
      <c r="E224" s="681" t="s">
        <v>102</v>
      </c>
      <c r="F224" s="644">
        <v>72.209999999999994</v>
      </c>
      <c r="G224" s="682">
        <v>101.01</v>
      </c>
      <c r="H224" s="681">
        <v>4</v>
      </c>
      <c r="I224" s="695">
        <f t="shared" si="50"/>
        <v>0</v>
      </c>
      <c r="J224" s="574">
        <f t="shared" si="51"/>
        <v>0</v>
      </c>
      <c r="K224" s="644">
        <f t="shared" si="46"/>
        <v>4</v>
      </c>
      <c r="L224" s="708">
        <f t="shared" si="53"/>
        <v>404.04</v>
      </c>
      <c r="M224" s="708">
        <f t="shared" si="53"/>
        <v>0</v>
      </c>
      <c r="N224" s="708">
        <f t="shared" si="53"/>
        <v>0</v>
      </c>
      <c r="O224" s="718">
        <f t="shared" si="53"/>
        <v>404.04</v>
      </c>
      <c r="P224" s="617">
        <f t="shared" si="48"/>
        <v>0</v>
      </c>
      <c r="Q224" s="525"/>
      <c r="S224" s="191">
        <v>0</v>
      </c>
      <c r="T224" s="191">
        <v>0</v>
      </c>
      <c r="BT224" s="525"/>
      <c r="BU224" s="523"/>
      <c r="BV224" s="523">
        <v>0</v>
      </c>
      <c r="BW224" s="523">
        <v>0</v>
      </c>
      <c r="BX224" s="523">
        <v>0</v>
      </c>
      <c r="BY224" s="523">
        <v>0</v>
      </c>
      <c r="BZ224" s="523"/>
      <c r="CA224" s="523"/>
      <c r="CB224" s="523"/>
      <c r="CC224" s="523"/>
      <c r="CD224" s="523"/>
      <c r="CE224" s="523"/>
      <c r="CF224" s="523"/>
      <c r="CG224" s="523"/>
      <c r="CH224" s="523"/>
      <c r="CI224" s="523">
        <f t="shared" si="49"/>
        <v>0</v>
      </c>
    </row>
    <row r="225" spans="1:87" s="110" customFormat="1" ht="15.75" x14ac:dyDescent="0.2">
      <c r="A225" s="605" t="s">
        <v>631</v>
      </c>
      <c r="B225" s="586"/>
      <c r="C225" s="586"/>
      <c r="D225" s="586" t="s">
        <v>1690</v>
      </c>
      <c r="E225" s="683"/>
      <c r="F225" s="683">
        <f>SUM(F226:F246)</f>
        <v>274.84000000000003</v>
      </c>
      <c r="G225" s="687"/>
      <c r="H225" s="683"/>
      <c r="I225" s="683">
        <f t="shared" si="50"/>
        <v>0</v>
      </c>
      <c r="J225" s="599">
        <f t="shared" si="51"/>
        <v>46</v>
      </c>
      <c r="K225" s="696">
        <f t="shared" si="46"/>
        <v>-46</v>
      </c>
      <c r="L225" s="733">
        <f>SUM(L226:L246)</f>
        <v>3741.5200000000004</v>
      </c>
      <c r="M225" s="733">
        <f>SUM(M226:M246)</f>
        <v>0</v>
      </c>
      <c r="N225" s="733">
        <f>SUM(N226:N246)</f>
        <v>311.62</v>
      </c>
      <c r="O225" s="722">
        <f>SUM(O226:O246)</f>
        <v>3429.9</v>
      </c>
      <c r="P225" s="611">
        <f t="shared" si="48"/>
        <v>8.3287006350360279E-2</v>
      </c>
      <c r="Q225" s="525"/>
      <c r="S225" s="192">
        <v>28</v>
      </c>
      <c r="T225" s="192">
        <v>0</v>
      </c>
      <c r="BT225" s="525"/>
      <c r="BU225" s="523"/>
      <c r="BV225" s="523">
        <v>46</v>
      </c>
      <c r="BW225" s="523">
        <v>0</v>
      </c>
      <c r="BX225" s="523"/>
      <c r="BY225" s="523"/>
      <c r="BZ225" s="523"/>
      <c r="CA225" s="523"/>
      <c r="CB225" s="523"/>
      <c r="CC225" s="523"/>
      <c r="CD225" s="523"/>
      <c r="CE225" s="523"/>
      <c r="CF225" s="523"/>
      <c r="CG225" s="523"/>
      <c r="CH225" s="523"/>
      <c r="CI225" s="523">
        <f t="shared" si="49"/>
        <v>46</v>
      </c>
    </row>
    <row r="226" spans="1:87" s="110" customFormat="1" ht="15" x14ac:dyDescent="0.2">
      <c r="A226" s="612" t="s">
        <v>1691</v>
      </c>
      <c r="B226" s="613">
        <v>91854</v>
      </c>
      <c r="C226" s="613" t="s">
        <v>1324</v>
      </c>
      <c r="D226" s="614" t="s">
        <v>1692</v>
      </c>
      <c r="E226" s="615" t="s">
        <v>81</v>
      </c>
      <c r="F226" s="644">
        <v>6.88</v>
      </c>
      <c r="G226" s="616">
        <v>6.16</v>
      </c>
      <c r="H226" s="615">
        <v>28</v>
      </c>
      <c r="I226" s="615">
        <f t="shared" si="50"/>
        <v>0</v>
      </c>
      <c r="J226" s="574">
        <f t="shared" si="51"/>
        <v>28</v>
      </c>
      <c r="K226" s="644">
        <f t="shared" si="46"/>
        <v>0</v>
      </c>
      <c r="L226" s="708">
        <f t="shared" ref="L226:O246" si="54">ROUND(H226*$G226,2)</f>
        <v>172.48</v>
      </c>
      <c r="M226" s="708">
        <f t="shared" si="54"/>
        <v>0</v>
      </c>
      <c r="N226" s="708">
        <f t="shared" si="54"/>
        <v>172.48</v>
      </c>
      <c r="O226" s="718">
        <f t="shared" si="54"/>
        <v>0</v>
      </c>
      <c r="P226" s="617">
        <f t="shared" si="48"/>
        <v>1</v>
      </c>
      <c r="Q226" s="525"/>
      <c r="S226" s="192">
        <v>18</v>
      </c>
      <c r="T226" s="192">
        <v>0</v>
      </c>
      <c r="BT226" s="525"/>
      <c r="BU226" s="523"/>
      <c r="BV226" s="523">
        <v>28</v>
      </c>
      <c r="BW226" s="523">
        <v>0</v>
      </c>
      <c r="BX226" s="523">
        <v>0</v>
      </c>
      <c r="BY226" s="523">
        <v>0</v>
      </c>
      <c r="BZ226" s="523"/>
      <c r="CA226" s="523"/>
      <c r="CB226" s="523"/>
      <c r="CC226" s="523"/>
      <c r="CD226" s="523"/>
      <c r="CE226" s="523"/>
      <c r="CF226" s="523"/>
      <c r="CG226" s="523"/>
      <c r="CH226" s="523"/>
      <c r="CI226" s="523">
        <f t="shared" si="49"/>
        <v>28</v>
      </c>
    </row>
    <row r="227" spans="1:87" ht="15" x14ac:dyDescent="0.2">
      <c r="A227" s="612" t="s">
        <v>1693</v>
      </c>
      <c r="B227" s="613">
        <v>91856</v>
      </c>
      <c r="C227" s="613" t="s">
        <v>1324</v>
      </c>
      <c r="D227" s="614" t="s">
        <v>1694</v>
      </c>
      <c r="E227" s="615" t="s">
        <v>81</v>
      </c>
      <c r="F227" s="644">
        <v>9.86</v>
      </c>
      <c r="G227" s="616">
        <v>7.73</v>
      </c>
      <c r="H227" s="615">
        <v>18</v>
      </c>
      <c r="I227" s="615">
        <f t="shared" si="50"/>
        <v>0</v>
      </c>
      <c r="J227" s="574">
        <f t="shared" si="51"/>
        <v>18</v>
      </c>
      <c r="K227" s="644">
        <f t="shared" si="46"/>
        <v>0</v>
      </c>
      <c r="L227" s="708">
        <f t="shared" si="54"/>
        <v>139.13999999999999</v>
      </c>
      <c r="M227" s="708">
        <f t="shared" si="54"/>
        <v>0</v>
      </c>
      <c r="N227" s="708">
        <f t="shared" si="54"/>
        <v>139.13999999999999</v>
      </c>
      <c r="O227" s="718">
        <f t="shared" si="54"/>
        <v>0</v>
      </c>
      <c r="P227" s="617">
        <f t="shared" si="48"/>
        <v>1</v>
      </c>
      <c r="Q227" s="525"/>
      <c r="S227" s="189">
        <v>0</v>
      </c>
      <c r="T227" s="189">
        <v>0</v>
      </c>
      <c r="BT227" s="525"/>
      <c r="BU227" s="523"/>
      <c r="BV227" s="523">
        <v>18</v>
      </c>
      <c r="BW227" s="523">
        <v>0</v>
      </c>
      <c r="BX227" s="523">
        <v>0</v>
      </c>
      <c r="BY227" s="523">
        <v>0</v>
      </c>
      <c r="BZ227" s="523"/>
      <c r="CA227" s="523"/>
      <c r="CB227" s="523"/>
      <c r="CC227" s="523"/>
      <c r="CD227" s="523"/>
      <c r="CE227" s="523"/>
      <c r="CF227" s="523"/>
      <c r="CG227" s="523"/>
      <c r="CH227" s="523"/>
      <c r="CI227" s="523">
        <f t="shared" si="49"/>
        <v>18</v>
      </c>
    </row>
    <row r="228" spans="1:87" ht="15.75" x14ac:dyDescent="0.2">
      <c r="A228" s="680" t="s">
        <v>1695</v>
      </c>
      <c r="B228" s="569">
        <v>91873</v>
      </c>
      <c r="C228" s="569" t="s">
        <v>1324</v>
      </c>
      <c r="D228" s="569" t="s">
        <v>1696</v>
      </c>
      <c r="E228" s="681" t="s">
        <v>81</v>
      </c>
      <c r="F228" s="644">
        <v>10.4</v>
      </c>
      <c r="G228" s="682">
        <v>12.57</v>
      </c>
      <c r="H228" s="681">
        <v>18</v>
      </c>
      <c r="I228" s="695">
        <f t="shared" si="50"/>
        <v>0</v>
      </c>
      <c r="J228" s="574">
        <f t="shared" si="51"/>
        <v>0</v>
      </c>
      <c r="K228" s="644">
        <f t="shared" si="46"/>
        <v>18</v>
      </c>
      <c r="L228" s="708">
        <f t="shared" si="54"/>
        <v>226.26</v>
      </c>
      <c r="M228" s="708">
        <f t="shared" si="54"/>
        <v>0</v>
      </c>
      <c r="N228" s="708">
        <f t="shared" si="54"/>
        <v>0</v>
      </c>
      <c r="O228" s="718">
        <f t="shared" si="54"/>
        <v>226.26</v>
      </c>
      <c r="P228" s="617">
        <f t="shared" si="48"/>
        <v>0</v>
      </c>
      <c r="Q228" s="525"/>
      <c r="S228" s="189">
        <v>0</v>
      </c>
      <c r="T228" s="189">
        <v>0</v>
      </c>
      <c r="BT228" s="525"/>
      <c r="BU228" s="523"/>
      <c r="BV228" s="523">
        <v>0</v>
      </c>
      <c r="BW228" s="523">
        <v>0</v>
      </c>
      <c r="BX228" s="523">
        <v>0</v>
      </c>
      <c r="BY228" s="523">
        <v>0</v>
      </c>
      <c r="BZ228" s="523"/>
      <c r="CA228" s="523"/>
      <c r="CB228" s="523"/>
      <c r="CC228" s="523"/>
      <c r="CD228" s="523"/>
      <c r="CE228" s="523"/>
      <c r="CF228" s="523"/>
      <c r="CG228" s="523"/>
      <c r="CH228" s="523"/>
      <c r="CI228" s="523">
        <f t="shared" si="49"/>
        <v>0</v>
      </c>
    </row>
    <row r="229" spans="1:87" ht="15.75" x14ac:dyDescent="0.2">
      <c r="A229" s="680" t="s">
        <v>1697</v>
      </c>
      <c r="B229" s="569">
        <v>72308</v>
      </c>
      <c r="C229" s="569" t="s">
        <v>1324</v>
      </c>
      <c r="D229" s="569" t="s">
        <v>1698</v>
      </c>
      <c r="E229" s="681" t="s">
        <v>81</v>
      </c>
      <c r="F229" s="644">
        <v>9.6</v>
      </c>
      <c r="G229" s="682">
        <v>14.39</v>
      </c>
      <c r="H229" s="681">
        <v>82</v>
      </c>
      <c r="I229" s="695">
        <f t="shared" si="50"/>
        <v>0</v>
      </c>
      <c r="J229" s="574">
        <f t="shared" si="51"/>
        <v>0</v>
      </c>
      <c r="K229" s="644">
        <f t="shared" si="46"/>
        <v>82</v>
      </c>
      <c r="L229" s="708">
        <f t="shared" si="54"/>
        <v>1179.98</v>
      </c>
      <c r="M229" s="708">
        <f t="shared" si="54"/>
        <v>0</v>
      </c>
      <c r="N229" s="708">
        <f t="shared" si="54"/>
        <v>0</v>
      </c>
      <c r="O229" s="718">
        <f t="shared" si="54"/>
        <v>1179.98</v>
      </c>
      <c r="P229" s="617">
        <f t="shared" si="48"/>
        <v>0</v>
      </c>
      <c r="Q229" s="525"/>
      <c r="S229" s="189">
        <v>0</v>
      </c>
      <c r="T229" s="189">
        <v>0</v>
      </c>
      <c r="BT229" s="525"/>
      <c r="BU229" s="523"/>
      <c r="BV229" s="523">
        <v>0</v>
      </c>
      <c r="BW229" s="523">
        <v>0</v>
      </c>
      <c r="BX229" s="523">
        <v>0</v>
      </c>
      <c r="BY229" s="523">
        <v>0</v>
      </c>
      <c r="BZ229" s="523"/>
      <c r="CA229" s="523"/>
      <c r="CB229" s="523"/>
      <c r="CC229" s="523"/>
      <c r="CD229" s="523"/>
      <c r="CE229" s="523"/>
      <c r="CF229" s="523"/>
      <c r="CG229" s="523"/>
      <c r="CH229" s="523"/>
      <c r="CI229" s="523">
        <f t="shared" si="49"/>
        <v>0</v>
      </c>
    </row>
    <row r="230" spans="1:87" ht="15.75" x14ac:dyDescent="0.2">
      <c r="A230" s="680" t="s">
        <v>1699</v>
      </c>
      <c r="B230" s="569">
        <v>72309</v>
      </c>
      <c r="C230" s="569" t="s">
        <v>1324</v>
      </c>
      <c r="D230" s="569" t="s">
        <v>1700</v>
      </c>
      <c r="E230" s="681" t="s">
        <v>81</v>
      </c>
      <c r="F230" s="644">
        <v>7.38</v>
      </c>
      <c r="G230" s="682">
        <v>22.92</v>
      </c>
      <c r="H230" s="681">
        <v>13</v>
      </c>
      <c r="I230" s="695">
        <f t="shared" si="50"/>
        <v>0</v>
      </c>
      <c r="J230" s="574">
        <f t="shared" si="51"/>
        <v>0</v>
      </c>
      <c r="K230" s="644">
        <f t="shared" si="46"/>
        <v>13</v>
      </c>
      <c r="L230" s="708">
        <f t="shared" si="54"/>
        <v>297.95999999999998</v>
      </c>
      <c r="M230" s="708">
        <f t="shared" si="54"/>
        <v>0</v>
      </c>
      <c r="N230" s="708">
        <f t="shared" si="54"/>
        <v>0</v>
      </c>
      <c r="O230" s="718">
        <f t="shared" si="54"/>
        <v>297.95999999999998</v>
      </c>
      <c r="P230" s="617">
        <f t="shared" si="48"/>
        <v>0</v>
      </c>
      <c r="Q230" s="525"/>
      <c r="S230" s="189">
        <v>0</v>
      </c>
      <c r="T230" s="189">
        <v>0</v>
      </c>
      <c r="BT230" s="525"/>
      <c r="BU230" s="523"/>
      <c r="BV230" s="523">
        <v>0</v>
      </c>
      <c r="BW230" s="523">
        <v>0</v>
      </c>
      <c r="BX230" s="523">
        <v>0</v>
      </c>
      <c r="BY230" s="523">
        <v>0</v>
      </c>
      <c r="BZ230" s="523"/>
      <c r="CA230" s="523"/>
      <c r="CB230" s="523"/>
      <c r="CC230" s="523"/>
      <c r="CD230" s="523"/>
      <c r="CE230" s="523"/>
      <c r="CF230" s="523"/>
      <c r="CG230" s="523"/>
      <c r="CH230" s="523"/>
      <c r="CI230" s="523">
        <f t="shared" si="49"/>
        <v>0</v>
      </c>
    </row>
    <row r="231" spans="1:87" ht="15.75" x14ac:dyDescent="0.2">
      <c r="A231" s="680" t="s">
        <v>2011</v>
      </c>
      <c r="B231" s="569" t="s">
        <v>2012</v>
      </c>
      <c r="C231" s="569" t="s">
        <v>1324</v>
      </c>
      <c r="D231" s="569" t="s">
        <v>1702</v>
      </c>
      <c r="E231" s="681" t="s">
        <v>81</v>
      </c>
      <c r="F231" s="571"/>
      <c r="G231" s="682">
        <v>24.94</v>
      </c>
      <c r="H231" s="681">
        <v>30</v>
      </c>
      <c r="I231" s="695">
        <f t="shared" si="50"/>
        <v>0</v>
      </c>
      <c r="J231" s="574">
        <f t="shared" si="51"/>
        <v>0</v>
      </c>
      <c r="K231" s="644">
        <f t="shared" si="46"/>
        <v>30</v>
      </c>
      <c r="L231" s="708">
        <f t="shared" si="54"/>
        <v>748.2</v>
      </c>
      <c r="M231" s="708">
        <f t="shared" si="54"/>
        <v>0</v>
      </c>
      <c r="N231" s="708">
        <f t="shared" si="54"/>
        <v>0</v>
      </c>
      <c r="O231" s="718">
        <f t="shared" si="54"/>
        <v>748.2</v>
      </c>
      <c r="P231" s="617">
        <f t="shared" si="48"/>
        <v>0</v>
      </c>
      <c r="Q231" s="525"/>
      <c r="S231" s="189">
        <v>0</v>
      </c>
      <c r="T231" s="189">
        <v>0</v>
      </c>
      <c r="BT231" s="525"/>
      <c r="BU231" s="523"/>
      <c r="BV231" s="523">
        <v>0</v>
      </c>
      <c r="BW231" s="523">
        <v>0</v>
      </c>
      <c r="BX231" s="523">
        <v>0</v>
      </c>
      <c r="BY231" s="523">
        <v>0</v>
      </c>
      <c r="BZ231" s="523"/>
      <c r="CA231" s="523"/>
      <c r="CB231" s="523"/>
      <c r="CC231" s="523"/>
      <c r="CD231" s="523"/>
      <c r="CE231" s="523"/>
      <c r="CF231" s="523"/>
      <c r="CG231" s="523"/>
      <c r="CH231" s="523"/>
      <c r="CI231" s="523">
        <f t="shared" si="49"/>
        <v>0</v>
      </c>
    </row>
    <row r="232" spans="1:87" ht="30" x14ac:dyDescent="0.2">
      <c r="A232" s="680" t="s">
        <v>1703</v>
      </c>
      <c r="B232" s="569" t="s">
        <v>1704</v>
      </c>
      <c r="C232" s="569" t="s">
        <v>1324</v>
      </c>
      <c r="D232" s="569" t="s">
        <v>1705</v>
      </c>
      <c r="E232" s="681" t="s">
        <v>102</v>
      </c>
      <c r="F232" s="644">
        <v>3.06</v>
      </c>
      <c r="G232" s="682">
        <v>23.12</v>
      </c>
      <c r="H232" s="681">
        <v>5</v>
      </c>
      <c r="I232" s="695">
        <f t="shared" si="50"/>
        <v>0</v>
      </c>
      <c r="J232" s="574">
        <f t="shared" si="51"/>
        <v>0</v>
      </c>
      <c r="K232" s="644">
        <f t="shared" si="46"/>
        <v>5</v>
      </c>
      <c r="L232" s="708">
        <f t="shared" si="54"/>
        <v>115.6</v>
      </c>
      <c r="M232" s="708">
        <f t="shared" si="54"/>
        <v>0</v>
      </c>
      <c r="N232" s="708">
        <f t="shared" si="54"/>
        <v>0</v>
      </c>
      <c r="O232" s="718">
        <f t="shared" si="54"/>
        <v>115.6</v>
      </c>
      <c r="P232" s="617">
        <f t="shared" si="48"/>
        <v>0</v>
      </c>
      <c r="Q232" s="525"/>
      <c r="S232" s="189">
        <v>0</v>
      </c>
      <c r="T232" s="189">
        <v>0</v>
      </c>
      <c r="BT232" s="525"/>
      <c r="BU232" s="523"/>
      <c r="BV232" s="523">
        <v>0</v>
      </c>
      <c r="BW232" s="523">
        <v>0</v>
      </c>
      <c r="BX232" s="523">
        <v>0</v>
      </c>
      <c r="BY232" s="523">
        <v>0</v>
      </c>
      <c r="BZ232" s="523"/>
      <c r="CA232" s="523"/>
      <c r="CB232" s="523"/>
      <c r="CC232" s="523"/>
      <c r="CD232" s="523"/>
      <c r="CE232" s="523"/>
      <c r="CF232" s="523"/>
      <c r="CG232" s="523"/>
      <c r="CH232" s="523"/>
      <c r="CI232" s="523">
        <f t="shared" si="49"/>
        <v>0</v>
      </c>
    </row>
    <row r="233" spans="1:87" ht="30" x14ac:dyDescent="0.2">
      <c r="A233" s="680" t="s">
        <v>1706</v>
      </c>
      <c r="B233" s="569" t="s">
        <v>1707</v>
      </c>
      <c r="C233" s="569" t="s">
        <v>1324</v>
      </c>
      <c r="D233" s="569" t="s">
        <v>1708</v>
      </c>
      <c r="E233" s="681" t="s">
        <v>102</v>
      </c>
      <c r="F233" s="644">
        <v>4.18</v>
      </c>
      <c r="G233" s="682">
        <v>25.34</v>
      </c>
      <c r="H233" s="681">
        <v>5</v>
      </c>
      <c r="I233" s="695">
        <f t="shared" si="50"/>
        <v>0</v>
      </c>
      <c r="J233" s="574">
        <f t="shared" si="51"/>
        <v>0</v>
      </c>
      <c r="K233" s="644">
        <f t="shared" si="46"/>
        <v>5</v>
      </c>
      <c r="L233" s="708">
        <f t="shared" si="54"/>
        <v>126.7</v>
      </c>
      <c r="M233" s="708">
        <f t="shared" si="54"/>
        <v>0</v>
      </c>
      <c r="N233" s="708">
        <f t="shared" si="54"/>
        <v>0</v>
      </c>
      <c r="O233" s="718">
        <f t="shared" si="54"/>
        <v>126.7</v>
      </c>
      <c r="P233" s="617">
        <f t="shared" si="48"/>
        <v>0</v>
      </c>
      <c r="Q233" s="525"/>
      <c r="S233" s="189">
        <v>0</v>
      </c>
      <c r="T233" s="189">
        <v>0</v>
      </c>
      <c r="BT233" s="525"/>
      <c r="BU233" s="523"/>
      <c r="BV233" s="523">
        <v>0</v>
      </c>
      <c r="BW233" s="523">
        <v>0</v>
      </c>
      <c r="BX233" s="523">
        <v>0</v>
      </c>
      <c r="BY233" s="523">
        <v>0</v>
      </c>
      <c r="BZ233" s="523"/>
      <c r="CA233" s="523"/>
      <c r="CB233" s="523"/>
      <c r="CC233" s="523"/>
      <c r="CD233" s="523"/>
      <c r="CE233" s="523"/>
      <c r="CF233" s="523"/>
      <c r="CG233" s="523"/>
      <c r="CH233" s="523"/>
      <c r="CI233" s="523">
        <f t="shared" si="49"/>
        <v>0</v>
      </c>
    </row>
    <row r="234" spans="1:87" ht="30" x14ac:dyDescent="0.2">
      <c r="A234" s="680" t="s">
        <v>1709</v>
      </c>
      <c r="B234" s="569" t="s">
        <v>1704</v>
      </c>
      <c r="C234" s="569" t="s">
        <v>1324</v>
      </c>
      <c r="D234" s="569" t="s">
        <v>1710</v>
      </c>
      <c r="E234" s="681" t="s">
        <v>102</v>
      </c>
      <c r="F234" s="644">
        <v>6.7</v>
      </c>
      <c r="G234" s="682">
        <v>25.88</v>
      </c>
      <c r="H234" s="681">
        <v>4</v>
      </c>
      <c r="I234" s="695">
        <f t="shared" si="50"/>
        <v>0</v>
      </c>
      <c r="J234" s="574">
        <f t="shared" si="51"/>
        <v>0</v>
      </c>
      <c r="K234" s="644">
        <f t="shared" si="46"/>
        <v>4</v>
      </c>
      <c r="L234" s="708">
        <f t="shared" si="54"/>
        <v>103.52</v>
      </c>
      <c r="M234" s="708">
        <f t="shared" si="54"/>
        <v>0</v>
      </c>
      <c r="N234" s="708">
        <f t="shared" si="54"/>
        <v>0</v>
      </c>
      <c r="O234" s="718">
        <f t="shared" si="54"/>
        <v>103.52</v>
      </c>
      <c r="P234" s="617">
        <f t="shared" si="48"/>
        <v>0</v>
      </c>
      <c r="Q234" s="525"/>
      <c r="S234" s="189">
        <v>0</v>
      </c>
      <c r="T234" s="189">
        <v>0</v>
      </c>
      <c r="BT234" s="525"/>
      <c r="BU234" s="523"/>
      <c r="BV234" s="523">
        <v>0</v>
      </c>
      <c r="BW234" s="523">
        <v>0</v>
      </c>
      <c r="BX234" s="523">
        <v>0</v>
      </c>
      <c r="BY234" s="523">
        <v>0</v>
      </c>
      <c r="BZ234" s="523"/>
      <c r="CA234" s="523"/>
      <c r="CB234" s="523"/>
      <c r="CC234" s="523"/>
      <c r="CD234" s="523"/>
      <c r="CE234" s="523"/>
      <c r="CF234" s="523"/>
      <c r="CG234" s="523"/>
      <c r="CH234" s="523"/>
      <c r="CI234" s="523">
        <f t="shared" si="49"/>
        <v>0</v>
      </c>
    </row>
    <row r="235" spans="1:87" ht="30" x14ac:dyDescent="0.2">
      <c r="A235" s="680" t="s">
        <v>1711</v>
      </c>
      <c r="B235" s="569" t="s">
        <v>1712</v>
      </c>
      <c r="C235" s="569" t="s">
        <v>1324</v>
      </c>
      <c r="D235" s="569" t="s">
        <v>1713</v>
      </c>
      <c r="E235" s="681" t="s">
        <v>102</v>
      </c>
      <c r="F235" s="644">
        <v>12.3</v>
      </c>
      <c r="G235" s="682">
        <v>26.28</v>
      </c>
      <c r="H235" s="681">
        <v>1</v>
      </c>
      <c r="I235" s="695">
        <f t="shared" si="50"/>
        <v>0</v>
      </c>
      <c r="J235" s="574">
        <f t="shared" si="51"/>
        <v>0</v>
      </c>
      <c r="K235" s="644">
        <f t="shared" si="46"/>
        <v>1</v>
      </c>
      <c r="L235" s="708">
        <f t="shared" si="54"/>
        <v>26.28</v>
      </c>
      <c r="M235" s="708">
        <f t="shared" si="54"/>
        <v>0</v>
      </c>
      <c r="N235" s="708">
        <f t="shared" si="54"/>
        <v>0</v>
      </c>
      <c r="O235" s="718">
        <f t="shared" si="54"/>
        <v>26.28</v>
      </c>
      <c r="P235" s="617">
        <f t="shared" si="48"/>
        <v>0</v>
      </c>
      <c r="Q235" s="525"/>
      <c r="S235" s="189">
        <v>0</v>
      </c>
      <c r="T235" s="189">
        <v>0</v>
      </c>
      <c r="BT235" s="525"/>
      <c r="BU235" s="523"/>
      <c r="BV235" s="523">
        <v>0</v>
      </c>
      <c r="BW235" s="523">
        <v>0</v>
      </c>
      <c r="BX235" s="523">
        <v>0</v>
      </c>
      <c r="BY235" s="523">
        <v>0</v>
      </c>
      <c r="BZ235" s="523"/>
      <c r="CA235" s="523"/>
      <c r="CB235" s="523"/>
      <c r="CC235" s="523"/>
      <c r="CD235" s="523"/>
      <c r="CE235" s="523"/>
      <c r="CF235" s="523"/>
      <c r="CG235" s="523"/>
      <c r="CH235" s="523"/>
      <c r="CI235" s="523">
        <f t="shared" si="49"/>
        <v>0</v>
      </c>
    </row>
    <row r="236" spans="1:87" ht="30" x14ac:dyDescent="0.2">
      <c r="A236" s="680" t="s">
        <v>1714</v>
      </c>
      <c r="B236" s="569" t="s">
        <v>1715</v>
      </c>
      <c r="C236" s="569" t="s">
        <v>1343</v>
      </c>
      <c r="D236" s="569" t="s">
        <v>1716</v>
      </c>
      <c r="E236" s="681" t="s">
        <v>102</v>
      </c>
      <c r="F236" s="644">
        <v>33.06</v>
      </c>
      <c r="G236" s="682">
        <v>1.94</v>
      </c>
      <c r="H236" s="681">
        <v>50</v>
      </c>
      <c r="I236" s="695">
        <f t="shared" si="50"/>
        <v>0</v>
      </c>
      <c r="J236" s="574">
        <f t="shared" si="51"/>
        <v>0</v>
      </c>
      <c r="K236" s="644">
        <f t="shared" si="46"/>
        <v>50</v>
      </c>
      <c r="L236" s="708">
        <f t="shared" si="54"/>
        <v>97</v>
      </c>
      <c r="M236" s="708">
        <f t="shared" si="54"/>
        <v>0</v>
      </c>
      <c r="N236" s="708">
        <f t="shared" si="54"/>
        <v>0</v>
      </c>
      <c r="O236" s="718">
        <f t="shared" si="54"/>
        <v>97</v>
      </c>
      <c r="P236" s="617">
        <f t="shared" si="48"/>
        <v>0</v>
      </c>
      <c r="Q236" s="525"/>
      <c r="S236" s="189">
        <v>0</v>
      </c>
      <c r="T236" s="189">
        <v>0</v>
      </c>
      <c r="BT236" s="525"/>
      <c r="BU236" s="523"/>
      <c r="BV236" s="523">
        <v>0</v>
      </c>
      <c r="BW236" s="523">
        <v>0</v>
      </c>
      <c r="BX236" s="523">
        <v>0</v>
      </c>
      <c r="BY236" s="523">
        <v>0</v>
      </c>
      <c r="BZ236" s="523"/>
      <c r="CA236" s="523"/>
      <c r="CB236" s="523"/>
      <c r="CC236" s="523"/>
      <c r="CD236" s="523"/>
      <c r="CE236" s="523"/>
      <c r="CF236" s="523"/>
      <c r="CG236" s="523"/>
      <c r="CH236" s="523"/>
      <c r="CI236" s="523">
        <f t="shared" si="49"/>
        <v>0</v>
      </c>
    </row>
    <row r="237" spans="1:87" ht="30" x14ac:dyDescent="0.2">
      <c r="A237" s="680" t="s">
        <v>1717</v>
      </c>
      <c r="B237" s="569" t="s">
        <v>1715</v>
      </c>
      <c r="C237" s="569" t="s">
        <v>1343</v>
      </c>
      <c r="D237" s="569" t="s">
        <v>1718</v>
      </c>
      <c r="E237" s="681" t="s">
        <v>102</v>
      </c>
      <c r="F237" s="644">
        <v>4.53</v>
      </c>
      <c r="G237" s="682">
        <v>2.19</v>
      </c>
      <c r="H237" s="681">
        <v>4</v>
      </c>
      <c r="I237" s="695">
        <f t="shared" si="50"/>
        <v>0</v>
      </c>
      <c r="J237" s="574">
        <f t="shared" si="51"/>
        <v>0</v>
      </c>
      <c r="K237" s="644">
        <f t="shared" si="46"/>
        <v>4</v>
      </c>
      <c r="L237" s="708">
        <f t="shared" si="54"/>
        <v>8.76</v>
      </c>
      <c r="M237" s="708">
        <f t="shared" si="54"/>
        <v>0</v>
      </c>
      <c r="N237" s="708">
        <f t="shared" si="54"/>
        <v>0</v>
      </c>
      <c r="O237" s="718">
        <f t="shared" si="54"/>
        <v>8.76</v>
      </c>
      <c r="P237" s="617">
        <f t="shared" si="48"/>
        <v>0</v>
      </c>
      <c r="Q237" s="525"/>
      <c r="S237" s="189">
        <v>0</v>
      </c>
      <c r="T237" s="189">
        <v>0</v>
      </c>
      <c r="BT237" s="525"/>
      <c r="BU237" s="523"/>
      <c r="BV237" s="523">
        <v>0</v>
      </c>
      <c r="BW237" s="523">
        <v>0</v>
      </c>
      <c r="BX237" s="523">
        <v>0</v>
      </c>
      <c r="BY237" s="523">
        <v>0</v>
      </c>
      <c r="BZ237" s="523"/>
      <c r="CA237" s="523"/>
      <c r="CB237" s="523"/>
      <c r="CC237" s="523"/>
      <c r="CD237" s="523"/>
      <c r="CE237" s="523"/>
      <c r="CF237" s="523"/>
      <c r="CG237" s="523"/>
      <c r="CH237" s="523"/>
      <c r="CI237" s="523">
        <f t="shared" si="49"/>
        <v>0</v>
      </c>
    </row>
    <row r="238" spans="1:87" ht="30" x14ac:dyDescent="0.2">
      <c r="A238" s="680" t="s">
        <v>1719</v>
      </c>
      <c r="B238" s="569" t="s">
        <v>1715</v>
      </c>
      <c r="C238" s="569" t="s">
        <v>1343</v>
      </c>
      <c r="D238" s="569" t="s">
        <v>1720</v>
      </c>
      <c r="E238" s="681" t="s">
        <v>102</v>
      </c>
      <c r="F238" s="571"/>
      <c r="G238" s="682">
        <v>2.4</v>
      </c>
      <c r="H238" s="681">
        <v>4</v>
      </c>
      <c r="I238" s="695">
        <f t="shared" si="50"/>
        <v>0</v>
      </c>
      <c r="J238" s="574">
        <f t="shared" si="51"/>
        <v>0</v>
      </c>
      <c r="K238" s="571">
        <f t="shared" si="46"/>
        <v>4</v>
      </c>
      <c r="L238" s="708">
        <f t="shared" si="54"/>
        <v>9.6</v>
      </c>
      <c r="M238" s="708">
        <f t="shared" si="54"/>
        <v>0</v>
      </c>
      <c r="N238" s="708">
        <f t="shared" si="54"/>
        <v>0</v>
      </c>
      <c r="O238" s="718">
        <f t="shared" si="54"/>
        <v>9.6</v>
      </c>
      <c r="P238" s="617">
        <f t="shared" si="48"/>
        <v>0</v>
      </c>
      <c r="Q238" s="525"/>
      <c r="S238" s="189">
        <v>0</v>
      </c>
      <c r="T238" s="189">
        <v>0</v>
      </c>
      <c r="BT238" s="525"/>
      <c r="BU238" s="523"/>
      <c r="BV238" s="523">
        <v>0</v>
      </c>
      <c r="BW238" s="523">
        <v>0</v>
      </c>
      <c r="BX238" s="523">
        <v>0</v>
      </c>
      <c r="BY238" s="523">
        <v>0</v>
      </c>
      <c r="BZ238" s="523"/>
      <c r="CA238" s="523"/>
      <c r="CB238" s="523"/>
      <c r="CC238" s="523"/>
      <c r="CD238" s="523"/>
      <c r="CE238" s="523"/>
      <c r="CF238" s="523"/>
      <c r="CG238" s="523"/>
      <c r="CH238" s="523"/>
      <c r="CI238" s="523">
        <f t="shared" si="49"/>
        <v>0</v>
      </c>
    </row>
    <row r="239" spans="1:87" ht="15.75" x14ac:dyDescent="0.2">
      <c r="A239" s="680" t="s">
        <v>1721</v>
      </c>
      <c r="B239" s="569">
        <v>73542</v>
      </c>
      <c r="C239" s="569" t="s">
        <v>1324</v>
      </c>
      <c r="D239" s="569" t="s">
        <v>1722</v>
      </c>
      <c r="E239" s="681" t="s">
        <v>1723</v>
      </c>
      <c r="F239" s="644">
        <v>5.76</v>
      </c>
      <c r="G239" s="682">
        <v>0.73</v>
      </c>
      <c r="H239" s="681">
        <v>15</v>
      </c>
      <c r="I239" s="695">
        <f t="shared" si="50"/>
        <v>0</v>
      </c>
      <c r="J239" s="574">
        <f t="shared" si="51"/>
        <v>0</v>
      </c>
      <c r="K239" s="644">
        <f t="shared" si="46"/>
        <v>15</v>
      </c>
      <c r="L239" s="708">
        <f t="shared" si="54"/>
        <v>10.95</v>
      </c>
      <c r="M239" s="708">
        <f t="shared" si="54"/>
        <v>0</v>
      </c>
      <c r="N239" s="708">
        <f t="shared" si="54"/>
        <v>0</v>
      </c>
      <c r="O239" s="718">
        <f t="shared" si="54"/>
        <v>10.95</v>
      </c>
      <c r="P239" s="617">
        <f t="shared" si="48"/>
        <v>0</v>
      </c>
      <c r="Q239" s="525"/>
      <c r="S239" s="189">
        <v>0</v>
      </c>
      <c r="T239" s="189">
        <v>0</v>
      </c>
      <c r="BT239" s="525"/>
      <c r="BU239" s="523"/>
      <c r="BV239" s="523">
        <v>0</v>
      </c>
      <c r="BW239" s="523">
        <v>0</v>
      </c>
      <c r="BX239" s="523">
        <v>0</v>
      </c>
      <c r="BY239" s="523">
        <v>0</v>
      </c>
      <c r="BZ239" s="523"/>
      <c r="CA239" s="523"/>
      <c r="CB239" s="523"/>
      <c r="CC239" s="523"/>
      <c r="CD239" s="523"/>
      <c r="CE239" s="523"/>
      <c r="CF239" s="523"/>
      <c r="CG239" s="523"/>
      <c r="CH239" s="523"/>
      <c r="CI239" s="523">
        <f t="shared" si="49"/>
        <v>0</v>
      </c>
    </row>
    <row r="240" spans="1:87" ht="15.75" x14ac:dyDescent="0.2">
      <c r="A240" s="680" t="s">
        <v>1724</v>
      </c>
      <c r="B240" s="569">
        <v>84158</v>
      </c>
      <c r="C240" s="569" t="s">
        <v>1324</v>
      </c>
      <c r="D240" s="569" t="s">
        <v>1725</v>
      </c>
      <c r="E240" s="681" t="s">
        <v>1723</v>
      </c>
      <c r="F240" s="644">
        <v>8.1999999999999993</v>
      </c>
      <c r="G240" s="682">
        <v>1.42</v>
      </c>
      <c r="H240" s="681">
        <v>2</v>
      </c>
      <c r="I240" s="695">
        <f t="shared" si="50"/>
        <v>0</v>
      </c>
      <c r="J240" s="574">
        <f t="shared" si="51"/>
        <v>0</v>
      </c>
      <c r="K240" s="644">
        <f t="shared" si="46"/>
        <v>2</v>
      </c>
      <c r="L240" s="708">
        <f t="shared" si="54"/>
        <v>2.84</v>
      </c>
      <c r="M240" s="708">
        <f t="shared" si="54"/>
        <v>0</v>
      </c>
      <c r="N240" s="708">
        <f t="shared" si="54"/>
        <v>0</v>
      </c>
      <c r="O240" s="718">
        <f t="shared" si="54"/>
        <v>2.84</v>
      </c>
      <c r="P240" s="617">
        <f t="shared" si="48"/>
        <v>0</v>
      </c>
      <c r="Q240" s="525"/>
      <c r="S240" s="189">
        <v>0</v>
      </c>
      <c r="T240" s="189">
        <v>0</v>
      </c>
      <c r="BT240" s="525"/>
      <c r="BU240" s="523"/>
      <c r="BV240" s="523">
        <v>0</v>
      </c>
      <c r="BW240" s="523">
        <v>0</v>
      </c>
      <c r="BX240" s="523">
        <v>0</v>
      </c>
      <c r="BY240" s="523">
        <v>0</v>
      </c>
      <c r="BZ240" s="523"/>
      <c r="CA240" s="523"/>
      <c r="CB240" s="523"/>
      <c r="CC240" s="523"/>
      <c r="CD240" s="523"/>
      <c r="CE240" s="523"/>
      <c r="CF240" s="523"/>
      <c r="CG240" s="523"/>
      <c r="CH240" s="523"/>
      <c r="CI240" s="523">
        <f t="shared" si="49"/>
        <v>0</v>
      </c>
    </row>
    <row r="241" spans="1:87" ht="15.75" x14ac:dyDescent="0.2">
      <c r="A241" s="680" t="s">
        <v>1726</v>
      </c>
      <c r="B241" s="569">
        <v>84159</v>
      </c>
      <c r="C241" s="569" t="s">
        <v>1324</v>
      </c>
      <c r="D241" s="569" t="s">
        <v>1727</v>
      </c>
      <c r="E241" s="681" t="s">
        <v>1723</v>
      </c>
      <c r="F241" s="644">
        <v>13.75</v>
      </c>
      <c r="G241" s="682">
        <v>3.16</v>
      </c>
      <c r="H241" s="681">
        <v>1</v>
      </c>
      <c r="I241" s="695">
        <f t="shared" si="50"/>
        <v>0</v>
      </c>
      <c r="J241" s="574">
        <f t="shared" si="51"/>
        <v>0</v>
      </c>
      <c r="K241" s="644">
        <f t="shared" si="46"/>
        <v>1</v>
      </c>
      <c r="L241" s="708">
        <f t="shared" si="54"/>
        <v>3.16</v>
      </c>
      <c r="M241" s="708">
        <f t="shared" si="54"/>
        <v>0</v>
      </c>
      <c r="N241" s="708">
        <f t="shared" si="54"/>
        <v>0</v>
      </c>
      <c r="O241" s="718">
        <f t="shared" si="54"/>
        <v>3.16</v>
      </c>
      <c r="P241" s="617">
        <f t="shared" si="48"/>
        <v>0</v>
      </c>
      <c r="Q241" s="525"/>
      <c r="S241" s="189">
        <v>0</v>
      </c>
      <c r="T241" s="189">
        <v>0</v>
      </c>
      <c r="BT241" s="525"/>
      <c r="BU241" s="523"/>
      <c r="BV241" s="523">
        <v>0</v>
      </c>
      <c r="BW241" s="523">
        <v>0</v>
      </c>
      <c r="BX241" s="523">
        <v>0</v>
      </c>
      <c r="BY241" s="523">
        <v>0</v>
      </c>
      <c r="BZ241" s="523"/>
      <c r="CA241" s="523"/>
      <c r="CB241" s="523"/>
      <c r="CC241" s="523"/>
      <c r="CD241" s="523"/>
      <c r="CE241" s="523"/>
      <c r="CF241" s="523"/>
      <c r="CG241" s="523"/>
      <c r="CH241" s="523"/>
      <c r="CI241" s="523">
        <f t="shared" si="49"/>
        <v>0</v>
      </c>
    </row>
    <row r="242" spans="1:87" ht="15.75" x14ac:dyDescent="0.2">
      <c r="A242" s="680" t="s">
        <v>1728</v>
      </c>
      <c r="B242" s="569">
        <v>92695</v>
      </c>
      <c r="C242" s="569" t="s">
        <v>1324</v>
      </c>
      <c r="D242" s="569" t="s">
        <v>1729</v>
      </c>
      <c r="E242" s="681" t="s">
        <v>102</v>
      </c>
      <c r="F242" s="644">
        <v>27.72</v>
      </c>
      <c r="G242" s="682">
        <v>14</v>
      </c>
      <c r="H242" s="681">
        <v>15</v>
      </c>
      <c r="I242" s="695">
        <f t="shared" si="50"/>
        <v>0</v>
      </c>
      <c r="J242" s="574">
        <f t="shared" si="51"/>
        <v>0</v>
      </c>
      <c r="K242" s="644">
        <f t="shared" si="46"/>
        <v>15</v>
      </c>
      <c r="L242" s="708">
        <f t="shared" si="54"/>
        <v>210</v>
      </c>
      <c r="M242" s="708">
        <f t="shared" si="54"/>
        <v>0</v>
      </c>
      <c r="N242" s="708">
        <f t="shared" si="54"/>
        <v>0</v>
      </c>
      <c r="O242" s="718">
        <f t="shared" si="54"/>
        <v>210</v>
      </c>
      <c r="P242" s="617">
        <f t="shared" si="48"/>
        <v>0</v>
      </c>
      <c r="Q242" s="525"/>
      <c r="S242" s="189">
        <v>0</v>
      </c>
      <c r="T242" s="189">
        <v>0</v>
      </c>
      <c r="BT242" s="525"/>
      <c r="BU242" s="523"/>
      <c r="BV242" s="523">
        <v>0</v>
      </c>
      <c r="BW242" s="523">
        <v>0</v>
      </c>
      <c r="BX242" s="523">
        <v>0</v>
      </c>
      <c r="BY242" s="523">
        <v>0</v>
      </c>
      <c r="BZ242" s="523"/>
      <c r="CA242" s="523"/>
      <c r="CB242" s="523"/>
      <c r="CC242" s="523"/>
      <c r="CD242" s="523"/>
      <c r="CE242" s="523"/>
      <c r="CF242" s="523"/>
      <c r="CG242" s="523"/>
      <c r="CH242" s="523"/>
      <c r="CI242" s="523">
        <f t="shared" si="49"/>
        <v>0</v>
      </c>
    </row>
    <row r="243" spans="1:87" ht="15.75" x14ac:dyDescent="0.2">
      <c r="A243" s="680" t="s">
        <v>1730</v>
      </c>
      <c r="B243" s="569">
        <v>92697</v>
      </c>
      <c r="C243" s="569" t="s">
        <v>1324</v>
      </c>
      <c r="D243" s="569" t="s">
        <v>1731</v>
      </c>
      <c r="E243" s="681" t="s">
        <v>102</v>
      </c>
      <c r="F243" s="644">
        <v>71.03</v>
      </c>
      <c r="G243" s="682">
        <v>22.66</v>
      </c>
      <c r="H243" s="681">
        <v>2</v>
      </c>
      <c r="I243" s="695">
        <f t="shared" si="50"/>
        <v>0</v>
      </c>
      <c r="J243" s="574">
        <f t="shared" si="51"/>
        <v>0</v>
      </c>
      <c r="K243" s="644">
        <f t="shared" si="46"/>
        <v>2</v>
      </c>
      <c r="L243" s="708">
        <f t="shared" si="54"/>
        <v>45.32</v>
      </c>
      <c r="M243" s="708">
        <f t="shared" si="54"/>
        <v>0</v>
      </c>
      <c r="N243" s="708">
        <f t="shared" si="54"/>
        <v>0</v>
      </c>
      <c r="O243" s="718">
        <f t="shared" si="54"/>
        <v>45.32</v>
      </c>
      <c r="P243" s="617">
        <f t="shared" si="48"/>
        <v>0</v>
      </c>
      <c r="Q243" s="525"/>
      <c r="S243" s="189">
        <v>0</v>
      </c>
      <c r="T243" s="189">
        <v>0</v>
      </c>
      <c r="BT243" s="525"/>
      <c r="BU243" s="523"/>
      <c r="BV243" s="523">
        <v>0</v>
      </c>
      <c r="BW243" s="523">
        <v>0</v>
      </c>
      <c r="BX243" s="523">
        <v>0</v>
      </c>
      <c r="BY243" s="523">
        <v>0</v>
      </c>
      <c r="BZ243" s="523"/>
      <c r="CA243" s="523"/>
      <c r="CB243" s="523"/>
      <c r="CC243" s="523"/>
      <c r="CD243" s="523"/>
      <c r="CE243" s="523"/>
      <c r="CF243" s="523"/>
      <c r="CG243" s="523"/>
      <c r="CH243" s="523"/>
      <c r="CI243" s="523">
        <f t="shared" si="49"/>
        <v>0</v>
      </c>
    </row>
    <row r="244" spans="1:87" ht="15.75" x14ac:dyDescent="0.2">
      <c r="A244" s="680" t="s">
        <v>1732</v>
      </c>
      <c r="B244" s="569">
        <v>92662</v>
      </c>
      <c r="C244" s="569" t="s">
        <v>1324</v>
      </c>
      <c r="D244" s="569" t="s">
        <v>1733</v>
      </c>
      <c r="E244" s="681" t="s">
        <v>102</v>
      </c>
      <c r="F244" s="644">
        <v>12.99</v>
      </c>
      <c r="G244" s="682">
        <v>22.38</v>
      </c>
      <c r="H244" s="681">
        <v>1</v>
      </c>
      <c r="I244" s="695">
        <f t="shared" si="50"/>
        <v>0</v>
      </c>
      <c r="J244" s="574">
        <f t="shared" si="51"/>
        <v>0</v>
      </c>
      <c r="K244" s="644">
        <f t="shared" si="46"/>
        <v>1</v>
      </c>
      <c r="L244" s="708">
        <f t="shared" si="54"/>
        <v>22.38</v>
      </c>
      <c r="M244" s="708">
        <f t="shared" si="54"/>
        <v>0</v>
      </c>
      <c r="N244" s="708">
        <f t="shared" si="54"/>
        <v>0</v>
      </c>
      <c r="O244" s="718">
        <f t="shared" si="54"/>
        <v>22.38</v>
      </c>
      <c r="P244" s="617">
        <f t="shared" si="48"/>
        <v>0</v>
      </c>
      <c r="Q244" s="525"/>
      <c r="S244" s="189">
        <v>0</v>
      </c>
      <c r="T244" s="189">
        <v>0</v>
      </c>
      <c r="BT244" s="525"/>
      <c r="BU244" s="523"/>
      <c r="BV244" s="523">
        <v>0</v>
      </c>
      <c r="BW244" s="523">
        <v>0</v>
      </c>
      <c r="BX244" s="523">
        <v>0</v>
      </c>
      <c r="BY244" s="523">
        <v>0</v>
      </c>
      <c r="BZ244" s="523"/>
      <c r="CA244" s="523"/>
      <c r="CB244" s="523"/>
      <c r="CC244" s="523"/>
      <c r="CD244" s="523"/>
      <c r="CE244" s="523"/>
      <c r="CF244" s="523"/>
      <c r="CG244" s="523"/>
      <c r="CH244" s="523"/>
      <c r="CI244" s="523">
        <f t="shared" si="49"/>
        <v>0</v>
      </c>
    </row>
    <row r="245" spans="1:87" ht="15.75" x14ac:dyDescent="0.2">
      <c r="A245" s="680" t="s">
        <v>1734</v>
      </c>
      <c r="B245" s="569">
        <v>92868</v>
      </c>
      <c r="C245" s="569" t="s">
        <v>1324</v>
      </c>
      <c r="D245" s="569" t="s">
        <v>1735</v>
      </c>
      <c r="E245" s="681" t="s">
        <v>102</v>
      </c>
      <c r="F245" s="644">
        <v>14.25</v>
      </c>
      <c r="G245" s="682">
        <v>9.5299999999999994</v>
      </c>
      <c r="H245" s="681">
        <v>16</v>
      </c>
      <c r="I245" s="695">
        <f t="shared" si="50"/>
        <v>0</v>
      </c>
      <c r="J245" s="574">
        <f t="shared" si="51"/>
        <v>0</v>
      </c>
      <c r="K245" s="644">
        <f t="shared" si="46"/>
        <v>16</v>
      </c>
      <c r="L245" s="708">
        <f t="shared" si="54"/>
        <v>152.47999999999999</v>
      </c>
      <c r="M245" s="708">
        <f t="shared" si="54"/>
        <v>0</v>
      </c>
      <c r="N245" s="708">
        <f t="shared" si="54"/>
        <v>0</v>
      </c>
      <c r="O245" s="718">
        <f t="shared" si="54"/>
        <v>152.47999999999999</v>
      </c>
      <c r="P245" s="617">
        <f t="shared" si="48"/>
        <v>0</v>
      </c>
      <c r="Q245" s="525"/>
      <c r="S245" s="189">
        <v>0</v>
      </c>
      <c r="T245" s="189">
        <v>0</v>
      </c>
      <c r="BT245" s="525"/>
      <c r="BU245" s="523"/>
      <c r="BV245" s="523">
        <v>0</v>
      </c>
      <c r="BW245" s="523">
        <v>0</v>
      </c>
      <c r="BX245" s="523">
        <v>0</v>
      </c>
      <c r="BY245" s="523">
        <v>0</v>
      </c>
      <c r="BZ245" s="523"/>
      <c r="CA245" s="523"/>
      <c r="CB245" s="523"/>
      <c r="CC245" s="523"/>
      <c r="CD245" s="523"/>
      <c r="CE245" s="523"/>
      <c r="CF245" s="523"/>
      <c r="CG245" s="523"/>
      <c r="CH245" s="523"/>
      <c r="CI245" s="523">
        <f t="shared" si="49"/>
        <v>0</v>
      </c>
    </row>
    <row r="246" spans="1:87" s="657" customFormat="1" ht="15.75" x14ac:dyDescent="0.2">
      <c r="A246" s="680" t="s">
        <v>1736</v>
      </c>
      <c r="B246" s="569">
        <v>92865</v>
      </c>
      <c r="C246" s="569" t="s">
        <v>1324</v>
      </c>
      <c r="D246" s="569" t="s">
        <v>1737</v>
      </c>
      <c r="E246" s="681" t="s">
        <v>102</v>
      </c>
      <c r="F246" s="644">
        <v>13.19</v>
      </c>
      <c r="G246" s="682">
        <v>6.13</v>
      </c>
      <c r="H246" s="681">
        <v>7</v>
      </c>
      <c r="I246" s="695">
        <f t="shared" si="50"/>
        <v>0</v>
      </c>
      <c r="J246" s="574">
        <f t="shared" si="51"/>
        <v>0</v>
      </c>
      <c r="K246" s="644">
        <f t="shared" si="46"/>
        <v>7</v>
      </c>
      <c r="L246" s="708">
        <f t="shared" si="54"/>
        <v>42.91</v>
      </c>
      <c r="M246" s="708">
        <f t="shared" si="54"/>
        <v>0</v>
      </c>
      <c r="N246" s="708">
        <f t="shared" si="54"/>
        <v>0</v>
      </c>
      <c r="O246" s="718">
        <f t="shared" si="54"/>
        <v>42.91</v>
      </c>
      <c r="P246" s="617">
        <f t="shared" si="48"/>
        <v>0</v>
      </c>
      <c r="Q246" s="525"/>
      <c r="S246" s="190">
        <v>0</v>
      </c>
      <c r="T246" s="190">
        <v>0</v>
      </c>
      <c r="BT246" s="525"/>
      <c r="BU246" s="523"/>
      <c r="BV246" s="523">
        <v>0</v>
      </c>
      <c r="BW246" s="523">
        <v>0</v>
      </c>
      <c r="BX246" s="523">
        <v>0</v>
      </c>
      <c r="BY246" s="523">
        <v>0</v>
      </c>
      <c r="BZ246" s="523"/>
      <c r="CA246" s="523"/>
      <c r="CB246" s="523"/>
      <c r="CC246" s="523"/>
      <c r="CD246" s="523"/>
      <c r="CE246" s="523"/>
      <c r="CF246" s="523"/>
      <c r="CG246" s="523"/>
      <c r="CH246" s="523"/>
      <c r="CI246" s="523">
        <f t="shared" si="49"/>
        <v>0</v>
      </c>
    </row>
    <row r="247" spans="1:87" ht="15.75" x14ac:dyDescent="0.2">
      <c r="A247" s="605" t="s">
        <v>634</v>
      </c>
      <c r="B247" s="586"/>
      <c r="C247" s="586"/>
      <c r="D247" s="586" t="s">
        <v>1738</v>
      </c>
      <c r="E247" s="683"/>
      <c r="F247" s="683"/>
      <c r="G247" s="683"/>
      <c r="H247" s="683"/>
      <c r="I247" s="683"/>
      <c r="J247" s="683"/>
      <c r="K247" s="683"/>
      <c r="L247" s="733">
        <f>SUM(L248:L251)</f>
        <v>4345.79</v>
      </c>
      <c r="M247" s="733">
        <f>SUM(M248:M251)</f>
        <v>0</v>
      </c>
      <c r="N247" s="733">
        <f>SUM(N248:N251)</f>
        <v>0</v>
      </c>
      <c r="O247" s="722">
        <f>SUM(O248:O251)</f>
        <v>4345.79</v>
      </c>
      <c r="P247" s="611">
        <f t="shared" si="48"/>
        <v>0</v>
      </c>
      <c r="Q247" s="525"/>
      <c r="S247" s="189">
        <v>0</v>
      </c>
      <c r="T247" s="189">
        <v>0</v>
      </c>
      <c r="BT247" s="525"/>
      <c r="BU247" s="523"/>
      <c r="BV247" s="523">
        <v>0</v>
      </c>
      <c r="BW247" s="523">
        <v>0</v>
      </c>
      <c r="BX247" s="523"/>
      <c r="BY247" s="523"/>
      <c r="BZ247" s="523"/>
      <c r="CA247" s="523"/>
      <c r="CB247" s="523"/>
      <c r="CC247" s="523"/>
      <c r="CD247" s="523"/>
      <c r="CE247" s="523"/>
      <c r="CF247" s="523"/>
      <c r="CG247" s="523"/>
      <c r="CH247" s="523"/>
      <c r="CI247" s="523">
        <f t="shared" si="49"/>
        <v>0</v>
      </c>
    </row>
    <row r="248" spans="1:87" ht="15.75" x14ac:dyDescent="0.2">
      <c r="A248" s="680" t="s">
        <v>1739</v>
      </c>
      <c r="B248" s="569">
        <v>91926</v>
      </c>
      <c r="C248" s="569" t="s">
        <v>1324</v>
      </c>
      <c r="D248" s="569" t="s">
        <v>1740</v>
      </c>
      <c r="E248" s="681" t="s">
        <v>81</v>
      </c>
      <c r="F248" s="644">
        <v>26.32</v>
      </c>
      <c r="G248" s="682">
        <v>2.31</v>
      </c>
      <c r="H248" s="681">
        <v>190</v>
      </c>
      <c r="I248" s="695">
        <f t="shared" si="50"/>
        <v>0</v>
      </c>
      <c r="J248" s="574">
        <f t="shared" si="51"/>
        <v>0</v>
      </c>
      <c r="K248" s="644">
        <f t="shared" si="46"/>
        <v>190</v>
      </c>
      <c r="L248" s="708">
        <f t="shared" ref="L248:O251" si="55">ROUND(H248*$G248,2)</f>
        <v>438.9</v>
      </c>
      <c r="M248" s="708">
        <f t="shared" si="55"/>
        <v>0</v>
      </c>
      <c r="N248" s="708">
        <f t="shared" si="55"/>
        <v>0</v>
      </c>
      <c r="O248" s="718">
        <f t="shared" si="55"/>
        <v>438.9</v>
      </c>
      <c r="P248" s="617">
        <f t="shared" si="48"/>
        <v>0</v>
      </c>
      <c r="Q248" s="525"/>
      <c r="S248" s="189">
        <v>0</v>
      </c>
      <c r="T248" s="189">
        <v>0</v>
      </c>
      <c r="BT248" s="525"/>
      <c r="BU248" s="523"/>
      <c r="BV248" s="523">
        <v>0</v>
      </c>
      <c r="BW248" s="523">
        <v>0</v>
      </c>
      <c r="BX248" s="523">
        <v>0</v>
      </c>
      <c r="BY248" s="523">
        <v>0</v>
      </c>
      <c r="BZ248" s="523"/>
      <c r="CA248" s="523"/>
      <c r="CB248" s="523"/>
      <c r="CC248" s="523"/>
      <c r="CD248" s="523"/>
      <c r="CE248" s="523"/>
      <c r="CF248" s="523"/>
      <c r="CG248" s="523"/>
      <c r="CH248" s="523"/>
      <c r="CI248" s="523">
        <f t="shared" si="49"/>
        <v>0</v>
      </c>
    </row>
    <row r="249" spans="1:87" ht="15.75" x14ac:dyDescent="0.2">
      <c r="A249" s="680" t="s">
        <v>1741</v>
      </c>
      <c r="B249" s="569">
        <v>91928</v>
      </c>
      <c r="C249" s="569" t="s">
        <v>1324</v>
      </c>
      <c r="D249" s="569" t="s">
        <v>1742</v>
      </c>
      <c r="E249" s="681" t="s">
        <v>81</v>
      </c>
      <c r="F249" s="644">
        <v>61.2</v>
      </c>
      <c r="G249" s="682">
        <v>3.64</v>
      </c>
      <c r="H249" s="681">
        <v>820</v>
      </c>
      <c r="I249" s="695">
        <f t="shared" si="50"/>
        <v>0</v>
      </c>
      <c r="J249" s="574">
        <f t="shared" si="51"/>
        <v>0</v>
      </c>
      <c r="K249" s="644">
        <f t="shared" si="46"/>
        <v>820</v>
      </c>
      <c r="L249" s="708">
        <f t="shared" si="55"/>
        <v>2984.8</v>
      </c>
      <c r="M249" s="708">
        <f t="shared" si="55"/>
        <v>0</v>
      </c>
      <c r="N249" s="708">
        <f t="shared" si="55"/>
        <v>0</v>
      </c>
      <c r="O249" s="718">
        <f t="shared" si="55"/>
        <v>2984.8</v>
      </c>
      <c r="P249" s="617">
        <f t="shared" si="48"/>
        <v>0</v>
      </c>
      <c r="Q249" s="525"/>
      <c r="S249" s="189">
        <v>0</v>
      </c>
      <c r="T249" s="189">
        <v>0</v>
      </c>
      <c r="BT249" s="525"/>
      <c r="BU249" s="523"/>
      <c r="BV249" s="523">
        <v>0</v>
      </c>
      <c r="BW249" s="523">
        <v>0</v>
      </c>
      <c r="BX249" s="523">
        <v>0</v>
      </c>
      <c r="BY249" s="523">
        <v>0</v>
      </c>
      <c r="BZ249" s="523"/>
      <c r="CA249" s="523"/>
      <c r="CB249" s="523"/>
      <c r="CC249" s="523"/>
      <c r="CD249" s="523"/>
      <c r="CE249" s="523"/>
      <c r="CF249" s="523"/>
      <c r="CG249" s="523"/>
      <c r="CH249" s="523"/>
      <c r="CI249" s="523">
        <f t="shared" si="49"/>
        <v>0</v>
      </c>
    </row>
    <row r="250" spans="1:87" ht="15.75" x14ac:dyDescent="0.2">
      <c r="A250" s="680" t="s">
        <v>1743</v>
      </c>
      <c r="B250" s="569">
        <v>91934</v>
      </c>
      <c r="C250" s="569" t="s">
        <v>1324</v>
      </c>
      <c r="D250" s="569" t="s">
        <v>1744</v>
      </c>
      <c r="E250" s="681" t="s">
        <v>81</v>
      </c>
      <c r="F250" s="571"/>
      <c r="G250" s="682">
        <v>12.3</v>
      </c>
      <c r="H250" s="681">
        <v>14</v>
      </c>
      <c r="I250" s="695">
        <f t="shared" si="50"/>
        <v>0</v>
      </c>
      <c r="J250" s="574">
        <f t="shared" si="51"/>
        <v>0</v>
      </c>
      <c r="K250" s="644">
        <f t="shared" si="46"/>
        <v>14</v>
      </c>
      <c r="L250" s="708">
        <f t="shared" si="55"/>
        <v>172.2</v>
      </c>
      <c r="M250" s="708">
        <f t="shared" si="55"/>
        <v>0</v>
      </c>
      <c r="N250" s="708">
        <f t="shared" si="55"/>
        <v>0</v>
      </c>
      <c r="O250" s="718">
        <f t="shared" si="55"/>
        <v>172.2</v>
      </c>
      <c r="P250" s="617">
        <f t="shared" si="48"/>
        <v>0</v>
      </c>
      <c r="Q250" s="525"/>
      <c r="S250" s="189">
        <v>0</v>
      </c>
      <c r="T250" s="189">
        <v>0</v>
      </c>
      <c r="BT250" s="525"/>
      <c r="BU250" s="523"/>
      <c r="BV250" s="523">
        <v>0</v>
      </c>
      <c r="BW250" s="523">
        <v>0</v>
      </c>
      <c r="BX250" s="523">
        <v>0</v>
      </c>
      <c r="BY250" s="523">
        <v>0</v>
      </c>
      <c r="BZ250" s="523"/>
      <c r="CA250" s="523"/>
      <c r="CB250" s="523"/>
      <c r="CC250" s="523"/>
      <c r="CD250" s="523"/>
      <c r="CE250" s="523"/>
      <c r="CF250" s="523"/>
      <c r="CG250" s="523"/>
      <c r="CH250" s="523"/>
      <c r="CI250" s="523">
        <f t="shared" si="49"/>
        <v>0</v>
      </c>
    </row>
    <row r="251" spans="1:87" s="657" customFormat="1" ht="15.75" x14ac:dyDescent="0.2">
      <c r="A251" s="680" t="s">
        <v>1745</v>
      </c>
      <c r="B251" s="569">
        <v>92985</v>
      </c>
      <c r="C251" s="569" t="s">
        <v>1324</v>
      </c>
      <c r="D251" s="569" t="s">
        <v>1746</v>
      </c>
      <c r="E251" s="681" t="s">
        <v>81</v>
      </c>
      <c r="F251" s="644">
        <v>8.39</v>
      </c>
      <c r="G251" s="682">
        <v>18.29</v>
      </c>
      <c r="H251" s="681">
        <v>41</v>
      </c>
      <c r="I251" s="695">
        <f t="shared" si="50"/>
        <v>0</v>
      </c>
      <c r="J251" s="574">
        <f t="shared" si="51"/>
        <v>0</v>
      </c>
      <c r="K251" s="644">
        <f t="shared" si="46"/>
        <v>41</v>
      </c>
      <c r="L251" s="708">
        <f t="shared" si="55"/>
        <v>749.89</v>
      </c>
      <c r="M251" s="708">
        <f t="shared" si="55"/>
        <v>0</v>
      </c>
      <c r="N251" s="708">
        <f t="shared" si="55"/>
        <v>0</v>
      </c>
      <c r="O251" s="718">
        <f t="shared" si="55"/>
        <v>749.89</v>
      </c>
      <c r="P251" s="617">
        <f t="shared" si="48"/>
        <v>0</v>
      </c>
      <c r="Q251" s="525"/>
      <c r="S251" s="190">
        <v>0</v>
      </c>
      <c r="T251" s="190">
        <v>0</v>
      </c>
      <c r="BT251" s="525"/>
      <c r="BU251" s="523"/>
      <c r="BV251" s="523">
        <v>0</v>
      </c>
      <c r="BW251" s="523">
        <v>0</v>
      </c>
      <c r="BX251" s="523">
        <v>0</v>
      </c>
      <c r="BY251" s="523">
        <v>0</v>
      </c>
      <c r="BZ251" s="523"/>
      <c r="CA251" s="523"/>
      <c r="CB251" s="523"/>
      <c r="CC251" s="523"/>
      <c r="CD251" s="523"/>
      <c r="CE251" s="523"/>
      <c r="CF251" s="523"/>
      <c r="CG251" s="523"/>
      <c r="CH251" s="523"/>
      <c r="CI251" s="523">
        <f t="shared" si="49"/>
        <v>0</v>
      </c>
    </row>
    <row r="252" spans="1:87" ht="15.75" x14ac:dyDescent="0.2">
      <c r="A252" s="605" t="s">
        <v>640</v>
      </c>
      <c r="B252" s="586"/>
      <c r="C252" s="586"/>
      <c r="D252" s="586" t="s">
        <v>1747</v>
      </c>
      <c r="E252" s="683"/>
      <c r="F252" s="683"/>
      <c r="G252" s="683"/>
      <c r="H252" s="683"/>
      <c r="I252" s="683"/>
      <c r="J252" s="683"/>
      <c r="K252" s="683"/>
      <c r="L252" s="733">
        <f>SUM(L253:L258)</f>
        <v>10299.74</v>
      </c>
      <c r="M252" s="733">
        <f>SUM(M253:M258)</f>
        <v>0</v>
      </c>
      <c r="N252" s="733">
        <f>SUM(N253:N258)</f>
        <v>0</v>
      </c>
      <c r="O252" s="722">
        <f>SUM(O253:O258)</f>
        <v>10299.74</v>
      </c>
      <c r="P252" s="611">
        <f t="shared" si="48"/>
        <v>0</v>
      </c>
      <c r="Q252" s="525"/>
      <c r="S252" s="189">
        <v>0</v>
      </c>
      <c r="T252" s="189">
        <v>0</v>
      </c>
      <c r="BT252" s="525"/>
      <c r="BU252" s="523"/>
      <c r="BV252" s="523">
        <v>0</v>
      </c>
      <c r="BW252" s="523">
        <v>0</v>
      </c>
      <c r="BX252" s="523"/>
      <c r="BY252" s="523"/>
      <c r="BZ252" s="523"/>
      <c r="CA252" s="523"/>
      <c r="CB252" s="523"/>
      <c r="CC252" s="523"/>
      <c r="CD252" s="523"/>
      <c r="CE252" s="523"/>
      <c r="CF252" s="523"/>
      <c r="CG252" s="523"/>
      <c r="CH252" s="523"/>
      <c r="CI252" s="523">
        <f t="shared" si="49"/>
        <v>0</v>
      </c>
    </row>
    <row r="253" spans="1:87" ht="15.75" x14ac:dyDescent="0.2">
      <c r="A253" s="680" t="s">
        <v>1748</v>
      </c>
      <c r="B253" s="569">
        <v>92000</v>
      </c>
      <c r="C253" s="569" t="s">
        <v>1324</v>
      </c>
      <c r="D253" s="569" t="s">
        <v>1749</v>
      </c>
      <c r="E253" s="681" t="s">
        <v>102</v>
      </c>
      <c r="F253" s="644">
        <v>21.53</v>
      </c>
      <c r="G253" s="682">
        <v>20.07</v>
      </c>
      <c r="H253" s="681">
        <v>4</v>
      </c>
      <c r="I253" s="695">
        <f t="shared" si="50"/>
        <v>0</v>
      </c>
      <c r="J253" s="574">
        <f t="shared" si="51"/>
        <v>0</v>
      </c>
      <c r="K253" s="644">
        <f t="shared" si="46"/>
        <v>4</v>
      </c>
      <c r="L253" s="708">
        <f t="shared" ref="L253:O258" si="56">ROUND(H253*$G253,2)</f>
        <v>80.28</v>
      </c>
      <c r="M253" s="708">
        <f t="shared" si="56"/>
        <v>0</v>
      </c>
      <c r="N253" s="708">
        <f t="shared" si="56"/>
        <v>0</v>
      </c>
      <c r="O253" s="718">
        <f t="shared" si="56"/>
        <v>80.28</v>
      </c>
      <c r="P253" s="617">
        <f t="shared" si="48"/>
        <v>0</v>
      </c>
      <c r="Q253" s="525"/>
      <c r="S253" s="189">
        <v>0</v>
      </c>
      <c r="T253" s="189">
        <v>0</v>
      </c>
      <c r="BT253" s="525"/>
      <c r="BU253" s="523"/>
      <c r="BV253" s="523">
        <v>0</v>
      </c>
      <c r="BW253" s="523">
        <v>0</v>
      </c>
      <c r="BX253" s="523">
        <v>0</v>
      </c>
      <c r="BY253" s="523">
        <v>0</v>
      </c>
      <c r="BZ253" s="523"/>
      <c r="CA253" s="523"/>
      <c r="CB253" s="523"/>
      <c r="CC253" s="523"/>
      <c r="CD253" s="523"/>
      <c r="CE253" s="523"/>
      <c r="CF253" s="523"/>
      <c r="CG253" s="523"/>
      <c r="CH253" s="523"/>
      <c r="CI253" s="523">
        <f t="shared" si="49"/>
        <v>0</v>
      </c>
    </row>
    <row r="254" spans="1:87" ht="15.75" x14ac:dyDescent="0.2">
      <c r="A254" s="680" t="s">
        <v>1750</v>
      </c>
      <c r="B254" s="569">
        <v>92001</v>
      </c>
      <c r="C254" s="569" t="s">
        <v>1324</v>
      </c>
      <c r="D254" s="569" t="s">
        <v>1751</v>
      </c>
      <c r="E254" s="681" t="s">
        <v>102</v>
      </c>
      <c r="F254" s="644">
        <v>133.13999999999999</v>
      </c>
      <c r="G254" s="682">
        <v>21.83</v>
      </c>
      <c r="H254" s="681">
        <v>1</v>
      </c>
      <c r="I254" s="695">
        <f t="shared" si="50"/>
        <v>0</v>
      </c>
      <c r="J254" s="574">
        <f t="shared" si="51"/>
        <v>0</v>
      </c>
      <c r="K254" s="644">
        <f t="shared" si="46"/>
        <v>1</v>
      </c>
      <c r="L254" s="708">
        <f t="shared" si="56"/>
        <v>21.83</v>
      </c>
      <c r="M254" s="708">
        <f t="shared" si="56"/>
        <v>0</v>
      </c>
      <c r="N254" s="708">
        <f t="shared" si="56"/>
        <v>0</v>
      </c>
      <c r="O254" s="718">
        <f t="shared" si="56"/>
        <v>21.83</v>
      </c>
      <c r="P254" s="617">
        <f t="shared" si="48"/>
        <v>0</v>
      </c>
      <c r="Q254" s="525"/>
      <c r="S254" s="189">
        <v>0</v>
      </c>
      <c r="T254" s="189">
        <v>0</v>
      </c>
      <c r="BT254" s="525"/>
      <c r="BU254" s="523"/>
      <c r="BV254" s="523">
        <v>0</v>
      </c>
      <c r="BW254" s="523">
        <v>0</v>
      </c>
      <c r="BX254" s="523">
        <v>0</v>
      </c>
      <c r="BY254" s="523">
        <v>0</v>
      </c>
      <c r="BZ254" s="523"/>
      <c r="CA254" s="523"/>
      <c r="CB254" s="523"/>
      <c r="CC254" s="523"/>
      <c r="CD254" s="523"/>
      <c r="CE254" s="523"/>
      <c r="CF254" s="523"/>
      <c r="CG254" s="523"/>
      <c r="CH254" s="523"/>
      <c r="CI254" s="523">
        <f t="shared" si="49"/>
        <v>0</v>
      </c>
    </row>
    <row r="255" spans="1:87" ht="15.75" x14ac:dyDescent="0.2">
      <c r="A255" s="680" t="s">
        <v>1752</v>
      </c>
      <c r="B255" s="569">
        <v>91953</v>
      </c>
      <c r="C255" s="569" t="s">
        <v>1324</v>
      </c>
      <c r="D255" s="569" t="s">
        <v>1753</v>
      </c>
      <c r="E255" s="681" t="s">
        <v>102</v>
      </c>
      <c r="F255" s="571"/>
      <c r="G255" s="682">
        <v>18.98</v>
      </c>
      <c r="H255" s="681">
        <v>7</v>
      </c>
      <c r="I255" s="695">
        <f t="shared" si="50"/>
        <v>0</v>
      </c>
      <c r="J255" s="574">
        <f t="shared" si="51"/>
        <v>0</v>
      </c>
      <c r="K255" s="644">
        <f t="shared" si="46"/>
        <v>7</v>
      </c>
      <c r="L255" s="708">
        <f t="shared" si="56"/>
        <v>132.86000000000001</v>
      </c>
      <c r="M255" s="708">
        <f t="shared" si="56"/>
        <v>0</v>
      </c>
      <c r="N255" s="708">
        <f t="shared" si="56"/>
        <v>0</v>
      </c>
      <c r="O255" s="718">
        <f t="shared" si="56"/>
        <v>132.86000000000001</v>
      </c>
      <c r="P255" s="617">
        <f t="shared" si="48"/>
        <v>0</v>
      </c>
      <c r="Q255" s="525"/>
      <c r="S255" s="189">
        <v>0</v>
      </c>
      <c r="T255" s="189">
        <v>0</v>
      </c>
      <c r="BT255" s="525"/>
      <c r="BU255" s="523"/>
      <c r="BV255" s="523">
        <v>0</v>
      </c>
      <c r="BW255" s="523">
        <v>0</v>
      </c>
      <c r="BX255" s="523">
        <v>0</v>
      </c>
      <c r="BY255" s="523">
        <v>0</v>
      </c>
      <c r="BZ255" s="523"/>
      <c r="CA255" s="523"/>
      <c r="CB255" s="523"/>
      <c r="CC255" s="523"/>
      <c r="CD255" s="523"/>
      <c r="CE255" s="523"/>
      <c r="CF255" s="523"/>
      <c r="CG255" s="523"/>
      <c r="CH255" s="523"/>
      <c r="CI255" s="523">
        <f t="shared" si="49"/>
        <v>0</v>
      </c>
    </row>
    <row r="256" spans="1:87" ht="15.75" x14ac:dyDescent="0.2">
      <c r="A256" s="680" t="s">
        <v>1754</v>
      </c>
      <c r="B256" s="569" t="s">
        <v>1755</v>
      </c>
      <c r="C256" s="569" t="s">
        <v>1324</v>
      </c>
      <c r="D256" s="569" t="s">
        <v>1756</v>
      </c>
      <c r="E256" s="681" t="s">
        <v>102</v>
      </c>
      <c r="F256" s="644">
        <v>1.81</v>
      </c>
      <c r="G256" s="682">
        <v>133.31</v>
      </c>
      <c r="H256" s="681">
        <v>1</v>
      </c>
      <c r="I256" s="695">
        <f t="shared" si="50"/>
        <v>0</v>
      </c>
      <c r="J256" s="574">
        <f t="shared" si="51"/>
        <v>0</v>
      </c>
      <c r="K256" s="644">
        <f t="shared" si="46"/>
        <v>1</v>
      </c>
      <c r="L256" s="708">
        <f t="shared" si="56"/>
        <v>133.31</v>
      </c>
      <c r="M256" s="708">
        <f t="shared" si="56"/>
        <v>0</v>
      </c>
      <c r="N256" s="708">
        <f t="shared" si="56"/>
        <v>0</v>
      </c>
      <c r="O256" s="718">
        <f t="shared" si="56"/>
        <v>133.31</v>
      </c>
      <c r="P256" s="617">
        <f t="shared" si="48"/>
        <v>0</v>
      </c>
      <c r="Q256" s="525"/>
      <c r="S256" s="189">
        <v>0</v>
      </c>
      <c r="T256" s="189">
        <v>0</v>
      </c>
      <c r="BT256" s="525"/>
      <c r="BU256" s="523"/>
      <c r="BV256" s="523">
        <v>0</v>
      </c>
      <c r="BW256" s="523">
        <v>0</v>
      </c>
      <c r="BX256" s="523">
        <v>0</v>
      </c>
      <c r="BY256" s="523">
        <v>0</v>
      </c>
      <c r="BZ256" s="523"/>
      <c r="CA256" s="523"/>
      <c r="CB256" s="523"/>
      <c r="CC256" s="523"/>
      <c r="CD256" s="523"/>
      <c r="CE256" s="523"/>
      <c r="CF256" s="523"/>
      <c r="CG256" s="523"/>
      <c r="CH256" s="523"/>
      <c r="CI256" s="523">
        <f t="shared" si="49"/>
        <v>0</v>
      </c>
    </row>
    <row r="257" spans="1:87" ht="15.75" x14ac:dyDescent="0.2">
      <c r="A257" s="680" t="s">
        <v>1757</v>
      </c>
      <c r="B257" s="569" t="s">
        <v>1758</v>
      </c>
      <c r="C257" s="569" t="s">
        <v>1324</v>
      </c>
      <c r="D257" s="569" t="s">
        <v>1759</v>
      </c>
      <c r="E257" s="681" t="s">
        <v>102</v>
      </c>
      <c r="F257" s="644">
        <v>2.93</v>
      </c>
      <c r="G257" s="682">
        <v>156.31</v>
      </c>
      <c r="H257" s="681">
        <v>6</v>
      </c>
      <c r="I257" s="695">
        <f t="shared" si="50"/>
        <v>0</v>
      </c>
      <c r="J257" s="574">
        <f t="shared" si="51"/>
        <v>0</v>
      </c>
      <c r="K257" s="644">
        <f t="shared" si="46"/>
        <v>6</v>
      </c>
      <c r="L257" s="708">
        <f t="shared" si="56"/>
        <v>937.86</v>
      </c>
      <c r="M257" s="708">
        <f t="shared" si="56"/>
        <v>0</v>
      </c>
      <c r="N257" s="708">
        <f t="shared" si="56"/>
        <v>0</v>
      </c>
      <c r="O257" s="718">
        <f t="shared" si="56"/>
        <v>937.86</v>
      </c>
      <c r="P257" s="617">
        <f t="shared" si="48"/>
        <v>0</v>
      </c>
      <c r="Q257" s="525"/>
      <c r="S257" s="189">
        <v>0</v>
      </c>
      <c r="T257" s="189">
        <v>0</v>
      </c>
      <c r="BT257" s="525"/>
      <c r="BU257" s="523"/>
      <c r="BV257" s="523">
        <v>0</v>
      </c>
      <c r="BW257" s="523">
        <v>0</v>
      </c>
      <c r="BX257" s="523">
        <v>0</v>
      </c>
      <c r="BY257" s="523">
        <v>0</v>
      </c>
      <c r="BZ257" s="523"/>
      <c r="CA257" s="523"/>
      <c r="CB257" s="523"/>
      <c r="CC257" s="523"/>
      <c r="CD257" s="523"/>
      <c r="CE257" s="523"/>
      <c r="CF257" s="523"/>
      <c r="CG257" s="523"/>
      <c r="CH257" s="523"/>
      <c r="CI257" s="523">
        <f t="shared" si="49"/>
        <v>0</v>
      </c>
    </row>
    <row r="258" spans="1:87" ht="30" x14ac:dyDescent="0.2">
      <c r="A258" s="680" t="s">
        <v>1760</v>
      </c>
      <c r="B258" s="569" t="s">
        <v>2007</v>
      </c>
      <c r="C258" s="569" t="s">
        <v>1339</v>
      </c>
      <c r="D258" s="569" t="s">
        <v>1761</v>
      </c>
      <c r="E258" s="681" t="s">
        <v>102</v>
      </c>
      <c r="F258" s="644">
        <v>4.1100000000000003</v>
      </c>
      <c r="G258" s="682">
        <v>449.68</v>
      </c>
      <c r="H258" s="681">
        <v>20</v>
      </c>
      <c r="I258" s="695">
        <f t="shared" si="50"/>
        <v>0</v>
      </c>
      <c r="J258" s="574">
        <f t="shared" si="51"/>
        <v>0</v>
      </c>
      <c r="K258" s="644">
        <f t="shared" si="46"/>
        <v>20</v>
      </c>
      <c r="L258" s="708">
        <f t="shared" si="56"/>
        <v>8993.6</v>
      </c>
      <c r="M258" s="708">
        <f t="shared" si="56"/>
        <v>0</v>
      </c>
      <c r="N258" s="708">
        <f t="shared" si="56"/>
        <v>0</v>
      </c>
      <c r="O258" s="718">
        <f t="shared" si="56"/>
        <v>8993.6</v>
      </c>
      <c r="P258" s="617">
        <f t="shared" si="48"/>
        <v>0</v>
      </c>
      <c r="Q258" s="525"/>
      <c r="S258" s="189">
        <v>0</v>
      </c>
      <c r="T258" s="189">
        <v>0</v>
      </c>
      <c r="BT258" s="525"/>
      <c r="BU258" s="523"/>
      <c r="BV258" s="523">
        <v>0</v>
      </c>
      <c r="BW258" s="523">
        <v>0</v>
      </c>
      <c r="BX258" s="523">
        <v>0</v>
      </c>
      <c r="BY258" s="523">
        <v>0</v>
      </c>
      <c r="BZ258" s="523"/>
      <c r="CA258" s="523"/>
      <c r="CB258" s="523"/>
      <c r="CC258" s="523"/>
      <c r="CD258" s="523"/>
      <c r="CE258" s="523"/>
      <c r="CF258" s="523"/>
      <c r="CG258" s="523"/>
      <c r="CH258" s="523"/>
      <c r="CI258" s="523">
        <f t="shared" si="49"/>
        <v>0</v>
      </c>
    </row>
    <row r="259" spans="1:87" ht="15.75" x14ac:dyDescent="0.2">
      <c r="A259" s="600">
        <v>18</v>
      </c>
      <c r="B259" s="558"/>
      <c r="C259" s="558"/>
      <c r="D259" s="558" t="s">
        <v>1762</v>
      </c>
      <c r="E259" s="626"/>
      <c r="F259" s="626"/>
      <c r="G259" s="626"/>
      <c r="H259" s="626"/>
      <c r="I259" s="626"/>
      <c r="J259" s="626"/>
      <c r="K259" s="626"/>
      <c r="L259" s="734">
        <f>SUM(L260:L267)</f>
        <v>7237.1900000000014</v>
      </c>
      <c r="M259" s="734">
        <f>SUM(M260:M267)</f>
        <v>0</v>
      </c>
      <c r="N259" s="734">
        <f>SUM(N260:N267)</f>
        <v>0</v>
      </c>
      <c r="O259" s="721">
        <f>SUM(O260:O267)</f>
        <v>7237.1900000000014</v>
      </c>
      <c r="P259" s="604">
        <f t="shared" si="48"/>
        <v>0</v>
      </c>
      <c r="Q259" s="525"/>
      <c r="S259" s="189">
        <v>0</v>
      </c>
      <c r="T259" s="189">
        <v>0</v>
      </c>
      <c r="BT259" s="525"/>
      <c r="BU259" s="523"/>
      <c r="BV259" s="523">
        <v>0</v>
      </c>
      <c r="BW259" s="523">
        <v>0</v>
      </c>
      <c r="BX259" s="523"/>
      <c r="BY259" s="523"/>
      <c r="BZ259" s="523"/>
      <c r="CA259" s="523"/>
      <c r="CB259" s="523"/>
      <c r="CC259" s="523"/>
      <c r="CD259" s="523"/>
      <c r="CE259" s="523"/>
      <c r="CF259" s="523"/>
      <c r="CG259" s="523"/>
      <c r="CH259" s="523"/>
      <c r="CI259" s="523">
        <f t="shared" si="49"/>
        <v>0</v>
      </c>
    </row>
    <row r="260" spans="1:87" ht="30" x14ac:dyDescent="0.2">
      <c r="A260" s="680" t="s">
        <v>657</v>
      </c>
      <c r="B260" s="569" t="s">
        <v>2007</v>
      </c>
      <c r="C260" s="569" t="s">
        <v>1339</v>
      </c>
      <c r="D260" s="569" t="s">
        <v>1763</v>
      </c>
      <c r="E260" s="681" t="s">
        <v>102</v>
      </c>
      <c r="F260" s="571"/>
      <c r="G260" s="682">
        <v>205.82</v>
      </c>
      <c r="H260" s="681">
        <v>7</v>
      </c>
      <c r="I260" s="695">
        <f t="shared" si="50"/>
        <v>0</v>
      </c>
      <c r="J260" s="574">
        <f t="shared" si="51"/>
        <v>0</v>
      </c>
      <c r="K260" s="644">
        <f t="shared" ref="K260:K283" si="57">H260-J260</f>
        <v>7</v>
      </c>
      <c r="L260" s="708">
        <f t="shared" ref="L260:O267" si="58">ROUND(H260*$G260,2)</f>
        <v>1440.74</v>
      </c>
      <c r="M260" s="708">
        <f t="shared" si="58"/>
        <v>0</v>
      </c>
      <c r="N260" s="708">
        <f t="shared" si="58"/>
        <v>0</v>
      </c>
      <c r="O260" s="718">
        <f t="shared" si="58"/>
        <v>1440.74</v>
      </c>
      <c r="P260" s="617">
        <f t="shared" si="48"/>
        <v>0</v>
      </c>
      <c r="Q260" s="525"/>
      <c r="S260" s="189">
        <v>0</v>
      </c>
      <c r="T260" s="189">
        <v>0</v>
      </c>
      <c r="BT260" s="525"/>
      <c r="BU260" s="523"/>
      <c r="BV260" s="523">
        <v>0</v>
      </c>
      <c r="BW260" s="523">
        <v>0</v>
      </c>
      <c r="BX260" s="523">
        <v>0</v>
      </c>
      <c r="BY260" s="523">
        <v>0</v>
      </c>
      <c r="BZ260" s="523"/>
      <c r="CA260" s="523"/>
      <c r="CB260" s="523"/>
      <c r="CC260" s="523"/>
      <c r="CD260" s="523"/>
      <c r="CE260" s="523"/>
      <c r="CF260" s="523"/>
      <c r="CG260" s="523"/>
      <c r="CH260" s="523"/>
      <c r="CI260" s="523">
        <f t="shared" si="49"/>
        <v>0</v>
      </c>
    </row>
    <row r="261" spans="1:87" ht="15.75" x14ac:dyDescent="0.2">
      <c r="A261" s="680" t="s">
        <v>664</v>
      </c>
      <c r="B261" s="569" t="s">
        <v>2007</v>
      </c>
      <c r="C261" s="569" t="s">
        <v>1339</v>
      </c>
      <c r="D261" s="569" t="s">
        <v>1764</v>
      </c>
      <c r="E261" s="681" t="s">
        <v>102</v>
      </c>
      <c r="F261" s="644">
        <v>179.19</v>
      </c>
      <c r="G261" s="682">
        <v>232.41</v>
      </c>
      <c r="H261" s="681">
        <v>1</v>
      </c>
      <c r="I261" s="695">
        <f t="shared" si="50"/>
        <v>0</v>
      </c>
      <c r="J261" s="574">
        <f t="shared" si="51"/>
        <v>0</v>
      </c>
      <c r="K261" s="644">
        <f t="shared" si="57"/>
        <v>1</v>
      </c>
      <c r="L261" s="708">
        <f t="shared" si="58"/>
        <v>232.41</v>
      </c>
      <c r="M261" s="708">
        <f t="shared" si="58"/>
        <v>0</v>
      </c>
      <c r="N261" s="708">
        <f t="shared" si="58"/>
        <v>0</v>
      </c>
      <c r="O261" s="718">
        <f t="shared" si="58"/>
        <v>232.41</v>
      </c>
      <c r="P261" s="617">
        <f t="shared" si="48"/>
        <v>0</v>
      </c>
      <c r="Q261" s="525"/>
      <c r="S261" s="189">
        <v>0</v>
      </c>
      <c r="T261" s="189">
        <v>0</v>
      </c>
      <c r="BT261" s="525"/>
      <c r="BU261" s="523"/>
      <c r="BV261" s="523">
        <v>0</v>
      </c>
      <c r="BW261" s="523">
        <v>0</v>
      </c>
      <c r="BX261" s="523">
        <v>0</v>
      </c>
      <c r="BY261" s="523">
        <v>0</v>
      </c>
      <c r="BZ261" s="523"/>
      <c r="CA261" s="523"/>
      <c r="CB261" s="523"/>
      <c r="CC261" s="523"/>
      <c r="CD261" s="523"/>
      <c r="CE261" s="523"/>
      <c r="CF261" s="523"/>
      <c r="CG261" s="523"/>
      <c r="CH261" s="523"/>
      <c r="CI261" s="523">
        <f t="shared" si="49"/>
        <v>0</v>
      </c>
    </row>
    <row r="262" spans="1:87" ht="15.75" x14ac:dyDescent="0.2">
      <c r="A262" s="680" t="s">
        <v>668</v>
      </c>
      <c r="B262" s="569">
        <v>72929</v>
      </c>
      <c r="C262" s="569" t="s">
        <v>1324</v>
      </c>
      <c r="D262" s="569" t="s">
        <v>1765</v>
      </c>
      <c r="E262" s="681" t="s">
        <v>81</v>
      </c>
      <c r="F262" s="644">
        <v>212.03</v>
      </c>
      <c r="G262" s="682">
        <v>22.1</v>
      </c>
      <c r="H262" s="681">
        <v>39.200000000000003</v>
      </c>
      <c r="I262" s="695">
        <f t="shared" si="50"/>
        <v>0</v>
      </c>
      <c r="J262" s="574">
        <f t="shared" si="51"/>
        <v>0</v>
      </c>
      <c r="K262" s="644">
        <f t="shared" si="57"/>
        <v>39.200000000000003</v>
      </c>
      <c r="L262" s="708">
        <f t="shared" si="58"/>
        <v>866.32</v>
      </c>
      <c r="M262" s="708">
        <f t="shared" si="58"/>
        <v>0</v>
      </c>
      <c r="N262" s="708">
        <f t="shared" si="58"/>
        <v>0</v>
      </c>
      <c r="O262" s="718">
        <f t="shared" si="58"/>
        <v>866.32</v>
      </c>
      <c r="P262" s="617">
        <f t="shared" si="48"/>
        <v>0</v>
      </c>
      <c r="Q262" s="525"/>
      <c r="S262" s="189">
        <v>0</v>
      </c>
      <c r="T262" s="189">
        <v>0</v>
      </c>
      <c r="BT262" s="525"/>
      <c r="BU262" s="523"/>
      <c r="BV262" s="523">
        <v>0</v>
      </c>
      <c r="BW262" s="523">
        <v>0</v>
      </c>
      <c r="BX262" s="523">
        <v>0</v>
      </c>
      <c r="BY262" s="523">
        <v>0</v>
      </c>
      <c r="BZ262" s="523"/>
      <c r="CA262" s="523"/>
      <c r="CB262" s="523"/>
      <c r="CC262" s="523"/>
      <c r="CD262" s="523"/>
      <c r="CE262" s="523"/>
      <c r="CF262" s="523"/>
      <c r="CG262" s="523"/>
      <c r="CH262" s="523"/>
      <c r="CI262" s="523">
        <f t="shared" si="49"/>
        <v>0</v>
      </c>
    </row>
    <row r="263" spans="1:87" ht="15.75" x14ac:dyDescent="0.2">
      <c r="A263" s="680" t="s">
        <v>671</v>
      </c>
      <c r="B263" s="569">
        <v>72930</v>
      </c>
      <c r="C263" s="569" t="s">
        <v>1324</v>
      </c>
      <c r="D263" s="569" t="s">
        <v>1766</v>
      </c>
      <c r="E263" s="681" t="s">
        <v>81</v>
      </c>
      <c r="F263" s="644">
        <v>101.58</v>
      </c>
      <c r="G263" s="682">
        <v>31.35</v>
      </c>
      <c r="H263" s="681">
        <v>126.32</v>
      </c>
      <c r="I263" s="695">
        <f t="shared" si="50"/>
        <v>0</v>
      </c>
      <c r="J263" s="574">
        <f t="shared" si="51"/>
        <v>0</v>
      </c>
      <c r="K263" s="644">
        <f t="shared" si="57"/>
        <v>126.32</v>
      </c>
      <c r="L263" s="708">
        <f t="shared" si="58"/>
        <v>3960.13</v>
      </c>
      <c r="M263" s="708">
        <f t="shared" si="58"/>
        <v>0</v>
      </c>
      <c r="N263" s="708">
        <f t="shared" si="58"/>
        <v>0</v>
      </c>
      <c r="O263" s="718">
        <f t="shared" si="58"/>
        <v>3960.13</v>
      </c>
      <c r="P263" s="617">
        <f t="shared" si="48"/>
        <v>0</v>
      </c>
      <c r="Q263" s="525"/>
      <c r="S263" s="189">
        <v>0</v>
      </c>
      <c r="T263" s="189">
        <v>0</v>
      </c>
      <c r="BT263" s="525"/>
      <c r="BU263" s="523"/>
      <c r="BV263" s="523">
        <v>0</v>
      </c>
      <c r="BW263" s="523">
        <v>0</v>
      </c>
      <c r="BX263" s="523">
        <v>0</v>
      </c>
      <c r="BY263" s="523">
        <v>0</v>
      </c>
      <c r="BZ263" s="523"/>
      <c r="CA263" s="523"/>
      <c r="CB263" s="523"/>
      <c r="CC263" s="523"/>
      <c r="CD263" s="523"/>
      <c r="CE263" s="523"/>
      <c r="CF263" s="523"/>
      <c r="CG263" s="523"/>
      <c r="CH263" s="523"/>
      <c r="CI263" s="523">
        <f t="shared" si="49"/>
        <v>0</v>
      </c>
    </row>
    <row r="264" spans="1:87" ht="15.75" x14ac:dyDescent="0.2">
      <c r="A264" s="680" t="s">
        <v>679</v>
      </c>
      <c r="B264" s="569">
        <v>93008</v>
      </c>
      <c r="C264" s="569" t="s">
        <v>1324</v>
      </c>
      <c r="D264" s="569" t="s">
        <v>1767</v>
      </c>
      <c r="E264" s="681" t="s">
        <v>81</v>
      </c>
      <c r="F264" s="644">
        <v>412.2</v>
      </c>
      <c r="G264" s="682">
        <v>9.83</v>
      </c>
      <c r="H264" s="681">
        <v>21</v>
      </c>
      <c r="I264" s="695">
        <f t="shared" si="50"/>
        <v>0</v>
      </c>
      <c r="J264" s="574">
        <f t="shared" si="51"/>
        <v>0</v>
      </c>
      <c r="K264" s="644">
        <f t="shared" si="57"/>
        <v>21</v>
      </c>
      <c r="L264" s="708">
        <f t="shared" si="58"/>
        <v>206.43</v>
      </c>
      <c r="M264" s="708">
        <f t="shared" si="58"/>
        <v>0</v>
      </c>
      <c r="N264" s="708">
        <f t="shared" si="58"/>
        <v>0</v>
      </c>
      <c r="O264" s="718">
        <f t="shared" si="58"/>
        <v>206.43</v>
      </c>
      <c r="P264" s="617">
        <f t="shared" si="48"/>
        <v>0</v>
      </c>
      <c r="Q264" s="525"/>
      <c r="S264" s="189">
        <v>0</v>
      </c>
      <c r="T264" s="189">
        <v>0</v>
      </c>
      <c r="BT264" s="525"/>
      <c r="BU264" s="523"/>
      <c r="BV264" s="523">
        <v>0</v>
      </c>
      <c r="BW264" s="523">
        <v>0</v>
      </c>
      <c r="BX264" s="523">
        <v>0</v>
      </c>
      <c r="BY264" s="523">
        <v>0</v>
      </c>
      <c r="BZ264" s="523"/>
      <c r="CA264" s="523"/>
      <c r="CB264" s="523"/>
      <c r="CC264" s="523"/>
      <c r="CD264" s="523"/>
      <c r="CE264" s="523"/>
      <c r="CF264" s="523"/>
      <c r="CG264" s="523"/>
      <c r="CH264" s="523"/>
      <c r="CI264" s="523">
        <f t="shared" si="49"/>
        <v>0</v>
      </c>
    </row>
    <row r="265" spans="1:87" ht="30" x14ac:dyDescent="0.2">
      <c r="A265" s="680" t="s">
        <v>1768</v>
      </c>
      <c r="B265" s="569" t="s">
        <v>2007</v>
      </c>
      <c r="C265" s="569" t="s">
        <v>1769</v>
      </c>
      <c r="D265" s="569" t="s">
        <v>1770</v>
      </c>
      <c r="E265" s="681" t="s">
        <v>102</v>
      </c>
      <c r="F265" s="644">
        <v>348.66</v>
      </c>
      <c r="G265" s="682">
        <v>38.299999999999997</v>
      </c>
      <c r="H265" s="681">
        <v>7</v>
      </c>
      <c r="I265" s="695">
        <f t="shared" si="50"/>
        <v>0</v>
      </c>
      <c r="J265" s="574">
        <f t="shared" si="51"/>
        <v>0</v>
      </c>
      <c r="K265" s="644">
        <f t="shared" si="57"/>
        <v>7</v>
      </c>
      <c r="L265" s="708">
        <f t="shared" si="58"/>
        <v>268.10000000000002</v>
      </c>
      <c r="M265" s="708">
        <f t="shared" si="58"/>
        <v>0</v>
      </c>
      <c r="N265" s="708">
        <f t="shared" si="58"/>
        <v>0</v>
      </c>
      <c r="O265" s="718">
        <f t="shared" si="58"/>
        <v>268.10000000000002</v>
      </c>
      <c r="P265" s="617">
        <f t="shared" si="48"/>
        <v>0</v>
      </c>
      <c r="Q265" s="525"/>
      <c r="S265" s="189">
        <v>0</v>
      </c>
      <c r="T265" s="189">
        <v>0</v>
      </c>
      <c r="BT265" s="525"/>
      <c r="BU265" s="523"/>
      <c r="BV265" s="523">
        <v>0</v>
      </c>
      <c r="BW265" s="523">
        <v>0</v>
      </c>
      <c r="BX265" s="523">
        <v>0</v>
      </c>
      <c r="BY265" s="523">
        <v>0</v>
      </c>
      <c r="BZ265" s="523"/>
      <c r="CA265" s="523"/>
      <c r="CB265" s="523"/>
      <c r="CC265" s="523"/>
      <c r="CD265" s="523"/>
      <c r="CE265" s="523"/>
      <c r="CF265" s="523"/>
      <c r="CG265" s="523"/>
      <c r="CH265" s="523"/>
      <c r="CI265" s="523">
        <f t="shared" si="49"/>
        <v>0</v>
      </c>
    </row>
    <row r="266" spans="1:87" ht="30" x14ac:dyDescent="0.2">
      <c r="A266" s="680" t="s">
        <v>1771</v>
      </c>
      <c r="B266" s="569" t="s">
        <v>2007</v>
      </c>
      <c r="C266" s="569" t="s">
        <v>1769</v>
      </c>
      <c r="D266" s="569" t="s">
        <v>1772</v>
      </c>
      <c r="E266" s="681" t="s">
        <v>102</v>
      </c>
      <c r="F266" s="644">
        <v>153.37</v>
      </c>
      <c r="G266" s="682">
        <v>24.49</v>
      </c>
      <c r="H266" s="681">
        <v>7</v>
      </c>
      <c r="I266" s="695">
        <f t="shared" si="50"/>
        <v>0</v>
      </c>
      <c r="J266" s="574">
        <f t="shared" si="51"/>
        <v>0</v>
      </c>
      <c r="K266" s="644">
        <f t="shared" si="57"/>
        <v>7</v>
      </c>
      <c r="L266" s="708">
        <f t="shared" si="58"/>
        <v>171.43</v>
      </c>
      <c r="M266" s="708">
        <f t="shared" si="58"/>
        <v>0</v>
      </c>
      <c r="N266" s="708">
        <f t="shared" si="58"/>
        <v>0</v>
      </c>
      <c r="O266" s="718">
        <f t="shared" si="58"/>
        <v>171.43</v>
      </c>
      <c r="P266" s="617">
        <f t="shared" si="48"/>
        <v>0</v>
      </c>
      <c r="Q266" s="525"/>
      <c r="S266" s="189">
        <v>0</v>
      </c>
      <c r="T266" s="189">
        <v>0</v>
      </c>
      <c r="BT266" s="525"/>
      <c r="BU266" s="523"/>
      <c r="BV266" s="523">
        <v>0</v>
      </c>
      <c r="BW266" s="523">
        <v>0</v>
      </c>
      <c r="BX266" s="523">
        <v>0</v>
      </c>
      <c r="BY266" s="523">
        <v>0</v>
      </c>
      <c r="BZ266" s="523"/>
      <c r="CA266" s="523"/>
      <c r="CB266" s="523"/>
      <c r="CC266" s="523"/>
      <c r="CD266" s="523"/>
      <c r="CE266" s="523"/>
      <c r="CF266" s="523"/>
      <c r="CG266" s="523"/>
      <c r="CH266" s="523"/>
      <c r="CI266" s="523">
        <f t="shared" si="49"/>
        <v>0</v>
      </c>
    </row>
    <row r="267" spans="1:87" ht="15.75" x14ac:dyDescent="0.2">
      <c r="A267" s="680" t="s">
        <v>1773</v>
      </c>
      <c r="B267" s="569">
        <v>72262</v>
      </c>
      <c r="C267" s="569" t="s">
        <v>1324</v>
      </c>
      <c r="D267" s="569" t="s">
        <v>1774</v>
      </c>
      <c r="E267" s="681" t="s">
        <v>102</v>
      </c>
      <c r="F267" s="644">
        <v>62.01</v>
      </c>
      <c r="G267" s="682">
        <v>13.09</v>
      </c>
      <c r="H267" s="681">
        <v>7</v>
      </c>
      <c r="I267" s="695">
        <f t="shared" si="50"/>
        <v>0</v>
      </c>
      <c r="J267" s="574">
        <f t="shared" si="51"/>
        <v>0</v>
      </c>
      <c r="K267" s="644">
        <f t="shared" si="57"/>
        <v>7</v>
      </c>
      <c r="L267" s="708">
        <f t="shared" si="58"/>
        <v>91.63</v>
      </c>
      <c r="M267" s="708">
        <f t="shared" si="58"/>
        <v>0</v>
      </c>
      <c r="N267" s="708">
        <f t="shared" si="58"/>
        <v>0</v>
      </c>
      <c r="O267" s="718">
        <f t="shared" si="58"/>
        <v>91.63</v>
      </c>
      <c r="P267" s="617">
        <f t="shared" si="48"/>
        <v>0</v>
      </c>
      <c r="Q267" s="525"/>
      <c r="S267" s="189">
        <v>0</v>
      </c>
      <c r="T267" s="189">
        <v>0</v>
      </c>
      <c r="BT267" s="525"/>
      <c r="BU267" s="523"/>
      <c r="BV267" s="523">
        <v>0</v>
      </c>
      <c r="BW267" s="523">
        <v>0</v>
      </c>
      <c r="BX267" s="523">
        <v>0</v>
      </c>
      <c r="BY267" s="523">
        <v>0</v>
      </c>
      <c r="BZ267" s="523"/>
      <c r="CA267" s="523"/>
      <c r="CB267" s="523"/>
      <c r="CC267" s="523"/>
      <c r="CD267" s="523"/>
      <c r="CE267" s="523"/>
      <c r="CF267" s="523"/>
      <c r="CG267" s="523"/>
      <c r="CH267" s="523"/>
      <c r="CI267" s="523">
        <f t="shared" si="49"/>
        <v>0</v>
      </c>
    </row>
    <row r="268" spans="1:87" s="657" customFormat="1" ht="15.75" x14ac:dyDescent="0.2">
      <c r="A268" s="600">
        <v>19</v>
      </c>
      <c r="B268" s="558"/>
      <c r="C268" s="558"/>
      <c r="D268" s="558" t="s">
        <v>304</v>
      </c>
      <c r="E268" s="626"/>
      <c r="F268" s="626"/>
      <c r="G268" s="626"/>
      <c r="H268" s="626"/>
      <c r="I268" s="626"/>
      <c r="J268" s="626"/>
      <c r="K268" s="626"/>
      <c r="L268" s="734">
        <f>SUM(L269,L275)</f>
        <v>28168.979999999996</v>
      </c>
      <c r="M268" s="734">
        <f>SUM(M269,M275)</f>
        <v>0</v>
      </c>
      <c r="N268" s="734">
        <f>SUM(N269,N275)</f>
        <v>0</v>
      </c>
      <c r="O268" s="721">
        <f>SUM(O269,O275)</f>
        <v>28168.979999999996</v>
      </c>
      <c r="P268" s="604">
        <f t="shared" si="48"/>
        <v>0</v>
      </c>
      <c r="Q268" s="525"/>
      <c r="S268" s="190">
        <v>0</v>
      </c>
      <c r="T268" s="190">
        <v>0</v>
      </c>
      <c r="BT268" s="525"/>
      <c r="BU268" s="523"/>
      <c r="BV268" s="523">
        <v>0</v>
      </c>
      <c r="BW268" s="523">
        <v>0</v>
      </c>
      <c r="BX268" s="523"/>
      <c r="BY268" s="523"/>
      <c r="BZ268" s="523"/>
      <c r="CA268" s="523"/>
      <c r="CB268" s="523"/>
      <c r="CC268" s="523"/>
      <c r="CD268" s="523"/>
      <c r="CE268" s="523"/>
      <c r="CF268" s="523"/>
      <c r="CG268" s="523"/>
      <c r="CH268" s="523"/>
      <c r="CI268" s="523">
        <f t="shared" si="49"/>
        <v>0</v>
      </c>
    </row>
    <row r="269" spans="1:87" ht="15.75" x14ac:dyDescent="0.2">
      <c r="A269" s="605" t="s">
        <v>685</v>
      </c>
      <c r="B269" s="586"/>
      <c r="C269" s="586"/>
      <c r="D269" s="586" t="s">
        <v>1775</v>
      </c>
      <c r="E269" s="683"/>
      <c r="F269" s="683"/>
      <c r="G269" s="683"/>
      <c r="H269" s="683"/>
      <c r="I269" s="683"/>
      <c r="J269" s="683"/>
      <c r="K269" s="683"/>
      <c r="L269" s="733">
        <f>SUM(L270:L274)</f>
        <v>6263.99</v>
      </c>
      <c r="M269" s="733">
        <f>SUM(M270:M274)</f>
        <v>0</v>
      </c>
      <c r="N269" s="733">
        <f>SUM(N270:N274)</f>
        <v>0</v>
      </c>
      <c r="O269" s="722">
        <f>SUM(O270:O274)</f>
        <v>6263.99</v>
      </c>
      <c r="P269" s="611">
        <f t="shared" ref="P269:P283" si="59">N269/L269</f>
        <v>0</v>
      </c>
      <c r="Q269" s="525"/>
      <c r="S269" s="189">
        <v>0</v>
      </c>
      <c r="T269" s="189">
        <v>0</v>
      </c>
      <c r="BT269" s="525"/>
      <c r="BU269" s="523"/>
      <c r="BV269" s="523">
        <v>0</v>
      </c>
      <c r="BW269" s="523">
        <v>0</v>
      </c>
      <c r="BX269" s="523"/>
      <c r="BY269" s="523"/>
      <c r="BZ269" s="523"/>
      <c r="CA269" s="523"/>
      <c r="CB269" s="523"/>
      <c r="CC269" s="523"/>
      <c r="CD269" s="523"/>
      <c r="CE269" s="523"/>
      <c r="CF269" s="523"/>
      <c r="CG269" s="523"/>
      <c r="CH269" s="523"/>
      <c r="CI269" s="523">
        <f t="shared" si="49"/>
        <v>0</v>
      </c>
    </row>
    <row r="270" spans="1:87" ht="15.75" x14ac:dyDescent="0.2">
      <c r="A270" s="680" t="s">
        <v>1776</v>
      </c>
      <c r="B270" s="569" t="s">
        <v>2007</v>
      </c>
      <c r="C270" s="569" t="s">
        <v>1339</v>
      </c>
      <c r="D270" s="569" t="s">
        <v>1777</v>
      </c>
      <c r="E270" s="681" t="s">
        <v>14</v>
      </c>
      <c r="F270" s="644">
        <v>224.79</v>
      </c>
      <c r="G270" s="682">
        <v>236.77</v>
      </c>
      <c r="H270" s="681">
        <v>2.5</v>
      </c>
      <c r="I270" s="695">
        <f t="shared" si="50"/>
        <v>0</v>
      </c>
      <c r="J270" s="574">
        <f t="shared" si="51"/>
        <v>0</v>
      </c>
      <c r="K270" s="644">
        <f t="shared" si="57"/>
        <v>2.5</v>
      </c>
      <c r="L270" s="708">
        <f t="shared" ref="L270:O274" si="60">ROUND(H270*$G270,2)</f>
        <v>591.92999999999995</v>
      </c>
      <c r="M270" s="708">
        <f t="shared" si="60"/>
        <v>0</v>
      </c>
      <c r="N270" s="708">
        <f t="shared" si="60"/>
        <v>0</v>
      </c>
      <c r="O270" s="718">
        <f t="shared" si="60"/>
        <v>591.92999999999995</v>
      </c>
      <c r="P270" s="617">
        <f t="shared" si="59"/>
        <v>0</v>
      </c>
      <c r="Q270" s="525"/>
      <c r="S270" s="189">
        <v>0</v>
      </c>
      <c r="T270" s="189">
        <v>0</v>
      </c>
      <c r="BT270" s="525"/>
      <c r="BU270" s="523"/>
      <c r="BV270" s="523">
        <v>0</v>
      </c>
      <c r="BW270" s="523">
        <v>0</v>
      </c>
      <c r="BX270" s="523">
        <v>0</v>
      </c>
      <c r="BY270" s="523">
        <v>0</v>
      </c>
      <c r="BZ270" s="523"/>
      <c r="CA270" s="523"/>
      <c r="CB270" s="523"/>
      <c r="CC270" s="523"/>
      <c r="CD270" s="523"/>
      <c r="CE270" s="523"/>
      <c r="CF270" s="523"/>
      <c r="CG270" s="523"/>
      <c r="CH270" s="523"/>
      <c r="CI270" s="523">
        <f t="shared" si="49"/>
        <v>0</v>
      </c>
    </row>
    <row r="271" spans="1:87" ht="15.75" x14ac:dyDescent="0.2">
      <c r="A271" s="680" t="s">
        <v>1778</v>
      </c>
      <c r="B271" s="569" t="s">
        <v>2007</v>
      </c>
      <c r="C271" s="569" t="s">
        <v>1339</v>
      </c>
      <c r="D271" s="569" t="s">
        <v>1779</v>
      </c>
      <c r="E271" s="681" t="s">
        <v>102</v>
      </c>
      <c r="F271" s="644">
        <v>170.36</v>
      </c>
      <c r="G271" s="682">
        <v>1103.49</v>
      </c>
      <c r="H271" s="681">
        <v>1</v>
      </c>
      <c r="I271" s="695">
        <f t="shared" si="50"/>
        <v>0</v>
      </c>
      <c r="J271" s="574">
        <f t="shared" si="51"/>
        <v>0</v>
      </c>
      <c r="K271" s="644">
        <f t="shared" si="57"/>
        <v>1</v>
      </c>
      <c r="L271" s="708">
        <f t="shared" si="60"/>
        <v>1103.49</v>
      </c>
      <c r="M271" s="708">
        <f t="shared" si="60"/>
        <v>0</v>
      </c>
      <c r="N271" s="708">
        <f t="shared" si="60"/>
        <v>0</v>
      </c>
      <c r="O271" s="718">
        <f t="shared" si="60"/>
        <v>1103.49</v>
      </c>
      <c r="P271" s="617">
        <f t="shared" si="59"/>
        <v>0</v>
      </c>
      <c r="Q271" s="525"/>
      <c r="S271" s="189">
        <v>0</v>
      </c>
      <c r="T271" s="189">
        <v>0</v>
      </c>
      <c r="BT271" s="525"/>
      <c r="BU271" s="523"/>
      <c r="BV271" s="523">
        <v>0</v>
      </c>
      <c r="BW271" s="523">
        <v>0</v>
      </c>
      <c r="BX271" s="523">
        <v>0</v>
      </c>
      <c r="BY271" s="523">
        <v>0</v>
      </c>
      <c r="BZ271" s="523"/>
      <c r="CA271" s="523"/>
      <c r="CB271" s="523"/>
      <c r="CC271" s="523"/>
      <c r="CD271" s="523"/>
      <c r="CE271" s="523"/>
      <c r="CF271" s="523"/>
      <c r="CG271" s="523"/>
      <c r="CH271" s="523"/>
      <c r="CI271" s="523">
        <f t="shared" ref="CI271:CI284" si="61">SUM(BU271:CH271)</f>
        <v>0</v>
      </c>
    </row>
    <row r="272" spans="1:87" ht="15.75" x14ac:dyDescent="0.2">
      <c r="A272" s="680" t="s">
        <v>1780</v>
      </c>
      <c r="B272" s="569" t="s">
        <v>2007</v>
      </c>
      <c r="C272" s="569" t="s">
        <v>1339</v>
      </c>
      <c r="D272" s="569" t="s">
        <v>1781</v>
      </c>
      <c r="E272" s="681" t="s">
        <v>102</v>
      </c>
      <c r="F272" s="644">
        <v>108</v>
      </c>
      <c r="G272" s="682">
        <v>1841.38</v>
      </c>
      <c r="H272" s="681">
        <v>1</v>
      </c>
      <c r="I272" s="695">
        <f t="shared" si="50"/>
        <v>0</v>
      </c>
      <c r="J272" s="574">
        <f t="shared" si="51"/>
        <v>0</v>
      </c>
      <c r="K272" s="644">
        <f t="shared" si="57"/>
        <v>1</v>
      </c>
      <c r="L272" s="708">
        <f t="shared" si="60"/>
        <v>1841.38</v>
      </c>
      <c r="M272" s="708">
        <f t="shared" si="60"/>
        <v>0</v>
      </c>
      <c r="N272" s="708">
        <f t="shared" si="60"/>
        <v>0</v>
      </c>
      <c r="O272" s="718">
        <f t="shared" si="60"/>
        <v>1841.38</v>
      </c>
      <c r="P272" s="617">
        <f t="shared" si="59"/>
        <v>0</v>
      </c>
      <c r="Q272" s="525"/>
      <c r="S272" s="189">
        <v>0</v>
      </c>
      <c r="T272" s="189">
        <v>0</v>
      </c>
      <c r="BT272" s="525"/>
      <c r="BU272" s="523"/>
      <c r="BV272" s="523">
        <v>0</v>
      </c>
      <c r="BW272" s="523">
        <v>0</v>
      </c>
      <c r="BX272" s="523">
        <v>0</v>
      </c>
      <c r="BY272" s="523">
        <v>0</v>
      </c>
      <c r="BZ272" s="523"/>
      <c r="CA272" s="523"/>
      <c r="CB272" s="523"/>
      <c r="CC272" s="523"/>
      <c r="CD272" s="523"/>
      <c r="CE272" s="523"/>
      <c r="CF272" s="523"/>
      <c r="CG272" s="523"/>
      <c r="CH272" s="523"/>
      <c r="CI272" s="523">
        <f t="shared" si="61"/>
        <v>0</v>
      </c>
    </row>
    <row r="273" spans="1:87" ht="15.75" x14ac:dyDescent="0.2">
      <c r="A273" s="680" t="s">
        <v>1782</v>
      </c>
      <c r="B273" s="569" t="s">
        <v>2007</v>
      </c>
      <c r="C273" s="569" t="s">
        <v>1339</v>
      </c>
      <c r="D273" s="569" t="s">
        <v>1783</v>
      </c>
      <c r="E273" s="681" t="s">
        <v>102</v>
      </c>
      <c r="F273" s="644">
        <v>1249</v>
      </c>
      <c r="G273" s="682">
        <v>777.91</v>
      </c>
      <c r="H273" s="681">
        <v>1</v>
      </c>
      <c r="I273" s="695">
        <f t="shared" ref="I273:I284" si="62">BU273</f>
        <v>0</v>
      </c>
      <c r="J273" s="574">
        <f t="shared" ref="J273:J284" si="63">CI273</f>
        <v>0</v>
      </c>
      <c r="K273" s="644">
        <f t="shared" si="57"/>
        <v>1</v>
      </c>
      <c r="L273" s="708">
        <f t="shared" si="60"/>
        <v>777.91</v>
      </c>
      <c r="M273" s="708">
        <f t="shared" si="60"/>
        <v>0</v>
      </c>
      <c r="N273" s="708">
        <f t="shared" si="60"/>
        <v>0</v>
      </c>
      <c r="O273" s="718">
        <f t="shared" si="60"/>
        <v>777.91</v>
      </c>
      <c r="P273" s="617">
        <f t="shared" si="59"/>
        <v>0</v>
      </c>
      <c r="Q273" s="525"/>
      <c r="S273" s="189">
        <v>0</v>
      </c>
      <c r="T273" s="189">
        <v>0</v>
      </c>
      <c r="BT273" s="525"/>
      <c r="BU273" s="523"/>
      <c r="BV273" s="523">
        <v>0</v>
      </c>
      <c r="BW273" s="523">
        <v>0</v>
      </c>
      <c r="BX273" s="523">
        <v>0</v>
      </c>
      <c r="BY273" s="523">
        <v>0</v>
      </c>
      <c r="BZ273" s="523"/>
      <c r="CA273" s="523"/>
      <c r="CB273" s="523"/>
      <c r="CC273" s="523"/>
      <c r="CD273" s="523"/>
      <c r="CE273" s="523"/>
      <c r="CF273" s="523"/>
      <c r="CG273" s="523"/>
      <c r="CH273" s="523"/>
      <c r="CI273" s="523">
        <f t="shared" si="61"/>
        <v>0</v>
      </c>
    </row>
    <row r="274" spans="1:87" s="657" customFormat="1" ht="15.75" x14ac:dyDescent="0.2">
      <c r="A274" s="680" t="s">
        <v>1784</v>
      </c>
      <c r="B274" s="569">
        <v>84862</v>
      </c>
      <c r="C274" s="569" t="s">
        <v>1324</v>
      </c>
      <c r="D274" s="569" t="s">
        <v>1785</v>
      </c>
      <c r="E274" s="681" t="s">
        <v>81</v>
      </c>
      <c r="F274" s="644">
        <v>74.2</v>
      </c>
      <c r="G274" s="682">
        <v>203.05</v>
      </c>
      <c r="H274" s="681">
        <v>9.6</v>
      </c>
      <c r="I274" s="695">
        <f t="shared" si="62"/>
        <v>0</v>
      </c>
      <c r="J274" s="574">
        <f t="shared" si="63"/>
        <v>0</v>
      </c>
      <c r="K274" s="644">
        <f t="shared" si="57"/>
        <v>9.6</v>
      </c>
      <c r="L274" s="708">
        <f t="shared" si="60"/>
        <v>1949.28</v>
      </c>
      <c r="M274" s="708">
        <f t="shared" si="60"/>
        <v>0</v>
      </c>
      <c r="N274" s="708">
        <f t="shared" si="60"/>
        <v>0</v>
      </c>
      <c r="O274" s="718">
        <f t="shared" si="60"/>
        <v>1949.28</v>
      </c>
      <c r="P274" s="617">
        <f t="shared" si="59"/>
        <v>0</v>
      </c>
      <c r="Q274" s="525"/>
      <c r="S274" s="190">
        <v>0</v>
      </c>
      <c r="T274" s="190">
        <v>0</v>
      </c>
      <c r="BT274" s="525"/>
      <c r="BU274" s="523"/>
      <c r="BV274" s="523">
        <v>0</v>
      </c>
      <c r="BW274" s="523">
        <v>0</v>
      </c>
      <c r="BX274" s="523">
        <v>0</v>
      </c>
      <c r="BY274" s="523">
        <v>0</v>
      </c>
      <c r="BZ274" s="523"/>
      <c r="CA274" s="523"/>
      <c r="CB274" s="523"/>
      <c r="CC274" s="523"/>
      <c r="CD274" s="523"/>
      <c r="CE274" s="523"/>
      <c r="CF274" s="523"/>
      <c r="CG274" s="523"/>
      <c r="CH274" s="523"/>
      <c r="CI274" s="523">
        <f t="shared" si="61"/>
        <v>0</v>
      </c>
    </row>
    <row r="275" spans="1:87" ht="15.75" x14ac:dyDescent="0.2">
      <c r="A275" s="605" t="s">
        <v>691</v>
      </c>
      <c r="B275" s="586"/>
      <c r="C275" s="586"/>
      <c r="D275" s="586" t="s">
        <v>1786</v>
      </c>
      <c r="E275" s="683"/>
      <c r="F275" s="683"/>
      <c r="G275" s="683"/>
      <c r="H275" s="683"/>
      <c r="I275" s="683"/>
      <c r="J275" s="683"/>
      <c r="K275" s="683"/>
      <c r="L275" s="733">
        <f>SUM(L276:L277)</f>
        <v>21904.989999999998</v>
      </c>
      <c r="M275" s="733">
        <f>SUM(M276:M277)</f>
        <v>0</v>
      </c>
      <c r="N275" s="733">
        <f>SUM(N276:N277)</f>
        <v>0</v>
      </c>
      <c r="O275" s="722">
        <f>SUM(O276:O277)</f>
        <v>21904.989999999998</v>
      </c>
      <c r="P275" s="611">
        <f t="shared" si="59"/>
        <v>0</v>
      </c>
      <c r="Q275" s="525"/>
      <c r="S275" s="189">
        <v>0</v>
      </c>
      <c r="T275" s="189">
        <v>0</v>
      </c>
      <c r="BT275" s="525"/>
      <c r="BU275" s="523"/>
      <c r="BV275" s="523">
        <v>0</v>
      </c>
      <c r="BW275" s="523">
        <v>0</v>
      </c>
      <c r="BX275" s="523"/>
      <c r="BY275" s="523"/>
      <c r="BZ275" s="523"/>
      <c r="CA275" s="523"/>
      <c r="CB275" s="523"/>
      <c r="CC275" s="523"/>
      <c r="CD275" s="523"/>
      <c r="CE275" s="523"/>
      <c r="CF275" s="523"/>
      <c r="CG275" s="523"/>
      <c r="CH275" s="523"/>
      <c r="CI275" s="523">
        <f t="shared" si="61"/>
        <v>0</v>
      </c>
    </row>
    <row r="276" spans="1:87" ht="30" x14ac:dyDescent="0.2">
      <c r="A276" s="680" t="s">
        <v>1787</v>
      </c>
      <c r="B276" s="569" t="s">
        <v>1788</v>
      </c>
      <c r="C276" s="569" t="s">
        <v>1324</v>
      </c>
      <c r="D276" s="569" t="s">
        <v>1789</v>
      </c>
      <c r="E276" s="681" t="s">
        <v>14</v>
      </c>
      <c r="F276" s="644">
        <v>62.36</v>
      </c>
      <c r="G276" s="682">
        <v>103.67</v>
      </c>
      <c r="H276" s="681">
        <v>201</v>
      </c>
      <c r="I276" s="695">
        <f t="shared" si="62"/>
        <v>0</v>
      </c>
      <c r="J276" s="574">
        <f t="shared" si="63"/>
        <v>0</v>
      </c>
      <c r="K276" s="644">
        <f t="shared" si="57"/>
        <v>201</v>
      </c>
      <c r="L276" s="708">
        <f t="shared" ref="L276:O277" si="64">ROUND(H276*$G276,2)</f>
        <v>20837.669999999998</v>
      </c>
      <c r="M276" s="708">
        <f t="shared" si="64"/>
        <v>0</v>
      </c>
      <c r="N276" s="708">
        <f t="shared" si="64"/>
        <v>0</v>
      </c>
      <c r="O276" s="718">
        <f t="shared" si="64"/>
        <v>20837.669999999998</v>
      </c>
      <c r="P276" s="617">
        <f t="shared" si="59"/>
        <v>0</v>
      </c>
      <c r="Q276" s="525"/>
      <c r="S276" s="189">
        <v>0</v>
      </c>
      <c r="T276" s="189">
        <v>0</v>
      </c>
      <c r="BT276" s="525"/>
      <c r="BU276" s="523"/>
      <c r="BV276" s="523">
        <v>0</v>
      </c>
      <c r="BW276" s="523">
        <v>0</v>
      </c>
      <c r="BX276" s="523">
        <v>0</v>
      </c>
      <c r="BY276" s="523">
        <v>0</v>
      </c>
      <c r="BZ276" s="523"/>
      <c r="CA276" s="523"/>
      <c r="CB276" s="523"/>
      <c r="CC276" s="523"/>
      <c r="CD276" s="523"/>
      <c r="CE276" s="523"/>
      <c r="CF276" s="523"/>
      <c r="CG276" s="523"/>
      <c r="CH276" s="523"/>
      <c r="CI276" s="523">
        <f t="shared" si="61"/>
        <v>0</v>
      </c>
    </row>
    <row r="277" spans="1:87" s="657" customFormat="1" ht="15.75" x14ac:dyDescent="0.2">
      <c r="A277" s="680" t="s">
        <v>1790</v>
      </c>
      <c r="B277" s="569" t="s">
        <v>2007</v>
      </c>
      <c r="C277" s="569" t="s">
        <v>1339</v>
      </c>
      <c r="D277" s="569" t="s">
        <v>1791</v>
      </c>
      <c r="E277" s="681" t="s">
        <v>102</v>
      </c>
      <c r="F277" s="644">
        <v>100.46</v>
      </c>
      <c r="G277" s="682">
        <v>266.83</v>
      </c>
      <c r="H277" s="681">
        <v>4</v>
      </c>
      <c r="I277" s="695">
        <f t="shared" si="62"/>
        <v>0</v>
      </c>
      <c r="J277" s="574">
        <f t="shared" si="63"/>
        <v>0</v>
      </c>
      <c r="K277" s="644">
        <f t="shared" si="57"/>
        <v>4</v>
      </c>
      <c r="L277" s="708">
        <f t="shared" si="64"/>
        <v>1067.32</v>
      </c>
      <c r="M277" s="708">
        <f t="shared" si="64"/>
        <v>0</v>
      </c>
      <c r="N277" s="708">
        <f t="shared" si="64"/>
        <v>0</v>
      </c>
      <c r="O277" s="718">
        <f t="shared" si="64"/>
        <v>1067.32</v>
      </c>
      <c r="P277" s="617">
        <f t="shared" si="59"/>
        <v>0</v>
      </c>
      <c r="Q277" s="525"/>
      <c r="S277" s="190">
        <v>0</v>
      </c>
      <c r="T277" s="190">
        <v>0</v>
      </c>
      <c r="BT277" s="525"/>
      <c r="BU277" s="523"/>
      <c r="BV277" s="523">
        <v>0</v>
      </c>
      <c r="BW277" s="523">
        <v>0</v>
      </c>
      <c r="BX277" s="523">
        <v>0</v>
      </c>
      <c r="BY277" s="523">
        <v>0</v>
      </c>
      <c r="BZ277" s="523"/>
      <c r="CA277" s="523"/>
      <c r="CB277" s="523"/>
      <c r="CC277" s="523"/>
      <c r="CD277" s="523"/>
      <c r="CE277" s="523"/>
      <c r="CF277" s="523"/>
      <c r="CG277" s="523"/>
      <c r="CH277" s="523"/>
      <c r="CI277" s="523">
        <f t="shared" si="61"/>
        <v>0</v>
      </c>
    </row>
    <row r="278" spans="1:87" ht="15.75" x14ac:dyDescent="0.2">
      <c r="A278" s="600">
        <v>20</v>
      </c>
      <c r="B278" s="558"/>
      <c r="C278" s="558"/>
      <c r="D278" s="558" t="s">
        <v>1232</v>
      </c>
      <c r="E278" s="626"/>
      <c r="F278" s="626"/>
      <c r="G278" s="626"/>
      <c r="H278" s="626"/>
      <c r="I278" s="626"/>
      <c r="J278" s="626"/>
      <c r="K278" s="626"/>
      <c r="L278" s="734">
        <f>SUM(L279:L283)</f>
        <v>4777.13</v>
      </c>
      <c r="M278" s="734">
        <f>SUM(M279:M283)</f>
        <v>0</v>
      </c>
      <c r="N278" s="734">
        <f>SUM(N279:N283)</f>
        <v>0</v>
      </c>
      <c r="O278" s="721">
        <f>SUM(O279:O283)</f>
        <v>4777.13</v>
      </c>
      <c r="P278" s="604">
        <f t="shared" si="59"/>
        <v>0</v>
      </c>
      <c r="Q278" s="525"/>
      <c r="S278" s="189">
        <v>0</v>
      </c>
      <c r="T278" s="189">
        <v>0</v>
      </c>
      <c r="BT278" s="525"/>
      <c r="BU278" s="523"/>
      <c r="BV278" s="523">
        <v>0</v>
      </c>
      <c r="BW278" s="523">
        <v>0</v>
      </c>
      <c r="BX278" s="523"/>
      <c r="BY278" s="523"/>
      <c r="BZ278" s="523"/>
      <c r="CA278" s="523"/>
      <c r="CB278" s="523"/>
      <c r="CC278" s="523"/>
      <c r="CD278" s="523"/>
      <c r="CE278" s="523"/>
      <c r="CF278" s="523"/>
      <c r="CG278" s="523"/>
      <c r="CH278" s="523"/>
      <c r="CI278" s="523">
        <f t="shared" si="61"/>
        <v>0</v>
      </c>
    </row>
    <row r="279" spans="1:87" ht="15.75" x14ac:dyDescent="0.2">
      <c r="A279" s="680" t="s">
        <v>719</v>
      </c>
      <c r="B279" s="569" t="s">
        <v>1792</v>
      </c>
      <c r="C279" s="569" t="s">
        <v>1324</v>
      </c>
      <c r="D279" s="569" t="s">
        <v>1793</v>
      </c>
      <c r="E279" s="681" t="s">
        <v>14</v>
      </c>
      <c r="F279" s="644">
        <v>37.18</v>
      </c>
      <c r="G279" s="682">
        <v>4.97</v>
      </c>
      <c r="H279" s="681">
        <v>296.01</v>
      </c>
      <c r="I279" s="695">
        <f t="shared" si="62"/>
        <v>0</v>
      </c>
      <c r="J279" s="574">
        <f t="shared" si="63"/>
        <v>0</v>
      </c>
      <c r="K279" s="644">
        <f t="shared" si="57"/>
        <v>296.01</v>
      </c>
      <c r="L279" s="708">
        <f t="shared" ref="L279:O283" si="65">ROUND(H279*$G279,2)</f>
        <v>1471.17</v>
      </c>
      <c r="M279" s="708">
        <f t="shared" si="65"/>
        <v>0</v>
      </c>
      <c r="N279" s="708">
        <f t="shared" si="65"/>
        <v>0</v>
      </c>
      <c r="O279" s="718">
        <f t="shared" si="65"/>
        <v>1471.17</v>
      </c>
      <c r="P279" s="617">
        <f t="shared" si="59"/>
        <v>0</v>
      </c>
      <c r="Q279" s="525"/>
      <c r="S279" s="189">
        <v>0</v>
      </c>
      <c r="T279" s="189">
        <v>0</v>
      </c>
      <c r="BT279" s="525"/>
      <c r="BU279" s="523"/>
      <c r="BV279" s="523">
        <v>0</v>
      </c>
      <c r="BW279" s="523">
        <v>0</v>
      </c>
      <c r="BX279" s="523">
        <v>0</v>
      </c>
      <c r="BY279" s="523">
        <v>0</v>
      </c>
      <c r="BZ279" s="523"/>
      <c r="CA279" s="523"/>
      <c r="CB279" s="523"/>
      <c r="CC279" s="523"/>
      <c r="CD279" s="523"/>
      <c r="CE279" s="523"/>
      <c r="CF279" s="523"/>
      <c r="CG279" s="523"/>
      <c r="CH279" s="523"/>
      <c r="CI279" s="523">
        <f t="shared" si="61"/>
        <v>0</v>
      </c>
    </row>
    <row r="280" spans="1:87" ht="15.75" x14ac:dyDescent="0.2">
      <c r="A280" s="680" t="s">
        <v>726</v>
      </c>
      <c r="B280" s="569" t="s">
        <v>1794</v>
      </c>
      <c r="C280" s="569" t="s">
        <v>1324</v>
      </c>
      <c r="D280" s="569" t="s">
        <v>1795</v>
      </c>
      <c r="E280" s="681" t="s">
        <v>14</v>
      </c>
      <c r="F280" s="644">
        <v>14.42</v>
      </c>
      <c r="G280" s="682">
        <v>9.57</v>
      </c>
      <c r="H280" s="681">
        <v>21.9</v>
      </c>
      <c r="I280" s="695">
        <f t="shared" si="62"/>
        <v>0</v>
      </c>
      <c r="J280" s="574">
        <f t="shared" si="63"/>
        <v>0</v>
      </c>
      <c r="K280" s="644">
        <f t="shared" si="57"/>
        <v>21.9</v>
      </c>
      <c r="L280" s="708">
        <f t="shared" si="65"/>
        <v>209.58</v>
      </c>
      <c r="M280" s="708">
        <f t="shared" si="65"/>
        <v>0</v>
      </c>
      <c r="N280" s="708">
        <f t="shared" si="65"/>
        <v>0</v>
      </c>
      <c r="O280" s="718">
        <f t="shared" si="65"/>
        <v>209.58</v>
      </c>
      <c r="P280" s="617">
        <f t="shared" si="59"/>
        <v>0</v>
      </c>
      <c r="Q280" s="525"/>
      <c r="S280" s="189">
        <v>0</v>
      </c>
      <c r="T280" s="189">
        <v>0</v>
      </c>
      <c r="BT280" s="525"/>
      <c r="BU280" s="523"/>
      <c r="BV280" s="523">
        <v>0</v>
      </c>
      <c r="BW280" s="523">
        <v>0</v>
      </c>
      <c r="BX280" s="523">
        <v>0</v>
      </c>
      <c r="BY280" s="523">
        <v>0</v>
      </c>
      <c r="BZ280" s="523"/>
      <c r="CA280" s="523"/>
      <c r="CB280" s="523"/>
      <c r="CC280" s="523"/>
      <c r="CD280" s="523"/>
      <c r="CE280" s="523"/>
      <c r="CF280" s="523"/>
      <c r="CG280" s="523"/>
      <c r="CH280" s="523"/>
      <c r="CI280" s="523">
        <f t="shared" si="61"/>
        <v>0</v>
      </c>
    </row>
    <row r="281" spans="1:87" ht="30" x14ac:dyDescent="0.2">
      <c r="A281" s="680" t="s">
        <v>730</v>
      </c>
      <c r="B281" s="569" t="s">
        <v>1796</v>
      </c>
      <c r="C281" s="569" t="s">
        <v>1324</v>
      </c>
      <c r="D281" s="569" t="s">
        <v>1797</v>
      </c>
      <c r="E281" s="681" t="s">
        <v>14</v>
      </c>
      <c r="F281" s="644">
        <v>22.57</v>
      </c>
      <c r="G281" s="682">
        <v>11.45</v>
      </c>
      <c r="H281" s="681">
        <v>64.91</v>
      </c>
      <c r="I281" s="695">
        <f t="shared" si="62"/>
        <v>0</v>
      </c>
      <c r="J281" s="574">
        <f t="shared" si="63"/>
        <v>0</v>
      </c>
      <c r="K281" s="644">
        <f t="shared" si="57"/>
        <v>64.91</v>
      </c>
      <c r="L281" s="708">
        <f t="shared" si="65"/>
        <v>743.22</v>
      </c>
      <c r="M281" s="708">
        <f t="shared" si="65"/>
        <v>0</v>
      </c>
      <c r="N281" s="708">
        <f t="shared" si="65"/>
        <v>0</v>
      </c>
      <c r="O281" s="718">
        <f t="shared" si="65"/>
        <v>743.22</v>
      </c>
      <c r="P281" s="617">
        <f t="shared" si="59"/>
        <v>0</v>
      </c>
      <c r="Q281" s="525"/>
      <c r="S281" s="189">
        <v>0</v>
      </c>
      <c r="T281" s="189">
        <v>0</v>
      </c>
      <c r="BT281" s="525"/>
      <c r="BU281" s="523"/>
      <c r="BV281" s="523">
        <v>0</v>
      </c>
      <c r="BW281" s="523">
        <v>0</v>
      </c>
      <c r="BX281" s="523">
        <v>0</v>
      </c>
      <c r="BY281" s="523">
        <v>0</v>
      </c>
      <c r="BZ281" s="523"/>
      <c r="CA281" s="523"/>
      <c r="CB281" s="523"/>
      <c r="CC281" s="523"/>
      <c r="CD281" s="523"/>
      <c r="CE281" s="523"/>
      <c r="CF281" s="523"/>
      <c r="CG281" s="523"/>
      <c r="CH281" s="523"/>
      <c r="CI281" s="523">
        <f t="shared" si="61"/>
        <v>0</v>
      </c>
    </row>
    <row r="282" spans="1:87" ht="15.75" x14ac:dyDescent="0.2">
      <c r="A282" s="680" t="s">
        <v>739</v>
      </c>
      <c r="B282" s="569" t="s">
        <v>1798</v>
      </c>
      <c r="C282" s="569" t="s">
        <v>1324</v>
      </c>
      <c r="D282" s="569" t="s">
        <v>1799</v>
      </c>
      <c r="E282" s="681" t="s">
        <v>14</v>
      </c>
      <c r="F282" s="644">
        <v>26.75</v>
      </c>
      <c r="G282" s="682">
        <v>1.53</v>
      </c>
      <c r="H282" s="681">
        <v>676.67</v>
      </c>
      <c r="I282" s="695">
        <f t="shared" si="62"/>
        <v>0</v>
      </c>
      <c r="J282" s="574">
        <f t="shared" si="63"/>
        <v>0</v>
      </c>
      <c r="K282" s="644">
        <f t="shared" si="57"/>
        <v>676.67</v>
      </c>
      <c r="L282" s="708">
        <f t="shared" si="65"/>
        <v>1035.31</v>
      </c>
      <c r="M282" s="708">
        <f t="shared" si="65"/>
        <v>0</v>
      </c>
      <c r="N282" s="708">
        <f t="shared" si="65"/>
        <v>0</v>
      </c>
      <c r="O282" s="718">
        <f t="shared" si="65"/>
        <v>1035.31</v>
      </c>
      <c r="P282" s="617">
        <f t="shared" si="59"/>
        <v>0</v>
      </c>
      <c r="Q282" s="525"/>
      <c r="S282" s="189">
        <v>0</v>
      </c>
      <c r="T282" s="189">
        <v>0</v>
      </c>
      <c r="BT282" s="525"/>
      <c r="BU282" s="523"/>
      <c r="BV282" s="523">
        <v>0</v>
      </c>
      <c r="BW282" s="523">
        <v>0</v>
      </c>
      <c r="BX282" s="523">
        <v>0</v>
      </c>
      <c r="BY282" s="523">
        <v>0</v>
      </c>
      <c r="BZ282" s="523"/>
      <c r="CA282" s="523"/>
      <c r="CB282" s="523"/>
      <c r="CC282" s="523"/>
      <c r="CD282" s="523"/>
      <c r="CE282" s="523"/>
      <c r="CF282" s="523"/>
      <c r="CG282" s="523"/>
      <c r="CH282" s="523"/>
      <c r="CI282" s="523">
        <f t="shared" si="61"/>
        <v>0</v>
      </c>
    </row>
    <row r="283" spans="1:87" ht="15.75" x14ac:dyDescent="0.2">
      <c r="A283" s="680" t="s">
        <v>743</v>
      </c>
      <c r="B283" s="569">
        <v>84122</v>
      </c>
      <c r="C283" s="569" t="s">
        <v>1324</v>
      </c>
      <c r="D283" s="569" t="s">
        <v>1800</v>
      </c>
      <c r="E283" s="681" t="s">
        <v>102</v>
      </c>
      <c r="F283" s="644">
        <v>61.1</v>
      </c>
      <c r="G283" s="682">
        <v>1317.85</v>
      </c>
      <c r="H283" s="681">
        <v>1</v>
      </c>
      <c r="I283" s="695">
        <f t="shared" si="62"/>
        <v>0</v>
      </c>
      <c r="J283" s="574">
        <f t="shared" si="63"/>
        <v>0</v>
      </c>
      <c r="K283" s="644">
        <f t="shared" si="57"/>
        <v>1</v>
      </c>
      <c r="L283" s="708">
        <f t="shared" si="65"/>
        <v>1317.85</v>
      </c>
      <c r="M283" s="708">
        <f t="shared" si="65"/>
        <v>0</v>
      </c>
      <c r="N283" s="708">
        <f t="shared" si="65"/>
        <v>0</v>
      </c>
      <c r="O283" s="718">
        <f t="shared" si="65"/>
        <v>1317.85</v>
      </c>
      <c r="P283" s="617">
        <f t="shared" si="59"/>
        <v>0</v>
      </c>
      <c r="Q283" s="525"/>
      <c r="S283" s="189">
        <v>0</v>
      </c>
      <c r="T283" s="189">
        <v>0</v>
      </c>
      <c r="AE283" s="393"/>
      <c r="BT283" s="525"/>
      <c r="BU283" s="523"/>
      <c r="BV283" s="523">
        <v>0</v>
      </c>
      <c r="BW283" s="523">
        <v>0</v>
      </c>
      <c r="BX283" s="523">
        <v>0</v>
      </c>
      <c r="BY283" s="523">
        <v>0</v>
      </c>
      <c r="BZ283" s="523"/>
      <c r="CA283" s="523"/>
      <c r="CB283" s="523"/>
      <c r="CC283" s="523"/>
      <c r="CD283" s="523"/>
      <c r="CE283" s="523"/>
      <c r="CF283" s="523"/>
      <c r="CG283" s="523"/>
      <c r="CH283" s="523"/>
      <c r="CI283" s="523">
        <f t="shared" si="61"/>
        <v>0</v>
      </c>
    </row>
    <row r="284" spans="1:87" s="67" customFormat="1" ht="16.5" thickBot="1" x14ac:dyDescent="0.25">
      <c r="A284" s="645"/>
      <c r="B284" s="646"/>
      <c r="C284" s="647"/>
      <c r="D284" s="647"/>
      <c r="E284" s="647"/>
      <c r="F284" s="647"/>
      <c r="G284" s="648" t="s">
        <v>1281</v>
      </c>
      <c r="H284" s="697"/>
      <c r="I284" s="650">
        <f t="shared" si="62"/>
        <v>0</v>
      </c>
      <c r="J284" s="651">
        <f t="shared" si="63"/>
        <v>0</v>
      </c>
      <c r="K284" s="647"/>
      <c r="L284" s="736">
        <f>L14+L26+L32+L45+L69+L77+L92+L95+L98+L109+L120+L129+L168+L190+L194+L208+L214+L259+L268+L278</f>
        <v>664297.16</v>
      </c>
      <c r="M284" s="713">
        <f>SUM(M278,M268,M259,M214,M208,M194,M190,M168,M129,M120,M109,M98,M95,M92,M77,M69,M45,M32,M26,M14)</f>
        <v>65997.2</v>
      </c>
      <c r="N284" s="713">
        <f>SUM(N278,N268,N259,N214,N208,N194,N190,N168,N129,N120,N109,N98,N95,N92,N77,N69,N45,N32,N26,N14)</f>
        <v>248110.89999999997</v>
      </c>
      <c r="O284" s="725">
        <f>SUM(O278,O268,O259,O214,O208,O194,O190,O168,O129,O120,O109,O98,O95,O92,O77,O69,O45,O32,O26,O14)</f>
        <v>416186.25999999995</v>
      </c>
      <c r="P284" s="698">
        <f>N284/O284</f>
        <v>0.59615351069014144</v>
      </c>
      <c r="Q284" s="525"/>
      <c r="S284" s="193"/>
      <c r="T284" s="193"/>
      <c r="BT284" s="525"/>
      <c r="BU284" s="523"/>
      <c r="BV284" s="523">
        <v>0</v>
      </c>
      <c r="BW284" s="523">
        <v>0</v>
      </c>
      <c r="BX284" s="523"/>
      <c r="BY284" s="523"/>
      <c r="BZ284" s="523"/>
      <c r="CA284" s="523"/>
      <c r="CB284" s="523"/>
      <c r="CC284" s="523"/>
      <c r="CD284" s="523"/>
      <c r="CE284" s="523"/>
      <c r="CF284" s="523"/>
      <c r="CG284" s="523"/>
      <c r="CH284" s="523"/>
      <c r="CI284" s="523">
        <f t="shared" si="61"/>
        <v>0</v>
      </c>
    </row>
    <row r="285" spans="1:87" x14ac:dyDescent="0.2">
      <c r="A285" s="69"/>
      <c r="B285" s="69"/>
      <c r="C285" s="59"/>
      <c r="D285" s="111"/>
      <c r="E285" s="59"/>
      <c r="F285" s="59"/>
      <c r="G285" s="82"/>
      <c r="H285" s="699"/>
      <c r="I285" s="70"/>
      <c r="J285" s="70"/>
      <c r="K285" s="59"/>
      <c r="L285" s="700"/>
      <c r="M285" s="700"/>
      <c r="N285" s="700"/>
      <c r="O285" s="726"/>
      <c r="P285" s="701"/>
      <c r="BW285" s="66">
        <v>0</v>
      </c>
    </row>
    <row r="286" spans="1:87" x14ac:dyDescent="0.2">
      <c r="P286" s="704"/>
    </row>
    <row r="287" spans="1:87" x14ac:dyDescent="0.2">
      <c r="B287" s="702"/>
      <c r="C287" s="110"/>
      <c r="P287" s="704"/>
    </row>
    <row r="288" spans="1:87" x14ac:dyDescent="0.2">
      <c r="B288" s="702"/>
      <c r="C288" s="110"/>
    </row>
    <row r="289" spans="2:15" x14ac:dyDescent="0.2">
      <c r="B289" s="702"/>
      <c r="C289" s="110"/>
      <c r="I289" s="937"/>
      <c r="J289" s="937"/>
      <c r="K289" s="937"/>
    </row>
    <row r="290" spans="2:15" x14ac:dyDescent="0.2">
      <c r="B290" s="702"/>
      <c r="C290" s="110"/>
      <c r="I290" s="944"/>
      <c r="J290" s="944"/>
      <c r="K290" s="944"/>
      <c r="M290" s="937"/>
      <c r="N290" s="937"/>
      <c r="O290" s="937"/>
    </row>
    <row r="291" spans="2:15" x14ac:dyDescent="0.2">
      <c r="B291" s="702"/>
      <c r="C291" s="110"/>
      <c r="I291" s="937"/>
      <c r="J291" s="937"/>
      <c r="K291" s="937"/>
      <c r="M291" s="937"/>
      <c r="N291" s="937"/>
      <c r="O291" s="937"/>
    </row>
    <row r="292" spans="2:15" x14ac:dyDescent="0.2">
      <c r="B292" s="702"/>
      <c r="C292" s="110"/>
      <c r="I292" s="937"/>
      <c r="J292" s="937"/>
      <c r="K292" s="937"/>
    </row>
  </sheetData>
  <mergeCells count="20">
    <mergeCell ref="I291:K291"/>
    <mergeCell ref="M291:O291"/>
    <mergeCell ref="I292:K292"/>
    <mergeCell ref="H11:K11"/>
    <mergeCell ref="L11:O11"/>
    <mergeCell ref="I289:K289"/>
    <mergeCell ref="I290:K290"/>
    <mergeCell ref="M290:O290"/>
    <mergeCell ref="A9:D9"/>
    <mergeCell ref="E9:G9"/>
    <mergeCell ref="J9:K9"/>
    <mergeCell ref="N9:O9"/>
    <mergeCell ref="A8:D8"/>
    <mergeCell ref="E8:G8"/>
    <mergeCell ref="J8:K8"/>
    <mergeCell ref="A1:D5"/>
    <mergeCell ref="E1:P5"/>
    <mergeCell ref="A7:D7"/>
    <mergeCell ref="E7:G7"/>
    <mergeCell ref="J7:K7"/>
  </mergeCells>
  <conditionalFormatting sqref="A14:E14 F46:G46 H89 O95 F51:G51 I51 K132:K151 H226:H246 H216:H224 F225:H225 A89:E89 L95:M95 A16:E16 H14:H16 H27:H31 A27:E31 A26:D26 A33:E44 A32:D32 H34:H44 H46:H56 A46:E56 A45:D45 A71:E71 H71 H79:H82 A79:E82 A93:E94 A92:D92 H93:H94 H96:H97 A96:E97 A95:D95 A99:E108 A98:D98 H99:H108 H111:H115 A111:E115 A121:E128 A120:D120 H121:H128 H131:H151 A131:E151 A169:E180 A168:D168 H170:H180 K170:K180 A191:E193 A190:D190 H191:I193 A195:E207 A194:D194 H195:I207 A209:E213 A208:D208 H209:I213 I216:I246 A215:E258 A214:D214 A260:E267 A259:D259 H260:I267 H270:I274 A269:E277 A268:D268 A279:E283 A278:D278 I279:I283 H279:H285 A58:E61 A57:D57 H58:H61 H63:H66 A63:E66 A62:D62 A68:E68 A67:D67 H68 A69:D70 H73:H74 A73:E74 A72:D72 A76:E76 A75:D75 H76 A77:D78 A84:E86 A83:D83 H84:H86 A87:D87 A91:E91 A90:D90 H91 A109:D110 A117:E119 A116:D116 H117:H119 A129:D130 A153:E167 A152:D152 H153:H167 K153:K167 H182:I189 A182:E189 A181:D181 H22:H25 A22:E25 L45:O45 L51:O51 L57:O57 L62:O62 L67:O67 L70:O70 L72:O72 L75:O75 L77:O78 L83:O83 L92:O92 L98:O98 L109:O110 L116:O116 L120:O120 L129:O130 L152:O152 L168:O169 L181:O181 L190:O190 L194:O194 L208:O208 K225:O225 L214:O215 L259:O259 L268:O269 L278:O278 H248:I251 F247:O247 H276:I277 F275:O275 F269:K269 H253:I258 F252:O252 F215:K215 F169:K169">
    <cfRule type="expression" dxfId="421" priority="75">
      <formula>$D14&lt;&gt;0</formula>
    </cfRule>
    <cfRule type="expression" dxfId="420" priority="76">
      <formula>$O14=1</formula>
    </cfRule>
  </conditionalFormatting>
  <conditionalFormatting sqref="G14 G39 L39:O39 G33:K33">
    <cfRule type="expression" dxfId="419" priority="77">
      <formula>$D14&lt;&gt;0</formula>
    </cfRule>
    <cfRule type="expression" dxfId="418" priority="78">
      <formula>$O14=1</formula>
    </cfRule>
  </conditionalFormatting>
  <conditionalFormatting sqref="E26">
    <cfRule type="expression" dxfId="417" priority="71">
      <formula>$D26&lt;&gt;0</formula>
    </cfRule>
    <cfRule type="expression" dxfId="416" priority="72">
      <formula>$O26=1</formula>
    </cfRule>
  </conditionalFormatting>
  <conditionalFormatting sqref="G26:J26">
    <cfRule type="expression" dxfId="415" priority="73">
      <formula>$D26&lt;&gt;0</formula>
    </cfRule>
    <cfRule type="expression" dxfId="414" priority="74">
      <formula>$O26=1</formula>
    </cfRule>
  </conditionalFormatting>
  <conditionalFormatting sqref="E32">
    <cfRule type="expression" dxfId="413" priority="67">
      <formula>$D32&lt;&gt;0</formula>
    </cfRule>
    <cfRule type="expression" dxfId="412" priority="68">
      <formula>$O32=1</formula>
    </cfRule>
  </conditionalFormatting>
  <conditionalFormatting sqref="G32:K32">
    <cfRule type="expression" dxfId="411" priority="69">
      <formula>$D32&lt;&gt;0</formula>
    </cfRule>
    <cfRule type="expression" dxfId="410" priority="70">
      <formula>$O32=1</formula>
    </cfRule>
  </conditionalFormatting>
  <conditionalFormatting sqref="E45 H45">
    <cfRule type="expression" dxfId="409" priority="63">
      <formula>$D45&lt;&gt;0</formula>
    </cfRule>
    <cfRule type="expression" dxfId="408" priority="64">
      <formula>$O45=1</formula>
    </cfRule>
  </conditionalFormatting>
  <conditionalFormatting sqref="G45">
    <cfRule type="expression" dxfId="407" priority="65">
      <formula>$D45&lt;&gt;0</formula>
    </cfRule>
    <cfRule type="expression" dxfId="406" priority="66">
      <formula>$O45=1</formula>
    </cfRule>
  </conditionalFormatting>
  <conditionalFormatting sqref="E69:K69">
    <cfRule type="expression" dxfId="405" priority="61">
      <formula>$D69&lt;&gt;0</formula>
    </cfRule>
    <cfRule type="expression" dxfId="404" priority="62">
      <formula>$O69=1</formula>
    </cfRule>
  </conditionalFormatting>
  <conditionalFormatting sqref="E77:K77">
    <cfRule type="expression" dxfId="403" priority="59">
      <formula>$D77&lt;&gt;0</formula>
    </cfRule>
    <cfRule type="expression" dxfId="402" priority="60">
      <formula>$O77=1</formula>
    </cfRule>
  </conditionalFormatting>
  <conditionalFormatting sqref="E92:K92">
    <cfRule type="expression" dxfId="401" priority="57">
      <formula>$D92&lt;&gt;0</formula>
    </cfRule>
    <cfRule type="expression" dxfId="400" priority="58">
      <formula>$O92=1</formula>
    </cfRule>
  </conditionalFormatting>
  <conditionalFormatting sqref="E95:K95">
    <cfRule type="expression" dxfId="399" priority="55">
      <formula>$D95&lt;&gt;0</formula>
    </cfRule>
    <cfRule type="expression" dxfId="398" priority="56">
      <formula>$O95=1</formula>
    </cfRule>
  </conditionalFormatting>
  <conditionalFormatting sqref="E98:K98">
    <cfRule type="expression" dxfId="397" priority="53">
      <formula>$D98&lt;&gt;0</formula>
    </cfRule>
    <cfRule type="expression" dxfId="396" priority="54">
      <formula>$O98=1</formula>
    </cfRule>
  </conditionalFormatting>
  <conditionalFormatting sqref="E109:K109">
    <cfRule type="expression" dxfId="395" priority="51">
      <formula>$D109&lt;&gt;0</formula>
    </cfRule>
    <cfRule type="expression" dxfId="394" priority="52">
      <formula>$O109=1</formula>
    </cfRule>
  </conditionalFormatting>
  <conditionalFormatting sqref="E120:K120">
    <cfRule type="expression" dxfId="393" priority="49">
      <formula>$D120&lt;&gt;0</formula>
    </cfRule>
    <cfRule type="expression" dxfId="392" priority="50">
      <formula>$O120=1</formula>
    </cfRule>
  </conditionalFormatting>
  <conditionalFormatting sqref="E129:K129">
    <cfRule type="expression" dxfId="391" priority="47">
      <formula>$D129&lt;&gt;0</formula>
    </cfRule>
    <cfRule type="expression" dxfId="390" priority="48">
      <formula>$O129=1</formula>
    </cfRule>
  </conditionalFormatting>
  <conditionalFormatting sqref="E168:K168">
    <cfRule type="expression" dxfId="389" priority="45">
      <formula>$D168&lt;&gt;0</formula>
    </cfRule>
    <cfRule type="expression" dxfId="388" priority="46">
      <formula>$O168=1</formula>
    </cfRule>
  </conditionalFormatting>
  <conditionalFormatting sqref="E190:K190">
    <cfRule type="expression" dxfId="387" priority="43">
      <formula>$D190&lt;&gt;0</formula>
    </cfRule>
    <cfRule type="expression" dxfId="386" priority="44">
      <formula>$O190=1</formula>
    </cfRule>
  </conditionalFormatting>
  <conditionalFormatting sqref="E194:K194">
    <cfRule type="expression" dxfId="385" priority="41">
      <formula>$D194&lt;&gt;0</formula>
    </cfRule>
    <cfRule type="expression" dxfId="384" priority="42">
      <formula>$O194=1</formula>
    </cfRule>
  </conditionalFormatting>
  <conditionalFormatting sqref="E208:K208">
    <cfRule type="expression" dxfId="383" priority="39">
      <formula>$D208&lt;&gt;0</formula>
    </cfRule>
    <cfRule type="expression" dxfId="382" priority="40">
      <formula>$O208=1</formula>
    </cfRule>
  </conditionalFormatting>
  <conditionalFormatting sqref="E214:K214">
    <cfRule type="expression" dxfId="381" priority="37">
      <formula>$D214&lt;&gt;0</formula>
    </cfRule>
    <cfRule type="expression" dxfId="380" priority="38">
      <formula>$O214=1</formula>
    </cfRule>
  </conditionalFormatting>
  <conditionalFormatting sqref="E259:K259">
    <cfRule type="expression" dxfId="379" priority="35">
      <formula>$D259&lt;&gt;0</formula>
    </cfRule>
    <cfRule type="expression" dxfId="378" priority="36">
      <formula>$O259=1</formula>
    </cfRule>
  </conditionalFormatting>
  <conditionalFormatting sqref="E268:K268">
    <cfRule type="expression" dxfId="377" priority="33">
      <formula>$D268&lt;&gt;0</formula>
    </cfRule>
    <cfRule type="expression" dxfId="376" priority="34">
      <formula>$O268=1</formula>
    </cfRule>
  </conditionalFormatting>
  <conditionalFormatting sqref="E278:K278">
    <cfRule type="expression" dxfId="375" priority="31">
      <formula>$D278&lt;&gt;0</formula>
    </cfRule>
    <cfRule type="expression" dxfId="374" priority="32">
      <formula>$O278=1</formula>
    </cfRule>
  </conditionalFormatting>
  <conditionalFormatting sqref="E57:I57">
    <cfRule type="expression" dxfId="373" priority="29">
      <formula>$D57&lt;&gt;0</formula>
    </cfRule>
    <cfRule type="expression" dxfId="372" priority="30">
      <formula>$O57=1</formula>
    </cfRule>
  </conditionalFormatting>
  <conditionalFormatting sqref="E62:K62">
    <cfRule type="expression" dxfId="371" priority="27">
      <formula>$D62&lt;&gt;0</formula>
    </cfRule>
    <cfRule type="expression" dxfId="370" priority="28">
      <formula>$O62=1</formula>
    </cfRule>
  </conditionalFormatting>
  <conditionalFormatting sqref="E67:K67">
    <cfRule type="expression" dxfId="369" priority="25">
      <formula>$D67&lt;&gt;0</formula>
    </cfRule>
    <cfRule type="expression" dxfId="368" priority="26">
      <formula>$O67=1</formula>
    </cfRule>
  </conditionalFormatting>
  <conditionalFormatting sqref="E70:K70">
    <cfRule type="expression" dxfId="367" priority="23">
      <formula>$D70&lt;&gt;0</formula>
    </cfRule>
    <cfRule type="expression" dxfId="366" priority="24">
      <formula>$O70=1</formula>
    </cfRule>
  </conditionalFormatting>
  <conditionalFormatting sqref="E72:K72">
    <cfRule type="expression" dxfId="365" priority="21">
      <formula>$D72&lt;&gt;0</formula>
    </cfRule>
    <cfRule type="expression" dxfId="364" priority="22">
      <formula>$O72=1</formula>
    </cfRule>
  </conditionalFormatting>
  <conditionalFormatting sqref="E75:K75">
    <cfRule type="expression" dxfId="363" priority="19">
      <formula>$D75&lt;&gt;0</formula>
    </cfRule>
    <cfRule type="expression" dxfId="362" priority="20">
      <formula>$O75=1</formula>
    </cfRule>
  </conditionalFormatting>
  <conditionalFormatting sqref="E78:K78">
    <cfRule type="expression" dxfId="361" priority="17">
      <formula>$D78&lt;&gt;0</formula>
    </cfRule>
    <cfRule type="expression" dxfId="360" priority="18">
      <formula>$O78=1</formula>
    </cfRule>
  </conditionalFormatting>
  <conditionalFormatting sqref="E83:K83">
    <cfRule type="expression" dxfId="359" priority="15">
      <formula>$D83&lt;&gt;0</formula>
    </cfRule>
    <cfRule type="expression" dxfId="358" priority="16">
      <formula>$O83=1</formula>
    </cfRule>
  </conditionalFormatting>
  <conditionalFormatting sqref="E87:K87">
    <cfRule type="expression" dxfId="357" priority="13">
      <formula>$D87&lt;&gt;0</formula>
    </cfRule>
    <cfRule type="expression" dxfId="356" priority="14">
      <formula>$O87=1</formula>
    </cfRule>
  </conditionalFormatting>
  <conditionalFormatting sqref="E90:K90">
    <cfRule type="expression" dxfId="355" priority="11">
      <formula>$D90&lt;&gt;0</formula>
    </cfRule>
    <cfRule type="expression" dxfId="354" priority="12">
      <formula>$O90=1</formula>
    </cfRule>
  </conditionalFormatting>
  <conditionalFormatting sqref="E110:K110">
    <cfRule type="expression" dxfId="353" priority="9">
      <formula>$D110&lt;&gt;0</formula>
    </cfRule>
    <cfRule type="expression" dxfId="352" priority="10">
      <formula>$O110=1</formula>
    </cfRule>
  </conditionalFormatting>
  <conditionalFormatting sqref="E116:K116">
    <cfRule type="expression" dxfId="351" priority="7">
      <formula>$D116&lt;&gt;0</formula>
    </cfRule>
    <cfRule type="expression" dxfId="350" priority="8">
      <formula>$O116=1</formula>
    </cfRule>
  </conditionalFormatting>
  <conditionalFormatting sqref="E130:K130">
    <cfRule type="expression" dxfId="349" priority="5">
      <formula>$D130&lt;&gt;0</formula>
    </cfRule>
    <cfRule type="expression" dxfId="348" priority="6">
      <formula>$O130=1</formula>
    </cfRule>
  </conditionalFormatting>
  <conditionalFormatting sqref="E152:K152">
    <cfRule type="expression" dxfId="347" priority="3">
      <formula>$D152&lt;&gt;0</formula>
    </cfRule>
    <cfRule type="expression" dxfId="346" priority="4">
      <formula>$O152=1</formula>
    </cfRule>
  </conditionalFormatting>
  <conditionalFormatting sqref="E181:K181">
    <cfRule type="expression" dxfId="345" priority="1">
      <formula>$D181&lt;&gt;0</formula>
    </cfRule>
    <cfRule type="expression" dxfId="344" priority="2">
      <formula>$O181=1</formula>
    </cfRule>
  </conditionalFormatting>
  <printOptions horizontalCentered="1"/>
  <pageMargins left="0.31496062992125984" right="0.31496062992125984" top="0.39370078740157483" bottom="1.1417322834645669" header="0.31496062992125984" footer="0.31496062992125984"/>
  <pageSetup paperSize="9" scale="43" fitToHeight="0" orientation="landscape" r:id="rId1"/>
  <headerFooter>
    <oddHeader>&amp;R&amp;P</oddHeader>
    <oddFooter>&amp;LResp. Técnico Fiscalização: Nei Frederico
CREA: 101562139-2
&amp;RResp. Engenharia Civil: Humberto Soares da Rocha Neto
CREA: 64467-D BA
&amp;P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CQ293"/>
  <sheetViews>
    <sheetView showGridLines="0" topLeftCell="E1" zoomScale="70" zoomScaleNormal="70" zoomScaleSheetLayoutView="70" zoomScalePageLayoutView="70" workbookViewId="0">
      <selection activeCell="P13" sqref="P13"/>
    </sheetView>
  </sheetViews>
  <sheetFormatPr defaultColWidth="9.33203125" defaultRowHeight="12.75" x14ac:dyDescent="0.2"/>
  <cols>
    <col min="1" max="1" width="12.5" style="110" customWidth="1"/>
    <col min="2" max="2" width="11.33203125" style="110" customWidth="1"/>
    <col min="3" max="3" width="11.5" style="702" customWidth="1"/>
    <col min="4" max="4" width="114.33203125" style="110" bestFit="1" customWidth="1"/>
    <col min="5" max="5" width="11.5" style="110" customWidth="1"/>
    <col min="6" max="6" width="12.6640625" style="110" hidden="1" customWidth="1"/>
    <col min="7" max="7" width="24.6640625" style="705" customWidth="1"/>
    <col min="8" max="8" width="19.6640625" style="110" bestFit="1" customWidth="1"/>
    <col min="9" max="9" width="23.5" style="192" customWidth="1"/>
    <col min="10" max="10" width="22.83203125" style="192" customWidth="1"/>
    <col min="11" max="11" width="14.83203125" style="110" customWidth="1"/>
    <col min="12" max="12" width="21.1640625" style="705" customWidth="1"/>
    <col min="13" max="13" width="18.6640625" style="705" customWidth="1"/>
    <col min="14" max="14" width="23.1640625" style="705" bestFit="1" customWidth="1"/>
    <col min="15" max="15" width="22.6640625" style="727" customWidth="1"/>
    <col min="16" max="16" width="12.5" style="110" customWidth="1"/>
    <col min="17" max="17" width="6.33203125" style="66" customWidth="1"/>
    <col min="18" max="18" width="0" style="66" hidden="1" customWidth="1"/>
    <col min="19" max="19" width="13.83203125" style="189" hidden="1" customWidth="1"/>
    <col min="20" max="20" width="11.1640625" style="189" hidden="1" customWidth="1"/>
    <col min="21" max="25" width="0" style="66" hidden="1" customWidth="1"/>
    <col min="26" max="26" width="12.33203125" style="66" hidden="1" customWidth="1"/>
    <col min="27" max="27" width="0" style="66" hidden="1" customWidth="1"/>
    <col min="28" max="28" width="13.5" style="66" hidden="1" customWidth="1"/>
    <col min="29" max="30" width="0" style="66" hidden="1" customWidth="1"/>
    <col min="31" max="31" width="15.6640625" style="66" hidden="1" customWidth="1"/>
    <col min="32" max="33" width="11.5" style="66" hidden="1" customWidth="1"/>
    <col min="34" max="71" width="0" style="66" hidden="1" customWidth="1"/>
    <col min="72" max="72" width="19.6640625" style="66" hidden="1" customWidth="1"/>
    <col min="73" max="73" width="9.33203125" style="66"/>
    <col min="74" max="79" width="9.33203125" style="66" customWidth="1"/>
    <col min="80" max="80" width="9.33203125" style="66"/>
    <col min="81" max="81" width="20.1640625" style="66" bestFit="1" customWidth="1"/>
    <col min="82" max="82" width="20" style="66" bestFit="1" customWidth="1"/>
    <col min="83" max="86" width="9.33203125" style="66"/>
    <col min="87" max="87" width="11.1640625" style="66" bestFit="1" customWidth="1"/>
    <col min="88" max="93" width="9.33203125" style="66"/>
    <col min="94" max="94" width="20.1640625" style="66" hidden="1" customWidth="1"/>
    <col min="95" max="95" width="19" style="66" hidden="1" customWidth="1"/>
    <col min="96" max="16384" width="9.33203125" style="66"/>
  </cols>
  <sheetData>
    <row r="1" spans="1:95" s="51" customFormat="1" ht="12" x14ac:dyDescent="0.2">
      <c r="A1" s="923"/>
      <c r="B1" s="924"/>
      <c r="C1" s="924"/>
      <c r="D1" s="924"/>
      <c r="E1" s="929" t="s">
        <v>2045</v>
      </c>
      <c r="F1" s="929"/>
      <c r="G1" s="929"/>
      <c r="H1" s="929"/>
      <c r="I1" s="929"/>
      <c r="J1" s="929"/>
      <c r="K1" s="929"/>
      <c r="L1" s="929"/>
      <c r="M1" s="929"/>
      <c r="N1" s="929"/>
      <c r="O1" s="929"/>
      <c r="P1" s="930"/>
      <c r="S1" s="188"/>
      <c r="T1" s="188"/>
    </row>
    <row r="2" spans="1:95" s="51" customFormat="1" ht="12" x14ac:dyDescent="0.2">
      <c r="A2" s="925"/>
      <c r="B2" s="926"/>
      <c r="C2" s="926"/>
      <c r="D2" s="926"/>
      <c r="E2" s="931"/>
      <c r="F2" s="931"/>
      <c r="G2" s="931"/>
      <c r="H2" s="931"/>
      <c r="I2" s="931"/>
      <c r="J2" s="931"/>
      <c r="K2" s="931"/>
      <c r="L2" s="931"/>
      <c r="M2" s="931"/>
      <c r="N2" s="931"/>
      <c r="O2" s="931"/>
      <c r="P2" s="932"/>
      <c r="S2" s="188"/>
      <c r="T2" s="188"/>
    </row>
    <row r="3" spans="1:95" s="51" customFormat="1" ht="12" x14ac:dyDescent="0.2">
      <c r="A3" s="925"/>
      <c r="B3" s="926"/>
      <c r="C3" s="926"/>
      <c r="D3" s="926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2"/>
      <c r="S3" s="188"/>
      <c r="T3" s="188"/>
    </row>
    <row r="4" spans="1:95" s="51" customFormat="1" ht="12" x14ac:dyDescent="0.2">
      <c r="A4" s="925"/>
      <c r="B4" s="926"/>
      <c r="C4" s="926"/>
      <c r="D4" s="926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2"/>
      <c r="S4" s="188"/>
      <c r="T4" s="188"/>
    </row>
    <row r="5" spans="1:95" s="51" customFormat="1" ht="35.25" customHeight="1" thickBot="1" x14ac:dyDescent="0.25">
      <c r="A5" s="927"/>
      <c r="B5" s="928"/>
      <c r="C5" s="928"/>
      <c r="D5" s="928"/>
      <c r="E5" s="933"/>
      <c r="F5" s="933"/>
      <c r="G5" s="933"/>
      <c r="H5" s="933"/>
      <c r="I5" s="933"/>
      <c r="J5" s="933"/>
      <c r="K5" s="933"/>
      <c r="L5" s="933"/>
      <c r="M5" s="933"/>
      <c r="N5" s="933"/>
      <c r="O5" s="933"/>
      <c r="P5" s="934"/>
      <c r="S5" s="188"/>
      <c r="T5" s="188"/>
    </row>
    <row r="6" spans="1:95" s="51" customFormat="1" ht="23.25" x14ac:dyDescent="0.2">
      <c r="A6" s="669"/>
      <c r="B6" s="669"/>
      <c r="C6" s="669"/>
      <c r="D6" s="669"/>
      <c r="E6" s="670"/>
      <c r="F6" s="670"/>
      <c r="G6" s="670"/>
      <c r="H6" s="670"/>
      <c r="I6" s="670"/>
      <c r="J6" s="670"/>
      <c r="K6" s="670"/>
      <c r="L6" s="670"/>
      <c r="M6" s="670"/>
      <c r="N6" s="670"/>
      <c r="O6" s="714"/>
      <c r="P6" s="670"/>
      <c r="S6" s="188">
        <v>30999.574999999997</v>
      </c>
      <c r="T6" s="188" t="s">
        <v>1288</v>
      </c>
      <c r="Z6" s="64">
        <v>30999.574999999997</v>
      </c>
      <c r="AB6" s="64">
        <v>44898.842499999999</v>
      </c>
      <c r="AE6" s="666">
        <v>38575.583824999994</v>
      </c>
      <c r="AF6" s="372">
        <f>AE6-I7</f>
        <v>38575.583824999994</v>
      </c>
    </row>
    <row r="7" spans="1:95" s="51" customFormat="1" x14ac:dyDescent="0.2">
      <c r="A7" s="875" t="s">
        <v>1320</v>
      </c>
      <c r="B7" s="875"/>
      <c r="C7" s="875"/>
      <c r="D7" s="875"/>
      <c r="E7" s="935" t="s">
        <v>2019</v>
      </c>
      <c r="F7" s="935"/>
      <c r="G7" s="935"/>
      <c r="H7" s="671" t="s">
        <v>1323</v>
      </c>
      <c r="I7" s="672"/>
      <c r="J7" s="936" t="s">
        <v>2029</v>
      </c>
      <c r="K7" s="936"/>
      <c r="L7" s="530">
        <f>M13/L13</f>
        <v>0.15039066251615468</v>
      </c>
      <c r="M7" s="511" t="s">
        <v>2021</v>
      </c>
      <c r="N7" s="673">
        <v>43658</v>
      </c>
      <c r="O7" s="715"/>
      <c r="P7" s="674"/>
      <c r="S7" s="188">
        <v>203365.995</v>
      </c>
      <c r="T7" s="188" t="s">
        <v>1309</v>
      </c>
      <c r="AB7" s="64">
        <v>152813.08250000002</v>
      </c>
    </row>
    <row r="8" spans="1:95" s="51" customFormat="1" x14ac:dyDescent="0.2">
      <c r="A8" s="875" t="s">
        <v>2014</v>
      </c>
      <c r="B8" s="875"/>
      <c r="C8" s="875"/>
      <c r="D8" s="875"/>
      <c r="E8" s="893" t="s">
        <v>2020</v>
      </c>
      <c r="F8" s="893"/>
      <c r="G8" s="893"/>
      <c r="H8" s="488">
        <f>664297.16</f>
        <v>664297.16</v>
      </c>
      <c r="I8" s="672"/>
      <c r="J8" s="936" t="s">
        <v>2028</v>
      </c>
      <c r="K8" s="936"/>
      <c r="L8" s="530">
        <f>P13</f>
        <v>1.1003307964107365</v>
      </c>
      <c r="M8" s="191" t="s">
        <v>3</v>
      </c>
      <c r="N8" s="675">
        <v>0.27139999999999997</v>
      </c>
      <c r="O8" s="715"/>
      <c r="P8" s="674"/>
      <c r="Q8" s="534"/>
      <c r="R8" s="534"/>
      <c r="S8" s="535">
        <v>485968.91500000004</v>
      </c>
      <c r="T8" s="535" t="s">
        <v>1294</v>
      </c>
      <c r="U8" s="534"/>
      <c r="V8" s="534"/>
      <c r="W8" s="534"/>
      <c r="X8" s="534"/>
      <c r="Y8" s="534"/>
      <c r="Z8" s="534"/>
      <c r="AA8" s="534"/>
      <c r="AB8" s="64">
        <v>511484.07750000001</v>
      </c>
      <c r="AC8" s="534"/>
      <c r="AD8" s="534"/>
      <c r="AE8" s="536" t="e">
        <f>H8/I9</f>
        <v>#DIV/0!</v>
      </c>
      <c r="AF8" s="534"/>
      <c r="AG8" s="534"/>
      <c r="AH8" s="534"/>
      <c r="AI8" s="534"/>
      <c r="AJ8" s="534"/>
      <c r="AK8" s="534"/>
      <c r="AL8" s="534"/>
      <c r="AM8" s="534"/>
      <c r="AN8" s="534"/>
      <c r="AO8" s="534"/>
      <c r="AP8" s="534"/>
      <c r="AQ8" s="534"/>
      <c r="AR8" s="534"/>
      <c r="AS8" s="534"/>
      <c r="AT8" s="534"/>
      <c r="AU8" s="534"/>
      <c r="AV8" s="534"/>
      <c r="AW8" s="534"/>
      <c r="AX8" s="534"/>
      <c r="AY8" s="534"/>
      <c r="AZ8" s="534"/>
      <c r="BA8" s="534"/>
      <c r="BB8" s="534"/>
      <c r="BC8" s="534"/>
      <c r="BD8" s="534"/>
      <c r="BE8" s="534"/>
      <c r="BF8" s="534"/>
      <c r="BG8" s="534"/>
      <c r="BH8" s="534"/>
      <c r="BI8" s="534"/>
      <c r="BJ8" s="534"/>
      <c r="BK8" s="534"/>
      <c r="BL8" s="534"/>
      <c r="BM8" s="534"/>
      <c r="BN8" s="534"/>
      <c r="BO8" s="534"/>
      <c r="BP8" s="534"/>
      <c r="BQ8" s="534"/>
      <c r="BR8" s="534"/>
      <c r="BS8" s="534"/>
      <c r="BT8" s="534"/>
      <c r="CP8" s="490">
        <v>102520.2</v>
      </c>
      <c r="CQ8" s="753">
        <f>CP8-M13</f>
        <v>2616.109999999986</v>
      </c>
    </row>
    <row r="9" spans="1:95" s="51" customFormat="1" x14ac:dyDescent="0.2">
      <c r="A9" s="875" t="s">
        <v>2017</v>
      </c>
      <c r="B9" s="875"/>
      <c r="C9" s="875"/>
      <c r="D9" s="875"/>
      <c r="E9" s="893" t="s">
        <v>2027</v>
      </c>
      <c r="F9" s="893"/>
      <c r="G9" s="893"/>
      <c r="H9" s="676">
        <v>43960</v>
      </c>
      <c r="I9" s="677"/>
      <c r="J9" s="905" t="s">
        <v>2030</v>
      </c>
      <c r="K9" s="905"/>
      <c r="L9" s="678">
        <v>44196</v>
      </c>
      <c r="M9" s="664" t="s">
        <v>2016</v>
      </c>
      <c r="N9" s="875" t="s">
        <v>2046</v>
      </c>
      <c r="O9" s="875"/>
      <c r="P9" s="664"/>
      <c r="Q9" s="534"/>
      <c r="R9" s="534"/>
      <c r="S9" s="535"/>
      <c r="T9" s="535"/>
      <c r="U9" s="534"/>
      <c r="V9" s="534"/>
      <c r="W9" s="534"/>
      <c r="X9" s="534"/>
      <c r="Y9" s="534"/>
      <c r="Z9" s="534"/>
      <c r="AA9" s="534"/>
      <c r="AB9" s="485"/>
      <c r="AC9" s="534"/>
      <c r="AD9" s="534"/>
      <c r="AE9" s="537"/>
      <c r="AF9" s="534"/>
      <c r="AG9" s="534"/>
      <c r="AH9" s="534"/>
      <c r="AI9" s="534"/>
      <c r="AJ9" s="534"/>
      <c r="AK9" s="534"/>
      <c r="AL9" s="534"/>
      <c r="AM9" s="534"/>
      <c r="AN9" s="534"/>
      <c r="AO9" s="534"/>
      <c r="AP9" s="534"/>
      <c r="AQ9" s="534"/>
      <c r="AR9" s="534"/>
      <c r="AS9" s="534"/>
      <c r="AT9" s="534"/>
      <c r="AU9" s="534"/>
      <c r="AV9" s="534"/>
      <c r="AW9" s="534"/>
      <c r="AX9" s="534"/>
      <c r="AY9" s="534"/>
      <c r="AZ9" s="534"/>
      <c r="BA9" s="534"/>
      <c r="BB9" s="534"/>
      <c r="BC9" s="534"/>
      <c r="BD9" s="534"/>
      <c r="BE9" s="534"/>
      <c r="BF9" s="534"/>
      <c r="BG9" s="534"/>
      <c r="BH9" s="534"/>
      <c r="BI9" s="534"/>
      <c r="BJ9" s="534"/>
      <c r="BK9" s="534"/>
      <c r="BL9" s="534"/>
      <c r="BM9" s="534"/>
      <c r="BN9" s="534"/>
      <c r="BO9" s="534"/>
      <c r="BP9" s="534"/>
      <c r="BQ9" s="534"/>
      <c r="BR9" s="534"/>
      <c r="BS9" s="534"/>
      <c r="BT9" s="538"/>
    </row>
    <row r="10" spans="1:95" s="51" customFormat="1" ht="13.5" thickBot="1" x14ac:dyDescent="0.25">
      <c r="A10" s="664"/>
      <c r="B10" s="664"/>
      <c r="C10" s="664"/>
      <c r="D10" s="664"/>
      <c r="E10" s="664"/>
      <c r="F10" s="679"/>
      <c r="G10" s="665"/>
      <c r="H10" s="511"/>
      <c r="I10" s="672"/>
      <c r="J10" s="195"/>
      <c r="K10" s="492"/>
      <c r="L10" s="511"/>
      <c r="M10" s="664"/>
      <c r="N10" s="664"/>
      <c r="O10" s="715"/>
      <c r="P10" s="492"/>
      <c r="S10" s="188"/>
      <c r="T10" s="188"/>
      <c r="BT10" s="372"/>
    </row>
    <row r="11" spans="1:95" ht="29.25" customHeight="1" thickBot="1" x14ac:dyDescent="0.25">
      <c r="C11" s="110"/>
      <c r="E11" s="667"/>
      <c r="F11" s="667"/>
      <c r="G11" s="668"/>
      <c r="H11" s="938" t="s">
        <v>2008</v>
      </c>
      <c r="I11" s="939"/>
      <c r="J11" s="939"/>
      <c r="K11" s="940"/>
      <c r="L11" s="941" t="s">
        <v>2009</v>
      </c>
      <c r="M11" s="942"/>
      <c r="N11" s="942"/>
      <c r="O11" s="943"/>
      <c r="P11" s="741"/>
      <c r="Q11" s="71"/>
      <c r="R11" s="71"/>
      <c r="S11" s="533"/>
      <c r="T11" s="533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66" t="s">
        <v>2033</v>
      </c>
      <c r="CD11" s="393">
        <f>N13-M13</f>
        <v>248110.89999999997</v>
      </c>
    </row>
    <row r="12" spans="1:95" ht="36.75" customHeight="1" thickBot="1" x14ac:dyDescent="0.25">
      <c r="A12" s="737" t="s">
        <v>1325</v>
      </c>
      <c r="B12" s="737" t="s">
        <v>1326</v>
      </c>
      <c r="C12" s="737" t="s">
        <v>1327</v>
      </c>
      <c r="D12" s="737" t="s">
        <v>5</v>
      </c>
      <c r="E12" s="737" t="s">
        <v>6</v>
      </c>
      <c r="F12" s="738" t="s">
        <v>2041</v>
      </c>
      <c r="G12" s="739" t="s">
        <v>2042</v>
      </c>
      <c r="H12" s="737" t="s">
        <v>2018</v>
      </c>
      <c r="I12" s="740" t="s">
        <v>2013</v>
      </c>
      <c r="J12" s="740" t="s">
        <v>1819</v>
      </c>
      <c r="K12" s="737" t="s">
        <v>1295</v>
      </c>
      <c r="L12" s="742" t="s">
        <v>2018</v>
      </c>
      <c r="M12" s="743" t="s">
        <v>2013</v>
      </c>
      <c r="N12" s="743" t="s">
        <v>1819</v>
      </c>
      <c r="O12" s="744" t="s">
        <v>1295</v>
      </c>
      <c r="P12" s="737" t="s">
        <v>1296</v>
      </c>
      <c r="Q12" s="71"/>
      <c r="R12" s="71"/>
      <c r="S12" s="533"/>
      <c r="T12" s="533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</row>
    <row r="13" spans="1:95" s="539" customFormat="1" ht="33" customHeight="1" x14ac:dyDescent="0.2">
      <c r="A13" s="546"/>
      <c r="B13" s="548"/>
      <c r="C13" s="548"/>
      <c r="D13" s="548" t="s">
        <v>2010</v>
      </c>
      <c r="E13" s="549"/>
      <c r="F13" s="550"/>
      <c r="G13" s="551"/>
      <c r="H13" s="552"/>
      <c r="I13" s="553"/>
      <c r="J13" s="553"/>
      <c r="K13" s="553"/>
      <c r="L13" s="706">
        <f>L15+L27+L33+L46+L70+L78+L93+L96+L99+L110+L121+L130+L169+L191+L195+L209+L215+L260+L269+L279</f>
        <v>664297.16</v>
      </c>
      <c r="M13" s="706">
        <f>M15+M27+M33+M46+M70+M78+M93+M96+M99+M110+M121+M130+M169+M191+M195+M209+M215+M260+M269+M279</f>
        <v>99904.090000000011</v>
      </c>
      <c r="N13" s="706">
        <f>N15+N27+N33+N46+N70+N78+N93+N96+N99+N110+N121+N130+N169+N191+N195+N209+N215+N260+N269+N279+0.01</f>
        <v>348014.99</v>
      </c>
      <c r="O13" s="716">
        <f>O15+O27+O33+O46+O70+O78+O93+O96+O99+O110+O121+O130+O169+O191+O195+O209+O215+O260+O269+O279-0.01</f>
        <v>316282.14999999997</v>
      </c>
      <c r="P13" s="555">
        <f>N13/O13</f>
        <v>1.1003307964107365</v>
      </c>
      <c r="Q13" s="660"/>
      <c r="R13" s="490"/>
      <c r="S13" s="490"/>
      <c r="T13" s="490"/>
      <c r="U13" s="490"/>
      <c r="V13" s="490"/>
      <c r="W13" s="490"/>
      <c r="X13" s="490"/>
      <c r="Y13" s="490"/>
      <c r="Z13" s="490"/>
      <c r="AA13" s="490"/>
      <c r="AB13" s="490"/>
      <c r="AC13" s="490"/>
      <c r="AD13" s="490"/>
      <c r="AE13" s="490"/>
      <c r="AF13" s="490"/>
      <c r="AG13" s="490"/>
      <c r="AH13" s="490"/>
      <c r="AI13" s="490"/>
      <c r="AJ13" s="490"/>
      <c r="AK13" s="490"/>
      <c r="AL13" s="490"/>
      <c r="AM13" s="490"/>
      <c r="AN13" s="490"/>
      <c r="AO13" s="490"/>
      <c r="AP13" s="490"/>
      <c r="AQ13" s="490"/>
      <c r="AR13" s="490"/>
      <c r="AS13" s="490"/>
      <c r="AT13" s="490"/>
      <c r="AU13" s="490"/>
      <c r="AV13" s="490"/>
      <c r="AW13" s="490"/>
      <c r="AX13" s="490"/>
      <c r="AY13" s="490"/>
      <c r="AZ13" s="490"/>
      <c r="BA13" s="490"/>
      <c r="BB13" s="490"/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539">
        <v>7</v>
      </c>
      <c r="BV13" s="539">
        <v>6</v>
      </c>
      <c r="BW13" s="539">
        <v>5</v>
      </c>
      <c r="BX13" s="539">
        <v>4</v>
      </c>
      <c r="BY13" s="539">
        <v>3</v>
      </c>
      <c r="BZ13" s="539">
        <v>2</v>
      </c>
      <c r="CA13" s="539">
        <v>1</v>
      </c>
      <c r="CI13" s="539" t="s">
        <v>2023</v>
      </c>
    </row>
    <row r="14" spans="1:95" s="539" customFormat="1" ht="33" hidden="1" customHeight="1" x14ac:dyDescent="0.2">
      <c r="A14" s="546"/>
      <c r="B14" s="548"/>
      <c r="C14" s="548"/>
      <c r="D14" s="548"/>
      <c r="E14" s="549"/>
      <c r="F14" s="550"/>
      <c r="G14" s="551"/>
      <c r="H14" s="552"/>
      <c r="I14" s="553"/>
      <c r="J14" s="553"/>
      <c r="K14" s="553"/>
      <c r="L14" s="706"/>
      <c r="M14" s="706"/>
      <c r="N14" s="706"/>
      <c r="O14" s="716"/>
      <c r="P14" s="752"/>
      <c r="Q14" s="660"/>
      <c r="R14" s="490"/>
      <c r="S14" s="490"/>
      <c r="T14" s="490"/>
      <c r="U14" s="490"/>
      <c r="V14" s="490"/>
      <c r="W14" s="490"/>
      <c r="X14" s="490"/>
      <c r="Y14" s="490"/>
      <c r="Z14" s="490"/>
      <c r="AA14" s="490"/>
      <c r="AB14" s="490"/>
      <c r="AC14" s="490"/>
      <c r="AD14" s="490"/>
      <c r="AE14" s="490"/>
      <c r="AF14" s="490"/>
      <c r="AG14" s="490"/>
      <c r="AH14" s="490"/>
      <c r="AI14" s="490"/>
      <c r="AJ14" s="490"/>
      <c r="AK14" s="490"/>
      <c r="AL14" s="490"/>
      <c r="AM14" s="490"/>
      <c r="AN14" s="490"/>
      <c r="AO14" s="490"/>
      <c r="AP14" s="490"/>
      <c r="AQ14" s="490"/>
      <c r="AR14" s="490"/>
      <c r="AS14" s="490"/>
      <c r="AT14" s="490"/>
      <c r="AU14" s="490"/>
      <c r="AV14" s="490"/>
      <c r="AW14" s="490"/>
      <c r="AX14" s="490"/>
      <c r="AY14" s="490"/>
      <c r="AZ14" s="490"/>
      <c r="BA14" s="490"/>
      <c r="BB14" s="490"/>
      <c r="BC14" s="490"/>
      <c r="BD14" s="490"/>
      <c r="BE14" s="490"/>
      <c r="BF14" s="490"/>
      <c r="BG14" s="490"/>
      <c r="BH14" s="490"/>
      <c r="BI14" s="490"/>
      <c r="BJ14" s="490"/>
      <c r="BK14" s="490"/>
      <c r="BL14" s="490"/>
      <c r="BM14" s="490"/>
      <c r="BN14" s="490"/>
      <c r="BO14" s="490"/>
      <c r="BP14" s="490"/>
      <c r="BQ14" s="490"/>
      <c r="BR14" s="490"/>
      <c r="BS14" s="490"/>
      <c r="BT14" s="490"/>
    </row>
    <row r="15" spans="1:95" ht="15.75" x14ac:dyDescent="0.2">
      <c r="A15" s="600">
        <v>1</v>
      </c>
      <c r="B15" s="558"/>
      <c r="C15" s="558"/>
      <c r="D15" s="558" t="s">
        <v>9</v>
      </c>
      <c r="E15" s="626"/>
      <c r="F15" s="560"/>
      <c r="G15" s="565"/>
      <c r="H15" s="641"/>
      <c r="I15" s="563">
        <v>0</v>
      </c>
      <c r="J15" s="564"/>
      <c r="K15" s="563"/>
      <c r="L15" s="707">
        <f>SUM(L16:L26)</f>
        <v>32660.889999999992</v>
      </c>
      <c r="M15" s="707">
        <f>SUM(M16:M26)</f>
        <v>0</v>
      </c>
      <c r="N15" s="707">
        <f>SUM(N16:N26)</f>
        <v>32660.889999999992</v>
      </c>
      <c r="O15" s="717">
        <f>SUM(O16:O26)</f>
        <v>0</v>
      </c>
      <c r="P15" s="604">
        <f t="shared" ref="P15:P78" si="0">N15/L15</f>
        <v>1</v>
      </c>
      <c r="Q15" s="525"/>
      <c r="BT15" s="525"/>
      <c r="BU15" s="523"/>
      <c r="BV15" s="523"/>
      <c r="BW15" s="523">
        <v>0</v>
      </c>
      <c r="BX15" s="523">
        <v>0</v>
      </c>
      <c r="BY15" s="523">
        <v>0</v>
      </c>
      <c r="BZ15" s="523"/>
      <c r="CA15" s="523"/>
      <c r="CB15" s="523"/>
      <c r="CC15" s="523"/>
      <c r="CD15" s="523"/>
      <c r="CE15" s="523"/>
      <c r="CF15" s="523"/>
      <c r="CG15" s="523"/>
      <c r="CH15" s="523"/>
      <c r="CI15" s="523">
        <f>SUM(BU15:CH15)</f>
        <v>0</v>
      </c>
    </row>
    <row r="16" spans="1:95" ht="15" x14ac:dyDescent="0.2">
      <c r="A16" s="680" t="s">
        <v>10</v>
      </c>
      <c r="B16" s="569" t="s">
        <v>1328</v>
      </c>
      <c r="C16" s="569" t="s">
        <v>1324</v>
      </c>
      <c r="D16" s="569" t="s">
        <v>1329</v>
      </c>
      <c r="E16" s="681" t="s">
        <v>14</v>
      </c>
      <c r="F16" s="571"/>
      <c r="G16" s="682">
        <v>232.25</v>
      </c>
      <c r="H16" s="681">
        <v>10</v>
      </c>
      <c r="I16" s="573">
        <f>BU16</f>
        <v>0</v>
      </c>
      <c r="J16" s="574">
        <f>CI16</f>
        <v>10</v>
      </c>
      <c r="K16" s="573">
        <f>H16-J16</f>
        <v>0</v>
      </c>
      <c r="L16" s="708">
        <f>ROUND(H16*$G16,2)</f>
        <v>2322.5</v>
      </c>
      <c r="M16" s="708">
        <f t="shared" ref="M16:O26" si="1">ROUND(I16*$G16,2)</f>
        <v>0</v>
      </c>
      <c r="N16" s="708">
        <f t="shared" si="1"/>
        <v>2322.5</v>
      </c>
      <c r="O16" s="718">
        <f t="shared" si="1"/>
        <v>0</v>
      </c>
      <c r="P16" s="617">
        <f t="shared" si="0"/>
        <v>1</v>
      </c>
      <c r="Q16" s="525"/>
      <c r="BT16" s="525"/>
      <c r="BU16" s="523"/>
      <c r="BV16" s="523"/>
      <c r="BW16" s="523">
        <v>0</v>
      </c>
      <c r="BX16" s="523">
        <v>0</v>
      </c>
      <c r="BY16" s="523">
        <v>0</v>
      </c>
      <c r="BZ16" s="523">
        <v>0</v>
      </c>
      <c r="CA16" s="523">
        <v>10</v>
      </c>
      <c r="CB16" s="523"/>
      <c r="CC16" s="523"/>
      <c r="CD16" s="523"/>
      <c r="CE16" s="523"/>
      <c r="CF16" s="523"/>
      <c r="CG16" s="523"/>
      <c r="CH16" s="523"/>
      <c r="CI16" s="523">
        <f t="shared" ref="CI16:CI79" si="2">SUM(BU16:CH16)</f>
        <v>10</v>
      </c>
    </row>
    <row r="17" spans="1:87" ht="15" x14ac:dyDescent="0.2">
      <c r="A17" s="680" t="s">
        <v>1330</v>
      </c>
      <c r="B17" s="569" t="s">
        <v>1331</v>
      </c>
      <c r="C17" s="569" t="s">
        <v>1324</v>
      </c>
      <c r="D17" s="569" t="s">
        <v>1332</v>
      </c>
      <c r="E17" s="681" t="s">
        <v>14</v>
      </c>
      <c r="F17" s="644">
        <v>595.62</v>
      </c>
      <c r="G17" s="682">
        <v>39.78</v>
      </c>
      <c r="H17" s="681">
        <v>312.39999999999998</v>
      </c>
      <c r="I17" s="573">
        <f t="shared" ref="I17:I80" si="3">BU17</f>
        <v>0</v>
      </c>
      <c r="J17" s="574">
        <f t="shared" ref="J17:J80" si="4">CI17</f>
        <v>312.39999999999998</v>
      </c>
      <c r="K17" s="573">
        <f t="shared" ref="K17:K32" si="5">H17-J17</f>
        <v>0</v>
      </c>
      <c r="L17" s="708">
        <f t="shared" ref="L17:L26" si="6">ROUND(H17*$G17,2)</f>
        <v>12427.27</v>
      </c>
      <c r="M17" s="708">
        <f t="shared" si="1"/>
        <v>0</v>
      </c>
      <c r="N17" s="708">
        <f t="shared" si="1"/>
        <v>12427.27</v>
      </c>
      <c r="O17" s="718">
        <f t="shared" si="1"/>
        <v>0</v>
      </c>
      <c r="P17" s="617">
        <f t="shared" si="0"/>
        <v>1</v>
      </c>
      <c r="Q17" s="525"/>
      <c r="BT17" s="525"/>
      <c r="BU17" s="523"/>
      <c r="BV17" s="523"/>
      <c r="BW17" s="523">
        <v>0</v>
      </c>
      <c r="BX17" s="523">
        <v>0</v>
      </c>
      <c r="BY17" s="523">
        <v>0</v>
      </c>
      <c r="BZ17" s="523">
        <v>203.49999999999997</v>
      </c>
      <c r="CA17" s="523">
        <v>108.9</v>
      </c>
      <c r="CB17" s="523"/>
      <c r="CC17" s="523"/>
      <c r="CD17" s="523"/>
      <c r="CE17" s="523"/>
      <c r="CF17" s="523"/>
      <c r="CG17" s="523"/>
      <c r="CH17" s="523"/>
      <c r="CI17" s="523">
        <f t="shared" si="2"/>
        <v>312.39999999999998</v>
      </c>
    </row>
    <row r="18" spans="1:87" ht="30" x14ac:dyDescent="0.2">
      <c r="A18" s="680" t="s">
        <v>1333</v>
      </c>
      <c r="B18" s="569">
        <v>9540</v>
      </c>
      <c r="C18" s="569" t="s">
        <v>1324</v>
      </c>
      <c r="D18" s="569" t="s">
        <v>1334</v>
      </c>
      <c r="E18" s="681" t="s">
        <v>102</v>
      </c>
      <c r="F18" s="644">
        <v>256.73</v>
      </c>
      <c r="G18" s="682">
        <v>783.05</v>
      </c>
      <c r="H18" s="681">
        <v>1</v>
      </c>
      <c r="I18" s="573">
        <f t="shared" si="3"/>
        <v>0</v>
      </c>
      <c r="J18" s="574">
        <f t="shared" si="4"/>
        <v>1</v>
      </c>
      <c r="K18" s="573">
        <f t="shared" si="5"/>
        <v>0</v>
      </c>
      <c r="L18" s="708">
        <f t="shared" si="6"/>
        <v>783.05</v>
      </c>
      <c r="M18" s="708">
        <f t="shared" si="1"/>
        <v>0</v>
      </c>
      <c r="N18" s="708">
        <f t="shared" si="1"/>
        <v>783.05</v>
      </c>
      <c r="O18" s="718">
        <f t="shared" si="1"/>
        <v>0</v>
      </c>
      <c r="P18" s="617">
        <f t="shared" si="0"/>
        <v>1</v>
      </c>
      <c r="Q18" s="525"/>
      <c r="BT18" s="525"/>
      <c r="BU18" s="523"/>
      <c r="BV18" s="523"/>
      <c r="BW18" s="523">
        <v>0</v>
      </c>
      <c r="BX18" s="523">
        <v>0</v>
      </c>
      <c r="BY18" s="523">
        <v>0</v>
      </c>
      <c r="BZ18" s="523">
        <v>1</v>
      </c>
      <c r="CA18" s="523">
        <v>0</v>
      </c>
      <c r="CB18" s="523"/>
      <c r="CC18" s="523"/>
      <c r="CD18" s="523"/>
      <c r="CE18" s="523"/>
      <c r="CF18" s="523"/>
      <c r="CG18" s="523"/>
      <c r="CH18" s="523"/>
      <c r="CI18" s="523">
        <f t="shared" si="2"/>
        <v>1</v>
      </c>
    </row>
    <row r="19" spans="1:87" ht="15" x14ac:dyDescent="0.2">
      <c r="A19" s="680" t="s">
        <v>1335</v>
      </c>
      <c r="B19" s="569" t="s">
        <v>1336</v>
      </c>
      <c r="C19" s="569" t="s">
        <v>1324</v>
      </c>
      <c r="D19" s="569" t="s">
        <v>1337</v>
      </c>
      <c r="E19" s="681" t="s">
        <v>102</v>
      </c>
      <c r="F19" s="644">
        <v>49.62</v>
      </c>
      <c r="G19" s="682">
        <v>1344.39</v>
      </c>
      <c r="H19" s="681">
        <v>1</v>
      </c>
      <c r="I19" s="573">
        <f t="shared" si="3"/>
        <v>0</v>
      </c>
      <c r="J19" s="574">
        <f t="shared" si="4"/>
        <v>1</v>
      </c>
      <c r="K19" s="573">
        <f t="shared" si="5"/>
        <v>0</v>
      </c>
      <c r="L19" s="708">
        <f t="shared" si="6"/>
        <v>1344.39</v>
      </c>
      <c r="M19" s="708">
        <f t="shared" si="1"/>
        <v>0</v>
      </c>
      <c r="N19" s="708">
        <f t="shared" si="1"/>
        <v>1344.39</v>
      </c>
      <c r="O19" s="718">
        <f t="shared" si="1"/>
        <v>0</v>
      </c>
      <c r="P19" s="617">
        <f t="shared" si="0"/>
        <v>1</v>
      </c>
      <c r="Q19" s="525"/>
      <c r="BT19" s="525"/>
      <c r="BU19" s="523"/>
      <c r="BV19" s="523"/>
      <c r="BW19" s="523">
        <v>0</v>
      </c>
      <c r="BX19" s="523">
        <v>0</v>
      </c>
      <c r="BY19" s="523">
        <v>0</v>
      </c>
      <c r="BZ19" s="523">
        <v>1</v>
      </c>
      <c r="CA19" s="523">
        <v>0</v>
      </c>
      <c r="CB19" s="523"/>
      <c r="CC19" s="523"/>
      <c r="CD19" s="523"/>
      <c r="CE19" s="523"/>
      <c r="CF19" s="523"/>
      <c r="CG19" s="523"/>
      <c r="CH19" s="523"/>
      <c r="CI19" s="523">
        <f t="shared" si="2"/>
        <v>1</v>
      </c>
    </row>
    <row r="20" spans="1:87" ht="15" x14ac:dyDescent="0.2">
      <c r="A20" s="680" t="s">
        <v>1338</v>
      </c>
      <c r="B20" s="569" t="s">
        <v>2007</v>
      </c>
      <c r="C20" s="569" t="s">
        <v>1339</v>
      </c>
      <c r="D20" s="569" t="s">
        <v>1340</v>
      </c>
      <c r="E20" s="681" t="s">
        <v>102</v>
      </c>
      <c r="F20" s="644">
        <v>5.2</v>
      </c>
      <c r="G20" s="682">
        <v>823.61</v>
      </c>
      <c r="H20" s="681">
        <v>1</v>
      </c>
      <c r="I20" s="573">
        <f t="shared" si="3"/>
        <v>0</v>
      </c>
      <c r="J20" s="574">
        <f t="shared" si="4"/>
        <v>1</v>
      </c>
      <c r="K20" s="573">
        <f t="shared" si="5"/>
        <v>0</v>
      </c>
      <c r="L20" s="708">
        <f t="shared" si="6"/>
        <v>823.61</v>
      </c>
      <c r="M20" s="708">
        <f t="shared" si="1"/>
        <v>0</v>
      </c>
      <c r="N20" s="708">
        <f t="shared" si="1"/>
        <v>823.61</v>
      </c>
      <c r="O20" s="718">
        <f t="shared" si="1"/>
        <v>0</v>
      </c>
      <c r="P20" s="617">
        <f t="shared" si="0"/>
        <v>1</v>
      </c>
      <c r="Q20" s="525"/>
      <c r="BT20" s="525"/>
      <c r="BU20" s="523"/>
      <c r="BV20" s="523"/>
      <c r="BW20" s="523">
        <v>0</v>
      </c>
      <c r="BX20" s="523">
        <v>0</v>
      </c>
      <c r="BY20" s="523">
        <v>0</v>
      </c>
      <c r="BZ20" s="523">
        <v>1</v>
      </c>
      <c r="CA20" s="523">
        <v>0</v>
      </c>
      <c r="CB20" s="523"/>
      <c r="CC20" s="523"/>
      <c r="CD20" s="523"/>
      <c r="CE20" s="523"/>
      <c r="CF20" s="523"/>
      <c r="CG20" s="523"/>
      <c r="CH20" s="523"/>
      <c r="CI20" s="523">
        <f t="shared" si="2"/>
        <v>1</v>
      </c>
    </row>
    <row r="21" spans="1:87" ht="30" x14ac:dyDescent="0.2">
      <c r="A21" s="680" t="s">
        <v>1341</v>
      </c>
      <c r="B21" s="569" t="s">
        <v>1342</v>
      </c>
      <c r="C21" s="569" t="s">
        <v>1343</v>
      </c>
      <c r="D21" s="569" t="s">
        <v>1344</v>
      </c>
      <c r="E21" s="681" t="s">
        <v>102</v>
      </c>
      <c r="F21" s="578"/>
      <c r="G21" s="682">
        <v>174.71</v>
      </c>
      <c r="H21" s="681">
        <v>1</v>
      </c>
      <c r="I21" s="573">
        <f t="shared" si="3"/>
        <v>0</v>
      </c>
      <c r="J21" s="574">
        <f t="shared" si="4"/>
        <v>1</v>
      </c>
      <c r="K21" s="573">
        <f t="shared" si="5"/>
        <v>0</v>
      </c>
      <c r="L21" s="708">
        <f t="shared" si="6"/>
        <v>174.71</v>
      </c>
      <c r="M21" s="708">
        <f t="shared" si="1"/>
        <v>0</v>
      </c>
      <c r="N21" s="708">
        <f t="shared" si="1"/>
        <v>174.71</v>
      </c>
      <c r="O21" s="718">
        <f t="shared" si="1"/>
        <v>0</v>
      </c>
      <c r="P21" s="617">
        <f t="shared" si="0"/>
        <v>1</v>
      </c>
      <c r="Q21" s="525"/>
      <c r="R21" s="525"/>
      <c r="S21" s="525"/>
      <c r="T21" s="525"/>
      <c r="U21" s="525"/>
      <c r="V21" s="525"/>
      <c r="W21" s="525"/>
      <c r="X21" s="525"/>
      <c r="Y21" s="525"/>
      <c r="Z21" s="525"/>
      <c r="AA21" s="525"/>
      <c r="AB21" s="525"/>
      <c r="AC21" s="525"/>
      <c r="AD21" s="525"/>
      <c r="AE21" s="525"/>
      <c r="AF21" s="525"/>
      <c r="AG21" s="525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  <c r="AR21" s="525"/>
      <c r="AS21" s="525"/>
      <c r="AT21" s="525"/>
      <c r="AU21" s="525"/>
      <c r="AV21" s="525"/>
      <c r="AW21" s="525"/>
      <c r="AX21" s="525"/>
      <c r="AY21" s="525"/>
      <c r="AZ21" s="525"/>
      <c r="BA21" s="525"/>
      <c r="BB21" s="525"/>
      <c r="BC21" s="525"/>
      <c r="BD21" s="525"/>
      <c r="BE21" s="525"/>
      <c r="BF21" s="525"/>
      <c r="BG21" s="525"/>
      <c r="BH21" s="525"/>
      <c r="BI21" s="525"/>
      <c r="BJ21" s="525"/>
      <c r="BK21" s="525"/>
      <c r="BL21" s="525"/>
      <c r="BM21" s="525"/>
      <c r="BN21" s="525"/>
      <c r="BO21" s="525"/>
      <c r="BP21" s="525"/>
      <c r="BQ21" s="525"/>
      <c r="BR21" s="525"/>
      <c r="BS21" s="525"/>
      <c r="BT21" s="525"/>
      <c r="BU21" s="523"/>
      <c r="BV21" s="523"/>
      <c r="BW21" s="523">
        <v>0</v>
      </c>
      <c r="BX21" s="523">
        <v>0</v>
      </c>
      <c r="BY21" s="523">
        <v>0</v>
      </c>
      <c r="BZ21" s="523">
        <v>1</v>
      </c>
      <c r="CA21" s="523">
        <v>0</v>
      </c>
      <c r="CB21" s="523"/>
      <c r="CC21" s="523"/>
      <c r="CD21" s="523"/>
      <c r="CE21" s="523"/>
      <c r="CF21" s="523"/>
      <c r="CG21" s="523"/>
      <c r="CH21" s="523"/>
      <c r="CI21" s="523">
        <f t="shared" si="2"/>
        <v>1</v>
      </c>
    </row>
    <row r="22" spans="1:87" ht="30" x14ac:dyDescent="0.2">
      <c r="A22" s="680" t="s">
        <v>1345</v>
      </c>
      <c r="B22" s="569" t="s">
        <v>1346</v>
      </c>
      <c r="C22" s="569" t="s">
        <v>1324</v>
      </c>
      <c r="D22" s="569" t="s">
        <v>1347</v>
      </c>
      <c r="E22" s="681" t="s">
        <v>102</v>
      </c>
      <c r="F22" s="571"/>
      <c r="G22" s="682">
        <v>1343.12</v>
      </c>
      <c r="H22" s="681">
        <v>1</v>
      </c>
      <c r="I22" s="573">
        <f t="shared" si="3"/>
        <v>0</v>
      </c>
      <c r="J22" s="574">
        <f t="shared" si="4"/>
        <v>1</v>
      </c>
      <c r="K22" s="573">
        <f t="shared" si="5"/>
        <v>0</v>
      </c>
      <c r="L22" s="708">
        <f t="shared" si="6"/>
        <v>1343.12</v>
      </c>
      <c r="M22" s="708">
        <f t="shared" si="1"/>
        <v>0</v>
      </c>
      <c r="N22" s="708">
        <f t="shared" si="1"/>
        <v>1343.12</v>
      </c>
      <c r="O22" s="718">
        <f t="shared" si="1"/>
        <v>0</v>
      </c>
      <c r="P22" s="617">
        <f t="shared" si="0"/>
        <v>1</v>
      </c>
      <c r="Q22" s="525"/>
      <c r="BT22" s="525"/>
      <c r="BU22" s="523"/>
      <c r="BV22" s="523"/>
      <c r="BW22" s="523">
        <v>0</v>
      </c>
      <c r="BX22" s="523">
        <v>0</v>
      </c>
      <c r="BY22" s="523">
        <v>0</v>
      </c>
      <c r="BZ22" s="523">
        <v>1</v>
      </c>
      <c r="CA22" s="523">
        <v>0</v>
      </c>
      <c r="CB22" s="523"/>
      <c r="CC22" s="523"/>
      <c r="CD22" s="523"/>
      <c r="CE22" s="523"/>
      <c r="CF22" s="523"/>
      <c r="CG22" s="523"/>
      <c r="CH22" s="523"/>
      <c r="CI22" s="523">
        <f t="shared" si="2"/>
        <v>1</v>
      </c>
    </row>
    <row r="23" spans="1:87" ht="15" x14ac:dyDescent="0.2">
      <c r="A23" s="680" t="s">
        <v>1348</v>
      </c>
      <c r="B23" s="569" t="s">
        <v>1349</v>
      </c>
      <c r="C23" s="569" t="s">
        <v>1324</v>
      </c>
      <c r="D23" s="569" t="s">
        <v>1350</v>
      </c>
      <c r="E23" s="681" t="s">
        <v>14</v>
      </c>
      <c r="F23" s="571"/>
      <c r="G23" s="682">
        <v>390.47</v>
      </c>
      <c r="H23" s="681">
        <v>20</v>
      </c>
      <c r="I23" s="573">
        <f t="shared" si="3"/>
        <v>0</v>
      </c>
      <c r="J23" s="574">
        <f t="shared" si="4"/>
        <v>20</v>
      </c>
      <c r="K23" s="573">
        <f t="shared" si="5"/>
        <v>0</v>
      </c>
      <c r="L23" s="708">
        <f t="shared" si="6"/>
        <v>7809.4</v>
      </c>
      <c r="M23" s="708">
        <f t="shared" si="1"/>
        <v>0</v>
      </c>
      <c r="N23" s="708">
        <f>ROUND(J23*$G23,2)</f>
        <v>7809.4</v>
      </c>
      <c r="O23" s="718">
        <f t="shared" si="1"/>
        <v>0</v>
      </c>
      <c r="P23" s="617">
        <f t="shared" si="0"/>
        <v>1</v>
      </c>
      <c r="Q23" s="525"/>
      <c r="BT23" s="525"/>
      <c r="BU23" s="523"/>
      <c r="BV23" s="523"/>
      <c r="BW23" s="523">
        <v>0</v>
      </c>
      <c r="BX23" s="523">
        <v>0</v>
      </c>
      <c r="BY23" s="523">
        <v>0</v>
      </c>
      <c r="BZ23" s="523">
        <v>10</v>
      </c>
      <c r="CA23" s="523">
        <v>10</v>
      </c>
      <c r="CB23" s="523"/>
      <c r="CC23" s="523"/>
      <c r="CD23" s="523"/>
      <c r="CE23" s="523"/>
      <c r="CF23" s="523"/>
      <c r="CG23" s="523"/>
      <c r="CH23" s="523"/>
      <c r="CI23" s="523">
        <f t="shared" si="2"/>
        <v>20</v>
      </c>
    </row>
    <row r="24" spans="1:87" ht="15" x14ac:dyDescent="0.2">
      <c r="A24" s="680" t="s">
        <v>1351</v>
      </c>
      <c r="B24" s="569" t="s">
        <v>1352</v>
      </c>
      <c r="C24" s="569" t="s">
        <v>1324</v>
      </c>
      <c r="D24" s="569" t="s">
        <v>1353</v>
      </c>
      <c r="E24" s="681" t="s">
        <v>14</v>
      </c>
      <c r="F24" s="644">
        <v>302.64</v>
      </c>
      <c r="G24" s="682">
        <v>4.0999999999999996</v>
      </c>
      <c r="H24" s="681">
        <v>785</v>
      </c>
      <c r="I24" s="573">
        <f t="shared" si="3"/>
        <v>0</v>
      </c>
      <c r="J24" s="574">
        <f t="shared" si="4"/>
        <v>785</v>
      </c>
      <c r="K24" s="573">
        <f t="shared" si="5"/>
        <v>0</v>
      </c>
      <c r="L24" s="708">
        <f t="shared" si="6"/>
        <v>3218.5</v>
      </c>
      <c r="M24" s="708">
        <f t="shared" si="1"/>
        <v>0</v>
      </c>
      <c r="N24" s="708">
        <f t="shared" si="1"/>
        <v>3218.5</v>
      </c>
      <c r="O24" s="718">
        <f t="shared" si="1"/>
        <v>0</v>
      </c>
      <c r="P24" s="617">
        <f t="shared" si="0"/>
        <v>1</v>
      </c>
      <c r="Q24" s="525"/>
      <c r="BT24" s="525"/>
      <c r="BU24" s="523"/>
      <c r="BV24" s="523"/>
      <c r="BW24" s="523">
        <v>0</v>
      </c>
      <c r="BX24" s="523">
        <v>0</v>
      </c>
      <c r="BY24" s="523">
        <v>0</v>
      </c>
      <c r="BZ24" s="523">
        <v>0</v>
      </c>
      <c r="CA24" s="523">
        <v>785</v>
      </c>
      <c r="CB24" s="523"/>
      <c r="CC24" s="523"/>
      <c r="CD24" s="523"/>
      <c r="CE24" s="523"/>
      <c r="CF24" s="523"/>
      <c r="CG24" s="523"/>
      <c r="CH24" s="523"/>
      <c r="CI24" s="523">
        <f t="shared" si="2"/>
        <v>785</v>
      </c>
    </row>
    <row r="25" spans="1:87" ht="31.5" customHeight="1" x14ac:dyDescent="0.2">
      <c r="A25" s="680" t="s">
        <v>1354</v>
      </c>
      <c r="B25" s="569" t="s">
        <v>1355</v>
      </c>
      <c r="C25" s="569" t="s">
        <v>1343</v>
      </c>
      <c r="D25" s="569" t="s">
        <v>1356</v>
      </c>
      <c r="E25" s="681" t="s">
        <v>81</v>
      </c>
      <c r="F25" s="644">
        <v>135.94</v>
      </c>
      <c r="G25" s="682">
        <v>46.26</v>
      </c>
      <c r="H25" s="681">
        <v>49</v>
      </c>
      <c r="I25" s="573">
        <f t="shared" si="3"/>
        <v>0</v>
      </c>
      <c r="J25" s="574">
        <f t="shared" si="4"/>
        <v>49</v>
      </c>
      <c r="K25" s="573">
        <f t="shared" si="5"/>
        <v>0</v>
      </c>
      <c r="L25" s="708">
        <f t="shared" si="6"/>
        <v>2266.7399999999998</v>
      </c>
      <c r="M25" s="708">
        <f t="shared" si="1"/>
        <v>0</v>
      </c>
      <c r="N25" s="708">
        <f t="shared" si="1"/>
        <v>2266.7399999999998</v>
      </c>
      <c r="O25" s="718">
        <f t="shared" si="1"/>
        <v>0</v>
      </c>
      <c r="P25" s="617">
        <f t="shared" si="0"/>
        <v>1</v>
      </c>
      <c r="Q25" s="525"/>
      <c r="BT25" s="525"/>
      <c r="BU25" s="523"/>
      <c r="BV25" s="523"/>
      <c r="BW25" s="523">
        <v>0</v>
      </c>
      <c r="BX25" s="523">
        <v>0</v>
      </c>
      <c r="BY25" s="523">
        <v>0</v>
      </c>
      <c r="BZ25" s="523">
        <v>0</v>
      </c>
      <c r="CA25" s="523">
        <v>49</v>
      </c>
      <c r="CB25" s="523"/>
      <c r="CC25" s="523"/>
      <c r="CD25" s="523"/>
      <c r="CE25" s="523"/>
      <c r="CF25" s="523"/>
      <c r="CG25" s="523"/>
      <c r="CH25" s="523"/>
      <c r="CI25" s="523">
        <f t="shared" si="2"/>
        <v>49</v>
      </c>
    </row>
    <row r="26" spans="1:87" s="663" customFormat="1" ht="15" x14ac:dyDescent="0.2">
      <c r="A26" s="680" t="s">
        <v>1357</v>
      </c>
      <c r="B26" s="569">
        <v>72213</v>
      </c>
      <c r="C26" s="569" t="s">
        <v>1324</v>
      </c>
      <c r="D26" s="569" t="s">
        <v>1358</v>
      </c>
      <c r="E26" s="681" t="s">
        <v>14</v>
      </c>
      <c r="F26" s="644">
        <v>5.86</v>
      </c>
      <c r="G26" s="682">
        <v>0.12</v>
      </c>
      <c r="H26" s="681">
        <v>1230</v>
      </c>
      <c r="I26" s="573">
        <f t="shared" si="3"/>
        <v>0</v>
      </c>
      <c r="J26" s="574">
        <f t="shared" si="4"/>
        <v>1230</v>
      </c>
      <c r="K26" s="573">
        <f t="shared" si="5"/>
        <v>0</v>
      </c>
      <c r="L26" s="708">
        <f t="shared" si="6"/>
        <v>147.6</v>
      </c>
      <c r="M26" s="708">
        <f t="shared" si="1"/>
        <v>0</v>
      </c>
      <c r="N26" s="708">
        <f t="shared" si="1"/>
        <v>147.6</v>
      </c>
      <c r="O26" s="718">
        <f t="shared" si="1"/>
        <v>0</v>
      </c>
      <c r="P26" s="617">
        <f t="shared" si="0"/>
        <v>1</v>
      </c>
      <c r="Q26" s="525"/>
      <c r="S26" s="190"/>
      <c r="T26" s="190"/>
      <c r="BT26" s="525"/>
      <c r="BU26" s="523"/>
      <c r="BV26" s="523"/>
      <c r="BW26" s="523">
        <v>0</v>
      </c>
      <c r="BX26" s="523">
        <v>0</v>
      </c>
      <c r="BY26" s="523">
        <v>0</v>
      </c>
      <c r="BZ26" s="523">
        <v>0</v>
      </c>
      <c r="CA26" s="523">
        <v>1230</v>
      </c>
      <c r="CB26" s="523"/>
      <c r="CC26" s="523"/>
      <c r="CD26" s="523"/>
      <c r="CE26" s="523"/>
      <c r="CF26" s="523"/>
      <c r="CG26" s="523"/>
      <c r="CH26" s="523"/>
      <c r="CI26" s="523">
        <f t="shared" si="2"/>
        <v>1230</v>
      </c>
    </row>
    <row r="27" spans="1:87" ht="15.75" x14ac:dyDescent="0.2">
      <c r="A27" s="600">
        <v>2</v>
      </c>
      <c r="B27" s="558"/>
      <c r="C27" s="558"/>
      <c r="D27" s="558" t="s">
        <v>1359</v>
      </c>
      <c r="E27" s="626"/>
      <c r="F27" s="560"/>
      <c r="G27" s="565"/>
      <c r="H27" s="565"/>
      <c r="I27" s="565"/>
      <c r="J27" s="565"/>
      <c r="K27" s="563"/>
      <c r="L27" s="709">
        <f>SUM(L28:L32)</f>
        <v>11015.16</v>
      </c>
      <c r="M27" s="728">
        <f>SUM(M28:M32)</f>
        <v>493.93</v>
      </c>
      <c r="N27" s="709">
        <f>SUM(N28:N32)</f>
        <v>10850.51</v>
      </c>
      <c r="O27" s="719">
        <f>SUM(O28:O32)</f>
        <v>164.64</v>
      </c>
      <c r="P27" s="604">
        <f t="shared" si="0"/>
        <v>0.98505241866663762</v>
      </c>
      <c r="Q27" s="525"/>
      <c r="BT27" s="525"/>
      <c r="BU27" s="523"/>
      <c r="BV27" s="523"/>
      <c r="BW27" s="523">
        <v>0</v>
      </c>
      <c r="BX27" s="523">
        <v>0</v>
      </c>
      <c r="BY27" s="523">
        <v>62.89</v>
      </c>
      <c r="BZ27" s="523">
        <v>194.56</v>
      </c>
      <c r="CA27" s="523">
        <v>158.464</v>
      </c>
      <c r="CB27" s="523"/>
      <c r="CC27" s="523"/>
      <c r="CD27" s="523"/>
      <c r="CE27" s="523"/>
      <c r="CF27" s="523"/>
      <c r="CG27" s="523"/>
      <c r="CH27" s="523"/>
      <c r="CI27" s="523">
        <f t="shared" si="2"/>
        <v>415.91399999999999</v>
      </c>
    </row>
    <row r="28" spans="1:87" ht="15" x14ac:dyDescent="0.2">
      <c r="A28" s="680" t="s">
        <v>27</v>
      </c>
      <c r="B28" s="569">
        <v>55835</v>
      </c>
      <c r="C28" s="569" t="s">
        <v>1324</v>
      </c>
      <c r="D28" s="569" t="s">
        <v>1360</v>
      </c>
      <c r="E28" s="681" t="s">
        <v>48</v>
      </c>
      <c r="F28" s="571"/>
      <c r="G28" s="682">
        <v>29.27</v>
      </c>
      <c r="H28" s="681">
        <v>154.94</v>
      </c>
      <c r="I28" s="573">
        <f t="shared" si="3"/>
        <v>0</v>
      </c>
      <c r="J28" s="574">
        <f t="shared" si="4"/>
        <v>154.94</v>
      </c>
      <c r="K28" s="573">
        <f t="shared" si="5"/>
        <v>0</v>
      </c>
      <c r="L28" s="708">
        <f t="shared" ref="L28:O32" si="7">ROUND(H28*$G28,2)</f>
        <v>4535.09</v>
      </c>
      <c r="M28" s="708">
        <f t="shared" si="7"/>
        <v>0</v>
      </c>
      <c r="N28" s="708">
        <f t="shared" si="7"/>
        <v>4535.09</v>
      </c>
      <c r="O28" s="718">
        <f t="shared" si="7"/>
        <v>0</v>
      </c>
      <c r="P28" s="617">
        <f t="shared" si="0"/>
        <v>1</v>
      </c>
      <c r="Q28" s="525"/>
      <c r="BT28" s="525"/>
      <c r="BU28" s="523"/>
      <c r="BV28" s="523"/>
      <c r="BW28" s="523">
        <v>0</v>
      </c>
      <c r="BX28" s="523">
        <v>0</v>
      </c>
      <c r="BY28" s="523">
        <v>0</v>
      </c>
      <c r="BZ28" s="523">
        <v>154.94</v>
      </c>
      <c r="CA28" s="523">
        <v>0</v>
      </c>
      <c r="CB28" s="523"/>
      <c r="CC28" s="523"/>
      <c r="CD28" s="523"/>
      <c r="CE28" s="523"/>
      <c r="CF28" s="523"/>
      <c r="CG28" s="523"/>
      <c r="CH28" s="523"/>
      <c r="CI28" s="523">
        <f t="shared" si="2"/>
        <v>154.94</v>
      </c>
    </row>
    <row r="29" spans="1:87" ht="15" x14ac:dyDescent="0.2">
      <c r="A29" s="680" t="s">
        <v>1263</v>
      </c>
      <c r="B29" s="569">
        <v>79478</v>
      </c>
      <c r="C29" s="569" t="s">
        <v>1324</v>
      </c>
      <c r="D29" s="569" t="s">
        <v>1361</v>
      </c>
      <c r="E29" s="681" t="s">
        <v>48</v>
      </c>
      <c r="F29" s="644">
        <v>302.64</v>
      </c>
      <c r="G29" s="682">
        <v>46.94</v>
      </c>
      <c r="H29" s="681">
        <v>83.25</v>
      </c>
      <c r="I29" s="573">
        <f t="shared" si="3"/>
        <v>0</v>
      </c>
      <c r="J29" s="574">
        <f t="shared" si="4"/>
        <v>83.250000000000014</v>
      </c>
      <c r="K29" s="573">
        <f t="shared" si="5"/>
        <v>0</v>
      </c>
      <c r="L29" s="708">
        <f t="shared" si="7"/>
        <v>3907.76</v>
      </c>
      <c r="M29" s="708">
        <f t="shared" si="7"/>
        <v>0</v>
      </c>
      <c r="N29" s="708">
        <f t="shared" si="7"/>
        <v>3907.76</v>
      </c>
      <c r="O29" s="718">
        <f t="shared" si="7"/>
        <v>0</v>
      </c>
      <c r="P29" s="617">
        <f t="shared" si="0"/>
        <v>1</v>
      </c>
      <c r="Q29" s="525"/>
      <c r="BT29" s="525"/>
      <c r="BU29" s="523"/>
      <c r="BV29" s="523"/>
      <c r="BW29" s="523">
        <v>0</v>
      </c>
      <c r="BX29" s="523">
        <v>0</v>
      </c>
      <c r="BY29" s="523">
        <v>0</v>
      </c>
      <c r="BZ29" s="523">
        <v>16.650000000000006</v>
      </c>
      <c r="CA29" s="523">
        <v>66.600000000000009</v>
      </c>
      <c r="CB29" s="523"/>
      <c r="CC29" s="523"/>
      <c r="CD29" s="523"/>
      <c r="CE29" s="523"/>
      <c r="CF29" s="523"/>
      <c r="CG29" s="523"/>
      <c r="CH29" s="523"/>
      <c r="CI29" s="523">
        <f t="shared" si="2"/>
        <v>83.250000000000014</v>
      </c>
    </row>
    <row r="30" spans="1:87" ht="15" x14ac:dyDescent="0.2">
      <c r="A30" s="680" t="s">
        <v>1362</v>
      </c>
      <c r="B30" s="569">
        <v>79483</v>
      </c>
      <c r="C30" s="569" t="s">
        <v>1324</v>
      </c>
      <c r="D30" s="569" t="s">
        <v>1363</v>
      </c>
      <c r="E30" s="681" t="s">
        <v>14</v>
      </c>
      <c r="F30" s="644">
        <v>135.94</v>
      </c>
      <c r="G30" s="682">
        <v>5.4</v>
      </c>
      <c r="H30" s="681">
        <v>114.83</v>
      </c>
      <c r="I30" s="573">
        <f t="shared" si="3"/>
        <v>0</v>
      </c>
      <c r="J30" s="574">
        <f t="shared" si="4"/>
        <v>114.83</v>
      </c>
      <c r="K30" s="581">
        <f t="shared" si="5"/>
        <v>0</v>
      </c>
      <c r="L30" s="708">
        <f t="shared" si="7"/>
        <v>620.08000000000004</v>
      </c>
      <c r="M30" s="729">
        <f t="shared" si="7"/>
        <v>0</v>
      </c>
      <c r="N30" s="708">
        <f t="shared" si="7"/>
        <v>620.08000000000004</v>
      </c>
      <c r="O30" s="718">
        <f t="shared" si="7"/>
        <v>0</v>
      </c>
      <c r="P30" s="617">
        <f t="shared" si="0"/>
        <v>1</v>
      </c>
      <c r="Q30" s="525"/>
      <c r="BT30" s="525"/>
      <c r="BU30" s="523"/>
      <c r="BV30" s="523"/>
      <c r="BW30" s="523">
        <v>-4.0000000000000001E-3</v>
      </c>
      <c r="BX30" s="523">
        <v>0</v>
      </c>
      <c r="BY30" s="523">
        <v>0</v>
      </c>
      <c r="BZ30" s="523">
        <v>22.97</v>
      </c>
      <c r="CA30" s="523">
        <v>91.864000000000004</v>
      </c>
      <c r="CB30" s="523"/>
      <c r="CC30" s="523"/>
      <c r="CD30" s="523"/>
      <c r="CE30" s="523"/>
      <c r="CF30" s="523"/>
      <c r="CG30" s="523"/>
      <c r="CH30" s="523"/>
      <c r="CI30" s="523">
        <f t="shared" si="2"/>
        <v>114.83</v>
      </c>
    </row>
    <row r="31" spans="1:87" ht="15" x14ac:dyDescent="0.2">
      <c r="A31" s="680" t="s">
        <v>1364</v>
      </c>
      <c r="B31" s="569">
        <v>53527</v>
      </c>
      <c r="C31" s="569" t="s">
        <v>1324</v>
      </c>
      <c r="D31" s="569" t="s">
        <v>1365</v>
      </c>
      <c r="E31" s="681" t="s">
        <v>48</v>
      </c>
      <c r="F31" s="644">
        <v>5.86</v>
      </c>
      <c r="G31" s="682">
        <v>20.57</v>
      </c>
      <c r="H31" s="681">
        <v>62.89</v>
      </c>
      <c r="I31" s="573">
        <f t="shared" si="3"/>
        <v>0</v>
      </c>
      <c r="J31" s="574">
        <f t="shared" si="4"/>
        <v>62.89</v>
      </c>
      <c r="K31" s="573">
        <f t="shared" si="5"/>
        <v>0</v>
      </c>
      <c r="L31" s="708">
        <f t="shared" si="7"/>
        <v>1293.6500000000001</v>
      </c>
      <c r="M31" s="708">
        <f t="shared" si="7"/>
        <v>0</v>
      </c>
      <c r="N31" s="708">
        <f t="shared" si="7"/>
        <v>1293.6500000000001</v>
      </c>
      <c r="O31" s="718">
        <f t="shared" si="7"/>
        <v>0</v>
      </c>
      <c r="P31" s="617">
        <f t="shared" si="0"/>
        <v>1</v>
      </c>
      <c r="Q31" s="525"/>
      <c r="BT31" s="525"/>
      <c r="BU31" s="523"/>
      <c r="BV31" s="523"/>
      <c r="BW31" s="523">
        <v>0</v>
      </c>
      <c r="BX31" s="523">
        <v>0</v>
      </c>
      <c r="BY31" s="523">
        <v>62.89</v>
      </c>
      <c r="BZ31" s="523"/>
      <c r="CA31" s="523">
        <v>0</v>
      </c>
      <c r="CB31" s="523"/>
      <c r="CC31" s="523"/>
      <c r="CD31" s="523"/>
      <c r="CE31" s="523"/>
      <c r="CF31" s="523"/>
      <c r="CG31" s="523"/>
      <c r="CH31" s="523"/>
      <c r="CI31" s="523">
        <f t="shared" si="2"/>
        <v>62.89</v>
      </c>
    </row>
    <row r="32" spans="1:87" s="663" customFormat="1" ht="15" x14ac:dyDescent="0.2">
      <c r="A32" s="680" t="s">
        <v>1366</v>
      </c>
      <c r="B32" s="569">
        <v>55835</v>
      </c>
      <c r="C32" s="569" t="s">
        <v>1324</v>
      </c>
      <c r="D32" s="569" t="s">
        <v>1367</v>
      </c>
      <c r="E32" s="681" t="s">
        <v>48</v>
      </c>
      <c r="F32" s="644">
        <v>59.37</v>
      </c>
      <c r="G32" s="682">
        <v>29.27</v>
      </c>
      <c r="H32" s="681">
        <v>22.5</v>
      </c>
      <c r="I32" s="573">
        <f t="shared" si="3"/>
        <v>16.875</v>
      </c>
      <c r="J32" s="574">
        <f t="shared" si="4"/>
        <v>16.875</v>
      </c>
      <c r="K32" s="573">
        <f t="shared" si="5"/>
        <v>5.625</v>
      </c>
      <c r="L32" s="708">
        <f t="shared" si="7"/>
        <v>658.58</v>
      </c>
      <c r="M32" s="708">
        <f t="shared" si="7"/>
        <v>493.93</v>
      </c>
      <c r="N32" s="708">
        <f t="shared" si="7"/>
        <v>493.93</v>
      </c>
      <c r="O32" s="718">
        <f t="shared" si="7"/>
        <v>164.64</v>
      </c>
      <c r="P32" s="617">
        <f t="shared" si="0"/>
        <v>0.7499924079079231</v>
      </c>
      <c r="Q32" s="525"/>
      <c r="S32" s="190"/>
      <c r="T32" s="190"/>
      <c r="BT32" s="525"/>
      <c r="BU32" s="659">
        <f>H32*0.75</f>
        <v>16.875</v>
      </c>
      <c r="BV32" s="523"/>
      <c r="BW32" s="523">
        <v>0</v>
      </c>
      <c r="BX32" s="523">
        <v>0</v>
      </c>
      <c r="BY32" s="523">
        <v>0</v>
      </c>
      <c r="BZ32" s="523">
        <v>0</v>
      </c>
      <c r="CA32" s="523">
        <v>0</v>
      </c>
      <c r="CB32" s="523"/>
      <c r="CC32" s="523"/>
      <c r="CD32" s="523"/>
      <c r="CE32" s="523"/>
      <c r="CF32" s="523"/>
      <c r="CG32" s="523"/>
      <c r="CH32" s="523"/>
      <c r="CI32" s="523">
        <f t="shared" si="2"/>
        <v>16.875</v>
      </c>
    </row>
    <row r="33" spans="1:87" s="663" customFormat="1" ht="15.75" x14ac:dyDescent="0.2">
      <c r="A33" s="600">
        <v>3</v>
      </c>
      <c r="B33" s="558"/>
      <c r="C33" s="558"/>
      <c r="D33" s="558" t="s">
        <v>1368</v>
      </c>
      <c r="E33" s="626"/>
      <c r="F33" s="560"/>
      <c r="G33" s="565"/>
      <c r="H33" s="565"/>
      <c r="I33" s="565"/>
      <c r="J33" s="565"/>
      <c r="K33" s="565"/>
      <c r="L33" s="709">
        <f>SUM(L34,L40)</f>
        <v>35418.720000000001</v>
      </c>
      <c r="M33" s="730">
        <f>SUM(M34,M40)</f>
        <v>0</v>
      </c>
      <c r="N33" s="709">
        <f>SUM(N34,N40)</f>
        <v>35418.720000000001</v>
      </c>
      <c r="O33" s="719">
        <f>SUM(O34,O40)</f>
        <v>0</v>
      </c>
      <c r="P33" s="604">
        <f t="shared" si="0"/>
        <v>1</v>
      </c>
      <c r="Q33" s="525"/>
      <c r="S33" s="190"/>
      <c r="T33" s="190"/>
      <c r="BT33" s="525"/>
      <c r="BU33" s="523"/>
      <c r="BV33" s="523"/>
      <c r="BW33" s="523">
        <v>0</v>
      </c>
      <c r="BX33" s="523">
        <v>0</v>
      </c>
      <c r="BY33" s="523">
        <v>679.56999999999994</v>
      </c>
      <c r="BZ33" s="523">
        <v>504.28000000000003</v>
      </c>
      <c r="CA33" s="523">
        <v>727.32</v>
      </c>
      <c r="CB33" s="523"/>
      <c r="CC33" s="523"/>
      <c r="CD33" s="523"/>
      <c r="CE33" s="523"/>
      <c r="CF33" s="523"/>
      <c r="CG33" s="523"/>
      <c r="CH33" s="523"/>
      <c r="CI33" s="523">
        <f t="shared" si="2"/>
        <v>1911.17</v>
      </c>
    </row>
    <row r="34" spans="1:87" ht="15.75" x14ac:dyDescent="0.2">
      <c r="A34" s="605" t="s">
        <v>41</v>
      </c>
      <c r="B34" s="586"/>
      <c r="C34" s="586"/>
      <c r="D34" s="586" t="s">
        <v>1369</v>
      </c>
      <c r="E34" s="683"/>
      <c r="F34" s="588"/>
      <c r="G34" s="590"/>
      <c r="H34" s="590"/>
      <c r="I34" s="590"/>
      <c r="J34" s="590"/>
      <c r="K34" s="590"/>
      <c r="L34" s="710">
        <f>SUM(L35:L39)</f>
        <v>16448.150000000001</v>
      </c>
      <c r="M34" s="731">
        <f>SUM(M35:M39)</f>
        <v>0</v>
      </c>
      <c r="N34" s="710">
        <f>SUM(N35:N39)</f>
        <v>16448.150000000001</v>
      </c>
      <c r="O34" s="720">
        <f>SUM(O35:O39)</f>
        <v>0</v>
      </c>
      <c r="P34" s="611">
        <f t="shared" si="0"/>
        <v>1</v>
      </c>
      <c r="Q34" s="525"/>
      <c r="BT34" s="525"/>
      <c r="BU34" s="523"/>
      <c r="BV34" s="523"/>
      <c r="BW34" s="523">
        <v>0</v>
      </c>
      <c r="BX34" s="523">
        <v>0</v>
      </c>
      <c r="BY34" s="523">
        <v>0</v>
      </c>
      <c r="BZ34" s="523">
        <v>504.28000000000003</v>
      </c>
      <c r="CA34" s="523">
        <v>727.32</v>
      </c>
      <c r="CB34" s="523"/>
      <c r="CC34" s="523"/>
      <c r="CD34" s="523"/>
      <c r="CE34" s="523"/>
      <c r="CF34" s="523"/>
      <c r="CG34" s="523"/>
      <c r="CH34" s="523"/>
      <c r="CI34" s="523">
        <f t="shared" si="2"/>
        <v>1231.6000000000001</v>
      </c>
    </row>
    <row r="35" spans="1:87" ht="15.75" x14ac:dyDescent="0.2">
      <c r="A35" s="684" t="s">
        <v>43</v>
      </c>
      <c r="B35" s="569">
        <v>83532</v>
      </c>
      <c r="C35" s="569" t="s">
        <v>1324</v>
      </c>
      <c r="D35" s="569" t="s">
        <v>1370</v>
      </c>
      <c r="E35" s="681" t="s">
        <v>48</v>
      </c>
      <c r="F35" s="571"/>
      <c r="G35" s="682">
        <v>19.86</v>
      </c>
      <c r="H35" s="685">
        <v>3.77</v>
      </c>
      <c r="I35" s="573">
        <f t="shared" si="3"/>
        <v>0</v>
      </c>
      <c r="J35" s="574">
        <f t="shared" si="4"/>
        <v>3.77</v>
      </c>
      <c r="K35" s="573">
        <f t="shared" ref="K35:K45" si="8">H35-J35</f>
        <v>0</v>
      </c>
      <c r="L35" s="708">
        <f t="shared" ref="L35:O39" si="9">ROUND(H35*$G35,2)</f>
        <v>74.87</v>
      </c>
      <c r="M35" s="708">
        <f t="shared" si="9"/>
        <v>0</v>
      </c>
      <c r="N35" s="708">
        <f t="shared" si="9"/>
        <v>74.87</v>
      </c>
      <c r="O35" s="718">
        <f t="shared" si="9"/>
        <v>0</v>
      </c>
      <c r="P35" s="617">
        <f t="shared" si="0"/>
        <v>1</v>
      </c>
      <c r="Q35" s="525"/>
      <c r="BT35" s="525"/>
      <c r="BU35" s="523"/>
      <c r="BV35" s="523"/>
      <c r="BW35" s="523">
        <v>0</v>
      </c>
      <c r="BX35" s="523">
        <v>0</v>
      </c>
      <c r="BY35" s="523">
        <v>0</v>
      </c>
      <c r="BZ35" s="523">
        <v>3.77</v>
      </c>
      <c r="CA35" s="523">
        <v>0</v>
      </c>
      <c r="CB35" s="523"/>
      <c r="CC35" s="523"/>
      <c r="CD35" s="523"/>
      <c r="CE35" s="523"/>
      <c r="CF35" s="523"/>
      <c r="CG35" s="523"/>
      <c r="CH35" s="523"/>
      <c r="CI35" s="523">
        <f t="shared" si="2"/>
        <v>3.77</v>
      </c>
    </row>
    <row r="36" spans="1:87" ht="15.75" x14ac:dyDescent="0.2">
      <c r="A36" s="684" t="s">
        <v>45</v>
      </c>
      <c r="B36" s="569">
        <v>5970</v>
      </c>
      <c r="C36" s="569" t="s">
        <v>1324</v>
      </c>
      <c r="D36" s="569" t="s">
        <v>1371</v>
      </c>
      <c r="E36" s="681" t="s">
        <v>14</v>
      </c>
      <c r="F36" s="644">
        <v>60.66</v>
      </c>
      <c r="G36" s="682">
        <v>93.42</v>
      </c>
      <c r="H36" s="685">
        <v>63.02</v>
      </c>
      <c r="I36" s="573">
        <f t="shared" si="3"/>
        <v>0</v>
      </c>
      <c r="J36" s="574">
        <f t="shared" si="4"/>
        <v>63.019999999999996</v>
      </c>
      <c r="K36" s="581">
        <f t="shared" si="8"/>
        <v>0</v>
      </c>
      <c r="L36" s="708">
        <f t="shared" si="9"/>
        <v>5887.33</v>
      </c>
      <c r="M36" s="732">
        <f t="shared" si="9"/>
        <v>0</v>
      </c>
      <c r="N36" s="708">
        <f t="shared" si="9"/>
        <v>5887.33</v>
      </c>
      <c r="O36" s="718">
        <f t="shared" si="9"/>
        <v>0</v>
      </c>
      <c r="P36" s="617">
        <f t="shared" si="0"/>
        <v>1</v>
      </c>
      <c r="Q36" s="525"/>
      <c r="BT36" s="525"/>
      <c r="BU36" s="523"/>
      <c r="BV36" s="523"/>
      <c r="BW36" s="523">
        <v>-2E-3</v>
      </c>
      <c r="BX36" s="523">
        <v>0</v>
      </c>
      <c r="BY36" s="523">
        <v>0</v>
      </c>
      <c r="BZ36" s="523">
        <v>25.21</v>
      </c>
      <c r="CA36" s="523">
        <v>37.811999999999998</v>
      </c>
      <c r="CB36" s="523"/>
      <c r="CC36" s="523"/>
      <c r="CD36" s="523"/>
      <c r="CE36" s="523"/>
      <c r="CF36" s="523"/>
      <c r="CG36" s="523"/>
      <c r="CH36" s="523"/>
      <c r="CI36" s="523">
        <f t="shared" si="2"/>
        <v>63.019999999999996</v>
      </c>
    </row>
    <row r="37" spans="1:87" ht="15.75" x14ac:dyDescent="0.2">
      <c r="A37" s="684" t="s">
        <v>47</v>
      </c>
      <c r="B37" s="569">
        <v>92793</v>
      </c>
      <c r="C37" s="569" t="s">
        <v>1324</v>
      </c>
      <c r="D37" s="569" t="s">
        <v>1372</v>
      </c>
      <c r="E37" s="681" t="s">
        <v>35</v>
      </c>
      <c r="F37" s="644">
        <v>5.86</v>
      </c>
      <c r="G37" s="682">
        <v>4.6500000000000004</v>
      </c>
      <c r="H37" s="685">
        <v>1094.27</v>
      </c>
      <c r="I37" s="573">
        <f t="shared" si="3"/>
        <v>0</v>
      </c>
      <c r="J37" s="574">
        <f t="shared" si="4"/>
        <v>1094.27</v>
      </c>
      <c r="K37" s="581">
        <f t="shared" si="8"/>
        <v>0</v>
      </c>
      <c r="L37" s="708">
        <f t="shared" si="9"/>
        <v>5088.3599999999997</v>
      </c>
      <c r="M37" s="729">
        <f t="shared" si="9"/>
        <v>0</v>
      </c>
      <c r="N37" s="708">
        <f t="shared" si="9"/>
        <v>5088.3599999999997</v>
      </c>
      <c r="O37" s="718">
        <f t="shared" si="9"/>
        <v>0</v>
      </c>
      <c r="P37" s="617">
        <f t="shared" si="0"/>
        <v>1</v>
      </c>
      <c r="Q37" s="525"/>
      <c r="BT37" s="525"/>
      <c r="BU37" s="523"/>
      <c r="BV37" s="523"/>
      <c r="BW37" s="523">
        <v>-2E-3</v>
      </c>
      <c r="BX37" s="523">
        <v>0</v>
      </c>
      <c r="BY37" s="523">
        <v>0</v>
      </c>
      <c r="BZ37" s="532">
        <v>437.71000000000004</v>
      </c>
      <c r="CA37" s="532">
        <v>656.56200000000001</v>
      </c>
      <c r="CB37" s="523"/>
      <c r="CC37" s="523"/>
      <c r="CD37" s="523"/>
      <c r="CE37" s="523"/>
      <c r="CF37" s="523"/>
      <c r="CG37" s="523"/>
      <c r="CH37" s="523"/>
      <c r="CI37" s="523">
        <f t="shared" si="2"/>
        <v>1094.27</v>
      </c>
    </row>
    <row r="38" spans="1:87" ht="15.75" x14ac:dyDescent="0.2">
      <c r="A38" s="684" t="s">
        <v>49</v>
      </c>
      <c r="B38" s="569">
        <v>92791</v>
      </c>
      <c r="C38" s="569" t="s">
        <v>1324</v>
      </c>
      <c r="D38" s="569" t="s">
        <v>1373</v>
      </c>
      <c r="E38" s="681" t="s">
        <v>35</v>
      </c>
      <c r="F38" s="644">
        <v>302.64</v>
      </c>
      <c r="G38" s="682">
        <v>6.11</v>
      </c>
      <c r="H38" s="685">
        <v>54.91</v>
      </c>
      <c r="I38" s="573">
        <f t="shared" si="3"/>
        <v>0</v>
      </c>
      <c r="J38" s="574">
        <f t="shared" si="4"/>
        <v>54.91</v>
      </c>
      <c r="K38" s="596">
        <f t="shared" si="8"/>
        <v>0</v>
      </c>
      <c r="L38" s="708">
        <f t="shared" si="9"/>
        <v>335.5</v>
      </c>
      <c r="M38" s="729">
        <f t="shared" si="9"/>
        <v>0</v>
      </c>
      <c r="N38" s="708">
        <f t="shared" si="9"/>
        <v>335.5</v>
      </c>
      <c r="O38" s="718">
        <f t="shared" si="9"/>
        <v>0</v>
      </c>
      <c r="P38" s="617">
        <f t="shared" si="0"/>
        <v>1</v>
      </c>
      <c r="Q38" s="525"/>
      <c r="BT38" s="525"/>
      <c r="BU38" s="523"/>
      <c r="BV38" s="523"/>
      <c r="BW38" s="523">
        <v>4.0000000000000001E-3</v>
      </c>
      <c r="BX38" s="523">
        <v>0</v>
      </c>
      <c r="BY38" s="523">
        <v>0</v>
      </c>
      <c r="BZ38" s="532">
        <v>21.959999999999994</v>
      </c>
      <c r="CA38" s="532">
        <v>32.945999999999998</v>
      </c>
      <c r="CB38" s="523"/>
      <c r="CC38" s="523"/>
      <c r="CD38" s="523"/>
      <c r="CE38" s="523"/>
      <c r="CF38" s="523"/>
      <c r="CG38" s="523"/>
      <c r="CH38" s="523"/>
      <c r="CI38" s="523">
        <f t="shared" si="2"/>
        <v>54.91</v>
      </c>
    </row>
    <row r="39" spans="1:87" s="663" customFormat="1" ht="15.75" x14ac:dyDescent="0.2">
      <c r="A39" s="684" t="s">
        <v>1374</v>
      </c>
      <c r="B39" s="569">
        <v>92720</v>
      </c>
      <c r="C39" s="569" t="s">
        <v>1324</v>
      </c>
      <c r="D39" s="569" t="s">
        <v>1375</v>
      </c>
      <c r="E39" s="681" t="s">
        <v>48</v>
      </c>
      <c r="F39" s="644">
        <v>135.94</v>
      </c>
      <c r="G39" s="682">
        <v>323.87</v>
      </c>
      <c r="H39" s="685">
        <v>15.63</v>
      </c>
      <c r="I39" s="573">
        <f t="shared" si="3"/>
        <v>0</v>
      </c>
      <c r="J39" s="574">
        <f t="shared" si="4"/>
        <v>15.63</v>
      </c>
      <c r="K39" s="573">
        <f t="shared" si="8"/>
        <v>0</v>
      </c>
      <c r="L39" s="708">
        <f t="shared" si="9"/>
        <v>5062.09</v>
      </c>
      <c r="M39" s="708">
        <f t="shared" si="9"/>
        <v>0</v>
      </c>
      <c r="N39" s="708">
        <f t="shared" si="9"/>
        <v>5062.09</v>
      </c>
      <c r="O39" s="718">
        <f t="shared" si="9"/>
        <v>0</v>
      </c>
      <c r="P39" s="617">
        <f t="shared" si="0"/>
        <v>1</v>
      </c>
      <c r="Q39" s="525"/>
      <c r="S39" s="190"/>
      <c r="T39" s="190"/>
      <c r="BT39" s="525"/>
      <c r="BU39" s="523"/>
      <c r="BV39" s="523"/>
      <c r="BW39" s="523">
        <v>0</v>
      </c>
      <c r="BX39" s="523">
        <v>0</v>
      </c>
      <c r="BY39" s="523">
        <v>0</v>
      </c>
      <c r="BZ39" s="523">
        <v>15.63</v>
      </c>
      <c r="CA39" s="523">
        <v>0</v>
      </c>
      <c r="CB39" s="523"/>
      <c r="CC39" s="523"/>
      <c r="CD39" s="523"/>
      <c r="CE39" s="523"/>
      <c r="CF39" s="523"/>
      <c r="CG39" s="523"/>
      <c r="CH39" s="523"/>
      <c r="CI39" s="523">
        <f t="shared" si="2"/>
        <v>15.63</v>
      </c>
    </row>
    <row r="40" spans="1:87" ht="15.75" x14ac:dyDescent="0.2">
      <c r="A40" s="605" t="s">
        <v>50</v>
      </c>
      <c r="B40" s="586"/>
      <c r="C40" s="586"/>
      <c r="D40" s="586" t="s">
        <v>1376</v>
      </c>
      <c r="E40" s="683"/>
      <c r="F40" s="588"/>
      <c r="G40" s="590"/>
      <c r="H40" s="686"/>
      <c r="I40" s="598">
        <f t="shared" si="3"/>
        <v>0</v>
      </c>
      <c r="J40" s="599"/>
      <c r="K40" s="598">
        <v>0</v>
      </c>
      <c r="L40" s="710">
        <f>SUM(L41:L45)</f>
        <v>18970.57</v>
      </c>
      <c r="M40" s="710">
        <f>SUM(M41:M45)</f>
        <v>0</v>
      </c>
      <c r="N40" s="710">
        <f>SUM(N41:N45)</f>
        <v>18970.57</v>
      </c>
      <c r="O40" s="720">
        <f>SUM(O41:O45)</f>
        <v>0</v>
      </c>
      <c r="P40" s="611">
        <f t="shared" si="0"/>
        <v>1</v>
      </c>
      <c r="Q40" s="525"/>
      <c r="BT40" s="525"/>
      <c r="BU40" s="523"/>
      <c r="BV40" s="523"/>
      <c r="BW40" s="523">
        <v>0</v>
      </c>
      <c r="BX40" s="523">
        <v>0</v>
      </c>
      <c r="BY40" s="523">
        <v>679.56999999999994</v>
      </c>
      <c r="BZ40" s="523">
        <v>0</v>
      </c>
      <c r="CA40" s="523">
        <v>0</v>
      </c>
      <c r="CB40" s="523"/>
      <c r="CC40" s="523"/>
      <c r="CD40" s="523"/>
      <c r="CE40" s="523"/>
      <c r="CF40" s="523"/>
      <c r="CG40" s="523"/>
      <c r="CH40" s="523"/>
      <c r="CI40" s="523">
        <f t="shared" si="2"/>
        <v>679.56999999999994</v>
      </c>
    </row>
    <row r="41" spans="1:87" ht="15" x14ac:dyDescent="0.2">
      <c r="A41" s="680" t="s">
        <v>52</v>
      </c>
      <c r="B41" s="569">
        <v>83532</v>
      </c>
      <c r="C41" s="569" t="s">
        <v>1324</v>
      </c>
      <c r="D41" s="569" t="s">
        <v>1370</v>
      </c>
      <c r="E41" s="681" t="s">
        <v>48</v>
      </c>
      <c r="F41" s="644">
        <v>60.66</v>
      </c>
      <c r="G41" s="682">
        <v>19.86</v>
      </c>
      <c r="H41" s="685">
        <v>2.58</v>
      </c>
      <c r="I41" s="573">
        <f t="shared" si="3"/>
        <v>0</v>
      </c>
      <c r="J41" s="574">
        <f t="shared" si="4"/>
        <v>2.58</v>
      </c>
      <c r="K41" s="573">
        <f t="shared" si="8"/>
        <v>0</v>
      </c>
      <c r="L41" s="708">
        <f t="shared" ref="L41:O45" si="10">ROUND(H41*$G41,2)</f>
        <v>51.24</v>
      </c>
      <c r="M41" s="708">
        <f t="shared" si="10"/>
        <v>0</v>
      </c>
      <c r="N41" s="708">
        <f t="shared" si="10"/>
        <v>51.24</v>
      </c>
      <c r="O41" s="718">
        <f t="shared" si="10"/>
        <v>0</v>
      </c>
      <c r="P41" s="617">
        <f t="shared" si="0"/>
        <v>1</v>
      </c>
      <c r="Q41" s="525"/>
      <c r="BT41" s="525"/>
      <c r="BU41" s="523"/>
      <c r="BV41" s="523"/>
      <c r="BW41" s="523">
        <v>0</v>
      </c>
      <c r="BX41" s="523">
        <v>0</v>
      </c>
      <c r="BY41" s="523">
        <v>2.58</v>
      </c>
      <c r="BZ41" s="523">
        <v>0</v>
      </c>
      <c r="CA41" s="523">
        <v>0</v>
      </c>
      <c r="CB41" s="523"/>
      <c r="CC41" s="523"/>
      <c r="CD41" s="523"/>
      <c r="CE41" s="523"/>
      <c r="CF41" s="523"/>
      <c r="CG41" s="523"/>
      <c r="CH41" s="523"/>
      <c r="CI41" s="523">
        <f t="shared" si="2"/>
        <v>2.58</v>
      </c>
    </row>
    <row r="42" spans="1:87" ht="15" x14ac:dyDescent="0.2">
      <c r="A42" s="680" t="s">
        <v>53</v>
      </c>
      <c r="B42" s="569">
        <v>5970</v>
      </c>
      <c r="C42" s="569" t="s">
        <v>1324</v>
      </c>
      <c r="D42" s="569" t="s">
        <v>1371</v>
      </c>
      <c r="E42" s="681" t="s">
        <v>14</v>
      </c>
      <c r="F42" s="644">
        <v>5.86</v>
      </c>
      <c r="G42" s="682">
        <v>93.42</v>
      </c>
      <c r="H42" s="685">
        <v>139.57</v>
      </c>
      <c r="I42" s="573">
        <f t="shared" si="3"/>
        <v>0</v>
      </c>
      <c r="J42" s="574">
        <f t="shared" si="4"/>
        <v>139.57</v>
      </c>
      <c r="K42" s="573">
        <f t="shared" si="8"/>
        <v>0</v>
      </c>
      <c r="L42" s="708">
        <f t="shared" si="10"/>
        <v>13038.63</v>
      </c>
      <c r="M42" s="708">
        <f t="shared" si="10"/>
        <v>0</v>
      </c>
      <c r="N42" s="708">
        <f t="shared" si="10"/>
        <v>13038.63</v>
      </c>
      <c r="O42" s="718">
        <f t="shared" si="10"/>
        <v>0</v>
      </c>
      <c r="P42" s="617">
        <f t="shared" si="0"/>
        <v>1</v>
      </c>
      <c r="Q42" s="525"/>
      <c r="BT42" s="525"/>
      <c r="BU42" s="523"/>
      <c r="BV42" s="523"/>
      <c r="BW42" s="523">
        <v>0</v>
      </c>
      <c r="BX42" s="523">
        <v>0</v>
      </c>
      <c r="BY42" s="523">
        <v>139.57</v>
      </c>
      <c r="BZ42" s="523">
        <v>0</v>
      </c>
      <c r="CA42" s="523">
        <v>0</v>
      </c>
      <c r="CB42" s="523"/>
      <c r="CC42" s="523"/>
      <c r="CD42" s="523"/>
      <c r="CE42" s="523"/>
      <c r="CF42" s="523"/>
      <c r="CG42" s="523"/>
      <c r="CH42" s="523"/>
      <c r="CI42" s="523">
        <f t="shared" si="2"/>
        <v>139.57</v>
      </c>
    </row>
    <row r="43" spans="1:87" ht="15" x14ac:dyDescent="0.2">
      <c r="A43" s="680" t="s">
        <v>54</v>
      </c>
      <c r="B43" s="569">
        <v>92793</v>
      </c>
      <c r="C43" s="569" t="s">
        <v>1324</v>
      </c>
      <c r="D43" s="569" t="s">
        <v>1372</v>
      </c>
      <c r="E43" s="681" t="s">
        <v>35</v>
      </c>
      <c r="F43" s="644">
        <v>302.64</v>
      </c>
      <c r="G43" s="682">
        <v>4.6500000000000004</v>
      </c>
      <c r="H43" s="685">
        <v>389.64</v>
      </c>
      <c r="I43" s="573">
        <f t="shared" si="3"/>
        <v>0</v>
      </c>
      <c r="J43" s="574">
        <f t="shared" si="4"/>
        <v>389.64</v>
      </c>
      <c r="K43" s="573">
        <f t="shared" si="8"/>
        <v>0</v>
      </c>
      <c r="L43" s="708">
        <f t="shared" si="10"/>
        <v>1811.83</v>
      </c>
      <c r="M43" s="708">
        <f t="shared" si="10"/>
        <v>0</v>
      </c>
      <c r="N43" s="708">
        <f t="shared" si="10"/>
        <v>1811.83</v>
      </c>
      <c r="O43" s="718">
        <f t="shared" si="10"/>
        <v>0</v>
      </c>
      <c r="P43" s="617">
        <f t="shared" si="0"/>
        <v>1</v>
      </c>
      <c r="Q43" s="525"/>
      <c r="S43" s="189">
        <v>0</v>
      </c>
      <c r="T43" s="189">
        <v>137.72999999999999</v>
      </c>
      <c r="BT43" s="525"/>
      <c r="BU43" s="523"/>
      <c r="BV43" s="523"/>
      <c r="BW43" s="523">
        <v>0</v>
      </c>
      <c r="BX43" s="523">
        <v>0</v>
      </c>
      <c r="BY43" s="523">
        <v>389.64</v>
      </c>
      <c r="BZ43" s="523">
        <v>0</v>
      </c>
      <c r="CA43" s="523">
        <v>0</v>
      </c>
      <c r="CB43" s="523"/>
      <c r="CC43" s="523"/>
      <c r="CD43" s="523"/>
      <c r="CE43" s="523"/>
      <c r="CF43" s="523"/>
      <c r="CG43" s="523"/>
      <c r="CH43" s="523"/>
      <c r="CI43" s="523">
        <f t="shared" si="2"/>
        <v>389.64</v>
      </c>
    </row>
    <row r="44" spans="1:87" ht="15" x14ac:dyDescent="0.2">
      <c r="A44" s="680" t="s">
        <v>55</v>
      </c>
      <c r="B44" s="569">
        <v>92791</v>
      </c>
      <c r="C44" s="569" t="s">
        <v>1324</v>
      </c>
      <c r="D44" s="569" t="s">
        <v>1373</v>
      </c>
      <c r="E44" s="681" t="s">
        <v>35</v>
      </c>
      <c r="F44" s="644">
        <v>135.94</v>
      </c>
      <c r="G44" s="682">
        <v>5.91</v>
      </c>
      <c r="H44" s="685">
        <v>137.72999999999999</v>
      </c>
      <c r="I44" s="573">
        <f t="shared" si="3"/>
        <v>0</v>
      </c>
      <c r="J44" s="574">
        <f t="shared" si="4"/>
        <v>137.72999999999999</v>
      </c>
      <c r="K44" s="573">
        <f t="shared" si="8"/>
        <v>0</v>
      </c>
      <c r="L44" s="708">
        <f t="shared" si="10"/>
        <v>813.98</v>
      </c>
      <c r="M44" s="708">
        <f t="shared" si="10"/>
        <v>0</v>
      </c>
      <c r="N44" s="708">
        <f t="shared" si="10"/>
        <v>813.98</v>
      </c>
      <c r="O44" s="718">
        <f t="shared" si="10"/>
        <v>0</v>
      </c>
      <c r="P44" s="617">
        <f t="shared" si="0"/>
        <v>1</v>
      </c>
      <c r="Q44" s="525"/>
      <c r="S44" s="189">
        <v>0</v>
      </c>
      <c r="T44" s="189">
        <v>10.050000000000001</v>
      </c>
      <c r="BT44" s="525"/>
      <c r="BU44" s="523"/>
      <c r="BV44" s="523"/>
      <c r="BW44" s="523">
        <v>0</v>
      </c>
      <c r="BX44" s="523">
        <v>0</v>
      </c>
      <c r="BY44" s="523">
        <v>137.72999999999999</v>
      </c>
      <c r="BZ44" s="523">
        <v>0</v>
      </c>
      <c r="CA44" s="523">
        <v>0</v>
      </c>
      <c r="CB44" s="523"/>
      <c r="CC44" s="523"/>
      <c r="CD44" s="523"/>
      <c r="CE44" s="523"/>
      <c r="CF44" s="523"/>
      <c r="CG44" s="523"/>
      <c r="CH44" s="523"/>
      <c r="CI44" s="523">
        <f t="shared" si="2"/>
        <v>137.72999999999999</v>
      </c>
    </row>
    <row r="45" spans="1:87" s="664" customFormat="1" ht="15" x14ac:dyDescent="0.2">
      <c r="A45" s="680" t="s">
        <v>1377</v>
      </c>
      <c r="B45" s="569">
        <v>92720</v>
      </c>
      <c r="C45" s="569" t="s">
        <v>1324</v>
      </c>
      <c r="D45" s="569" t="s">
        <v>1375</v>
      </c>
      <c r="E45" s="681" t="s">
        <v>48</v>
      </c>
      <c r="F45" s="571"/>
      <c r="G45" s="682">
        <v>323.87</v>
      </c>
      <c r="H45" s="685">
        <v>10.050000000000001</v>
      </c>
      <c r="I45" s="573">
        <f t="shared" si="3"/>
        <v>0</v>
      </c>
      <c r="J45" s="574">
        <f t="shared" si="4"/>
        <v>10.050000000000001</v>
      </c>
      <c r="K45" s="573">
        <f t="shared" si="8"/>
        <v>0</v>
      </c>
      <c r="L45" s="708">
        <f t="shared" si="10"/>
        <v>3254.89</v>
      </c>
      <c r="M45" s="708">
        <f t="shared" si="10"/>
        <v>0</v>
      </c>
      <c r="N45" s="708">
        <f t="shared" si="10"/>
        <v>3254.89</v>
      </c>
      <c r="O45" s="718">
        <f t="shared" si="10"/>
        <v>0</v>
      </c>
      <c r="P45" s="617">
        <f t="shared" si="0"/>
        <v>1</v>
      </c>
      <c r="Q45" s="525"/>
      <c r="S45" s="191">
        <v>0</v>
      </c>
      <c r="T45" s="191">
        <v>0</v>
      </c>
      <c r="BT45" s="525"/>
      <c r="BU45" s="523"/>
      <c r="BV45" s="523"/>
      <c r="BW45" s="523">
        <v>0</v>
      </c>
      <c r="BX45" s="523">
        <v>0</v>
      </c>
      <c r="BY45" s="523">
        <v>10.050000000000001</v>
      </c>
      <c r="BZ45" s="523">
        <v>0</v>
      </c>
      <c r="CA45" s="523">
        <v>0</v>
      </c>
      <c r="CB45" s="523"/>
      <c r="CC45" s="523"/>
      <c r="CD45" s="523"/>
      <c r="CE45" s="523"/>
      <c r="CF45" s="523"/>
      <c r="CG45" s="523"/>
      <c r="CH45" s="523"/>
      <c r="CI45" s="523">
        <f t="shared" si="2"/>
        <v>10.050000000000001</v>
      </c>
    </row>
    <row r="46" spans="1:87" s="664" customFormat="1" ht="15.75" x14ac:dyDescent="0.2">
      <c r="A46" s="600">
        <v>4</v>
      </c>
      <c r="B46" s="601"/>
      <c r="C46" s="601"/>
      <c r="D46" s="602" t="s">
        <v>1378</v>
      </c>
      <c r="E46" s="626"/>
      <c r="F46" s="560"/>
      <c r="G46" s="565"/>
      <c r="H46" s="641"/>
      <c r="I46" s="563">
        <f t="shared" si="3"/>
        <v>0</v>
      </c>
      <c r="J46" s="564"/>
      <c r="K46" s="563"/>
      <c r="L46" s="628">
        <f>SUM(L47,L52,L58,L63,L68)</f>
        <v>88897.260000000009</v>
      </c>
      <c r="M46" s="628">
        <f>SUM(M47,M52,M58,M63,M68)</f>
        <v>10345.77</v>
      </c>
      <c r="N46" s="628">
        <f>SUM(N47,N52,N58,N63,N68)</f>
        <v>61983.430000000008</v>
      </c>
      <c r="O46" s="721">
        <f>SUM(O47,O52,O58,O63,O68)</f>
        <v>26913.84</v>
      </c>
      <c r="P46" s="604">
        <f t="shared" si="0"/>
        <v>0.69724792417674064</v>
      </c>
      <c r="Q46" s="525"/>
      <c r="S46" s="191">
        <v>0</v>
      </c>
      <c r="T46" s="191">
        <v>0</v>
      </c>
      <c r="BT46" s="525"/>
      <c r="BU46" s="523"/>
      <c r="BV46" s="523"/>
      <c r="BW46" s="523">
        <v>0</v>
      </c>
      <c r="BX46" s="523">
        <v>354.95380799999998</v>
      </c>
      <c r="BY46" s="523"/>
      <c r="BZ46" s="523"/>
      <c r="CA46" s="523"/>
      <c r="CB46" s="523"/>
      <c r="CC46" s="523"/>
      <c r="CD46" s="523"/>
      <c r="CE46" s="523"/>
      <c r="CF46" s="523"/>
      <c r="CG46" s="523"/>
      <c r="CH46" s="523"/>
      <c r="CI46" s="523">
        <f t="shared" si="2"/>
        <v>354.95380799999998</v>
      </c>
    </row>
    <row r="47" spans="1:87" s="110" customFormat="1" ht="15.75" x14ac:dyDescent="0.2">
      <c r="A47" s="605" t="s">
        <v>74</v>
      </c>
      <c r="B47" s="606"/>
      <c r="C47" s="606"/>
      <c r="D47" s="607" t="s">
        <v>1379</v>
      </c>
      <c r="E47" s="608"/>
      <c r="F47" s="683">
        <f>SUM(F48:F51)</f>
        <v>499.24</v>
      </c>
      <c r="G47" s="609"/>
      <c r="H47" s="608"/>
      <c r="I47" s="599">
        <f t="shared" si="3"/>
        <v>0</v>
      </c>
      <c r="J47" s="599"/>
      <c r="K47" s="599">
        <v>0</v>
      </c>
      <c r="L47" s="710">
        <f>SUM(L48:L51)</f>
        <v>17368.48</v>
      </c>
      <c r="M47" s="710">
        <f>SUM(M48:M51)</f>
        <v>0</v>
      </c>
      <c r="N47" s="710">
        <f>SUM(N48:N51)</f>
        <v>17368.48</v>
      </c>
      <c r="O47" s="720">
        <f>SUM(O48:O51)</f>
        <v>0</v>
      </c>
      <c r="P47" s="611">
        <f t="shared" si="0"/>
        <v>1</v>
      </c>
      <c r="Q47" s="525"/>
      <c r="S47" s="192">
        <v>22.81</v>
      </c>
      <c r="T47" s="192">
        <v>126.72</v>
      </c>
      <c r="BT47" s="525"/>
      <c r="BU47" s="523"/>
      <c r="BV47" s="523"/>
      <c r="BW47" s="523">
        <v>0</v>
      </c>
      <c r="BX47" s="523">
        <v>132.10999999999999</v>
      </c>
      <c r="BY47" s="523"/>
      <c r="BZ47" s="523"/>
      <c r="CA47" s="523"/>
      <c r="CB47" s="523"/>
      <c r="CC47" s="523"/>
      <c r="CD47" s="523"/>
      <c r="CE47" s="523"/>
      <c r="CF47" s="523"/>
      <c r="CG47" s="523"/>
      <c r="CH47" s="523"/>
      <c r="CI47" s="523">
        <f t="shared" si="2"/>
        <v>132.10999999999999</v>
      </c>
    </row>
    <row r="48" spans="1:87" s="110" customFormat="1" ht="15" x14ac:dyDescent="0.2">
      <c r="A48" s="745" t="s">
        <v>76</v>
      </c>
      <c r="B48" s="613">
        <v>92448</v>
      </c>
      <c r="C48" s="613" t="s">
        <v>1324</v>
      </c>
      <c r="D48" s="614" t="s">
        <v>1380</v>
      </c>
      <c r="E48" s="615" t="s">
        <v>14</v>
      </c>
      <c r="F48" s="644">
        <v>302.64</v>
      </c>
      <c r="G48" s="616">
        <v>93.42</v>
      </c>
      <c r="H48" s="615">
        <v>126.72</v>
      </c>
      <c r="I48" s="573">
        <f t="shared" si="3"/>
        <v>0</v>
      </c>
      <c r="J48" s="574">
        <f t="shared" si="4"/>
        <v>126.72</v>
      </c>
      <c r="K48" s="573">
        <f t="shared" ref="K48:K69" si="11">H48-J48</f>
        <v>0</v>
      </c>
      <c r="L48" s="708">
        <f t="shared" ref="L48:O51" si="12">ROUND(H48*$G48,2)</f>
        <v>11838.18</v>
      </c>
      <c r="M48" s="708">
        <f t="shared" si="12"/>
        <v>0</v>
      </c>
      <c r="N48" s="708">
        <f t="shared" si="12"/>
        <v>11838.18</v>
      </c>
      <c r="O48" s="718">
        <f t="shared" si="12"/>
        <v>0</v>
      </c>
      <c r="P48" s="617">
        <f t="shared" si="0"/>
        <v>1</v>
      </c>
      <c r="Q48" s="525"/>
      <c r="S48" s="192">
        <v>78.55</v>
      </c>
      <c r="T48" s="192">
        <v>428.55</v>
      </c>
      <c r="BT48" s="525"/>
      <c r="BU48" s="523"/>
      <c r="BV48" s="523"/>
      <c r="BW48" s="523">
        <v>22.809799999999996</v>
      </c>
      <c r="BX48" s="523">
        <v>103.9102</v>
      </c>
      <c r="BY48" s="523">
        <v>0</v>
      </c>
      <c r="BZ48" s="523">
        <v>0</v>
      </c>
      <c r="CA48" s="523"/>
      <c r="CB48" s="523"/>
      <c r="CC48" s="523"/>
      <c r="CD48" s="523"/>
      <c r="CE48" s="523"/>
      <c r="CF48" s="523"/>
      <c r="CG48" s="523"/>
      <c r="CH48" s="523"/>
      <c r="CI48" s="523">
        <f t="shared" si="2"/>
        <v>126.72</v>
      </c>
    </row>
    <row r="49" spans="1:87" s="110" customFormat="1" ht="15" x14ac:dyDescent="0.2">
      <c r="A49" s="745" t="s">
        <v>79</v>
      </c>
      <c r="B49" s="613">
        <v>92793</v>
      </c>
      <c r="C49" s="613" t="s">
        <v>1324</v>
      </c>
      <c r="D49" s="614" t="s">
        <v>1372</v>
      </c>
      <c r="E49" s="615" t="s">
        <v>35</v>
      </c>
      <c r="F49" s="644">
        <v>135.94</v>
      </c>
      <c r="G49" s="616">
        <v>4.6500000000000004</v>
      </c>
      <c r="H49" s="615">
        <v>428.55</v>
      </c>
      <c r="I49" s="573">
        <f t="shared" si="3"/>
        <v>0</v>
      </c>
      <c r="J49" s="574">
        <f t="shared" si="4"/>
        <v>428.55</v>
      </c>
      <c r="K49" s="573">
        <f t="shared" si="11"/>
        <v>0</v>
      </c>
      <c r="L49" s="708">
        <f t="shared" si="12"/>
        <v>1992.76</v>
      </c>
      <c r="M49" s="708">
        <f t="shared" si="12"/>
        <v>0</v>
      </c>
      <c r="N49" s="708">
        <f t="shared" si="12"/>
        <v>1992.76</v>
      </c>
      <c r="O49" s="718">
        <f t="shared" si="12"/>
        <v>0</v>
      </c>
      <c r="P49" s="617">
        <f t="shared" si="0"/>
        <v>1</v>
      </c>
      <c r="Q49" s="525"/>
      <c r="S49" s="192">
        <v>23.16</v>
      </c>
      <c r="T49" s="192">
        <v>127.36</v>
      </c>
      <c r="BT49" s="525"/>
      <c r="BU49" s="523"/>
      <c r="BV49" s="523">
        <v>21.35</v>
      </c>
      <c r="BW49" s="523">
        <v>57.2</v>
      </c>
      <c r="BX49" s="523">
        <v>0</v>
      </c>
      <c r="BY49" s="523">
        <v>350</v>
      </c>
      <c r="BZ49" s="523">
        <v>0</v>
      </c>
      <c r="CA49" s="523"/>
      <c r="CB49" s="523"/>
      <c r="CC49" s="523"/>
      <c r="CD49" s="523"/>
      <c r="CE49" s="523"/>
      <c r="CF49" s="523"/>
      <c r="CG49" s="523"/>
      <c r="CH49" s="523"/>
      <c r="CI49" s="523">
        <f t="shared" si="2"/>
        <v>428.55</v>
      </c>
    </row>
    <row r="50" spans="1:87" s="110" customFormat="1" ht="15" x14ac:dyDescent="0.2">
      <c r="A50" s="745" t="s">
        <v>83</v>
      </c>
      <c r="B50" s="613">
        <v>92791</v>
      </c>
      <c r="C50" s="613" t="s">
        <v>1324</v>
      </c>
      <c r="D50" s="614" t="s">
        <v>1373</v>
      </c>
      <c r="E50" s="615" t="s">
        <v>35</v>
      </c>
      <c r="F50" s="571"/>
      <c r="G50" s="616">
        <v>6.11</v>
      </c>
      <c r="H50" s="615">
        <v>127.36</v>
      </c>
      <c r="I50" s="573">
        <f t="shared" si="3"/>
        <v>0</v>
      </c>
      <c r="J50" s="574">
        <f t="shared" si="4"/>
        <v>127.36</v>
      </c>
      <c r="K50" s="573">
        <f t="shared" si="11"/>
        <v>0</v>
      </c>
      <c r="L50" s="708">
        <f t="shared" si="12"/>
        <v>778.17</v>
      </c>
      <c r="M50" s="708">
        <f t="shared" si="12"/>
        <v>0</v>
      </c>
      <c r="N50" s="708">
        <f t="shared" si="12"/>
        <v>778.17</v>
      </c>
      <c r="O50" s="718">
        <f t="shared" si="12"/>
        <v>0</v>
      </c>
      <c r="P50" s="617">
        <f t="shared" si="0"/>
        <v>1</v>
      </c>
      <c r="Q50" s="525"/>
      <c r="S50" s="192">
        <v>4.5199999999999996</v>
      </c>
      <c r="T50" s="192">
        <v>8.52</v>
      </c>
      <c r="BT50" s="525"/>
      <c r="BU50" s="523"/>
      <c r="BV50" s="523">
        <v>6.31</v>
      </c>
      <c r="BW50" s="523">
        <v>16.850000000000001</v>
      </c>
      <c r="BX50" s="523">
        <v>24.2</v>
      </c>
      <c r="BY50" s="523">
        <v>80</v>
      </c>
      <c r="BZ50" s="523">
        <v>0</v>
      </c>
      <c r="CA50" s="523"/>
      <c r="CB50" s="523"/>
      <c r="CC50" s="523"/>
      <c r="CD50" s="523"/>
      <c r="CE50" s="523"/>
      <c r="CF50" s="523"/>
      <c r="CG50" s="523"/>
      <c r="CH50" s="523"/>
      <c r="CI50" s="523">
        <f t="shared" si="2"/>
        <v>127.36</v>
      </c>
    </row>
    <row r="51" spans="1:87" s="664" customFormat="1" ht="15" x14ac:dyDescent="0.2">
      <c r="A51" s="745" t="s">
        <v>86</v>
      </c>
      <c r="B51" s="613">
        <v>92720</v>
      </c>
      <c r="C51" s="613" t="s">
        <v>1324</v>
      </c>
      <c r="D51" s="614" t="s">
        <v>1375</v>
      </c>
      <c r="E51" s="615" t="s">
        <v>48</v>
      </c>
      <c r="F51" s="644">
        <v>60.66</v>
      </c>
      <c r="G51" s="616">
        <v>323.87</v>
      </c>
      <c r="H51" s="615">
        <v>8.52</v>
      </c>
      <c r="I51" s="573">
        <f t="shared" si="3"/>
        <v>0</v>
      </c>
      <c r="J51" s="574">
        <f t="shared" si="4"/>
        <v>8.52</v>
      </c>
      <c r="K51" s="573">
        <f t="shared" si="11"/>
        <v>0</v>
      </c>
      <c r="L51" s="708">
        <f t="shared" si="12"/>
        <v>2759.37</v>
      </c>
      <c r="M51" s="708">
        <f t="shared" si="12"/>
        <v>0</v>
      </c>
      <c r="N51" s="708">
        <f t="shared" si="12"/>
        <v>2759.37</v>
      </c>
      <c r="O51" s="718">
        <f t="shared" si="12"/>
        <v>0</v>
      </c>
      <c r="P51" s="617">
        <f t="shared" si="0"/>
        <v>1</v>
      </c>
      <c r="Q51" s="525"/>
      <c r="S51" s="191">
        <v>0</v>
      </c>
      <c r="T51" s="191">
        <v>0</v>
      </c>
      <c r="BT51" s="525"/>
      <c r="BU51" s="523"/>
      <c r="BV51" s="523">
        <v>1.7</v>
      </c>
      <c r="BW51" s="523">
        <v>2.82</v>
      </c>
      <c r="BX51" s="523">
        <v>4</v>
      </c>
      <c r="BY51" s="523">
        <v>0</v>
      </c>
      <c r="BZ51" s="523">
        <v>0</v>
      </c>
      <c r="CA51" s="523"/>
      <c r="CB51" s="523"/>
      <c r="CC51" s="523"/>
      <c r="CD51" s="523"/>
      <c r="CE51" s="523"/>
      <c r="CF51" s="523"/>
      <c r="CG51" s="523"/>
      <c r="CH51" s="523"/>
      <c r="CI51" s="523">
        <f t="shared" si="2"/>
        <v>8.52</v>
      </c>
    </row>
    <row r="52" spans="1:87" s="110" customFormat="1" ht="15.75" x14ac:dyDescent="0.2">
      <c r="A52" s="605" t="s">
        <v>1381</v>
      </c>
      <c r="B52" s="606"/>
      <c r="C52" s="606"/>
      <c r="D52" s="607" t="s">
        <v>1382</v>
      </c>
      <c r="E52" s="609"/>
      <c r="F52" s="687"/>
      <c r="G52" s="609"/>
      <c r="H52" s="609"/>
      <c r="I52" s="609"/>
      <c r="J52" s="610"/>
      <c r="K52" s="610"/>
      <c r="L52" s="711">
        <f>SUM(L53:L57)</f>
        <v>33356.590000000004</v>
      </c>
      <c r="M52" s="711">
        <f>SUM(M53:M57)</f>
        <v>0</v>
      </c>
      <c r="N52" s="711">
        <f>SUM(N53:N57)</f>
        <v>33356.590000000004</v>
      </c>
      <c r="O52" s="722">
        <f>SUM(O53:O57)</f>
        <v>0</v>
      </c>
      <c r="P52" s="619">
        <f t="shared" si="0"/>
        <v>1</v>
      </c>
      <c r="Q52" s="525"/>
      <c r="S52" s="192">
        <v>30.35</v>
      </c>
      <c r="T52" s="192">
        <v>0</v>
      </c>
      <c r="BT52" s="525"/>
      <c r="BU52" s="523"/>
      <c r="BV52" s="523"/>
      <c r="BW52" s="523">
        <v>0</v>
      </c>
      <c r="BX52" s="523">
        <v>188.94380799999999</v>
      </c>
      <c r="BY52" s="523"/>
      <c r="BZ52" s="523"/>
      <c r="CA52" s="523"/>
      <c r="CB52" s="523"/>
      <c r="CC52" s="523"/>
      <c r="CD52" s="523"/>
      <c r="CE52" s="523"/>
      <c r="CF52" s="523"/>
      <c r="CG52" s="523"/>
      <c r="CH52" s="523"/>
      <c r="CI52" s="523">
        <f t="shared" si="2"/>
        <v>188.94380799999999</v>
      </c>
    </row>
    <row r="53" spans="1:87" s="110" customFormat="1" ht="15" x14ac:dyDescent="0.2">
      <c r="A53" s="745" t="s">
        <v>1383</v>
      </c>
      <c r="B53" s="613">
        <v>92510</v>
      </c>
      <c r="C53" s="613" t="s">
        <v>1324</v>
      </c>
      <c r="D53" s="614" t="s">
        <v>1384</v>
      </c>
      <c r="E53" s="615" t="s">
        <v>14</v>
      </c>
      <c r="F53" s="644">
        <v>302.64</v>
      </c>
      <c r="G53" s="616">
        <v>93.42</v>
      </c>
      <c r="H53" s="615">
        <v>155.72999999999999</v>
      </c>
      <c r="I53" s="573">
        <f t="shared" si="3"/>
        <v>0</v>
      </c>
      <c r="J53" s="574">
        <f t="shared" si="4"/>
        <v>155.72999999999999</v>
      </c>
      <c r="K53" s="573">
        <f t="shared" si="11"/>
        <v>0</v>
      </c>
      <c r="L53" s="708">
        <f t="shared" ref="L53:O57" si="13">ROUND(H53*$G53,2)</f>
        <v>14548.3</v>
      </c>
      <c r="M53" s="708">
        <f t="shared" si="13"/>
        <v>0</v>
      </c>
      <c r="N53" s="708">
        <f t="shared" si="13"/>
        <v>14548.3</v>
      </c>
      <c r="O53" s="718">
        <f t="shared" si="13"/>
        <v>0</v>
      </c>
      <c r="P53" s="617">
        <f t="shared" si="0"/>
        <v>1</v>
      </c>
      <c r="Q53" s="525"/>
      <c r="S53" s="192">
        <v>95.84</v>
      </c>
      <c r="T53" s="192">
        <v>0</v>
      </c>
      <c r="BT53" s="525"/>
      <c r="BU53" s="523"/>
      <c r="BV53" s="523">
        <v>28.846009999999993</v>
      </c>
      <c r="BW53" s="523">
        <v>1.5</v>
      </c>
      <c r="BX53" s="523">
        <v>25.383990000000001</v>
      </c>
      <c r="BY53" s="523">
        <v>100</v>
      </c>
      <c r="BZ53" s="523">
        <v>0</v>
      </c>
      <c r="CA53" s="523"/>
      <c r="CB53" s="523"/>
      <c r="CC53" s="523"/>
      <c r="CD53" s="523"/>
      <c r="CE53" s="523"/>
      <c r="CF53" s="523"/>
      <c r="CG53" s="523"/>
      <c r="CH53" s="523"/>
      <c r="CI53" s="523">
        <f t="shared" si="2"/>
        <v>155.72999999999999</v>
      </c>
    </row>
    <row r="54" spans="1:87" s="110" customFormat="1" ht="15" x14ac:dyDescent="0.2">
      <c r="A54" s="745" t="s">
        <v>1385</v>
      </c>
      <c r="B54" s="613">
        <v>92793</v>
      </c>
      <c r="C54" s="613" t="s">
        <v>1324</v>
      </c>
      <c r="D54" s="614" t="s">
        <v>1372</v>
      </c>
      <c r="E54" s="615" t="s">
        <v>35</v>
      </c>
      <c r="F54" s="644">
        <v>135.94</v>
      </c>
      <c r="G54" s="616">
        <v>4.6500000000000004</v>
      </c>
      <c r="H54" s="615">
        <v>1946.45</v>
      </c>
      <c r="I54" s="573">
        <f t="shared" si="3"/>
        <v>0</v>
      </c>
      <c r="J54" s="574">
        <f t="shared" si="4"/>
        <v>1946.45</v>
      </c>
      <c r="K54" s="573">
        <f t="shared" si="11"/>
        <v>0</v>
      </c>
      <c r="L54" s="708">
        <f t="shared" si="13"/>
        <v>9050.99</v>
      </c>
      <c r="M54" s="708">
        <f t="shared" si="13"/>
        <v>0</v>
      </c>
      <c r="N54" s="708">
        <f t="shared" si="13"/>
        <v>9050.99</v>
      </c>
      <c r="O54" s="718">
        <f t="shared" si="13"/>
        <v>0</v>
      </c>
      <c r="P54" s="617">
        <f t="shared" si="0"/>
        <v>1</v>
      </c>
      <c r="Q54" s="525"/>
      <c r="S54" s="192">
        <v>11.599999999999994</v>
      </c>
      <c r="T54" s="192">
        <v>0</v>
      </c>
      <c r="BT54" s="525"/>
      <c r="BU54" s="523"/>
      <c r="BV54" s="523">
        <v>77.842300000000023</v>
      </c>
      <c r="BW54" s="523">
        <v>18</v>
      </c>
      <c r="BX54" s="523">
        <v>50.607700000000001</v>
      </c>
      <c r="BY54" s="523">
        <v>1800</v>
      </c>
      <c r="BZ54" s="523">
        <v>0</v>
      </c>
      <c r="CA54" s="523"/>
      <c r="CB54" s="523"/>
      <c r="CC54" s="523"/>
      <c r="CD54" s="523"/>
      <c r="CE54" s="523"/>
      <c r="CF54" s="523"/>
      <c r="CG54" s="523"/>
      <c r="CH54" s="523"/>
      <c r="CI54" s="523">
        <f t="shared" si="2"/>
        <v>1946.45</v>
      </c>
    </row>
    <row r="55" spans="1:87" s="110" customFormat="1" ht="15.75" x14ac:dyDescent="0.2">
      <c r="A55" s="745" t="s">
        <v>1386</v>
      </c>
      <c r="B55" s="613">
        <v>92791</v>
      </c>
      <c r="C55" s="613" t="s">
        <v>1324</v>
      </c>
      <c r="D55" s="614" t="s">
        <v>1373</v>
      </c>
      <c r="E55" s="615" t="s">
        <v>35</v>
      </c>
      <c r="F55" s="578"/>
      <c r="G55" s="616">
        <v>6.11</v>
      </c>
      <c r="H55" s="615">
        <v>240.18</v>
      </c>
      <c r="I55" s="573">
        <f t="shared" si="3"/>
        <v>0</v>
      </c>
      <c r="J55" s="574">
        <f t="shared" si="4"/>
        <v>240.18</v>
      </c>
      <c r="K55" s="573">
        <f t="shared" si="11"/>
        <v>0</v>
      </c>
      <c r="L55" s="708">
        <f t="shared" si="13"/>
        <v>1467.5</v>
      </c>
      <c r="M55" s="708">
        <f t="shared" si="13"/>
        <v>0</v>
      </c>
      <c r="N55" s="708">
        <f t="shared" si="13"/>
        <v>1467.5</v>
      </c>
      <c r="O55" s="718">
        <f t="shared" si="13"/>
        <v>0</v>
      </c>
      <c r="P55" s="617">
        <f t="shared" si="0"/>
        <v>1</v>
      </c>
      <c r="Q55" s="525"/>
      <c r="S55" s="192">
        <v>2.6700000000000017</v>
      </c>
      <c r="T55" s="192">
        <v>10.71</v>
      </c>
      <c r="BT55" s="525"/>
      <c r="BU55" s="523"/>
      <c r="BV55" s="523">
        <v>9.5985799999999983</v>
      </c>
      <c r="BW55" s="523">
        <v>2</v>
      </c>
      <c r="BX55" s="523">
        <v>28.581419999999998</v>
      </c>
      <c r="BY55" s="523">
        <v>200</v>
      </c>
      <c r="BZ55" s="523">
        <v>0</v>
      </c>
      <c r="CA55" s="523"/>
      <c r="CB55" s="523"/>
      <c r="CC55" s="523"/>
      <c r="CD55" s="523"/>
      <c r="CE55" s="523"/>
      <c r="CF55" s="523"/>
      <c r="CG55" s="523"/>
      <c r="CH55" s="523"/>
      <c r="CI55" s="523">
        <f t="shared" si="2"/>
        <v>240.18</v>
      </c>
    </row>
    <row r="56" spans="1:87" ht="15" x14ac:dyDescent="0.2">
      <c r="A56" s="745" t="s">
        <v>1387</v>
      </c>
      <c r="B56" s="613">
        <v>92720</v>
      </c>
      <c r="C56" s="613" t="s">
        <v>1324</v>
      </c>
      <c r="D56" s="614" t="s">
        <v>1375</v>
      </c>
      <c r="E56" s="615" t="s">
        <v>48</v>
      </c>
      <c r="F56" s="571"/>
      <c r="G56" s="616">
        <v>323.87</v>
      </c>
      <c r="H56" s="615">
        <v>10.71</v>
      </c>
      <c r="I56" s="573">
        <f t="shared" si="3"/>
        <v>0</v>
      </c>
      <c r="J56" s="574">
        <f t="shared" si="4"/>
        <v>10.71</v>
      </c>
      <c r="K56" s="573">
        <f t="shared" si="11"/>
        <v>0</v>
      </c>
      <c r="L56" s="708">
        <f t="shared" si="13"/>
        <v>3468.65</v>
      </c>
      <c r="M56" s="708">
        <f t="shared" si="13"/>
        <v>0</v>
      </c>
      <c r="N56" s="708">
        <f t="shared" si="13"/>
        <v>3468.65</v>
      </c>
      <c r="O56" s="718">
        <f t="shared" si="13"/>
        <v>0</v>
      </c>
      <c r="P56" s="617">
        <f t="shared" si="0"/>
        <v>1</v>
      </c>
      <c r="Q56" s="525"/>
      <c r="S56" s="189">
        <v>0</v>
      </c>
      <c r="T56" s="189">
        <v>84.33</v>
      </c>
      <c r="BT56" s="525"/>
      <c r="BU56" s="523"/>
      <c r="BV56" s="523">
        <v>2.1423020000000008</v>
      </c>
      <c r="BW56" s="523">
        <v>0.52700000000000002</v>
      </c>
      <c r="BX56" s="523">
        <v>4.0698000000000005E-2</v>
      </c>
      <c r="BY56" s="523">
        <v>8</v>
      </c>
      <c r="BZ56" s="523">
        <v>0</v>
      </c>
      <c r="CA56" s="523"/>
      <c r="CB56" s="523"/>
      <c r="CC56" s="523"/>
      <c r="CD56" s="523"/>
      <c r="CE56" s="523"/>
      <c r="CF56" s="523"/>
      <c r="CG56" s="523"/>
      <c r="CH56" s="523"/>
      <c r="CI56" s="523">
        <f t="shared" si="2"/>
        <v>10.71</v>
      </c>
    </row>
    <row r="57" spans="1:87" s="663" customFormat="1" ht="15" x14ac:dyDescent="0.2">
      <c r="A57" s="680" t="s">
        <v>1388</v>
      </c>
      <c r="B57" s="569" t="s">
        <v>1389</v>
      </c>
      <c r="C57" s="569" t="s">
        <v>1324</v>
      </c>
      <c r="D57" s="569" t="s">
        <v>1390</v>
      </c>
      <c r="E57" s="681" t="s">
        <v>14</v>
      </c>
      <c r="F57" s="571"/>
      <c r="G57" s="682">
        <v>57.17</v>
      </c>
      <c r="H57" s="681">
        <v>84.33</v>
      </c>
      <c r="I57" s="573">
        <f t="shared" si="3"/>
        <v>0</v>
      </c>
      <c r="J57" s="574">
        <f t="shared" si="4"/>
        <v>84.33</v>
      </c>
      <c r="K57" s="573">
        <f t="shared" si="11"/>
        <v>0</v>
      </c>
      <c r="L57" s="708">
        <f t="shared" si="13"/>
        <v>4821.1499999999996</v>
      </c>
      <c r="M57" s="708">
        <f t="shared" si="13"/>
        <v>0</v>
      </c>
      <c r="N57" s="708">
        <f t="shared" si="13"/>
        <v>4821.1499999999996</v>
      </c>
      <c r="O57" s="718">
        <f t="shared" si="13"/>
        <v>0</v>
      </c>
      <c r="P57" s="617">
        <f t="shared" si="0"/>
        <v>1</v>
      </c>
      <c r="Q57" s="525"/>
      <c r="S57" s="190">
        <v>0</v>
      </c>
      <c r="T57" s="190">
        <v>0</v>
      </c>
      <c r="BT57" s="525"/>
      <c r="BU57" s="523"/>
      <c r="BV57" s="523"/>
      <c r="BW57" s="523">
        <v>0</v>
      </c>
      <c r="BX57" s="523">
        <v>84.33</v>
      </c>
      <c r="BY57" s="523">
        <v>0</v>
      </c>
      <c r="BZ57" s="523">
        <v>0</v>
      </c>
      <c r="CA57" s="523"/>
      <c r="CB57" s="523"/>
      <c r="CC57" s="523"/>
      <c r="CD57" s="523"/>
      <c r="CE57" s="523"/>
      <c r="CF57" s="523"/>
      <c r="CG57" s="523"/>
      <c r="CH57" s="523"/>
      <c r="CI57" s="523">
        <f t="shared" si="2"/>
        <v>84.33</v>
      </c>
    </row>
    <row r="58" spans="1:87" ht="15.75" x14ac:dyDescent="0.2">
      <c r="A58" s="605" t="s">
        <v>1391</v>
      </c>
      <c r="B58" s="586"/>
      <c r="C58" s="586"/>
      <c r="D58" s="586" t="s">
        <v>1392</v>
      </c>
      <c r="E58" s="609"/>
      <c r="F58" s="687"/>
      <c r="G58" s="609"/>
      <c r="H58" s="609"/>
      <c r="I58" s="609"/>
      <c r="J58" s="610"/>
      <c r="K58" s="620"/>
      <c r="L58" s="711">
        <f>SUM(L59:L62)</f>
        <v>13794.349999999999</v>
      </c>
      <c r="M58" s="711">
        <f>SUM(M59:M62)</f>
        <v>10345.77</v>
      </c>
      <c r="N58" s="711">
        <f>SUM(N59:N62)</f>
        <v>10345.77</v>
      </c>
      <c r="O58" s="722">
        <f>SUM(O59:O62)</f>
        <v>3448.59</v>
      </c>
      <c r="P58" s="611">
        <f t="shared" si="0"/>
        <v>0.75000054370086311</v>
      </c>
      <c r="Q58" s="525"/>
      <c r="S58" s="189">
        <v>0</v>
      </c>
      <c r="T58" s="189">
        <v>0</v>
      </c>
      <c r="BT58" s="525"/>
      <c r="BU58" s="523"/>
      <c r="BV58" s="523"/>
      <c r="BW58" s="523">
        <v>0</v>
      </c>
      <c r="BX58" s="523">
        <v>0</v>
      </c>
      <c r="BY58" s="523"/>
      <c r="BZ58" s="523"/>
      <c r="CA58" s="523"/>
      <c r="CB58" s="523"/>
      <c r="CC58" s="523"/>
      <c r="CD58" s="523"/>
      <c r="CE58" s="523"/>
      <c r="CF58" s="523"/>
      <c r="CG58" s="523"/>
      <c r="CH58" s="523"/>
      <c r="CI58" s="523">
        <f t="shared" si="2"/>
        <v>0</v>
      </c>
    </row>
    <row r="59" spans="1:87" ht="15" x14ac:dyDescent="0.2">
      <c r="A59" s="680" t="s">
        <v>1393</v>
      </c>
      <c r="B59" s="569">
        <v>92510</v>
      </c>
      <c r="C59" s="569" t="s">
        <v>1324</v>
      </c>
      <c r="D59" s="569" t="s">
        <v>1384</v>
      </c>
      <c r="E59" s="681" t="s">
        <v>14</v>
      </c>
      <c r="F59" s="644">
        <v>41.64</v>
      </c>
      <c r="G59" s="682">
        <v>93.42</v>
      </c>
      <c r="H59" s="681">
        <v>111.8</v>
      </c>
      <c r="I59" s="573">
        <f t="shared" si="3"/>
        <v>83.85</v>
      </c>
      <c r="J59" s="574">
        <f t="shared" si="4"/>
        <v>83.85</v>
      </c>
      <c r="K59" s="573">
        <f t="shared" si="11"/>
        <v>27.950000000000003</v>
      </c>
      <c r="L59" s="708">
        <f t="shared" ref="L59:O62" si="14">ROUND(H59*$G59,2)</f>
        <v>10444.36</v>
      </c>
      <c r="M59" s="708">
        <f t="shared" si="14"/>
        <v>7833.27</v>
      </c>
      <c r="N59" s="708">
        <f t="shared" si="14"/>
        <v>7833.27</v>
      </c>
      <c r="O59" s="718">
        <f t="shared" si="14"/>
        <v>2611.09</v>
      </c>
      <c r="P59" s="617">
        <f t="shared" si="0"/>
        <v>0.75</v>
      </c>
      <c r="Q59" s="525"/>
      <c r="S59" s="189">
        <v>0</v>
      </c>
      <c r="T59" s="189">
        <v>0</v>
      </c>
      <c r="BT59" s="525"/>
      <c r="BU59" s="659">
        <f>H59*0.75</f>
        <v>83.85</v>
      </c>
      <c r="BV59" s="523"/>
      <c r="BW59" s="523">
        <v>0</v>
      </c>
      <c r="BX59" s="523">
        <v>0</v>
      </c>
      <c r="BY59" s="523">
        <v>0</v>
      </c>
      <c r="BZ59" s="523">
        <v>0</v>
      </c>
      <c r="CA59" s="523"/>
      <c r="CB59" s="523"/>
      <c r="CC59" s="523"/>
      <c r="CD59" s="523"/>
      <c r="CE59" s="523"/>
      <c r="CF59" s="523"/>
      <c r="CG59" s="523"/>
      <c r="CH59" s="523"/>
      <c r="CI59" s="523">
        <f t="shared" si="2"/>
        <v>83.85</v>
      </c>
    </row>
    <row r="60" spans="1:87" ht="15" x14ac:dyDescent="0.2">
      <c r="A60" s="680" t="s">
        <v>1394</v>
      </c>
      <c r="B60" s="569">
        <v>92793</v>
      </c>
      <c r="C60" s="569" t="s">
        <v>1324</v>
      </c>
      <c r="D60" s="569" t="s">
        <v>1372</v>
      </c>
      <c r="E60" s="681" t="s">
        <v>35</v>
      </c>
      <c r="F60" s="644">
        <v>7.91</v>
      </c>
      <c r="G60" s="682">
        <v>4.6500000000000004</v>
      </c>
      <c r="H60" s="681">
        <v>135.38999999999999</v>
      </c>
      <c r="I60" s="573">
        <f t="shared" si="3"/>
        <v>101.54249999999999</v>
      </c>
      <c r="J60" s="574">
        <f t="shared" si="4"/>
        <v>101.54249999999999</v>
      </c>
      <c r="K60" s="573">
        <f t="shared" si="11"/>
        <v>33.847499999999997</v>
      </c>
      <c r="L60" s="708">
        <f t="shared" si="14"/>
        <v>629.55999999999995</v>
      </c>
      <c r="M60" s="708">
        <f t="shared" si="14"/>
        <v>472.17</v>
      </c>
      <c r="N60" s="708">
        <f t="shared" si="14"/>
        <v>472.17</v>
      </c>
      <c r="O60" s="718">
        <f t="shared" si="14"/>
        <v>157.38999999999999</v>
      </c>
      <c r="P60" s="617">
        <f t="shared" si="0"/>
        <v>0.75000000000000011</v>
      </c>
      <c r="Q60" s="525"/>
      <c r="S60" s="189">
        <v>0</v>
      </c>
      <c r="T60" s="189">
        <v>0</v>
      </c>
      <c r="BT60" s="525"/>
      <c r="BU60" s="659">
        <f>H60*0.75</f>
        <v>101.54249999999999</v>
      </c>
      <c r="BV60" s="523"/>
      <c r="BW60" s="523">
        <v>0</v>
      </c>
      <c r="BX60" s="523">
        <v>0</v>
      </c>
      <c r="BY60" s="523">
        <v>0</v>
      </c>
      <c r="BZ60" s="523">
        <v>0</v>
      </c>
      <c r="CA60" s="523"/>
      <c r="CB60" s="523"/>
      <c r="CC60" s="523"/>
      <c r="CD60" s="523"/>
      <c r="CE60" s="523"/>
      <c r="CF60" s="523"/>
      <c r="CG60" s="523"/>
      <c r="CH60" s="523"/>
      <c r="CI60" s="523">
        <f t="shared" si="2"/>
        <v>101.54249999999999</v>
      </c>
    </row>
    <row r="61" spans="1:87" ht="15" x14ac:dyDescent="0.2">
      <c r="A61" s="680" t="s">
        <v>1395</v>
      </c>
      <c r="B61" s="569">
        <v>92791</v>
      </c>
      <c r="C61" s="569" t="s">
        <v>1324</v>
      </c>
      <c r="D61" s="569" t="s">
        <v>1373</v>
      </c>
      <c r="E61" s="681" t="s">
        <v>35</v>
      </c>
      <c r="F61" s="644">
        <v>53.52</v>
      </c>
      <c r="G61" s="682">
        <v>6.11</v>
      </c>
      <c r="H61" s="681">
        <v>95.93</v>
      </c>
      <c r="I61" s="573">
        <f t="shared" si="3"/>
        <v>71.947500000000005</v>
      </c>
      <c r="J61" s="574">
        <f t="shared" si="4"/>
        <v>71.947500000000005</v>
      </c>
      <c r="K61" s="573">
        <f t="shared" si="11"/>
        <v>23.982500000000002</v>
      </c>
      <c r="L61" s="708">
        <f t="shared" si="14"/>
        <v>586.13</v>
      </c>
      <c r="M61" s="708">
        <f t="shared" si="14"/>
        <v>439.6</v>
      </c>
      <c r="N61" s="708">
        <f t="shared" si="14"/>
        <v>439.6</v>
      </c>
      <c r="O61" s="718">
        <f t="shared" si="14"/>
        <v>146.53</v>
      </c>
      <c r="P61" s="617">
        <f t="shared" si="0"/>
        <v>0.75000426526538488</v>
      </c>
      <c r="Q61" s="525"/>
      <c r="S61" s="189">
        <v>0</v>
      </c>
      <c r="T61" s="189">
        <v>0</v>
      </c>
      <c r="BT61" s="525"/>
      <c r="BU61" s="659">
        <f>H61*0.75</f>
        <v>71.947500000000005</v>
      </c>
      <c r="BV61" s="523"/>
      <c r="BW61" s="523">
        <v>0</v>
      </c>
      <c r="BX61" s="523">
        <v>0</v>
      </c>
      <c r="BY61" s="523">
        <v>0</v>
      </c>
      <c r="BZ61" s="523">
        <v>0</v>
      </c>
      <c r="CA61" s="523"/>
      <c r="CB61" s="523"/>
      <c r="CC61" s="523"/>
      <c r="CD61" s="523"/>
      <c r="CE61" s="523"/>
      <c r="CF61" s="523"/>
      <c r="CG61" s="523"/>
      <c r="CH61" s="523"/>
      <c r="CI61" s="523">
        <f t="shared" si="2"/>
        <v>71.947500000000005</v>
      </c>
    </row>
    <row r="62" spans="1:87" s="663" customFormat="1" ht="15" x14ac:dyDescent="0.2">
      <c r="A62" s="680" t="s">
        <v>1396</v>
      </c>
      <c r="B62" s="569">
        <v>92720</v>
      </c>
      <c r="C62" s="569" t="s">
        <v>1324</v>
      </c>
      <c r="D62" s="569" t="s">
        <v>1375</v>
      </c>
      <c r="E62" s="681" t="s">
        <v>48</v>
      </c>
      <c r="F62" s="644">
        <v>203.72</v>
      </c>
      <c r="G62" s="682">
        <v>323.87</v>
      </c>
      <c r="H62" s="681">
        <v>6.59</v>
      </c>
      <c r="I62" s="573">
        <f t="shared" si="3"/>
        <v>4.9424999999999999</v>
      </c>
      <c r="J62" s="574">
        <f t="shared" si="4"/>
        <v>4.9424999999999999</v>
      </c>
      <c r="K62" s="573">
        <f t="shared" si="11"/>
        <v>1.6475</v>
      </c>
      <c r="L62" s="708">
        <f t="shared" si="14"/>
        <v>2134.3000000000002</v>
      </c>
      <c r="M62" s="708">
        <f t="shared" si="14"/>
        <v>1600.73</v>
      </c>
      <c r="N62" s="708">
        <f t="shared" si="14"/>
        <v>1600.73</v>
      </c>
      <c r="O62" s="718">
        <f t="shared" si="14"/>
        <v>533.58000000000004</v>
      </c>
      <c r="P62" s="617">
        <f t="shared" si="0"/>
        <v>0.75000234268846921</v>
      </c>
      <c r="Q62" s="525"/>
      <c r="S62" s="190">
        <v>0</v>
      </c>
      <c r="T62" s="190">
        <v>0</v>
      </c>
      <c r="BT62" s="525"/>
      <c r="BU62" s="659">
        <f>H62*0.75</f>
        <v>4.9424999999999999</v>
      </c>
      <c r="BV62" s="523"/>
      <c r="BW62" s="523">
        <v>0</v>
      </c>
      <c r="BX62" s="523">
        <v>0</v>
      </c>
      <c r="BY62" s="523">
        <v>0</v>
      </c>
      <c r="BZ62" s="523">
        <v>0</v>
      </c>
      <c r="CA62" s="523"/>
      <c r="CB62" s="523"/>
      <c r="CC62" s="523"/>
      <c r="CD62" s="523"/>
      <c r="CE62" s="523"/>
      <c r="CF62" s="523"/>
      <c r="CG62" s="523"/>
      <c r="CH62" s="523"/>
      <c r="CI62" s="523">
        <f t="shared" si="2"/>
        <v>4.9424999999999999</v>
      </c>
    </row>
    <row r="63" spans="1:87" ht="15.75" x14ac:dyDescent="0.2">
      <c r="A63" s="605" t="s">
        <v>1397</v>
      </c>
      <c r="B63" s="586"/>
      <c r="C63" s="586"/>
      <c r="D63" s="586" t="s">
        <v>1398</v>
      </c>
      <c r="E63" s="609"/>
      <c r="F63" s="609"/>
      <c r="G63" s="609"/>
      <c r="H63" s="609"/>
      <c r="I63" s="609"/>
      <c r="J63" s="609"/>
      <c r="K63" s="609"/>
      <c r="L63" s="733">
        <f>SUM(L64:L67)</f>
        <v>23465.25</v>
      </c>
      <c r="M63" s="733">
        <f>SUM(M64:M67)</f>
        <v>0</v>
      </c>
      <c r="N63" s="733">
        <f>SUM(N64:N67)</f>
        <v>0</v>
      </c>
      <c r="O63" s="722">
        <f>SUM(O64:O67)</f>
        <v>23465.25</v>
      </c>
      <c r="P63" s="611">
        <f t="shared" si="0"/>
        <v>0</v>
      </c>
      <c r="Q63" s="525"/>
      <c r="S63" s="189">
        <v>0</v>
      </c>
      <c r="T63" s="189">
        <v>0</v>
      </c>
      <c r="BT63" s="525"/>
      <c r="BU63" s="523"/>
      <c r="BV63" s="523"/>
      <c r="BW63" s="523">
        <v>0</v>
      </c>
      <c r="BX63" s="523">
        <v>0</v>
      </c>
      <c r="BY63" s="523"/>
      <c r="BZ63" s="523"/>
      <c r="CA63" s="523"/>
      <c r="CB63" s="523"/>
      <c r="CC63" s="523"/>
      <c r="CD63" s="523"/>
      <c r="CE63" s="523"/>
      <c r="CF63" s="523"/>
      <c r="CG63" s="523"/>
      <c r="CH63" s="523"/>
      <c r="CI63" s="523">
        <f t="shared" si="2"/>
        <v>0</v>
      </c>
    </row>
    <row r="64" spans="1:87" ht="15" x14ac:dyDescent="0.2">
      <c r="A64" s="680" t="s">
        <v>1399</v>
      </c>
      <c r="B64" s="569">
        <v>92422</v>
      </c>
      <c r="C64" s="569" t="s">
        <v>1324</v>
      </c>
      <c r="D64" s="569" t="s">
        <v>1384</v>
      </c>
      <c r="E64" s="681" t="s">
        <v>14</v>
      </c>
      <c r="F64" s="644">
        <v>52.6</v>
      </c>
      <c r="G64" s="682">
        <v>93.42</v>
      </c>
      <c r="H64" s="681">
        <v>10.8</v>
      </c>
      <c r="I64" s="573">
        <f t="shared" si="3"/>
        <v>0</v>
      </c>
      <c r="J64" s="574">
        <f t="shared" si="4"/>
        <v>0</v>
      </c>
      <c r="K64" s="573">
        <f t="shared" si="11"/>
        <v>10.8</v>
      </c>
      <c r="L64" s="708">
        <f t="shared" ref="L64:O67" si="15">ROUND(H64*$G64,2)</f>
        <v>1008.94</v>
      </c>
      <c r="M64" s="708">
        <f t="shared" si="15"/>
        <v>0</v>
      </c>
      <c r="N64" s="708">
        <f t="shared" si="15"/>
        <v>0</v>
      </c>
      <c r="O64" s="718">
        <f t="shared" si="15"/>
        <v>1008.94</v>
      </c>
      <c r="P64" s="617">
        <f t="shared" si="0"/>
        <v>0</v>
      </c>
      <c r="Q64" s="525"/>
      <c r="S64" s="189">
        <v>0</v>
      </c>
      <c r="T64" s="189">
        <v>0</v>
      </c>
      <c r="BT64" s="525"/>
      <c r="BU64" s="659"/>
      <c r="BV64" s="523"/>
      <c r="BW64" s="523">
        <v>0</v>
      </c>
      <c r="BX64" s="523">
        <v>0</v>
      </c>
      <c r="BY64" s="523">
        <v>0</v>
      </c>
      <c r="BZ64" s="523">
        <v>0</v>
      </c>
      <c r="CA64" s="523"/>
      <c r="CB64" s="523"/>
      <c r="CC64" s="523"/>
      <c r="CD64" s="523"/>
      <c r="CE64" s="523"/>
      <c r="CF64" s="523"/>
      <c r="CG64" s="523"/>
      <c r="CH64" s="523"/>
      <c r="CI64" s="523">
        <f t="shared" si="2"/>
        <v>0</v>
      </c>
    </row>
    <row r="65" spans="1:87" ht="15" x14ac:dyDescent="0.2">
      <c r="A65" s="680" t="s">
        <v>1400</v>
      </c>
      <c r="B65" s="569" t="s">
        <v>1401</v>
      </c>
      <c r="C65" s="569" t="s">
        <v>1324</v>
      </c>
      <c r="D65" s="569" t="s">
        <v>1402</v>
      </c>
      <c r="E65" s="681" t="s">
        <v>48</v>
      </c>
      <c r="F65" s="644">
        <v>49.48</v>
      </c>
      <c r="G65" s="682">
        <v>98.55</v>
      </c>
      <c r="H65" s="681">
        <v>33.83</v>
      </c>
      <c r="I65" s="573">
        <f t="shared" si="3"/>
        <v>0</v>
      </c>
      <c r="J65" s="574">
        <f t="shared" si="4"/>
        <v>0</v>
      </c>
      <c r="K65" s="573">
        <f t="shared" si="11"/>
        <v>33.83</v>
      </c>
      <c r="L65" s="708">
        <f t="shared" si="15"/>
        <v>3333.95</v>
      </c>
      <c r="M65" s="708">
        <f t="shared" si="15"/>
        <v>0</v>
      </c>
      <c r="N65" s="708">
        <f t="shared" si="15"/>
        <v>0</v>
      </c>
      <c r="O65" s="718">
        <f t="shared" si="15"/>
        <v>3333.95</v>
      </c>
      <c r="P65" s="617">
        <f t="shared" si="0"/>
        <v>0</v>
      </c>
      <c r="Q65" s="525"/>
      <c r="S65" s="189">
        <v>0</v>
      </c>
      <c r="T65" s="189">
        <v>0</v>
      </c>
      <c r="BT65" s="525"/>
      <c r="BU65" s="523"/>
      <c r="BV65" s="523"/>
      <c r="BW65" s="523">
        <v>0</v>
      </c>
      <c r="BX65" s="523">
        <v>0</v>
      </c>
      <c r="BY65" s="523">
        <v>0</v>
      </c>
      <c r="BZ65" s="523">
        <v>0</v>
      </c>
      <c r="CA65" s="523"/>
      <c r="CB65" s="523"/>
      <c r="CC65" s="523"/>
      <c r="CD65" s="523"/>
      <c r="CE65" s="523"/>
      <c r="CF65" s="523"/>
      <c r="CG65" s="523"/>
      <c r="CH65" s="523"/>
      <c r="CI65" s="523">
        <f t="shared" si="2"/>
        <v>0</v>
      </c>
    </row>
    <row r="66" spans="1:87" ht="15.75" x14ac:dyDescent="0.2">
      <c r="A66" s="680" t="s">
        <v>1403</v>
      </c>
      <c r="B66" s="569">
        <v>85662</v>
      </c>
      <c r="C66" s="569" t="s">
        <v>1324</v>
      </c>
      <c r="D66" s="569" t="s">
        <v>1404</v>
      </c>
      <c r="E66" s="681" t="s">
        <v>14</v>
      </c>
      <c r="F66" s="578"/>
      <c r="G66" s="682">
        <v>10.34</v>
      </c>
      <c r="H66" s="681">
        <v>1001.47</v>
      </c>
      <c r="I66" s="573">
        <f t="shared" si="3"/>
        <v>0</v>
      </c>
      <c r="J66" s="574">
        <f t="shared" si="4"/>
        <v>0</v>
      </c>
      <c r="K66" s="573">
        <f t="shared" si="11"/>
        <v>1001.47</v>
      </c>
      <c r="L66" s="708">
        <f t="shared" si="15"/>
        <v>10355.200000000001</v>
      </c>
      <c r="M66" s="708">
        <f t="shared" si="15"/>
        <v>0</v>
      </c>
      <c r="N66" s="708">
        <f t="shared" si="15"/>
        <v>0</v>
      </c>
      <c r="O66" s="718">
        <f t="shared" si="15"/>
        <v>10355.200000000001</v>
      </c>
      <c r="P66" s="617">
        <f t="shared" si="0"/>
        <v>0</v>
      </c>
      <c r="Q66" s="525"/>
      <c r="S66" s="189">
        <v>0</v>
      </c>
      <c r="T66" s="189">
        <v>0</v>
      </c>
      <c r="BT66" s="525"/>
      <c r="BU66" s="523"/>
      <c r="BV66" s="523"/>
      <c r="BW66" s="523">
        <v>0</v>
      </c>
      <c r="BX66" s="523">
        <v>0</v>
      </c>
      <c r="BY66" s="523">
        <v>0</v>
      </c>
      <c r="BZ66" s="523">
        <v>0</v>
      </c>
      <c r="CA66" s="523"/>
      <c r="CB66" s="523"/>
      <c r="CC66" s="523"/>
      <c r="CD66" s="523"/>
      <c r="CE66" s="523"/>
      <c r="CF66" s="523"/>
      <c r="CG66" s="523"/>
      <c r="CH66" s="523"/>
      <c r="CI66" s="523">
        <f t="shared" si="2"/>
        <v>0</v>
      </c>
    </row>
    <row r="67" spans="1:87" s="663" customFormat="1" ht="15" x14ac:dyDescent="0.2">
      <c r="A67" s="680" t="s">
        <v>1405</v>
      </c>
      <c r="B67" s="569">
        <v>92720</v>
      </c>
      <c r="C67" s="569" t="s">
        <v>1324</v>
      </c>
      <c r="D67" s="569" t="s">
        <v>1375</v>
      </c>
      <c r="E67" s="681" t="s">
        <v>48</v>
      </c>
      <c r="F67" s="571"/>
      <c r="G67" s="682">
        <v>323.87</v>
      </c>
      <c r="H67" s="681">
        <v>27.07</v>
      </c>
      <c r="I67" s="573">
        <f t="shared" si="3"/>
        <v>0</v>
      </c>
      <c r="J67" s="574">
        <f t="shared" si="4"/>
        <v>0</v>
      </c>
      <c r="K67" s="573">
        <f t="shared" si="11"/>
        <v>27.07</v>
      </c>
      <c r="L67" s="708">
        <f t="shared" si="15"/>
        <v>8767.16</v>
      </c>
      <c r="M67" s="708">
        <f t="shared" si="15"/>
        <v>0</v>
      </c>
      <c r="N67" s="708">
        <f t="shared" si="15"/>
        <v>0</v>
      </c>
      <c r="O67" s="718">
        <f t="shared" si="15"/>
        <v>8767.16</v>
      </c>
      <c r="P67" s="617">
        <f t="shared" si="0"/>
        <v>0</v>
      </c>
      <c r="Q67" s="525"/>
      <c r="S67" s="190">
        <v>0</v>
      </c>
      <c r="T67" s="190">
        <v>33.9</v>
      </c>
      <c r="BT67" s="525"/>
      <c r="BU67" s="523"/>
      <c r="BV67" s="523"/>
      <c r="BW67" s="523">
        <v>0</v>
      </c>
      <c r="BX67" s="523">
        <v>0</v>
      </c>
      <c r="BY67" s="523">
        <v>0</v>
      </c>
      <c r="BZ67" s="523">
        <v>0</v>
      </c>
      <c r="CA67" s="523"/>
      <c r="CB67" s="523"/>
      <c r="CC67" s="523"/>
      <c r="CD67" s="523"/>
      <c r="CE67" s="523"/>
      <c r="CF67" s="523"/>
      <c r="CG67" s="523"/>
      <c r="CH67" s="523"/>
      <c r="CI67" s="523">
        <f t="shared" si="2"/>
        <v>0</v>
      </c>
    </row>
    <row r="68" spans="1:87" ht="15.75" x14ac:dyDescent="0.2">
      <c r="A68" s="605" t="s">
        <v>1406</v>
      </c>
      <c r="B68" s="586"/>
      <c r="C68" s="586"/>
      <c r="D68" s="586" t="s">
        <v>1407</v>
      </c>
      <c r="E68" s="609"/>
      <c r="F68" s="609"/>
      <c r="G68" s="609"/>
      <c r="H68" s="609"/>
      <c r="I68" s="609"/>
      <c r="J68" s="609"/>
      <c r="K68" s="609"/>
      <c r="L68" s="733">
        <f>L69</f>
        <v>912.59</v>
      </c>
      <c r="M68" s="733">
        <f>M69</f>
        <v>0</v>
      </c>
      <c r="N68" s="733">
        <f>N69</f>
        <v>912.59</v>
      </c>
      <c r="O68" s="722">
        <f>O69</f>
        <v>0</v>
      </c>
      <c r="P68" s="611">
        <f t="shared" si="0"/>
        <v>1</v>
      </c>
      <c r="Q68" s="525"/>
      <c r="S68" s="189">
        <v>0</v>
      </c>
      <c r="T68" s="189">
        <v>33.9</v>
      </c>
      <c r="BT68" s="525"/>
      <c r="BU68" s="523"/>
      <c r="BV68" s="523"/>
      <c r="BW68" s="523">
        <v>0</v>
      </c>
      <c r="BX68" s="523">
        <v>33.9</v>
      </c>
      <c r="BY68" s="523"/>
      <c r="BZ68" s="523"/>
      <c r="CA68" s="523"/>
      <c r="CB68" s="523"/>
      <c r="CC68" s="523"/>
      <c r="CD68" s="523"/>
      <c r="CE68" s="523"/>
      <c r="CF68" s="523"/>
      <c r="CG68" s="523"/>
      <c r="CH68" s="523"/>
      <c r="CI68" s="523">
        <f t="shared" si="2"/>
        <v>33.9</v>
      </c>
    </row>
    <row r="69" spans="1:87" s="663" customFormat="1" ht="15" x14ac:dyDescent="0.2">
      <c r="A69" s="680" t="s">
        <v>1408</v>
      </c>
      <c r="B69" s="569" t="s">
        <v>1409</v>
      </c>
      <c r="C69" s="569" t="s">
        <v>1324</v>
      </c>
      <c r="D69" s="569" t="s">
        <v>1410</v>
      </c>
      <c r="E69" s="681" t="s">
        <v>81</v>
      </c>
      <c r="F69" s="644">
        <v>329.55</v>
      </c>
      <c r="G69" s="682">
        <v>26.92</v>
      </c>
      <c r="H69" s="681">
        <v>33.9</v>
      </c>
      <c r="I69" s="573">
        <f t="shared" si="3"/>
        <v>0</v>
      </c>
      <c r="J69" s="574">
        <f t="shared" si="4"/>
        <v>33.9</v>
      </c>
      <c r="K69" s="573">
        <f t="shared" si="11"/>
        <v>0</v>
      </c>
      <c r="L69" s="708">
        <f>ROUND(H69*$G69,2)</f>
        <v>912.59</v>
      </c>
      <c r="M69" s="708">
        <f>ROUND(I69*$G69,2)</f>
        <v>0</v>
      </c>
      <c r="N69" s="708">
        <f>ROUND(J69*$G69,2)</f>
        <v>912.59</v>
      </c>
      <c r="O69" s="718">
        <f>ROUND(K69*$G69,2)</f>
        <v>0</v>
      </c>
      <c r="P69" s="617">
        <f t="shared" si="0"/>
        <v>1</v>
      </c>
      <c r="Q69" s="525"/>
      <c r="S69" s="190">
        <v>0</v>
      </c>
      <c r="T69" s="190">
        <v>0</v>
      </c>
      <c r="BT69" s="525"/>
      <c r="BU69" s="659"/>
      <c r="BV69" s="523"/>
      <c r="BW69" s="523">
        <v>0</v>
      </c>
      <c r="BX69" s="523">
        <v>33.9</v>
      </c>
      <c r="BY69" s="523">
        <v>0</v>
      </c>
      <c r="BZ69" s="523">
        <v>0</v>
      </c>
      <c r="CA69" s="523"/>
      <c r="CB69" s="523"/>
      <c r="CC69" s="523"/>
      <c r="CD69" s="523"/>
      <c r="CE69" s="523"/>
      <c r="CF69" s="523"/>
      <c r="CG69" s="523"/>
      <c r="CH69" s="523"/>
      <c r="CI69" s="523">
        <f t="shared" si="2"/>
        <v>33.9</v>
      </c>
    </row>
    <row r="70" spans="1:87" s="663" customFormat="1" ht="15.75" x14ac:dyDescent="0.2">
      <c r="A70" s="600">
        <v>5</v>
      </c>
      <c r="B70" s="558"/>
      <c r="C70" s="558"/>
      <c r="D70" s="558" t="s">
        <v>1411</v>
      </c>
      <c r="E70" s="626"/>
      <c r="F70" s="626"/>
      <c r="G70" s="626"/>
      <c r="H70" s="626"/>
      <c r="I70" s="626"/>
      <c r="J70" s="626"/>
      <c r="K70" s="626"/>
      <c r="L70" s="709">
        <f>SUM(L71,L73,L76)</f>
        <v>31428.92</v>
      </c>
      <c r="M70" s="709">
        <f>SUM(M71,M73,M76)</f>
        <v>9716.25</v>
      </c>
      <c r="N70" s="709">
        <f>SUM(N71,N73,N76)</f>
        <v>27143.37</v>
      </c>
      <c r="O70" s="719">
        <f>SUM(O71,O73,O76)</f>
        <v>4285.5599999999995</v>
      </c>
      <c r="P70" s="604">
        <f>N70/L70</f>
        <v>0.86364310323103688</v>
      </c>
      <c r="Q70" s="525"/>
      <c r="S70" s="190">
        <v>0</v>
      </c>
      <c r="T70" s="190">
        <v>0</v>
      </c>
      <c r="BT70" s="525"/>
      <c r="BU70" s="523"/>
      <c r="BV70" s="523"/>
      <c r="BW70" s="523">
        <v>0</v>
      </c>
      <c r="BX70" s="523">
        <v>0</v>
      </c>
      <c r="BY70" s="523"/>
      <c r="BZ70" s="523"/>
      <c r="CA70" s="523"/>
      <c r="CB70" s="523"/>
      <c r="CC70" s="523"/>
      <c r="CD70" s="523"/>
      <c r="CE70" s="523"/>
      <c r="CF70" s="523"/>
      <c r="CG70" s="523"/>
      <c r="CH70" s="523"/>
      <c r="CI70" s="523">
        <f t="shared" si="2"/>
        <v>0</v>
      </c>
    </row>
    <row r="71" spans="1:87" ht="15.75" x14ac:dyDescent="0.2">
      <c r="A71" s="605" t="s">
        <v>98</v>
      </c>
      <c r="B71" s="586"/>
      <c r="C71" s="586"/>
      <c r="D71" s="586" t="s">
        <v>1412</v>
      </c>
      <c r="E71" s="609"/>
      <c r="F71" s="609"/>
      <c r="G71" s="609"/>
      <c r="H71" s="609"/>
      <c r="I71" s="609"/>
      <c r="J71" s="609"/>
      <c r="K71" s="609"/>
      <c r="L71" s="733">
        <f>L72</f>
        <v>7200.78</v>
      </c>
      <c r="M71" s="733">
        <f>M72</f>
        <v>5040.55</v>
      </c>
      <c r="N71" s="733">
        <f>N72</f>
        <v>5040.55</v>
      </c>
      <c r="O71" s="722">
        <f>O72</f>
        <v>2160.2399999999998</v>
      </c>
      <c r="P71" s="611">
        <f t="shared" si="0"/>
        <v>0.70000055549537699</v>
      </c>
      <c r="Q71" s="525"/>
      <c r="S71" s="189">
        <v>0</v>
      </c>
      <c r="T71" s="189">
        <v>0</v>
      </c>
      <c r="BT71" s="525"/>
      <c r="BU71" s="523"/>
      <c r="BV71" s="523"/>
      <c r="BW71" s="523">
        <v>0</v>
      </c>
      <c r="BX71" s="523">
        <v>0</v>
      </c>
      <c r="BY71" s="523"/>
      <c r="BZ71" s="523"/>
      <c r="CA71" s="523"/>
      <c r="CB71" s="523"/>
      <c r="CC71" s="523"/>
      <c r="CD71" s="523"/>
      <c r="CE71" s="523"/>
      <c r="CF71" s="523"/>
      <c r="CG71" s="523"/>
      <c r="CH71" s="523"/>
      <c r="CI71" s="523">
        <f t="shared" si="2"/>
        <v>0</v>
      </c>
    </row>
    <row r="72" spans="1:87" s="663" customFormat="1" ht="15" x14ac:dyDescent="0.2">
      <c r="A72" s="680" t="s">
        <v>100</v>
      </c>
      <c r="B72" s="569" t="s">
        <v>1413</v>
      </c>
      <c r="C72" s="569" t="s">
        <v>1324</v>
      </c>
      <c r="D72" s="569" t="s">
        <v>1414</v>
      </c>
      <c r="E72" s="681" t="s">
        <v>14</v>
      </c>
      <c r="F72" s="644">
        <v>222.6</v>
      </c>
      <c r="G72" s="682">
        <v>53.45</v>
      </c>
      <c r="H72" s="681">
        <v>134.72</v>
      </c>
      <c r="I72" s="573">
        <f t="shared" si="3"/>
        <v>94.303999999999988</v>
      </c>
      <c r="J72" s="574">
        <f t="shared" si="4"/>
        <v>94.303999999999988</v>
      </c>
      <c r="K72" s="644">
        <f>H72-J72</f>
        <v>40.416000000000011</v>
      </c>
      <c r="L72" s="708">
        <f>ROUND(H72*$G72,2)</f>
        <v>7200.78</v>
      </c>
      <c r="M72" s="708">
        <f>ROUND(I72*$G72,2)</f>
        <v>5040.55</v>
      </c>
      <c r="N72" s="708">
        <f>ROUND(J72*$G72,2)</f>
        <v>5040.55</v>
      </c>
      <c r="O72" s="718">
        <f>ROUND(K72*$G72,2)</f>
        <v>2160.2399999999998</v>
      </c>
      <c r="P72" s="617">
        <f t="shared" si="0"/>
        <v>0.70000055549537699</v>
      </c>
      <c r="Q72" s="525"/>
      <c r="S72" s="190">
        <v>0</v>
      </c>
      <c r="T72" s="190">
        <v>328.62</v>
      </c>
      <c r="BT72" s="525"/>
      <c r="BU72" s="659">
        <f>H72*0.7</f>
        <v>94.303999999999988</v>
      </c>
      <c r="BV72" s="523"/>
      <c r="BW72" s="523">
        <v>0</v>
      </c>
      <c r="BX72" s="523">
        <v>0</v>
      </c>
      <c r="BY72" s="523">
        <v>0</v>
      </c>
      <c r="BZ72" s="523">
        <v>0</v>
      </c>
      <c r="CA72" s="523"/>
      <c r="CB72" s="523"/>
      <c r="CC72" s="523"/>
      <c r="CD72" s="523"/>
      <c r="CE72" s="523"/>
      <c r="CF72" s="523"/>
      <c r="CG72" s="523"/>
      <c r="CH72" s="523"/>
      <c r="CI72" s="523">
        <f t="shared" si="2"/>
        <v>94.303999999999988</v>
      </c>
    </row>
    <row r="73" spans="1:87" ht="15.75" x14ac:dyDescent="0.2">
      <c r="A73" s="605" t="s">
        <v>116</v>
      </c>
      <c r="B73" s="586"/>
      <c r="C73" s="586"/>
      <c r="D73" s="586" t="s">
        <v>1415</v>
      </c>
      <c r="E73" s="609"/>
      <c r="F73" s="609"/>
      <c r="G73" s="609"/>
      <c r="H73" s="609"/>
      <c r="I73" s="609"/>
      <c r="J73" s="609"/>
      <c r="K73" s="609"/>
      <c r="L73" s="711">
        <f>SUM(L74:L75)</f>
        <v>15726.869999999999</v>
      </c>
      <c r="M73" s="711">
        <f>SUM(M74:M75)</f>
        <v>0</v>
      </c>
      <c r="N73" s="711">
        <f>SUM(N74:N75)</f>
        <v>15726.869999999999</v>
      </c>
      <c r="O73" s="722">
        <f>SUM(O74:O75)</f>
        <v>0</v>
      </c>
      <c r="P73" s="611">
        <f t="shared" si="0"/>
        <v>1</v>
      </c>
      <c r="Q73" s="525"/>
      <c r="S73" s="189">
        <v>0</v>
      </c>
      <c r="T73" s="189">
        <v>259.22000000000003</v>
      </c>
      <c r="BT73" s="525"/>
      <c r="BU73" s="523"/>
      <c r="BV73" s="523"/>
      <c r="BW73" s="523">
        <v>0</v>
      </c>
      <c r="BX73" s="523">
        <v>224.93</v>
      </c>
      <c r="BY73" s="523"/>
      <c r="BZ73" s="523"/>
      <c r="CA73" s="523"/>
      <c r="CB73" s="523"/>
      <c r="CC73" s="523"/>
      <c r="CD73" s="523"/>
      <c r="CE73" s="523"/>
      <c r="CF73" s="523"/>
      <c r="CG73" s="523"/>
      <c r="CH73" s="523"/>
      <c r="CI73" s="523">
        <f t="shared" si="2"/>
        <v>224.93</v>
      </c>
    </row>
    <row r="74" spans="1:87" ht="27.75" customHeight="1" x14ac:dyDescent="0.2">
      <c r="A74" s="680" t="s">
        <v>118</v>
      </c>
      <c r="B74" s="569">
        <v>87519</v>
      </c>
      <c r="C74" s="569" t="s">
        <v>1324</v>
      </c>
      <c r="D74" s="569" t="s">
        <v>1416</v>
      </c>
      <c r="E74" s="681" t="s">
        <v>14</v>
      </c>
      <c r="F74" s="644">
        <v>378.98</v>
      </c>
      <c r="G74" s="682">
        <v>56.29</v>
      </c>
      <c r="H74" s="681">
        <v>259.22000000000003</v>
      </c>
      <c r="I74" s="573">
        <f t="shared" si="3"/>
        <v>0</v>
      </c>
      <c r="J74" s="574">
        <f t="shared" si="4"/>
        <v>259.22000000000003</v>
      </c>
      <c r="K74" s="573">
        <f t="shared" ref="K74:K75" si="16">H74-J74</f>
        <v>0</v>
      </c>
      <c r="L74" s="708">
        <f t="shared" ref="L74:O75" si="17">ROUND(H74*$G74,2)</f>
        <v>14591.49</v>
      </c>
      <c r="M74" s="708">
        <f t="shared" si="17"/>
        <v>0</v>
      </c>
      <c r="N74" s="708">
        <f t="shared" si="17"/>
        <v>14591.49</v>
      </c>
      <c r="O74" s="718">
        <f t="shared" si="17"/>
        <v>0</v>
      </c>
      <c r="P74" s="617">
        <f t="shared" si="0"/>
        <v>1</v>
      </c>
      <c r="Q74" s="525"/>
      <c r="S74" s="189">
        <v>0</v>
      </c>
      <c r="T74" s="189">
        <v>69.400000000000006</v>
      </c>
      <c r="BT74" s="525"/>
      <c r="BU74" s="659"/>
      <c r="BV74" s="523">
        <v>2.0000000000095497E-3</v>
      </c>
      <c r="BW74" s="523">
        <v>0</v>
      </c>
      <c r="BX74" s="523">
        <v>155.53</v>
      </c>
      <c r="BY74" s="523">
        <v>103.68800000000002</v>
      </c>
      <c r="BZ74" s="523">
        <v>0</v>
      </c>
      <c r="CA74" s="523"/>
      <c r="CB74" s="523"/>
      <c r="CC74" s="523"/>
      <c r="CD74" s="523"/>
      <c r="CE74" s="523"/>
      <c r="CF74" s="523"/>
      <c r="CG74" s="523"/>
      <c r="CH74" s="523"/>
      <c r="CI74" s="523">
        <f t="shared" si="2"/>
        <v>259.22000000000003</v>
      </c>
    </row>
    <row r="75" spans="1:87" s="663" customFormat="1" ht="30" x14ac:dyDescent="0.2">
      <c r="A75" s="680" t="s">
        <v>123</v>
      </c>
      <c r="B75" s="569" t="s">
        <v>1417</v>
      </c>
      <c r="C75" s="569" t="s">
        <v>1324</v>
      </c>
      <c r="D75" s="569" t="s">
        <v>1418</v>
      </c>
      <c r="E75" s="681" t="s">
        <v>81</v>
      </c>
      <c r="F75" s="644">
        <v>421.82</v>
      </c>
      <c r="G75" s="682">
        <v>16.36</v>
      </c>
      <c r="H75" s="681">
        <v>69.400000000000006</v>
      </c>
      <c r="I75" s="573">
        <f t="shared" si="3"/>
        <v>0</v>
      </c>
      <c r="J75" s="574">
        <f t="shared" si="4"/>
        <v>69.400000000000006</v>
      </c>
      <c r="K75" s="573">
        <f t="shared" si="16"/>
        <v>0</v>
      </c>
      <c r="L75" s="708">
        <f t="shared" si="17"/>
        <v>1135.3800000000001</v>
      </c>
      <c r="M75" s="708">
        <f t="shared" si="17"/>
        <v>0</v>
      </c>
      <c r="N75" s="708">
        <f t="shared" si="17"/>
        <v>1135.3800000000001</v>
      </c>
      <c r="O75" s="718">
        <f t="shared" si="17"/>
        <v>0</v>
      </c>
      <c r="P75" s="617">
        <f t="shared" si="0"/>
        <v>1</v>
      </c>
      <c r="Q75" s="525"/>
      <c r="S75" s="190">
        <v>0</v>
      </c>
      <c r="T75" s="190">
        <v>0</v>
      </c>
      <c r="BT75" s="525"/>
      <c r="BU75" s="523"/>
      <c r="BV75" s="523"/>
      <c r="BW75" s="523">
        <v>0</v>
      </c>
      <c r="BX75" s="523">
        <v>69.400000000000006</v>
      </c>
      <c r="BY75" s="523">
        <v>0</v>
      </c>
      <c r="BZ75" s="523">
        <v>0</v>
      </c>
      <c r="CA75" s="523"/>
      <c r="CB75" s="523"/>
      <c r="CC75" s="523"/>
      <c r="CD75" s="523"/>
      <c r="CE75" s="523"/>
      <c r="CF75" s="523"/>
      <c r="CG75" s="523"/>
      <c r="CH75" s="523"/>
      <c r="CI75" s="523">
        <f t="shared" si="2"/>
        <v>69.400000000000006</v>
      </c>
    </row>
    <row r="76" spans="1:87" ht="15.75" x14ac:dyDescent="0.2">
      <c r="A76" s="605" t="s">
        <v>1419</v>
      </c>
      <c r="B76" s="586"/>
      <c r="C76" s="586"/>
      <c r="D76" s="586" t="s">
        <v>1420</v>
      </c>
      <c r="E76" s="609"/>
      <c r="F76" s="609"/>
      <c r="G76" s="609"/>
      <c r="H76" s="609"/>
      <c r="I76" s="609"/>
      <c r="J76" s="609"/>
      <c r="K76" s="609"/>
      <c r="L76" s="711">
        <f>L77</f>
        <v>8501.27</v>
      </c>
      <c r="M76" s="711">
        <f>M77</f>
        <v>4675.7</v>
      </c>
      <c r="N76" s="711">
        <f>N77</f>
        <v>6375.95</v>
      </c>
      <c r="O76" s="722">
        <f>O77</f>
        <v>2125.3200000000002</v>
      </c>
      <c r="P76" s="611">
        <f t="shared" si="0"/>
        <v>0.74999970592629095</v>
      </c>
      <c r="Q76" s="525"/>
      <c r="S76" s="189">
        <v>0</v>
      </c>
      <c r="T76" s="189">
        <v>0</v>
      </c>
      <c r="BT76" s="525"/>
      <c r="BU76" s="523"/>
      <c r="BV76" s="523"/>
      <c r="BW76" s="523">
        <v>0</v>
      </c>
      <c r="BX76" s="523">
        <v>0</v>
      </c>
      <c r="BY76" s="523"/>
      <c r="BZ76" s="523"/>
      <c r="CA76" s="523"/>
      <c r="CB76" s="523"/>
      <c r="CC76" s="523"/>
      <c r="CD76" s="523"/>
      <c r="CE76" s="523"/>
      <c r="CF76" s="523"/>
      <c r="CG76" s="523"/>
      <c r="CH76" s="523"/>
      <c r="CI76" s="523">
        <f t="shared" si="2"/>
        <v>0</v>
      </c>
    </row>
    <row r="77" spans="1:87" ht="27.75" customHeight="1" x14ac:dyDescent="0.2">
      <c r="A77" s="680" t="s">
        <v>1421</v>
      </c>
      <c r="B77" s="569" t="s">
        <v>1422</v>
      </c>
      <c r="C77" s="569" t="s">
        <v>1324</v>
      </c>
      <c r="D77" s="569" t="s">
        <v>1423</v>
      </c>
      <c r="E77" s="681" t="s">
        <v>14</v>
      </c>
      <c r="F77" s="578"/>
      <c r="G77" s="682">
        <v>57.41</v>
      </c>
      <c r="H77" s="681">
        <v>148.08000000000001</v>
      </c>
      <c r="I77" s="573">
        <f t="shared" si="3"/>
        <v>81.444000000000017</v>
      </c>
      <c r="J77" s="574">
        <f t="shared" si="4"/>
        <v>111.06000000000002</v>
      </c>
      <c r="K77" s="644">
        <f>H77-J77</f>
        <v>37.019999999999996</v>
      </c>
      <c r="L77" s="708">
        <f>ROUND(H77*$G77,2)</f>
        <v>8501.27</v>
      </c>
      <c r="M77" s="708">
        <f>ROUND(I77*$G77,2)</f>
        <v>4675.7</v>
      </c>
      <c r="N77" s="708">
        <f>ROUND(J77*$G77,2)</f>
        <v>6375.95</v>
      </c>
      <c r="O77" s="718">
        <f>ROUND(K77*$G77,2)</f>
        <v>2125.3200000000002</v>
      </c>
      <c r="P77" s="617">
        <f t="shared" si="0"/>
        <v>0.74999970592629095</v>
      </c>
      <c r="Q77" s="525"/>
      <c r="S77" s="189">
        <v>0</v>
      </c>
      <c r="T77" s="189">
        <v>0</v>
      </c>
      <c r="BT77" s="525"/>
      <c r="BU77" s="659">
        <f>H77*0.55</f>
        <v>81.444000000000017</v>
      </c>
      <c r="BV77" s="659">
        <v>29.616000000000003</v>
      </c>
      <c r="BW77" s="523">
        <v>0</v>
      </c>
      <c r="BX77" s="523">
        <v>0</v>
      </c>
      <c r="BY77" s="523">
        <v>0</v>
      </c>
      <c r="BZ77" s="523">
        <v>0</v>
      </c>
      <c r="CA77" s="523"/>
      <c r="CB77" s="523"/>
      <c r="CC77" s="523"/>
      <c r="CD77" s="523"/>
      <c r="CE77" s="523"/>
      <c r="CF77" s="523"/>
      <c r="CG77" s="523"/>
      <c r="CH77" s="523"/>
      <c r="CI77" s="523">
        <f t="shared" si="2"/>
        <v>111.06000000000002</v>
      </c>
    </row>
    <row r="78" spans="1:87" s="663" customFormat="1" ht="15.75" x14ac:dyDescent="0.2">
      <c r="A78" s="600">
        <v>6</v>
      </c>
      <c r="B78" s="558"/>
      <c r="C78" s="558"/>
      <c r="D78" s="558" t="s">
        <v>97</v>
      </c>
      <c r="E78" s="626"/>
      <c r="F78" s="626"/>
      <c r="G78" s="626"/>
      <c r="H78" s="626"/>
      <c r="I78" s="626"/>
      <c r="J78" s="626"/>
      <c r="K78" s="626"/>
      <c r="L78" s="628">
        <f>SUM(L79,L84,L88,L91)</f>
        <v>10373.979999999998</v>
      </c>
      <c r="M78" s="628">
        <f>SUM(M79,M84,M88,M91)</f>
        <v>0</v>
      </c>
      <c r="N78" s="628">
        <f>SUM(N79,N84,N88,N91)</f>
        <v>0</v>
      </c>
      <c r="O78" s="721">
        <f>SUM(O79,O84,O88,O91)</f>
        <v>10373.979999999998</v>
      </c>
      <c r="P78" s="604">
        <f t="shared" si="0"/>
        <v>0</v>
      </c>
      <c r="Q78" s="525"/>
      <c r="S78" s="190">
        <v>0</v>
      </c>
      <c r="T78" s="190">
        <v>0</v>
      </c>
      <c r="BT78" s="525"/>
      <c r="BU78" s="523"/>
      <c r="BV78" s="523"/>
      <c r="BW78" s="523">
        <v>0</v>
      </c>
      <c r="BX78" s="523">
        <v>0</v>
      </c>
      <c r="BY78" s="523"/>
      <c r="BZ78" s="523"/>
      <c r="CA78" s="523"/>
      <c r="CB78" s="523"/>
      <c r="CC78" s="523"/>
      <c r="CD78" s="523"/>
      <c r="CE78" s="523"/>
      <c r="CF78" s="523"/>
      <c r="CG78" s="523"/>
      <c r="CH78" s="523"/>
      <c r="CI78" s="523">
        <f t="shared" si="2"/>
        <v>0</v>
      </c>
    </row>
    <row r="79" spans="1:87" ht="15.75" x14ac:dyDescent="0.2">
      <c r="A79" s="605" t="s">
        <v>186</v>
      </c>
      <c r="B79" s="586"/>
      <c r="C79" s="586"/>
      <c r="D79" s="586" t="s">
        <v>1424</v>
      </c>
      <c r="E79" s="609"/>
      <c r="F79" s="609"/>
      <c r="G79" s="609"/>
      <c r="H79" s="609"/>
      <c r="I79" s="609"/>
      <c r="J79" s="609"/>
      <c r="K79" s="609"/>
      <c r="L79" s="711">
        <f>SUM(L80:L83)</f>
        <v>7440.7899999999991</v>
      </c>
      <c r="M79" s="711">
        <f>SUM(M80:M83)</f>
        <v>0</v>
      </c>
      <c r="N79" s="711">
        <f>SUM(N80:N83)</f>
        <v>0</v>
      </c>
      <c r="O79" s="722">
        <f>SUM(O80:O83)</f>
        <v>7440.7899999999991</v>
      </c>
      <c r="P79" s="611">
        <f t="shared" ref="P79:P88" si="18">N79/L79</f>
        <v>0</v>
      </c>
      <c r="Q79" s="525"/>
      <c r="S79" s="189">
        <v>0</v>
      </c>
      <c r="T79" s="189">
        <v>0</v>
      </c>
      <c r="BT79" s="525"/>
      <c r="BU79" s="523"/>
      <c r="BV79" s="523"/>
      <c r="BW79" s="523">
        <v>0</v>
      </c>
      <c r="BX79" s="523">
        <v>0</v>
      </c>
      <c r="BY79" s="523"/>
      <c r="BZ79" s="523"/>
      <c r="CA79" s="523"/>
      <c r="CB79" s="523"/>
      <c r="CC79" s="523"/>
      <c r="CD79" s="523"/>
      <c r="CE79" s="523"/>
      <c r="CF79" s="523"/>
      <c r="CG79" s="523"/>
      <c r="CH79" s="523"/>
      <c r="CI79" s="523">
        <f t="shared" si="2"/>
        <v>0</v>
      </c>
    </row>
    <row r="80" spans="1:87" ht="30" x14ac:dyDescent="0.2">
      <c r="A80" s="680" t="s">
        <v>1425</v>
      </c>
      <c r="B80" s="569">
        <v>90843</v>
      </c>
      <c r="C80" s="569" t="s">
        <v>1324</v>
      </c>
      <c r="D80" s="569" t="s">
        <v>1426</v>
      </c>
      <c r="E80" s="681" t="s">
        <v>102</v>
      </c>
      <c r="F80" s="571"/>
      <c r="G80" s="682">
        <v>688.65</v>
      </c>
      <c r="H80" s="681">
        <v>2</v>
      </c>
      <c r="I80" s="573">
        <f t="shared" si="3"/>
        <v>0</v>
      </c>
      <c r="J80" s="574">
        <f t="shared" si="4"/>
        <v>0</v>
      </c>
      <c r="K80" s="644">
        <f>H80-J80</f>
        <v>2</v>
      </c>
      <c r="L80" s="708">
        <f t="shared" ref="L80:O83" si="19">ROUND(H80*$G80,2)</f>
        <v>1377.3</v>
      </c>
      <c r="M80" s="708">
        <f t="shared" si="19"/>
        <v>0</v>
      </c>
      <c r="N80" s="708">
        <f t="shared" si="19"/>
        <v>0</v>
      </c>
      <c r="O80" s="718">
        <f t="shared" si="19"/>
        <v>1377.3</v>
      </c>
      <c r="P80" s="617">
        <f t="shared" si="18"/>
        <v>0</v>
      </c>
      <c r="Q80" s="525"/>
      <c r="S80" s="189">
        <v>0</v>
      </c>
      <c r="T80" s="189">
        <v>0</v>
      </c>
      <c r="BT80" s="525"/>
      <c r="BU80" s="523"/>
      <c r="BV80" s="523"/>
      <c r="BW80" s="523">
        <v>0</v>
      </c>
      <c r="BX80" s="523">
        <v>0</v>
      </c>
      <c r="BY80" s="523">
        <v>0</v>
      </c>
      <c r="BZ80" s="523">
        <v>0</v>
      </c>
      <c r="CA80" s="523"/>
      <c r="CB80" s="523"/>
      <c r="CC80" s="523"/>
      <c r="CD80" s="523"/>
      <c r="CE80" s="523"/>
      <c r="CF80" s="523"/>
      <c r="CG80" s="523"/>
      <c r="CH80" s="523"/>
      <c r="CI80" s="523">
        <f t="shared" ref="CI80:CI143" si="20">SUM(BU80:CH80)</f>
        <v>0</v>
      </c>
    </row>
    <row r="81" spans="1:87" ht="30" x14ac:dyDescent="0.2">
      <c r="A81" s="680" t="s">
        <v>1427</v>
      </c>
      <c r="B81" s="569">
        <v>90844</v>
      </c>
      <c r="C81" s="569" t="s">
        <v>1324</v>
      </c>
      <c r="D81" s="569" t="s">
        <v>1428</v>
      </c>
      <c r="E81" s="681" t="s">
        <v>102</v>
      </c>
      <c r="F81" s="644">
        <v>179.33</v>
      </c>
      <c r="G81" s="682">
        <v>926.13</v>
      </c>
      <c r="H81" s="681">
        <v>1</v>
      </c>
      <c r="I81" s="622">
        <f t="shared" ref="I81:I144" si="21">BU81</f>
        <v>0</v>
      </c>
      <c r="J81" s="574">
        <f t="shared" ref="J81:J144" si="22">CI81</f>
        <v>0</v>
      </c>
      <c r="K81" s="644">
        <f>H81-J81</f>
        <v>1</v>
      </c>
      <c r="L81" s="708">
        <f t="shared" si="19"/>
        <v>926.13</v>
      </c>
      <c r="M81" s="708">
        <f t="shared" si="19"/>
        <v>0</v>
      </c>
      <c r="N81" s="708">
        <f t="shared" si="19"/>
        <v>0</v>
      </c>
      <c r="O81" s="718">
        <f t="shared" si="19"/>
        <v>926.13</v>
      </c>
      <c r="P81" s="617">
        <f t="shared" si="18"/>
        <v>0</v>
      </c>
      <c r="Q81" s="525"/>
      <c r="S81" s="189">
        <v>0</v>
      </c>
      <c r="T81" s="189">
        <v>0</v>
      </c>
      <c r="BT81" s="525"/>
      <c r="BU81" s="523"/>
      <c r="BV81" s="523"/>
      <c r="BW81" s="523">
        <v>0</v>
      </c>
      <c r="BX81" s="523">
        <v>0</v>
      </c>
      <c r="BY81" s="523">
        <v>0</v>
      </c>
      <c r="BZ81" s="523">
        <v>0</v>
      </c>
      <c r="CA81" s="523"/>
      <c r="CB81" s="523"/>
      <c r="CC81" s="523"/>
      <c r="CD81" s="523"/>
      <c r="CE81" s="523"/>
      <c r="CF81" s="523"/>
      <c r="CG81" s="523"/>
      <c r="CH81" s="523"/>
      <c r="CI81" s="523">
        <f t="shared" si="20"/>
        <v>0</v>
      </c>
    </row>
    <row r="82" spans="1:87" ht="30" x14ac:dyDescent="0.2">
      <c r="A82" s="680" t="s">
        <v>1429</v>
      </c>
      <c r="B82" s="569" t="s">
        <v>1430</v>
      </c>
      <c r="C82" s="569" t="s">
        <v>1324</v>
      </c>
      <c r="D82" s="569" t="s">
        <v>1431</v>
      </c>
      <c r="E82" s="681" t="s">
        <v>102</v>
      </c>
      <c r="F82" s="644">
        <v>268.98</v>
      </c>
      <c r="G82" s="682">
        <v>825.22</v>
      </c>
      <c r="H82" s="681">
        <v>4</v>
      </c>
      <c r="I82" s="622">
        <f t="shared" si="21"/>
        <v>0</v>
      </c>
      <c r="J82" s="574">
        <f t="shared" si="22"/>
        <v>0</v>
      </c>
      <c r="K82" s="644">
        <f>H82-J82</f>
        <v>4</v>
      </c>
      <c r="L82" s="708">
        <f t="shared" si="19"/>
        <v>3300.88</v>
      </c>
      <c r="M82" s="708">
        <f t="shared" si="19"/>
        <v>0</v>
      </c>
      <c r="N82" s="708">
        <f t="shared" si="19"/>
        <v>0</v>
      </c>
      <c r="O82" s="718">
        <f t="shared" si="19"/>
        <v>3300.88</v>
      </c>
      <c r="P82" s="617">
        <f t="shared" si="18"/>
        <v>0</v>
      </c>
      <c r="Q82" s="525"/>
      <c r="S82" s="189">
        <v>0</v>
      </c>
      <c r="T82" s="189">
        <v>0</v>
      </c>
      <c r="BT82" s="525"/>
      <c r="BU82" s="523"/>
      <c r="BV82" s="523"/>
      <c r="BW82" s="523">
        <v>0</v>
      </c>
      <c r="BX82" s="523">
        <v>0</v>
      </c>
      <c r="BY82" s="523">
        <v>0</v>
      </c>
      <c r="BZ82" s="523">
        <v>0</v>
      </c>
      <c r="CA82" s="523"/>
      <c r="CB82" s="523"/>
      <c r="CC82" s="523"/>
      <c r="CD82" s="523"/>
      <c r="CE82" s="523"/>
      <c r="CF82" s="523"/>
      <c r="CG82" s="523"/>
      <c r="CH82" s="523"/>
      <c r="CI82" s="523">
        <f t="shared" si="20"/>
        <v>0</v>
      </c>
    </row>
    <row r="83" spans="1:87" s="663" customFormat="1" ht="30" x14ac:dyDescent="0.2">
      <c r="A83" s="680" t="s">
        <v>1432</v>
      </c>
      <c r="B83" s="569" t="s">
        <v>1433</v>
      </c>
      <c r="C83" s="569" t="s">
        <v>1324</v>
      </c>
      <c r="D83" s="569" t="s">
        <v>1434</v>
      </c>
      <c r="E83" s="681" t="s">
        <v>102</v>
      </c>
      <c r="F83" s="644">
        <v>134.49</v>
      </c>
      <c r="G83" s="682">
        <v>918.24</v>
      </c>
      <c r="H83" s="681">
        <v>2</v>
      </c>
      <c r="I83" s="622">
        <f t="shared" si="21"/>
        <v>0</v>
      </c>
      <c r="J83" s="574">
        <f t="shared" si="22"/>
        <v>0</v>
      </c>
      <c r="K83" s="644">
        <f>H83-J83</f>
        <v>2</v>
      </c>
      <c r="L83" s="708">
        <f t="shared" si="19"/>
        <v>1836.48</v>
      </c>
      <c r="M83" s="708">
        <f t="shared" si="19"/>
        <v>0</v>
      </c>
      <c r="N83" s="708">
        <f t="shared" si="19"/>
        <v>0</v>
      </c>
      <c r="O83" s="718">
        <f t="shared" si="19"/>
        <v>1836.48</v>
      </c>
      <c r="P83" s="617">
        <f t="shared" si="18"/>
        <v>0</v>
      </c>
      <c r="Q83" s="525"/>
      <c r="S83" s="190">
        <v>0</v>
      </c>
      <c r="T83" s="190">
        <v>0</v>
      </c>
      <c r="BT83" s="525"/>
      <c r="BU83" s="523"/>
      <c r="BV83" s="523"/>
      <c r="BW83" s="523">
        <v>0</v>
      </c>
      <c r="BX83" s="523">
        <v>0</v>
      </c>
      <c r="BY83" s="523">
        <v>0</v>
      </c>
      <c r="BZ83" s="523">
        <v>0</v>
      </c>
      <c r="CA83" s="523"/>
      <c r="CB83" s="523"/>
      <c r="CC83" s="523"/>
      <c r="CD83" s="523"/>
      <c r="CE83" s="523"/>
      <c r="CF83" s="523"/>
      <c r="CG83" s="523"/>
      <c r="CH83" s="523"/>
      <c r="CI83" s="523">
        <f t="shared" si="20"/>
        <v>0</v>
      </c>
    </row>
    <row r="84" spans="1:87" ht="15.75" x14ac:dyDescent="0.2">
      <c r="A84" s="605" t="s">
        <v>188</v>
      </c>
      <c r="B84" s="586"/>
      <c r="C84" s="586"/>
      <c r="D84" s="586" t="s">
        <v>1435</v>
      </c>
      <c r="E84" s="609"/>
      <c r="F84" s="609"/>
      <c r="G84" s="609"/>
      <c r="H84" s="609"/>
      <c r="I84" s="609"/>
      <c r="J84" s="609"/>
      <c r="K84" s="609"/>
      <c r="L84" s="733">
        <f>SUM(L85:L87)</f>
        <v>773.29</v>
      </c>
      <c r="M84" s="733">
        <f>SUM(M85:M87)</f>
        <v>0</v>
      </c>
      <c r="N84" s="733">
        <f>SUM(N85:N87)</f>
        <v>0</v>
      </c>
      <c r="O84" s="722">
        <f>SUM(O85:O87)</f>
        <v>773.29</v>
      </c>
      <c r="P84" s="611">
        <f t="shared" si="18"/>
        <v>0</v>
      </c>
      <c r="Q84" s="525"/>
      <c r="S84" s="189">
        <v>0</v>
      </c>
      <c r="T84" s="189">
        <v>0</v>
      </c>
      <c r="BT84" s="525"/>
      <c r="BU84" s="523"/>
      <c r="BV84" s="523"/>
      <c r="BW84" s="523">
        <v>0</v>
      </c>
      <c r="BX84" s="523">
        <v>0</v>
      </c>
      <c r="BY84" s="523"/>
      <c r="BZ84" s="523"/>
      <c r="CA84" s="523"/>
      <c r="CB84" s="523"/>
      <c r="CC84" s="523"/>
      <c r="CD84" s="523"/>
      <c r="CE84" s="523"/>
      <c r="CF84" s="523"/>
      <c r="CG84" s="523"/>
      <c r="CH84" s="523"/>
      <c r="CI84" s="523">
        <f t="shared" si="20"/>
        <v>0</v>
      </c>
    </row>
    <row r="85" spans="1:87" ht="15" x14ac:dyDescent="0.2">
      <c r="A85" s="680" t="s">
        <v>1436</v>
      </c>
      <c r="B85" s="569" t="s">
        <v>2007</v>
      </c>
      <c r="C85" s="569" t="s">
        <v>1339</v>
      </c>
      <c r="D85" s="569" t="s">
        <v>1437</v>
      </c>
      <c r="E85" s="681" t="s">
        <v>81</v>
      </c>
      <c r="F85" s="644">
        <v>627.62</v>
      </c>
      <c r="G85" s="682">
        <v>48.24</v>
      </c>
      <c r="H85" s="681">
        <v>11.6</v>
      </c>
      <c r="I85" s="622">
        <f t="shared" si="21"/>
        <v>0</v>
      </c>
      <c r="J85" s="574">
        <f t="shared" si="22"/>
        <v>0</v>
      </c>
      <c r="K85" s="644">
        <f t="shared" ref="K85:K92" si="23">H85-J85</f>
        <v>11.6</v>
      </c>
      <c r="L85" s="708">
        <f t="shared" ref="L85:O87" si="24">ROUND(H85*$G85,2)</f>
        <v>559.58000000000004</v>
      </c>
      <c r="M85" s="708">
        <f t="shared" si="24"/>
        <v>0</v>
      </c>
      <c r="N85" s="708">
        <f t="shared" si="24"/>
        <v>0</v>
      </c>
      <c r="O85" s="718">
        <f t="shared" si="24"/>
        <v>559.58000000000004</v>
      </c>
      <c r="P85" s="617">
        <f t="shared" si="18"/>
        <v>0</v>
      </c>
      <c r="Q85" s="525"/>
      <c r="S85" s="189">
        <v>0</v>
      </c>
      <c r="T85" s="189">
        <v>0</v>
      </c>
      <c r="BT85" s="525"/>
      <c r="BU85" s="523"/>
      <c r="BV85" s="523"/>
      <c r="BW85" s="523">
        <v>0</v>
      </c>
      <c r="BX85" s="523">
        <v>0</v>
      </c>
      <c r="BY85" s="523">
        <v>0</v>
      </c>
      <c r="BZ85" s="523">
        <v>0</v>
      </c>
      <c r="CA85" s="523"/>
      <c r="CB85" s="523"/>
      <c r="CC85" s="523"/>
      <c r="CD85" s="523"/>
      <c r="CE85" s="523"/>
      <c r="CF85" s="523"/>
      <c r="CG85" s="523"/>
      <c r="CH85" s="523"/>
      <c r="CI85" s="523">
        <f t="shared" si="20"/>
        <v>0</v>
      </c>
    </row>
    <row r="86" spans="1:87" ht="15" x14ac:dyDescent="0.2">
      <c r="A86" s="680" t="s">
        <v>1438</v>
      </c>
      <c r="B86" s="569" t="s">
        <v>2007</v>
      </c>
      <c r="C86" s="569" t="s">
        <v>1339</v>
      </c>
      <c r="D86" s="569" t="s">
        <v>1439</v>
      </c>
      <c r="E86" s="681" t="s">
        <v>14</v>
      </c>
      <c r="F86" s="644">
        <v>358.64</v>
      </c>
      <c r="G86" s="682">
        <v>5.44</v>
      </c>
      <c r="H86" s="681">
        <v>4.3</v>
      </c>
      <c r="I86" s="622">
        <f t="shared" si="21"/>
        <v>0</v>
      </c>
      <c r="J86" s="574">
        <f t="shared" si="22"/>
        <v>0</v>
      </c>
      <c r="K86" s="644">
        <f t="shared" si="23"/>
        <v>4.3</v>
      </c>
      <c r="L86" s="708">
        <f t="shared" si="24"/>
        <v>23.39</v>
      </c>
      <c r="M86" s="708">
        <f t="shared" si="24"/>
        <v>0</v>
      </c>
      <c r="N86" s="708">
        <f t="shared" si="24"/>
        <v>0</v>
      </c>
      <c r="O86" s="718">
        <f t="shared" si="24"/>
        <v>23.39</v>
      </c>
      <c r="P86" s="617">
        <f t="shared" si="18"/>
        <v>0</v>
      </c>
      <c r="Q86" s="525"/>
      <c r="S86" s="189">
        <v>0</v>
      </c>
      <c r="T86" s="189">
        <v>0</v>
      </c>
      <c r="BT86" s="525"/>
      <c r="BU86" s="523"/>
      <c r="BV86" s="523"/>
      <c r="BW86" s="523">
        <v>0</v>
      </c>
      <c r="BX86" s="523">
        <v>0</v>
      </c>
      <c r="BY86" s="523">
        <v>0</v>
      </c>
      <c r="BZ86" s="523">
        <v>0</v>
      </c>
      <c r="CA86" s="523"/>
      <c r="CB86" s="523"/>
      <c r="CC86" s="523"/>
      <c r="CD86" s="523"/>
      <c r="CE86" s="523"/>
      <c r="CF86" s="523"/>
      <c r="CG86" s="523"/>
      <c r="CH86" s="523"/>
      <c r="CI86" s="523">
        <f t="shared" si="20"/>
        <v>0</v>
      </c>
    </row>
    <row r="87" spans="1:87" s="663" customFormat="1" ht="15" x14ac:dyDescent="0.2">
      <c r="A87" s="680" t="s">
        <v>1440</v>
      </c>
      <c r="B87" s="569" t="s">
        <v>1441</v>
      </c>
      <c r="C87" s="569" t="s">
        <v>1324</v>
      </c>
      <c r="D87" s="569" t="s">
        <v>1442</v>
      </c>
      <c r="E87" s="681" t="s">
        <v>102</v>
      </c>
      <c r="F87" s="644">
        <v>448.3</v>
      </c>
      <c r="G87" s="682">
        <v>31.72</v>
      </c>
      <c r="H87" s="681">
        <v>6</v>
      </c>
      <c r="I87" s="622">
        <f t="shared" si="21"/>
        <v>0</v>
      </c>
      <c r="J87" s="574">
        <f t="shared" si="22"/>
        <v>0</v>
      </c>
      <c r="K87" s="644">
        <f t="shared" si="23"/>
        <v>6</v>
      </c>
      <c r="L87" s="708">
        <f t="shared" si="24"/>
        <v>190.32</v>
      </c>
      <c r="M87" s="708">
        <f t="shared" si="24"/>
        <v>0</v>
      </c>
      <c r="N87" s="708">
        <f t="shared" si="24"/>
        <v>0</v>
      </c>
      <c r="O87" s="718">
        <f t="shared" si="24"/>
        <v>190.32</v>
      </c>
      <c r="P87" s="617">
        <f t="shared" si="18"/>
        <v>0</v>
      </c>
      <c r="Q87" s="525"/>
      <c r="S87" s="190">
        <v>0</v>
      </c>
      <c r="T87" s="190">
        <v>0</v>
      </c>
      <c r="BT87" s="525"/>
      <c r="BU87" s="523"/>
      <c r="BV87" s="523"/>
      <c r="BW87" s="523">
        <v>0</v>
      </c>
      <c r="BX87" s="523">
        <v>0</v>
      </c>
      <c r="BY87" s="523">
        <v>0</v>
      </c>
      <c r="BZ87" s="523">
        <v>0</v>
      </c>
      <c r="CA87" s="523"/>
      <c r="CB87" s="523"/>
      <c r="CC87" s="523"/>
      <c r="CD87" s="523"/>
      <c r="CE87" s="523"/>
      <c r="CF87" s="523"/>
      <c r="CG87" s="523"/>
      <c r="CH87" s="523"/>
      <c r="CI87" s="523">
        <f t="shared" si="20"/>
        <v>0</v>
      </c>
    </row>
    <row r="88" spans="1:87" ht="15.75" x14ac:dyDescent="0.2">
      <c r="A88" s="605" t="s">
        <v>1443</v>
      </c>
      <c r="B88" s="586"/>
      <c r="C88" s="586"/>
      <c r="D88" s="586" t="s">
        <v>1444</v>
      </c>
      <c r="E88" s="609"/>
      <c r="F88" s="609"/>
      <c r="G88" s="609"/>
      <c r="H88" s="609"/>
      <c r="I88" s="609"/>
      <c r="J88" s="609"/>
      <c r="K88" s="609"/>
      <c r="L88" s="712">
        <f>L90</f>
        <v>331.68</v>
      </c>
      <c r="M88" s="712">
        <f>M90</f>
        <v>0</v>
      </c>
      <c r="N88" s="712">
        <f>N90</f>
        <v>0</v>
      </c>
      <c r="O88" s="723">
        <f>O90</f>
        <v>331.68</v>
      </c>
      <c r="P88" s="611">
        <f t="shared" si="18"/>
        <v>0</v>
      </c>
      <c r="Q88" s="525"/>
      <c r="S88" s="189">
        <v>0</v>
      </c>
      <c r="T88" s="189">
        <v>0</v>
      </c>
      <c r="BT88" s="525"/>
      <c r="BU88" s="523"/>
      <c r="BV88" s="523"/>
      <c r="BW88" s="523">
        <v>0</v>
      </c>
      <c r="BX88" s="523">
        <v>0</v>
      </c>
      <c r="BY88" s="523"/>
      <c r="BZ88" s="523"/>
      <c r="CA88" s="523"/>
      <c r="CB88" s="523"/>
      <c r="CC88" s="523"/>
      <c r="CD88" s="523"/>
      <c r="CE88" s="523"/>
      <c r="CF88" s="523"/>
      <c r="CG88" s="523"/>
      <c r="CH88" s="523"/>
      <c r="CI88" s="523">
        <f t="shared" si="20"/>
        <v>0</v>
      </c>
    </row>
    <row r="89" spans="1:87" ht="15" x14ac:dyDescent="0.2">
      <c r="A89" s="680" t="s">
        <v>1445</v>
      </c>
      <c r="B89" s="569">
        <v>68052</v>
      </c>
      <c r="C89" s="569" t="s">
        <v>1324</v>
      </c>
      <c r="D89" s="624" t="s">
        <v>1446</v>
      </c>
      <c r="E89" s="681" t="s">
        <v>14</v>
      </c>
      <c r="F89" s="644">
        <v>390.13</v>
      </c>
      <c r="G89" s="682">
        <v>0</v>
      </c>
      <c r="H89" s="681">
        <v>10.8</v>
      </c>
      <c r="I89" s="622">
        <f t="shared" si="21"/>
        <v>0</v>
      </c>
      <c r="J89" s="574">
        <f t="shared" si="22"/>
        <v>0</v>
      </c>
      <c r="K89" s="644">
        <f t="shared" si="23"/>
        <v>10.8</v>
      </c>
      <c r="L89" s="708">
        <f t="shared" ref="L89:O90" si="25">ROUND(H89*$G89,2)</f>
        <v>0</v>
      </c>
      <c r="M89" s="708">
        <f t="shared" si="25"/>
        <v>0</v>
      </c>
      <c r="N89" s="708">
        <f t="shared" si="25"/>
        <v>0</v>
      </c>
      <c r="O89" s="718">
        <f t="shared" si="25"/>
        <v>0</v>
      </c>
      <c r="P89" s="617">
        <v>1</v>
      </c>
      <c r="Q89" s="525"/>
      <c r="S89" s="189">
        <v>0</v>
      </c>
      <c r="T89" s="189">
        <v>0</v>
      </c>
      <c r="BT89" s="525"/>
      <c r="BU89" s="523"/>
      <c r="BV89" s="523"/>
      <c r="BW89" s="523">
        <v>0</v>
      </c>
      <c r="BX89" s="523">
        <v>0</v>
      </c>
      <c r="BY89" s="523">
        <v>0</v>
      </c>
      <c r="BZ89" s="523">
        <v>0</v>
      </c>
      <c r="CA89" s="523"/>
      <c r="CB89" s="523"/>
      <c r="CC89" s="523"/>
      <c r="CD89" s="523"/>
      <c r="CE89" s="523"/>
      <c r="CF89" s="523"/>
      <c r="CG89" s="523"/>
      <c r="CH89" s="523"/>
      <c r="CI89" s="523">
        <f t="shared" si="20"/>
        <v>0</v>
      </c>
    </row>
    <row r="90" spans="1:87" s="663" customFormat="1" ht="15" x14ac:dyDescent="0.2">
      <c r="A90" s="680" t="s">
        <v>1447</v>
      </c>
      <c r="B90" s="569">
        <v>85010</v>
      </c>
      <c r="C90" s="569" t="s">
        <v>1324</v>
      </c>
      <c r="D90" s="569" t="s">
        <v>1448</v>
      </c>
      <c r="E90" s="681" t="s">
        <v>14</v>
      </c>
      <c r="F90" s="644">
        <v>975.33</v>
      </c>
      <c r="G90" s="682">
        <v>159.46</v>
      </c>
      <c r="H90" s="681">
        <v>2.08</v>
      </c>
      <c r="I90" s="622">
        <f t="shared" si="21"/>
        <v>0</v>
      </c>
      <c r="J90" s="574">
        <f t="shared" si="22"/>
        <v>0</v>
      </c>
      <c r="K90" s="644">
        <f t="shared" si="23"/>
        <v>2.08</v>
      </c>
      <c r="L90" s="708">
        <f t="shared" si="25"/>
        <v>331.68</v>
      </c>
      <c r="M90" s="708">
        <f t="shared" si="25"/>
        <v>0</v>
      </c>
      <c r="N90" s="708">
        <f t="shared" si="25"/>
        <v>0</v>
      </c>
      <c r="O90" s="718">
        <f t="shared" si="25"/>
        <v>331.68</v>
      </c>
      <c r="P90" s="617">
        <f t="shared" ref="P90:P140" si="26">N90/L90</f>
        <v>0</v>
      </c>
      <c r="Q90" s="525"/>
      <c r="S90" s="190">
        <v>0</v>
      </c>
      <c r="T90" s="190">
        <v>0</v>
      </c>
      <c r="BT90" s="525"/>
      <c r="BU90" s="523"/>
      <c r="BV90" s="523"/>
      <c r="BW90" s="523">
        <v>0</v>
      </c>
      <c r="BX90" s="523">
        <v>0</v>
      </c>
      <c r="BY90" s="523">
        <v>0</v>
      </c>
      <c r="BZ90" s="523">
        <v>0</v>
      </c>
      <c r="CA90" s="523"/>
      <c r="CB90" s="523"/>
      <c r="CC90" s="523"/>
      <c r="CD90" s="523"/>
      <c r="CE90" s="523"/>
      <c r="CF90" s="523"/>
      <c r="CG90" s="523"/>
      <c r="CH90" s="523"/>
      <c r="CI90" s="523">
        <f t="shared" si="20"/>
        <v>0</v>
      </c>
    </row>
    <row r="91" spans="1:87" ht="15.75" x14ac:dyDescent="0.2">
      <c r="A91" s="605" t="s">
        <v>1449</v>
      </c>
      <c r="B91" s="586"/>
      <c r="C91" s="586"/>
      <c r="D91" s="586" t="s">
        <v>184</v>
      </c>
      <c r="E91" s="609"/>
      <c r="F91" s="609"/>
      <c r="G91" s="609"/>
      <c r="H91" s="609"/>
      <c r="I91" s="609"/>
      <c r="J91" s="609"/>
      <c r="K91" s="609"/>
      <c r="L91" s="712">
        <f>L92</f>
        <v>1828.22</v>
      </c>
      <c r="M91" s="712">
        <f>M92</f>
        <v>0</v>
      </c>
      <c r="N91" s="712">
        <f>N92</f>
        <v>0</v>
      </c>
      <c r="O91" s="723">
        <f>O92</f>
        <v>1828.22</v>
      </c>
      <c r="P91" s="611">
        <f t="shared" si="26"/>
        <v>0</v>
      </c>
      <c r="Q91" s="525"/>
      <c r="S91" s="189">
        <v>0</v>
      </c>
      <c r="T91" s="189">
        <v>0</v>
      </c>
      <c r="BT91" s="525"/>
      <c r="BU91" s="523"/>
      <c r="BV91" s="523"/>
      <c r="BW91" s="523">
        <v>0</v>
      </c>
      <c r="BX91" s="523">
        <v>0</v>
      </c>
      <c r="BY91" s="523"/>
      <c r="BZ91" s="523"/>
      <c r="CA91" s="523"/>
      <c r="CB91" s="523"/>
      <c r="CC91" s="523"/>
      <c r="CD91" s="523"/>
      <c r="CE91" s="523"/>
      <c r="CF91" s="523"/>
      <c r="CG91" s="523"/>
      <c r="CH91" s="523"/>
      <c r="CI91" s="523">
        <f t="shared" si="20"/>
        <v>0</v>
      </c>
    </row>
    <row r="92" spans="1:87" ht="15" x14ac:dyDescent="0.2">
      <c r="A92" s="680" t="s">
        <v>1450</v>
      </c>
      <c r="B92" s="569" t="s">
        <v>1451</v>
      </c>
      <c r="C92" s="569" t="s">
        <v>1324</v>
      </c>
      <c r="D92" s="569" t="s">
        <v>1452</v>
      </c>
      <c r="E92" s="681" t="s">
        <v>14</v>
      </c>
      <c r="F92" s="644">
        <v>877.8</v>
      </c>
      <c r="G92" s="682">
        <v>423.2</v>
      </c>
      <c r="H92" s="681">
        <v>4.32</v>
      </c>
      <c r="I92" s="622">
        <f t="shared" si="21"/>
        <v>0</v>
      </c>
      <c r="J92" s="574">
        <f t="shared" si="22"/>
        <v>0</v>
      </c>
      <c r="K92" s="644">
        <f t="shared" si="23"/>
        <v>4.32</v>
      </c>
      <c r="L92" s="708">
        <f>ROUND(H92*$G92,2)</f>
        <v>1828.22</v>
      </c>
      <c r="M92" s="708">
        <f>ROUND(I92*$G92,2)</f>
        <v>0</v>
      </c>
      <c r="N92" s="708">
        <f>ROUND(J92*$G92,2)</f>
        <v>0</v>
      </c>
      <c r="O92" s="718">
        <f>ROUND(K92*$G92,2)</f>
        <v>1828.22</v>
      </c>
      <c r="P92" s="617">
        <f t="shared" si="26"/>
        <v>0</v>
      </c>
      <c r="Q92" s="525"/>
      <c r="S92" s="189">
        <v>0</v>
      </c>
      <c r="T92" s="189">
        <v>0</v>
      </c>
      <c r="BT92" s="525"/>
      <c r="BU92" s="523"/>
      <c r="BV92" s="523"/>
      <c r="BW92" s="523">
        <v>0</v>
      </c>
      <c r="BX92" s="523">
        <v>0</v>
      </c>
      <c r="BY92" s="523">
        <v>0</v>
      </c>
      <c r="BZ92" s="523">
        <v>0</v>
      </c>
      <c r="CA92" s="523"/>
      <c r="CB92" s="523"/>
      <c r="CC92" s="523"/>
      <c r="CD92" s="523"/>
      <c r="CE92" s="523"/>
      <c r="CF92" s="523"/>
      <c r="CG92" s="523"/>
      <c r="CH92" s="523"/>
      <c r="CI92" s="523">
        <f t="shared" si="20"/>
        <v>0</v>
      </c>
    </row>
    <row r="93" spans="1:87" ht="15.75" x14ac:dyDescent="0.2">
      <c r="A93" s="600">
        <v>7</v>
      </c>
      <c r="B93" s="558"/>
      <c r="C93" s="558"/>
      <c r="D93" s="558" t="s">
        <v>1453</v>
      </c>
      <c r="E93" s="626"/>
      <c r="F93" s="626"/>
      <c r="G93" s="626"/>
      <c r="H93" s="626"/>
      <c r="I93" s="626"/>
      <c r="J93" s="626"/>
      <c r="K93" s="626"/>
      <c r="L93" s="628">
        <f>SUM(L94:L95)</f>
        <v>173274.06</v>
      </c>
      <c r="M93" s="628">
        <f>SUM(M94:M95)</f>
        <v>62537.86</v>
      </c>
      <c r="N93" s="628">
        <f>SUM(N94:N95)</f>
        <v>117907.95</v>
      </c>
      <c r="O93" s="721">
        <f>SUM(O94:O95)</f>
        <v>55366.100000000006</v>
      </c>
      <c r="P93" s="604">
        <f t="shared" si="26"/>
        <v>0.68047086794180267</v>
      </c>
      <c r="Q93" s="525"/>
      <c r="S93" s="189">
        <v>0</v>
      </c>
      <c r="T93" s="189">
        <v>0</v>
      </c>
      <c r="BT93" s="525"/>
      <c r="BU93" s="523"/>
      <c r="BV93" s="523"/>
      <c r="BW93" s="523">
        <v>0</v>
      </c>
      <c r="BX93" s="523">
        <v>0</v>
      </c>
      <c r="BY93" s="523"/>
      <c r="BZ93" s="523"/>
      <c r="CA93" s="523"/>
      <c r="CB93" s="523"/>
      <c r="CC93" s="523"/>
      <c r="CD93" s="523"/>
      <c r="CE93" s="523"/>
      <c r="CF93" s="523"/>
      <c r="CG93" s="523"/>
      <c r="CH93" s="523"/>
      <c r="CI93" s="523">
        <f t="shared" si="20"/>
        <v>0</v>
      </c>
    </row>
    <row r="94" spans="1:87" ht="15" x14ac:dyDescent="0.2">
      <c r="A94" s="680" t="s">
        <v>193</v>
      </c>
      <c r="B94" s="569" t="s">
        <v>1454</v>
      </c>
      <c r="C94" s="569" t="s">
        <v>1324</v>
      </c>
      <c r="D94" s="569" t="s">
        <v>1455</v>
      </c>
      <c r="E94" s="681" t="s">
        <v>14</v>
      </c>
      <c r="F94" s="688">
        <v>1560.54</v>
      </c>
      <c r="G94" s="682">
        <v>51.14</v>
      </c>
      <c r="H94" s="681">
        <v>1030.4000000000001</v>
      </c>
      <c r="I94" s="622">
        <f t="shared" si="21"/>
        <v>301.2</v>
      </c>
      <c r="J94" s="574">
        <f t="shared" si="22"/>
        <v>301.2</v>
      </c>
      <c r="K94" s="644">
        <f>H94-J94</f>
        <v>729.2</v>
      </c>
      <c r="L94" s="708">
        <f t="shared" ref="L94:O95" si="27">ROUND(H94*$G94,2)</f>
        <v>52694.66</v>
      </c>
      <c r="M94" s="708">
        <f t="shared" si="27"/>
        <v>15403.37</v>
      </c>
      <c r="N94" s="708">
        <f t="shared" si="27"/>
        <v>15403.37</v>
      </c>
      <c r="O94" s="718">
        <f t="shared" si="27"/>
        <v>37291.29</v>
      </c>
      <c r="P94" s="617">
        <f t="shared" si="26"/>
        <v>0.29231368036153949</v>
      </c>
      <c r="Q94" s="525"/>
      <c r="S94" s="189">
        <v>0</v>
      </c>
      <c r="T94" s="189">
        <v>0</v>
      </c>
      <c r="BT94" s="525"/>
      <c r="BU94" s="659">
        <v>301.2</v>
      </c>
      <c r="BV94" s="659"/>
      <c r="BW94" s="523">
        <v>0</v>
      </c>
      <c r="BX94" s="523">
        <v>0</v>
      </c>
      <c r="BY94" s="523">
        <v>0</v>
      </c>
      <c r="BZ94" s="523">
        <v>0</v>
      </c>
      <c r="CA94" s="523"/>
      <c r="CB94" s="523"/>
      <c r="CC94" s="523"/>
      <c r="CD94" s="523"/>
      <c r="CE94" s="523"/>
      <c r="CF94" s="523"/>
      <c r="CG94" s="523"/>
      <c r="CH94" s="523"/>
      <c r="CI94" s="523">
        <f t="shared" si="20"/>
        <v>301.2</v>
      </c>
    </row>
    <row r="95" spans="1:87" s="110" customFormat="1" ht="15" x14ac:dyDescent="0.2">
      <c r="A95" s="680" t="s">
        <v>195</v>
      </c>
      <c r="B95" s="569">
        <v>72112</v>
      </c>
      <c r="C95" s="569" t="s">
        <v>1324</v>
      </c>
      <c r="D95" s="569" t="s">
        <v>1456</v>
      </c>
      <c r="E95" s="681" t="s">
        <v>14</v>
      </c>
      <c r="F95" s="688">
        <v>1950.67</v>
      </c>
      <c r="G95" s="682">
        <v>122.99</v>
      </c>
      <c r="H95" s="681">
        <v>980.4</v>
      </c>
      <c r="I95" s="622">
        <f t="shared" si="21"/>
        <v>383.23836</v>
      </c>
      <c r="J95" s="574">
        <f t="shared" si="22"/>
        <v>833.43835999999999</v>
      </c>
      <c r="K95" s="644">
        <f>H95-J95</f>
        <v>146.96163999999999</v>
      </c>
      <c r="L95" s="708">
        <f t="shared" si="27"/>
        <v>120579.4</v>
      </c>
      <c r="M95" s="708">
        <f t="shared" si="27"/>
        <v>47134.49</v>
      </c>
      <c r="N95" s="708">
        <f t="shared" si="27"/>
        <v>102504.58</v>
      </c>
      <c r="O95" s="718">
        <f t="shared" si="27"/>
        <v>18074.810000000001</v>
      </c>
      <c r="P95" s="617">
        <f t="shared" si="26"/>
        <v>0.85010026588289545</v>
      </c>
      <c r="Q95" s="525"/>
      <c r="S95" s="192">
        <v>0</v>
      </c>
      <c r="T95" s="192">
        <v>0</v>
      </c>
      <c r="BT95" s="525"/>
      <c r="BU95" s="659">
        <v>383.23836</v>
      </c>
      <c r="BV95" s="659">
        <v>450.2</v>
      </c>
      <c r="BW95" s="523">
        <v>0</v>
      </c>
      <c r="BX95" s="523">
        <v>0</v>
      </c>
      <c r="BY95" s="523">
        <v>0</v>
      </c>
      <c r="BZ95" s="523">
        <v>0</v>
      </c>
      <c r="CA95" s="523"/>
      <c r="CB95" s="523"/>
      <c r="CC95" s="523"/>
      <c r="CD95" s="523"/>
      <c r="CE95" s="523"/>
      <c r="CF95" s="523"/>
      <c r="CG95" s="523"/>
      <c r="CH95" s="523"/>
      <c r="CI95" s="523">
        <f t="shared" si="20"/>
        <v>833.43835999999999</v>
      </c>
    </row>
    <row r="96" spans="1:87" s="110" customFormat="1" ht="15.75" x14ac:dyDescent="0.2">
      <c r="A96" s="600">
        <v>8</v>
      </c>
      <c r="B96" s="601"/>
      <c r="C96" s="601"/>
      <c r="D96" s="602" t="s">
        <v>208</v>
      </c>
      <c r="E96" s="626"/>
      <c r="F96" s="626"/>
      <c r="G96" s="626"/>
      <c r="H96" s="626"/>
      <c r="I96" s="626"/>
      <c r="J96" s="626"/>
      <c r="K96" s="626"/>
      <c r="L96" s="734">
        <f>SUM(L97:L98)</f>
        <v>5634.27</v>
      </c>
      <c r="M96" s="628">
        <f>SUM(M97:M98)</f>
        <v>209.19</v>
      </c>
      <c r="N96" s="707">
        <f>SUM(N97:N98)</f>
        <v>2257.69</v>
      </c>
      <c r="O96" s="721">
        <f>SUM(O97:O98)</f>
        <v>3376.58</v>
      </c>
      <c r="P96" s="604">
        <f t="shared" si="26"/>
        <v>0.40070674639305531</v>
      </c>
      <c r="Q96" s="525"/>
      <c r="S96" s="192">
        <v>265.61</v>
      </c>
      <c r="T96" s="192">
        <v>265.61</v>
      </c>
      <c r="BT96" s="525"/>
      <c r="BU96" s="523"/>
      <c r="BV96" s="523"/>
      <c r="BW96" s="523">
        <v>241</v>
      </c>
      <c r="BX96" s="523">
        <v>0</v>
      </c>
      <c r="BY96" s="523"/>
      <c r="BZ96" s="523"/>
      <c r="CA96" s="523"/>
      <c r="CB96" s="523"/>
      <c r="CC96" s="523"/>
      <c r="CD96" s="523"/>
      <c r="CE96" s="523"/>
      <c r="CF96" s="523"/>
      <c r="CG96" s="523"/>
      <c r="CH96" s="523"/>
      <c r="CI96" s="523">
        <f t="shared" si="20"/>
        <v>241</v>
      </c>
    </row>
    <row r="97" spans="1:87" ht="15" x14ac:dyDescent="0.2">
      <c r="A97" s="612" t="s">
        <v>210</v>
      </c>
      <c r="B97" s="613" t="s">
        <v>1457</v>
      </c>
      <c r="C97" s="613" t="s">
        <v>1324</v>
      </c>
      <c r="D97" s="614" t="s">
        <v>1458</v>
      </c>
      <c r="E97" s="615" t="s">
        <v>14</v>
      </c>
      <c r="F97" s="688">
        <v>3121.08</v>
      </c>
      <c r="G97" s="616">
        <v>8.5</v>
      </c>
      <c r="H97" s="615">
        <v>265.61</v>
      </c>
      <c r="I97" s="574">
        <f t="shared" si="21"/>
        <v>24.61</v>
      </c>
      <c r="J97" s="574">
        <f t="shared" si="22"/>
        <v>265.61</v>
      </c>
      <c r="K97" s="644">
        <f>H97-J97</f>
        <v>0</v>
      </c>
      <c r="L97" s="708">
        <f t="shared" ref="L97:O98" si="28">ROUND(H97*$G97,2)</f>
        <v>2257.69</v>
      </c>
      <c r="M97" s="708">
        <f t="shared" si="28"/>
        <v>209.19</v>
      </c>
      <c r="N97" s="708">
        <f t="shared" si="28"/>
        <v>2257.69</v>
      </c>
      <c r="O97" s="718">
        <f t="shared" si="28"/>
        <v>0</v>
      </c>
      <c r="P97" s="617">
        <f t="shared" si="26"/>
        <v>1</v>
      </c>
      <c r="Q97" s="525"/>
      <c r="S97" s="189">
        <v>0</v>
      </c>
      <c r="T97" s="189">
        <v>0</v>
      </c>
      <c r="BT97" s="525"/>
      <c r="BU97" s="746">
        <v>24.61</v>
      </c>
      <c r="BV97" s="523"/>
      <c r="BW97" s="523">
        <v>241</v>
      </c>
      <c r="BX97" s="523">
        <v>0</v>
      </c>
      <c r="BY97" s="523">
        <v>0</v>
      </c>
      <c r="BZ97" s="523">
        <v>0</v>
      </c>
      <c r="CA97" s="523"/>
      <c r="CB97" s="523"/>
      <c r="CC97" s="523"/>
      <c r="CD97" s="523"/>
      <c r="CE97" s="523"/>
      <c r="CF97" s="523"/>
      <c r="CG97" s="523"/>
      <c r="CH97" s="523"/>
      <c r="CI97" s="523">
        <f t="shared" si="20"/>
        <v>265.61</v>
      </c>
    </row>
    <row r="98" spans="1:87" s="664" customFormat="1" ht="15" x14ac:dyDescent="0.2">
      <c r="A98" s="680" t="s">
        <v>213</v>
      </c>
      <c r="B98" s="569">
        <v>68053</v>
      </c>
      <c r="C98" s="569" t="s">
        <v>1324</v>
      </c>
      <c r="D98" s="569" t="s">
        <v>1459</v>
      </c>
      <c r="E98" s="681" t="s">
        <v>14</v>
      </c>
      <c r="F98" s="688">
        <v>1137.9000000000001</v>
      </c>
      <c r="G98" s="682">
        <v>4.99</v>
      </c>
      <c r="H98" s="681">
        <v>676.67</v>
      </c>
      <c r="I98" s="622">
        <f t="shared" si="21"/>
        <v>0</v>
      </c>
      <c r="J98" s="574">
        <f t="shared" si="22"/>
        <v>0</v>
      </c>
      <c r="K98" s="644">
        <f>H98-J98</f>
        <v>676.67</v>
      </c>
      <c r="L98" s="708">
        <f t="shared" si="28"/>
        <v>3376.58</v>
      </c>
      <c r="M98" s="708">
        <f t="shared" si="28"/>
        <v>0</v>
      </c>
      <c r="N98" s="708">
        <f t="shared" si="28"/>
        <v>0</v>
      </c>
      <c r="O98" s="718">
        <f t="shared" si="28"/>
        <v>3376.58</v>
      </c>
      <c r="P98" s="617">
        <f t="shared" si="26"/>
        <v>0</v>
      </c>
      <c r="Q98" s="525"/>
      <c r="S98" s="191">
        <v>0</v>
      </c>
      <c r="T98" s="191">
        <v>0</v>
      </c>
      <c r="BT98" s="525"/>
      <c r="BU98" s="523"/>
      <c r="BV98" s="523"/>
      <c r="BW98" s="523">
        <v>0</v>
      </c>
      <c r="BX98" s="523">
        <v>0</v>
      </c>
      <c r="BY98" s="523">
        <v>0</v>
      </c>
      <c r="BZ98" s="523">
        <v>0</v>
      </c>
      <c r="CA98" s="523"/>
      <c r="CB98" s="523"/>
      <c r="CC98" s="523"/>
      <c r="CD98" s="523"/>
      <c r="CE98" s="523"/>
      <c r="CF98" s="523"/>
      <c r="CG98" s="523"/>
      <c r="CH98" s="523"/>
      <c r="CI98" s="523">
        <f t="shared" si="20"/>
        <v>0</v>
      </c>
    </row>
    <row r="99" spans="1:87" ht="15.75" x14ac:dyDescent="0.2">
      <c r="A99" s="600">
        <v>9</v>
      </c>
      <c r="B99" s="601"/>
      <c r="C99" s="601"/>
      <c r="D99" s="602" t="s">
        <v>1460</v>
      </c>
      <c r="E99" s="626"/>
      <c r="F99" s="626"/>
      <c r="G99" s="626"/>
      <c r="H99" s="626"/>
      <c r="I99" s="626"/>
      <c r="J99" s="626"/>
      <c r="K99" s="626"/>
      <c r="L99" s="734">
        <f>SUM(L100:L109)</f>
        <v>51794.2</v>
      </c>
      <c r="M99" s="734">
        <f>SUM(M100:M109)</f>
        <v>13598.460000000001</v>
      </c>
      <c r="N99" s="734">
        <f>SUM(N100:N109)</f>
        <v>43293.279999999999</v>
      </c>
      <c r="O99" s="721">
        <f>SUM(O100:O109)</f>
        <v>8500.9</v>
      </c>
      <c r="P99" s="604">
        <f t="shared" si="26"/>
        <v>0.8358711979333594</v>
      </c>
      <c r="Q99" s="525"/>
      <c r="S99" s="189">
        <v>0</v>
      </c>
      <c r="T99" s="189">
        <v>803.09</v>
      </c>
      <c r="BT99" s="525"/>
      <c r="BU99" s="523"/>
      <c r="BV99" s="523"/>
      <c r="BW99" s="523">
        <v>0</v>
      </c>
      <c r="BX99" s="523">
        <v>803.09</v>
      </c>
      <c r="BY99" s="523"/>
      <c r="BZ99" s="523"/>
      <c r="CA99" s="523"/>
      <c r="CB99" s="523"/>
      <c r="CC99" s="523"/>
      <c r="CD99" s="523"/>
      <c r="CE99" s="523"/>
      <c r="CF99" s="523"/>
      <c r="CG99" s="523"/>
      <c r="CH99" s="523"/>
      <c r="CI99" s="523">
        <f t="shared" si="20"/>
        <v>803.09</v>
      </c>
    </row>
    <row r="100" spans="1:87" ht="15" x14ac:dyDescent="0.2">
      <c r="A100" s="680" t="s">
        <v>223</v>
      </c>
      <c r="B100" s="569">
        <v>87905</v>
      </c>
      <c r="C100" s="569" t="s">
        <v>1324</v>
      </c>
      <c r="D100" s="569" t="s">
        <v>1461</v>
      </c>
      <c r="E100" s="681" t="s">
        <v>14</v>
      </c>
      <c r="F100" s="644">
        <v>582.46</v>
      </c>
      <c r="G100" s="682">
        <v>6.11</v>
      </c>
      <c r="H100" s="681">
        <v>803.09</v>
      </c>
      <c r="I100" s="622">
        <f t="shared" si="21"/>
        <v>0</v>
      </c>
      <c r="J100" s="574">
        <f t="shared" si="22"/>
        <v>803.09</v>
      </c>
      <c r="K100" s="644">
        <f>H100-J100</f>
        <v>0</v>
      </c>
      <c r="L100" s="708">
        <f t="shared" ref="L100:O109" si="29">ROUND(H100*$G100,2)</f>
        <v>4906.88</v>
      </c>
      <c r="M100" s="708">
        <f t="shared" si="29"/>
        <v>0</v>
      </c>
      <c r="N100" s="708">
        <f t="shared" si="29"/>
        <v>4906.88</v>
      </c>
      <c r="O100" s="718">
        <f t="shared" si="29"/>
        <v>0</v>
      </c>
      <c r="P100" s="617">
        <f t="shared" si="26"/>
        <v>1</v>
      </c>
      <c r="Q100" s="525"/>
      <c r="S100" s="189">
        <v>0</v>
      </c>
      <c r="T100" s="189">
        <v>0</v>
      </c>
      <c r="BT100" s="525"/>
      <c r="BU100" s="523"/>
      <c r="BV100" s="523"/>
      <c r="BW100" s="523">
        <v>0</v>
      </c>
      <c r="BX100" s="523">
        <v>803.09</v>
      </c>
      <c r="BY100" s="523">
        <v>0</v>
      </c>
      <c r="BZ100" s="523">
        <v>0</v>
      </c>
      <c r="CA100" s="523"/>
      <c r="CB100" s="523"/>
      <c r="CC100" s="523"/>
      <c r="CD100" s="523"/>
      <c r="CE100" s="523"/>
      <c r="CF100" s="523"/>
      <c r="CG100" s="523"/>
      <c r="CH100" s="523"/>
      <c r="CI100" s="523">
        <f t="shared" si="20"/>
        <v>803.09</v>
      </c>
    </row>
    <row r="101" spans="1:87" s="110" customFormat="1" ht="15" x14ac:dyDescent="0.2">
      <c r="A101" s="680" t="s">
        <v>239</v>
      </c>
      <c r="B101" s="569">
        <v>87882</v>
      </c>
      <c r="C101" s="569" t="s">
        <v>1324</v>
      </c>
      <c r="D101" s="569" t="s">
        <v>1462</v>
      </c>
      <c r="E101" s="681" t="s">
        <v>14</v>
      </c>
      <c r="F101" s="571"/>
      <c r="G101" s="682">
        <v>4.03</v>
      </c>
      <c r="H101" s="681">
        <v>84.33</v>
      </c>
      <c r="I101" s="622">
        <f t="shared" si="21"/>
        <v>42.33</v>
      </c>
      <c r="J101" s="574">
        <f t="shared" si="22"/>
        <v>84.33</v>
      </c>
      <c r="K101" s="644">
        <f t="shared" ref="K101:K109" si="30">H101-J101</f>
        <v>0</v>
      </c>
      <c r="L101" s="708">
        <f t="shared" si="29"/>
        <v>339.85</v>
      </c>
      <c r="M101" s="708">
        <f t="shared" si="29"/>
        <v>170.59</v>
      </c>
      <c r="N101" s="708">
        <f t="shared" si="29"/>
        <v>339.85</v>
      </c>
      <c r="O101" s="718">
        <f t="shared" si="29"/>
        <v>0</v>
      </c>
      <c r="P101" s="617">
        <f t="shared" si="26"/>
        <v>1</v>
      </c>
      <c r="Q101" s="525"/>
      <c r="S101" s="192">
        <v>600</v>
      </c>
      <c r="T101" s="192">
        <v>600</v>
      </c>
      <c r="BT101" s="659"/>
      <c r="BU101" s="659">
        <v>42.33</v>
      </c>
      <c r="BV101" s="659">
        <v>42</v>
      </c>
      <c r="BW101" s="523">
        <v>0</v>
      </c>
      <c r="BX101" s="523">
        <v>0</v>
      </c>
      <c r="BY101" s="523">
        <v>0</v>
      </c>
      <c r="BZ101" s="523">
        <v>0</v>
      </c>
      <c r="CA101" s="523"/>
      <c r="CB101" s="523"/>
      <c r="CC101" s="523"/>
      <c r="CD101" s="523"/>
      <c r="CE101" s="523"/>
      <c r="CF101" s="523"/>
      <c r="CG101" s="523"/>
      <c r="CH101" s="523"/>
      <c r="CI101" s="523">
        <f t="shared" si="20"/>
        <v>84.33</v>
      </c>
    </row>
    <row r="102" spans="1:87" s="110" customFormat="1" ht="15" x14ac:dyDescent="0.2">
      <c r="A102" s="612" t="s">
        <v>1463</v>
      </c>
      <c r="B102" s="613">
        <v>87531</v>
      </c>
      <c r="C102" s="613" t="s">
        <v>1324</v>
      </c>
      <c r="D102" s="614" t="s">
        <v>1464</v>
      </c>
      <c r="E102" s="615" t="s">
        <v>14</v>
      </c>
      <c r="F102" s="644">
        <v>180.11</v>
      </c>
      <c r="G102" s="616">
        <v>26.27</v>
      </c>
      <c r="H102" s="615">
        <v>743.93</v>
      </c>
      <c r="I102" s="574">
        <f t="shared" si="21"/>
        <v>37.92999999999995</v>
      </c>
      <c r="J102" s="574">
        <f t="shared" si="22"/>
        <v>743.93</v>
      </c>
      <c r="K102" s="644">
        <f t="shared" si="30"/>
        <v>0</v>
      </c>
      <c r="L102" s="708">
        <f t="shared" si="29"/>
        <v>19543.04</v>
      </c>
      <c r="M102" s="708">
        <f t="shared" si="29"/>
        <v>996.42</v>
      </c>
      <c r="N102" s="708">
        <f t="shared" si="29"/>
        <v>19543.04</v>
      </c>
      <c r="O102" s="718">
        <f t="shared" si="29"/>
        <v>0</v>
      </c>
      <c r="P102" s="617">
        <f t="shared" si="26"/>
        <v>1</v>
      </c>
      <c r="Q102" s="525"/>
      <c r="S102" s="192">
        <v>358.92</v>
      </c>
      <c r="T102" s="192">
        <v>358.92</v>
      </c>
      <c r="BT102" s="659"/>
      <c r="BU102" s="659">
        <v>37.92999999999995</v>
      </c>
      <c r="BV102" s="659">
        <v>36</v>
      </c>
      <c r="BW102" s="523">
        <v>670</v>
      </c>
      <c r="BX102" s="523">
        <v>0</v>
      </c>
      <c r="BY102" s="523">
        <v>0</v>
      </c>
      <c r="BZ102" s="523">
        <v>0</v>
      </c>
      <c r="CA102" s="523"/>
      <c r="CB102" s="523"/>
      <c r="CC102" s="523"/>
      <c r="CD102" s="523"/>
      <c r="CE102" s="523"/>
      <c r="CF102" s="523"/>
      <c r="CG102" s="523"/>
      <c r="CH102" s="523"/>
      <c r="CI102" s="523">
        <f t="shared" si="20"/>
        <v>743.93</v>
      </c>
    </row>
    <row r="103" spans="1:87" ht="15" x14ac:dyDescent="0.2">
      <c r="A103" s="612" t="s">
        <v>1465</v>
      </c>
      <c r="B103" s="613" t="s">
        <v>1466</v>
      </c>
      <c r="C103" s="613" t="s">
        <v>1324</v>
      </c>
      <c r="D103" s="614" t="s">
        <v>1467</v>
      </c>
      <c r="E103" s="615" t="s">
        <v>14</v>
      </c>
      <c r="F103" s="644">
        <v>327.47000000000003</v>
      </c>
      <c r="G103" s="616">
        <v>12.12</v>
      </c>
      <c r="H103" s="615">
        <v>445.04</v>
      </c>
      <c r="I103" s="574">
        <f t="shared" si="21"/>
        <v>44.04000000000002</v>
      </c>
      <c r="J103" s="574">
        <f t="shared" si="22"/>
        <v>445.04</v>
      </c>
      <c r="K103" s="644">
        <f t="shared" si="30"/>
        <v>0</v>
      </c>
      <c r="L103" s="708">
        <f t="shared" si="29"/>
        <v>5393.88</v>
      </c>
      <c r="M103" s="708">
        <f t="shared" si="29"/>
        <v>533.76</v>
      </c>
      <c r="N103" s="708">
        <f t="shared" si="29"/>
        <v>5393.88</v>
      </c>
      <c r="O103" s="718">
        <f t="shared" si="29"/>
        <v>0</v>
      </c>
      <c r="P103" s="617">
        <f t="shared" si="26"/>
        <v>1</v>
      </c>
      <c r="Q103" s="525"/>
      <c r="S103" s="189">
        <v>0</v>
      </c>
      <c r="T103" s="189">
        <v>0</v>
      </c>
      <c r="BT103" s="659"/>
      <c r="BU103" s="659">
        <v>44.04000000000002</v>
      </c>
      <c r="BV103" s="659">
        <v>21</v>
      </c>
      <c r="BW103" s="523">
        <v>380</v>
      </c>
      <c r="BX103" s="523">
        <v>0</v>
      </c>
      <c r="BY103" s="523">
        <v>0</v>
      </c>
      <c r="BZ103" s="523">
        <v>0</v>
      </c>
      <c r="CA103" s="523"/>
      <c r="CB103" s="523"/>
      <c r="CC103" s="523"/>
      <c r="CD103" s="523"/>
      <c r="CE103" s="523"/>
      <c r="CF103" s="523"/>
      <c r="CG103" s="523"/>
      <c r="CH103" s="523"/>
      <c r="CI103" s="523">
        <f t="shared" si="20"/>
        <v>445.04</v>
      </c>
    </row>
    <row r="104" spans="1:87" ht="15" x14ac:dyDescent="0.2">
      <c r="A104" s="680" t="s">
        <v>1468</v>
      </c>
      <c r="B104" s="569" t="s">
        <v>1466</v>
      </c>
      <c r="C104" s="569" t="s">
        <v>1324</v>
      </c>
      <c r="D104" s="569" t="s">
        <v>1469</v>
      </c>
      <c r="E104" s="681" t="s">
        <v>14</v>
      </c>
      <c r="F104" s="644">
        <v>381.87</v>
      </c>
      <c r="G104" s="682">
        <v>14.08</v>
      </c>
      <c r="H104" s="681">
        <v>84.33</v>
      </c>
      <c r="I104" s="622">
        <f t="shared" si="21"/>
        <v>4.3299999999999983</v>
      </c>
      <c r="J104" s="574">
        <f t="shared" si="22"/>
        <v>84.33</v>
      </c>
      <c r="K104" s="644">
        <f t="shared" si="30"/>
        <v>0</v>
      </c>
      <c r="L104" s="708">
        <f t="shared" si="29"/>
        <v>1187.3699999999999</v>
      </c>
      <c r="M104" s="708">
        <f t="shared" si="29"/>
        <v>60.97</v>
      </c>
      <c r="N104" s="708">
        <f t="shared" si="29"/>
        <v>1187.3699999999999</v>
      </c>
      <c r="O104" s="718">
        <f t="shared" si="29"/>
        <v>0</v>
      </c>
      <c r="P104" s="617">
        <f t="shared" si="26"/>
        <v>1</v>
      </c>
      <c r="Q104" s="525"/>
      <c r="S104" s="189">
        <v>0</v>
      </c>
      <c r="T104" s="189">
        <v>0</v>
      </c>
      <c r="BT104" s="659"/>
      <c r="BU104" s="659">
        <v>4.3299999999999983</v>
      </c>
      <c r="BV104" s="659">
        <v>80</v>
      </c>
      <c r="BW104" s="523">
        <v>0</v>
      </c>
      <c r="BX104" s="523">
        <v>0</v>
      </c>
      <c r="BY104" s="523">
        <v>0</v>
      </c>
      <c r="BZ104" s="523">
        <v>0</v>
      </c>
      <c r="CA104" s="523"/>
      <c r="CB104" s="523"/>
      <c r="CC104" s="523"/>
      <c r="CD104" s="523"/>
      <c r="CE104" s="523"/>
      <c r="CF104" s="523"/>
      <c r="CG104" s="523"/>
      <c r="CH104" s="523"/>
      <c r="CI104" s="523">
        <f t="shared" si="20"/>
        <v>84.33</v>
      </c>
    </row>
    <row r="105" spans="1:87" ht="15.75" x14ac:dyDescent="0.2">
      <c r="A105" s="680" t="s">
        <v>1470</v>
      </c>
      <c r="B105" s="569">
        <v>87905</v>
      </c>
      <c r="C105" s="569" t="s">
        <v>1324</v>
      </c>
      <c r="D105" s="569" t="s">
        <v>1471</v>
      </c>
      <c r="E105" s="681" t="s">
        <v>14</v>
      </c>
      <c r="F105" s="578"/>
      <c r="G105" s="682">
        <v>6.11</v>
      </c>
      <c r="H105" s="681">
        <v>140.33000000000001</v>
      </c>
      <c r="I105" s="622">
        <f t="shared" si="21"/>
        <v>91.354830000000007</v>
      </c>
      <c r="J105" s="574">
        <f t="shared" si="22"/>
        <v>105.35483000000001</v>
      </c>
      <c r="K105" s="644">
        <f t="shared" si="30"/>
        <v>34.975170000000006</v>
      </c>
      <c r="L105" s="708">
        <f t="shared" si="29"/>
        <v>857.42</v>
      </c>
      <c r="M105" s="708">
        <f t="shared" si="29"/>
        <v>558.17999999999995</v>
      </c>
      <c r="N105" s="708">
        <f t="shared" si="29"/>
        <v>643.72</v>
      </c>
      <c r="O105" s="718">
        <f t="shared" si="29"/>
        <v>213.7</v>
      </c>
      <c r="P105" s="617">
        <f t="shared" si="26"/>
        <v>0.75076391966597478</v>
      </c>
      <c r="Q105" s="525"/>
      <c r="S105" s="189">
        <v>0</v>
      </c>
      <c r="T105" s="189">
        <v>0</v>
      </c>
      <c r="BT105" s="659"/>
      <c r="BU105" s="659">
        <f>H105*0.651</f>
        <v>91.354830000000007</v>
      </c>
      <c r="BV105" s="659">
        <v>14</v>
      </c>
      <c r="BW105" s="523">
        <v>0</v>
      </c>
      <c r="BX105" s="523">
        <v>0</v>
      </c>
      <c r="BY105" s="523">
        <v>0</v>
      </c>
      <c r="BZ105" s="523">
        <v>0</v>
      </c>
      <c r="CA105" s="523"/>
      <c r="CB105" s="523"/>
      <c r="CC105" s="523"/>
      <c r="CD105" s="523"/>
      <c r="CE105" s="523"/>
      <c r="CF105" s="523"/>
      <c r="CG105" s="523"/>
      <c r="CH105" s="523"/>
      <c r="CI105" s="523">
        <f t="shared" si="20"/>
        <v>105.35483000000001</v>
      </c>
    </row>
    <row r="106" spans="1:87" ht="15.75" x14ac:dyDescent="0.2">
      <c r="A106" s="680" t="s">
        <v>1472</v>
      </c>
      <c r="B106" s="569">
        <v>87531</v>
      </c>
      <c r="C106" s="569" t="s">
        <v>1324</v>
      </c>
      <c r="D106" s="569" t="s">
        <v>1473</v>
      </c>
      <c r="E106" s="681" t="s">
        <v>14</v>
      </c>
      <c r="F106" s="578"/>
      <c r="G106" s="682">
        <v>26.27</v>
      </c>
      <c r="H106" s="681">
        <v>140.33000000000001</v>
      </c>
      <c r="I106" s="622">
        <f>BU106</f>
        <v>105.35976400000001</v>
      </c>
      <c r="J106" s="574">
        <f t="shared" si="22"/>
        <v>105.35976400000001</v>
      </c>
      <c r="K106" s="644">
        <f t="shared" si="30"/>
        <v>34.970236</v>
      </c>
      <c r="L106" s="708">
        <f t="shared" si="29"/>
        <v>3686.47</v>
      </c>
      <c r="M106" s="708">
        <f>ROUND(I106*$G106,2)</f>
        <v>2767.8</v>
      </c>
      <c r="N106" s="708">
        <f t="shared" si="29"/>
        <v>2767.8</v>
      </c>
      <c r="O106" s="718">
        <f t="shared" si="29"/>
        <v>918.67</v>
      </c>
      <c r="P106" s="617">
        <f t="shared" si="26"/>
        <v>0.75079954536453586</v>
      </c>
      <c r="Q106" s="525"/>
      <c r="S106" s="189">
        <v>0</v>
      </c>
      <c r="T106" s="189">
        <v>0</v>
      </c>
      <c r="BT106" s="525"/>
      <c r="BU106" s="659">
        <f>H106*0.7508</f>
        <v>105.35976400000001</v>
      </c>
      <c r="BV106" s="523"/>
      <c r="BW106" s="523">
        <v>0</v>
      </c>
      <c r="BX106" s="523">
        <v>0</v>
      </c>
      <c r="BY106" s="523">
        <v>0</v>
      </c>
      <c r="BZ106" s="523">
        <v>0</v>
      </c>
      <c r="CA106" s="523"/>
      <c r="CB106" s="523"/>
      <c r="CC106" s="523"/>
      <c r="CD106" s="523"/>
      <c r="CE106" s="523"/>
      <c r="CF106" s="523"/>
      <c r="CG106" s="523"/>
      <c r="CH106" s="523"/>
      <c r="CI106" s="523">
        <f t="shared" si="20"/>
        <v>105.35976400000001</v>
      </c>
    </row>
    <row r="107" spans="1:87" ht="15.75" x14ac:dyDescent="0.2">
      <c r="A107" s="680" t="s">
        <v>1474</v>
      </c>
      <c r="B107" s="569" t="s">
        <v>1466</v>
      </c>
      <c r="C107" s="569" t="s">
        <v>1324</v>
      </c>
      <c r="D107" s="569" t="s">
        <v>1475</v>
      </c>
      <c r="E107" s="681" t="s">
        <v>14</v>
      </c>
      <c r="F107" s="578"/>
      <c r="G107" s="682">
        <v>16.23</v>
      </c>
      <c r="H107" s="681">
        <v>140.33000000000001</v>
      </c>
      <c r="I107" s="622">
        <f t="shared" si="21"/>
        <v>105.35976400000001</v>
      </c>
      <c r="J107" s="574">
        <f t="shared" si="22"/>
        <v>105.35976400000001</v>
      </c>
      <c r="K107" s="644">
        <f t="shared" si="30"/>
        <v>34.970236</v>
      </c>
      <c r="L107" s="708">
        <f t="shared" si="29"/>
        <v>2277.56</v>
      </c>
      <c r="M107" s="708">
        <f t="shared" si="29"/>
        <v>1709.99</v>
      </c>
      <c r="N107" s="708">
        <f t="shared" si="29"/>
        <v>1709.99</v>
      </c>
      <c r="O107" s="718">
        <f t="shared" si="29"/>
        <v>567.57000000000005</v>
      </c>
      <c r="P107" s="617">
        <f t="shared" si="26"/>
        <v>0.75079910079207579</v>
      </c>
      <c r="Q107" s="525"/>
      <c r="S107" s="189">
        <v>0</v>
      </c>
      <c r="T107" s="189">
        <v>0</v>
      </c>
      <c r="BT107" s="525"/>
      <c r="BU107" s="659">
        <f>H107*0.7508</f>
        <v>105.35976400000001</v>
      </c>
      <c r="BV107" s="523"/>
      <c r="BW107" s="523">
        <v>0</v>
      </c>
      <c r="BX107" s="523">
        <v>0</v>
      </c>
      <c r="BY107" s="523">
        <v>0</v>
      </c>
      <c r="BZ107" s="523">
        <v>0</v>
      </c>
      <c r="CA107" s="523"/>
      <c r="CB107" s="523"/>
      <c r="CC107" s="523"/>
      <c r="CD107" s="523"/>
      <c r="CE107" s="523"/>
      <c r="CF107" s="523"/>
      <c r="CG107" s="523"/>
      <c r="CH107" s="523"/>
      <c r="CI107" s="523">
        <f t="shared" si="20"/>
        <v>105.35976400000001</v>
      </c>
    </row>
    <row r="108" spans="1:87" ht="30" x14ac:dyDescent="0.2">
      <c r="A108" s="680" t="s">
        <v>1476</v>
      </c>
      <c r="B108" s="569">
        <v>87272</v>
      </c>
      <c r="C108" s="569" t="s">
        <v>1324</v>
      </c>
      <c r="D108" s="569" t="s">
        <v>1477</v>
      </c>
      <c r="E108" s="681" t="s">
        <v>14</v>
      </c>
      <c r="F108" s="644">
        <v>319.5</v>
      </c>
      <c r="G108" s="682">
        <v>45.67</v>
      </c>
      <c r="H108" s="681">
        <v>210.5</v>
      </c>
      <c r="I108" s="622">
        <f t="shared" si="21"/>
        <v>105.12</v>
      </c>
      <c r="J108" s="574">
        <f t="shared" si="22"/>
        <v>105.12</v>
      </c>
      <c r="K108" s="644">
        <f t="shared" si="30"/>
        <v>105.38</v>
      </c>
      <c r="L108" s="708">
        <f t="shared" si="29"/>
        <v>9613.5400000000009</v>
      </c>
      <c r="M108" s="708">
        <f t="shared" si="29"/>
        <v>4800.83</v>
      </c>
      <c r="N108" s="708">
        <f t="shared" si="29"/>
        <v>4800.83</v>
      </c>
      <c r="O108" s="718">
        <f t="shared" si="29"/>
        <v>4812.7</v>
      </c>
      <c r="P108" s="617">
        <f t="shared" si="26"/>
        <v>0.49938212146618199</v>
      </c>
      <c r="Q108" s="525"/>
      <c r="S108" s="189">
        <v>0</v>
      </c>
      <c r="T108" s="189">
        <v>0</v>
      </c>
      <c r="BT108" s="525"/>
      <c r="BU108" s="523">
        <v>105.12</v>
      </c>
      <c r="BV108" s="523"/>
      <c r="BW108" s="523">
        <v>0</v>
      </c>
      <c r="BX108" s="523">
        <v>0</v>
      </c>
      <c r="BY108" s="523">
        <v>0</v>
      </c>
      <c r="BZ108" s="523">
        <v>0</v>
      </c>
      <c r="CA108" s="523"/>
      <c r="CB108" s="523"/>
      <c r="CC108" s="523"/>
      <c r="CD108" s="523"/>
      <c r="CE108" s="523"/>
      <c r="CF108" s="523"/>
      <c r="CG108" s="523"/>
      <c r="CH108" s="523"/>
      <c r="CI108" s="523">
        <f t="shared" si="20"/>
        <v>105.12</v>
      </c>
    </row>
    <row r="109" spans="1:87" ht="30" x14ac:dyDescent="0.2">
      <c r="A109" s="680" t="s">
        <v>1478</v>
      </c>
      <c r="B109" s="569">
        <v>87267</v>
      </c>
      <c r="C109" s="569" t="s">
        <v>1324</v>
      </c>
      <c r="D109" s="569" t="s">
        <v>1479</v>
      </c>
      <c r="E109" s="681" t="s">
        <v>14</v>
      </c>
      <c r="F109" s="644">
        <v>347.14</v>
      </c>
      <c r="G109" s="682">
        <v>46.64</v>
      </c>
      <c r="H109" s="681">
        <v>85.51</v>
      </c>
      <c r="I109" s="622">
        <f t="shared" si="21"/>
        <v>42.88</v>
      </c>
      <c r="J109" s="574">
        <f t="shared" si="22"/>
        <v>42.88</v>
      </c>
      <c r="K109" s="644">
        <f t="shared" si="30"/>
        <v>42.63</v>
      </c>
      <c r="L109" s="708">
        <f t="shared" si="29"/>
        <v>3988.19</v>
      </c>
      <c r="M109" s="708">
        <f t="shared" si="29"/>
        <v>1999.92</v>
      </c>
      <c r="N109" s="708">
        <f t="shared" si="29"/>
        <v>1999.92</v>
      </c>
      <c r="O109" s="718">
        <f t="shared" si="29"/>
        <v>1988.26</v>
      </c>
      <c r="P109" s="617">
        <f t="shared" si="26"/>
        <v>0.50146056231022096</v>
      </c>
      <c r="Q109" s="525"/>
      <c r="S109" s="189">
        <v>0</v>
      </c>
      <c r="T109" s="189">
        <v>0</v>
      </c>
      <c r="BT109" s="525"/>
      <c r="BU109" s="523">
        <v>42.88</v>
      </c>
      <c r="BV109" s="523"/>
      <c r="BW109" s="523">
        <v>0</v>
      </c>
      <c r="BX109" s="523">
        <v>0</v>
      </c>
      <c r="BY109" s="523">
        <v>0</v>
      </c>
      <c r="BZ109" s="523">
        <v>0</v>
      </c>
      <c r="CA109" s="523"/>
      <c r="CB109" s="523"/>
      <c r="CC109" s="523"/>
      <c r="CD109" s="523"/>
      <c r="CE109" s="523"/>
      <c r="CF109" s="523"/>
      <c r="CG109" s="523"/>
      <c r="CH109" s="523"/>
      <c r="CI109" s="523">
        <f t="shared" si="20"/>
        <v>42.88</v>
      </c>
    </row>
    <row r="110" spans="1:87" s="663" customFormat="1" ht="15.75" x14ac:dyDescent="0.2">
      <c r="A110" s="600">
        <v>10</v>
      </c>
      <c r="B110" s="558"/>
      <c r="C110" s="558"/>
      <c r="D110" s="558" t="s">
        <v>1480</v>
      </c>
      <c r="E110" s="626"/>
      <c r="F110" s="626"/>
      <c r="G110" s="626"/>
      <c r="H110" s="626"/>
      <c r="I110" s="626"/>
      <c r="J110" s="626"/>
      <c r="K110" s="626"/>
      <c r="L110" s="734">
        <f>SUM(L111,L117)</f>
        <v>60566.09</v>
      </c>
      <c r="M110" s="734">
        <f>SUM(M111,M117)</f>
        <v>1794.46</v>
      </c>
      <c r="N110" s="734">
        <f>SUM(N111,N117)</f>
        <v>10660.060000000001</v>
      </c>
      <c r="O110" s="721">
        <f>SUM(O111,O117)</f>
        <v>49906.03</v>
      </c>
      <c r="P110" s="604">
        <f t="shared" si="26"/>
        <v>0.17600706930231094</v>
      </c>
      <c r="Q110" s="525"/>
      <c r="S110" s="190">
        <v>0</v>
      </c>
      <c r="T110" s="190">
        <v>0</v>
      </c>
      <c r="BT110" s="525"/>
      <c r="BU110" s="523"/>
      <c r="BV110" s="523"/>
      <c r="BW110" s="523">
        <v>0</v>
      </c>
      <c r="BX110" s="523">
        <v>0</v>
      </c>
      <c r="BY110" s="523"/>
      <c r="BZ110" s="523"/>
      <c r="CA110" s="523"/>
      <c r="CB110" s="523"/>
      <c r="CC110" s="523"/>
      <c r="CD110" s="523"/>
      <c r="CE110" s="523"/>
      <c r="CF110" s="523"/>
      <c r="CG110" s="523"/>
      <c r="CH110" s="523"/>
      <c r="CI110" s="523">
        <f t="shared" si="20"/>
        <v>0</v>
      </c>
    </row>
    <row r="111" spans="1:87" ht="15.75" x14ac:dyDescent="0.2">
      <c r="A111" s="605" t="s">
        <v>254</v>
      </c>
      <c r="B111" s="586"/>
      <c r="C111" s="586"/>
      <c r="D111" s="586" t="s">
        <v>1481</v>
      </c>
      <c r="E111" s="609"/>
      <c r="F111" s="609"/>
      <c r="G111" s="609"/>
      <c r="H111" s="609"/>
      <c r="I111" s="609"/>
      <c r="J111" s="609"/>
      <c r="K111" s="609"/>
      <c r="L111" s="733">
        <f>SUM(L112:L116)</f>
        <v>54520.32</v>
      </c>
      <c r="M111" s="733">
        <f>SUM(M112:M116)</f>
        <v>0</v>
      </c>
      <c r="N111" s="733">
        <f>SUM(N112:N116)</f>
        <v>8865.6</v>
      </c>
      <c r="O111" s="722">
        <f>SUM(O112:O116)</f>
        <v>45654.720000000001</v>
      </c>
      <c r="P111" s="611">
        <f t="shared" si="26"/>
        <v>0.16261093111705874</v>
      </c>
      <c r="Q111" s="525"/>
      <c r="BT111" s="525"/>
      <c r="BU111" s="523"/>
      <c r="BV111" s="523"/>
      <c r="BW111" s="523">
        <v>0</v>
      </c>
      <c r="BX111" s="523">
        <v>0</v>
      </c>
      <c r="BY111" s="523"/>
      <c r="BZ111" s="523"/>
      <c r="CA111" s="523"/>
      <c r="CB111" s="523"/>
      <c r="CC111" s="523"/>
      <c r="CD111" s="523"/>
      <c r="CE111" s="523"/>
      <c r="CF111" s="523"/>
      <c r="CG111" s="523"/>
      <c r="CH111" s="523"/>
      <c r="CI111" s="523">
        <f t="shared" si="20"/>
        <v>0</v>
      </c>
    </row>
    <row r="112" spans="1:87" ht="15" x14ac:dyDescent="0.2">
      <c r="A112" s="680" t="s">
        <v>1482</v>
      </c>
      <c r="B112" s="569" t="s">
        <v>2007</v>
      </c>
      <c r="C112" s="569" t="s">
        <v>1339</v>
      </c>
      <c r="D112" s="569" t="s">
        <v>1483</v>
      </c>
      <c r="E112" s="681" t="s">
        <v>14</v>
      </c>
      <c r="F112" s="644">
        <v>52.1</v>
      </c>
      <c r="G112" s="682">
        <v>30.94</v>
      </c>
      <c r="H112" s="681">
        <v>64.91</v>
      </c>
      <c r="I112" s="622">
        <f t="shared" si="21"/>
        <v>0</v>
      </c>
      <c r="J112" s="574">
        <f t="shared" si="22"/>
        <v>59.717199999999998</v>
      </c>
      <c r="K112" s="644">
        <f>H112-J112</f>
        <v>5.1927999999999983</v>
      </c>
      <c r="L112" s="708">
        <f t="shared" ref="L112:O116" si="31">ROUND(H112*$G112,2)</f>
        <v>2008.32</v>
      </c>
      <c r="M112" s="708">
        <f t="shared" si="31"/>
        <v>0</v>
      </c>
      <c r="N112" s="708">
        <f t="shared" si="31"/>
        <v>1847.65</v>
      </c>
      <c r="O112" s="718">
        <f t="shared" si="31"/>
        <v>160.66999999999999</v>
      </c>
      <c r="P112" s="617">
        <f t="shared" si="26"/>
        <v>0.91999780911408546</v>
      </c>
      <c r="Q112" s="525"/>
      <c r="BT112" s="525"/>
      <c r="BU112" s="659"/>
      <c r="BV112" s="659">
        <v>59.717199999999998</v>
      </c>
      <c r="BW112" s="523">
        <v>0</v>
      </c>
      <c r="BX112" s="523">
        <v>0</v>
      </c>
      <c r="BY112" s="523">
        <v>0</v>
      </c>
      <c r="BZ112" s="523">
        <v>0</v>
      </c>
      <c r="CA112" s="523"/>
      <c r="CB112" s="523"/>
      <c r="CC112" s="523"/>
      <c r="CD112" s="523"/>
      <c r="CE112" s="523"/>
      <c r="CF112" s="523"/>
      <c r="CG112" s="523"/>
      <c r="CH112" s="523"/>
      <c r="CI112" s="523">
        <f t="shared" si="20"/>
        <v>59.717199999999998</v>
      </c>
    </row>
    <row r="113" spans="1:87" ht="15" x14ac:dyDescent="0.2">
      <c r="A113" s="680" t="s">
        <v>1484</v>
      </c>
      <c r="B113" s="569">
        <v>87630</v>
      </c>
      <c r="C113" s="569" t="s">
        <v>1324</v>
      </c>
      <c r="D113" s="569" t="s">
        <v>1485</v>
      </c>
      <c r="E113" s="681" t="s">
        <v>14</v>
      </c>
      <c r="F113" s="644">
        <v>15.24</v>
      </c>
      <c r="G113" s="682">
        <v>30.71</v>
      </c>
      <c r="H113" s="681">
        <v>64.91</v>
      </c>
      <c r="I113" s="622">
        <f t="shared" si="21"/>
        <v>0</v>
      </c>
      <c r="J113" s="574">
        <f t="shared" si="22"/>
        <v>0</v>
      </c>
      <c r="K113" s="644">
        <f>H113-J113</f>
        <v>64.91</v>
      </c>
      <c r="L113" s="708">
        <f t="shared" si="31"/>
        <v>1993.39</v>
      </c>
      <c r="M113" s="708">
        <f t="shared" si="31"/>
        <v>0</v>
      </c>
      <c r="N113" s="708">
        <f t="shared" si="31"/>
        <v>0</v>
      </c>
      <c r="O113" s="718">
        <f t="shared" si="31"/>
        <v>1993.39</v>
      </c>
      <c r="P113" s="617">
        <f t="shared" si="26"/>
        <v>0</v>
      </c>
      <c r="Q113" s="525"/>
      <c r="BT113" s="525"/>
      <c r="BU113" s="523"/>
      <c r="BV113" s="523"/>
      <c r="BW113" s="523">
        <v>0</v>
      </c>
      <c r="BX113" s="523">
        <v>0</v>
      </c>
      <c r="BY113" s="523">
        <v>0</v>
      </c>
      <c r="BZ113" s="523">
        <v>0</v>
      </c>
      <c r="CA113" s="523"/>
      <c r="CB113" s="523"/>
      <c r="CC113" s="523"/>
      <c r="CD113" s="523"/>
      <c r="CE113" s="523"/>
      <c r="CF113" s="523"/>
      <c r="CG113" s="523"/>
      <c r="CH113" s="523"/>
      <c r="CI113" s="523">
        <f t="shared" si="20"/>
        <v>0</v>
      </c>
    </row>
    <row r="114" spans="1:87" ht="30" x14ac:dyDescent="0.2">
      <c r="A114" s="680" t="s">
        <v>1486</v>
      </c>
      <c r="B114" s="569">
        <v>72136</v>
      </c>
      <c r="C114" s="569" t="s">
        <v>1324</v>
      </c>
      <c r="D114" s="569" t="s">
        <v>1487</v>
      </c>
      <c r="E114" s="681" t="s">
        <v>14</v>
      </c>
      <c r="F114" s="644">
        <v>584.54999999999995</v>
      </c>
      <c r="G114" s="682">
        <v>71.489999999999995</v>
      </c>
      <c r="H114" s="681">
        <v>676.67</v>
      </c>
      <c r="I114" s="622">
        <f t="shared" si="21"/>
        <v>0</v>
      </c>
      <c r="J114" s="574">
        <f t="shared" si="22"/>
        <v>98.166899999999998</v>
      </c>
      <c r="K114" s="644">
        <f>H114-J114</f>
        <v>578.5030999999999</v>
      </c>
      <c r="L114" s="708">
        <f t="shared" si="31"/>
        <v>48375.14</v>
      </c>
      <c r="M114" s="708">
        <f t="shared" si="31"/>
        <v>0</v>
      </c>
      <c r="N114" s="708">
        <f t="shared" si="31"/>
        <v>7017.95</v>
      </c>
      <c r="O114" s="718">
        <f t="shared" si="31"/>
        <v>41357.19</v>
      </c>
      <c r="P114" s="617">
        <f t="shared" si="26"/>
        <v>0.14507348195788167</v>
      </c>
      <c r="Q114" s="525"/>
      <c r="BT114" s="525"/>
      <c r="BU114" s="523"/>
      <c r="BV114" s="523"/>
      <c r="BW114" s="523">
        <v>98.166899999999998</v>
      </c>
      <c r="BX114" s="523">
        <v>0</v>
      </c>
      <c r="BY114" s="523">
        <v>0</v>
      </c>
      <c r="BZ114" s="523">
        <v>0</v>
      </c>
      <c r="CA114" s="523"/>
      <c r="CB114" s="523"/>
      <c r="CC114" s="523"/>
      <c r="CD114" s="523"/>
      <c r="CE114" s="523"/>
      <c r="CF114" s="523"/>
      <c r="CG114" s="523"/>
      <c r="CH114" s="523"/>
      <c r="CI114" s="523">
        <f t="shared" si="20"/>
        <v>98.166899999999998</v>
      </c>
    </row>
    <row r="115" spans="1:87" ht="15" x14ac:dyDescent="0.2">
      <c r="A115" s="680" t="s">
        <v>1488</v>
      </c>
      <c r="B115" s="569">
        <v>87251</v>
      </c>
      <c r="C115" s="569" t="s">
        <v>1324</v>
      </c>
      <c r="D115" s="569" t="s">
        <v>1489</v>
      </c>
      <c r="E115" s="681" t="s">
        <v>14</v>
      </c>
      <c r="F115" s="644">
        <v>18.86</v>
      </c>
      <c r="G115" s="682">
        <v>31.13</v>
      </c>
      <c r="H115" s="681">
        <v>64.91</v>
      </c>
      <c r="I115" s="622">
        <f t="shared" si="21"/>
        <v>0</v>
      </c>
      <c r="J115" s="574">
        <f t="shared" si="22"/>
        <v>0</v>
      </c>
      <c r="K115" s="644">
        <f>H115-J115</f>
        <v>64.91</v>
      </c>
      <c r="L115" s="708">
        <f t="shared" si="31"/>
        <v>2020.65</v>
      </c>
      <c r="M115" s="708">
        <f t="shared" si="31"/>
        <v>0</v>
      </c>
      <c r="N115" s="708">
        <f t="shared" si="31"/>
        <v>0</v>
      </c>
      <c r="O115" s="718">
        <f t="shared" si="31"/>
        <v>2020.65</v>
      </c>
      <c r="P115" s="617">
        <f t="shared" si="26"/>
        <v>0</v>
      </c>
      <c r="Q115" s="525"/>
      <c r="BT115" s="525"/>
      <c r="BU115" s="523"/>
      <c r="BV115" s="523"/>
      <c r="BW115" s="523">
        <v>0</v>
      </c>
      <c r="BX115" s="523">
        <v>0</v>
      </c>
      <c r="BY115" s="523">
        <v>0</v>
      </c>
      <c r="BZ115" s="523">
        <v>0</v>
      </c>
      <c r="CA115" s="523"/>
      <c r="CB115" s="523"/>
      <c r="CC115" s="523"/>
      <c r="CD115" s="523"/>
      <c r="CE115" s="523"/>
      <c r="CF115" s="523"/>
      <c r="CG115" s="523"/>
      <c r="CH115" s="523"/>
      <c r="CI115" s="523">
        <f t="shared" si="20"/>
        <v>0</v>
      </c>
    </row>
    <row r="116" spans="1:87" s="663" customFormat="1" ht="15" x14ac:dyDescent="0.2">
      <c r="A116" s="680" t="s">
        <v>1490</v>
      </c>
      <c r="B116" s="569" t="s">
        <v>2007</v>
      </c>
      <c r="C116" s="569" t="s">
        <v>1339</v>
      </c>
      <c r="D116" s="569" t="s">
        <v>1491</v>
      </c>
      <c r="E116" s="681" t="s">
        <v>81</v>
      </c>
      <c r="F116" s="644">
        <v>42.78</v>
      </c>
      <c r="G116" s="682">
        <v>45.49</v>
      </c>
      <c r="H116" s="681">
        <v>2.7</v>
      </c>
      <c r="I116" s="622">
        <f t="shared" si="21"/>
        <v>0</v>
      </c>
      <c r="J116" s="574">
        <f t="shared" si="22"/>
        <v>0</v>
      </c>
      <c r="K116" s="644">
        <f>H116-J116</f>
        <v>2.7</v>
      </c>
      <c r="L116" s="708">
        <f t="shared" si="31"/>
        <v>122.82</v>
      </c>
      <c r="M116" s="708">
        <f t="shared" si="31"/>
        <v>0</v>
      </c>
      <c r="N116" s="708">
        <f t="shared" si="31"/>
        <v>0</v>
      </c>
      <c r="O116" s="718">
        <f t="shared" si="31"/>
        <v>122.82</v>
      </c>
      <c r="P116" s="617">
        <f t="shared" si="26"/>
        <v>0</v>
      </c>
      <c r="Q116" s="525"/>
      <c r="S116" s="190">
        <v>0</v>
      </c>
      <c r="T116" s="190">
        <v>0</v>
      </c>
      <c r="BT116" s="525"/>
      <c r="BU116" s="523"/>
      <c r="BV116" s="523"/>
      <c r="BW116" s="523">
        <v>0</v>
      </c>
      <c r="BX116" s="523">
        <v>0</v>
      </c>
      <c r="BY116" s="523">
        <v>0</v>
      </c>
      <c r="BZ116" s="523">
        <v>0</v>
      </c>
      <c r="CA116" s="523"/>
      <c r="CB116" s="523"/>
      <c r="CC116" s="523"/>
      <c r="CD116" s="523"/>
      <c r="CE116" s="523"/>
      <c r="CF116" s="523"/>
      <c r="CG116" s="523"/>
      <c r="CH116" s="523"/>
      <c r="CI116" s="523">
        <f t="shared" si="20"/>
        <v>0</v>
      </c>
    </row>
    <row r="117" spans="1:87" ht="15.75" x14ac:dyDescent="0.2">
      <c r="A117" s="605" t="s">
        <v>256</v>
      </c>
      <c r="B117" s="586"/>
      <c r="C117" s="586"/>
      <c r="D117" s="586" t="s">
        <v>1256</v>
      </c>
      <c r="E117" s="609"/>
      <c r="F117" s="609"/>
      <c r="G117" s="609"/>
      <c r="H117" s="609"/>
      <c r="I117" s="609"/>
      <c r="J117" s="609"/>
      <c r="K117" s="609"/>
      <c r="L117" s="733">
        <f>SUM(L118:L120)</f>
        <v>6045.77</v>
      </c>
      <c r="M117" s="733">
        <f>SUM(M118:M120)</f>
        <v>1794.46</v>
      </c>
      <c r="N117" s="733">
        <f>SUM(N118:N120)</f>
        <v>1794.46</v>
      </c>
      <c r="O117" s="722">
        <f>SUM(O118:O120)</f>
        <v>4251.3099999999995</v>
      </c>
      <c r="P117" s="611">
        <f t="shared" si="26"/>
        <v>0.29681248211559486</v>
      </c>
      <c r="Q117" s="525"/>
      <c r="S117" s="189">
        <v>0</v>
      </c>
      <c r="T117" s="189">
        <v>0</v>
      </c>
      <c r="BT117" s="525"/>
      <c r="BU117" s="523"/>
      <c r="BV117" s="523"/>
      <c r="BW117" s="523">
        <v>0</v>
      </c>
      <c r="BX117" s="523">
        <v>0</v>
      </c>
      <c r="BY117" s="523"/>
      <c r="BZ117" s="523"/>
      <c r="CA117" s="523"/>
      <c r="CB117" s="523"/>
      <c r="CC117" s="523"/>
      <c r="CD117" s="523"/>
      <c r="CE117" s="523"/>
      <c r="CF117" s="523"/>
      <c r="CG117" s="523"/>
      <c r="CH117" s="523"/>
      <c r="CI117" s="523">
        <f t="shared" si="20"/>
        <v>0</v>
      </c>
    </row>
    <row r="118" spans="1:87" ht="15" x14ac:dyDescent="0.2">
      <c r="A118" s="680" t="s">
        <v>1492</v>
      </c>
      <c r="B118" s="569">
        <v>85181</v>
      </c>
      <c r="C118" s="569" t="s">
        <v>1324</v>
      </c>
      <c r="D118" s="569" t="s">
        <v>1493</v>
      </c>
      <c r="E118" s="681" t="s">
        <v>14</v>
      </c>
      <c r="F118" s="630"/>
      <c r="G118" s="682">
        <v>523.70000000000005</v>
      </c>
      <c r="H118" s="681">
        <v>9.7899999999999991</v>
      </c>
      <c r="I118" s="622">
        <f t="shared" si="21"/>
        <v>3.4264999999999994</v>
      </c>
      <c r="J118" s="574">
        <f t="shared" si="22"/>
        <v>3.4264999999999994</v>
      </c>
      <c r="K118" s="644">
        <f>H118-J118</f>
        <v>6.3635000000000002</v>
      </c>
      <c r="L118" s="708">
        <f t="shared" ref="L118:O120" si="32">ROUND(H118*$G118,2)</f>
        <v>5127.0200000000004</v>
      </c>
      <c r="M118" s="708">
        <f t="shared" si="32"/>
        <v>1794.46</v>
      </c>
      <c r="N118" s="708">
        <f t="shared" si="32"/>
        <v>1794.46</v>
      </c>
      <c r="O118" s="718">
        <f t="shared" si="32"/>
        <v>3332.56</v>
      </c>
      <c r="P118" s="617">
        <f t="shared" si="26"/>
        <v>0.35000058513522475</v>
      </c>
      <c r="Q118" s="525"/>
      <c r="S118" s="189">
        <v>0</v>
      </c>
      <c r="T118" s="189">
        <v>0</v>
      </c>
      <c r="BT118" s="525"/>
      <c r="BU118" s="659">
        <f>H118*0.35</f>
        <v>3.4264999999999994</v>
      </c>
      <c r="BV118" s="523"/>
      <c r="BW118" s="523">
        <v>0</v>
      </c>
      <c r="BX118" s="523">
        <v>0</v>
      </c>
      <c r="BY118" s="523">
        <v>0</v>
      </c>
      <c r="BZ118" s="523">
        <v>0</v>
      </c>
      <c r="CA118" s="523"/>
      <c r="CB118" s="523"/>
      <c r="CC118" s="523"/>
      <c r="CD118" s="523"/>
      <c r="CE118" s="523"/>
      <c r="CF118" s="523"/>
      <c r="CG118" s="523"/>
      <c r="CH118" s="523"/>
      <c r="CI118" s="523">
        <f t="shared" si="20"/>
        <v>3.4264999999999994</v>
      </c>
    </row>
    <row r="119" spans="1:87" ht="15" x14ac:dyDescent="0.2">
      <c r="A119" s="680" t="s">
        <v>1494</v>
      </c>
      <c r="B119" s="569">
        <v>5652</v>
      </c>
      <c r="C119" s="569" t="s">
        <v>1324</v>
      </c>
      <c r="D119" s="569" t="s">
        <v>1495</v>
      </c>
      <c r="E119" s="681" t="s">
        <v>48</v>
      </c>
      <c r="F119" s="630"/>
      <c r="G119" s="682">
        <v>276.27</v>
      </c>
      <c r="H119" s="681">
        <v>1.82</v>
      </c>
      <c r="I119" s="622">
        <f t="shared" si="21"/>
        <v>0</v>
      </c>
      <c r="J119" s="574">
        <f t="shared" si="22"/>
        <v>0</v>
      </c>
      <c r="K119" s="644">
        <f>H119-J119</f>
        <v>1.82</v>
      </c>
      <c r="L119" s="708">
        <f t="shared" si="32"/>
        <v>502.81</v>
      </c>
      <c r="M119" s="708">
        <f t="shared" si="32"/>
        <v>0</v>
      </c>
      <c r="N119" s="708">
        <f t="shared" si="32"/>
        <v>0</v>
      </c>
      <c r="O119" s="718">
        <f t="shared" si="32"/>
        <v>502.81</v>
      </c>
      <c r="P119" s="617">
        <f t="shared" si="26"/>
        <v>0</v>
      </c>
      <c r="Q119" s="525"/>
      <c r="S119" s="189">
        <v>0</v>
      </c>
      <c r="T119" s="189">
        <v>0</v>
      </c>
      <c r="BT119" s="525"/>
      <c r="BU119" s="523"/>
      <c r="BV119" s="523"/>
      <c r="BW119" s="523">
        <v>0</v>
      </c>
      <c r="BX119" s="523">
        <v>0</v>
      </c>
      <c r="BY119" s="523">
        <v>0</v>
      </c>
      <c r="BZ119" s="523">
        <v>0</v>
      </c>
      <c r="CA119" s="523"/>
      <c r="CB119" s="523"/>
      <c r="CC119" s="523"/>
      <c r="CD119" s="523"/>
      <c r="CE119" s="523"/>
      <c r="CF119" s="523"/>
      <c r="CG119" s="523"/>
      <c r="CH119" s="523"/>
      <c r="CI119" s="523">
        <f t="shared" si="20"/>
        <v>0</v>
      </c>
    </row>
    <row r="120" spans="1:87" s="663" customFormat="1" ht="30" x14ac:dyDescent="0.2">
      <c r="A120" s="680" t="s">
        <v>1496</v>
      </c>
      <c r="B120" s="569" t="s">
        <v>2007</v>
      </c>
      <c r="C120" s="569" t="s">
        <v>1339</v>
      </c>
      <c r="D120" s="569" t="s">
        <v>1497</v>
      </c>
      <c r="E120" s="681" t="s">
        <v>14</v>
      </c>
      <c r="F120" s="644">
        <v>7.73</v>
      </c>
      <c r="G120" s="682">
        <v>71.099999999999994</v>
      </c>
      <c r="H120" s="681">
        <v>5.85</v>
      </c>
      <c r="I120" s="622">
        <f t="shared" si="21"/>
        <v>0</v>
      </c>
      <c r="J120" s="574">
        <f t="shared" si="22"/>
        <v>0</v>
      </c>
      <c r="K120" s="644">
        <f>H120-J120</f>
        <v>5.85</v>
      </c>
      <c r="L120" s="708">
        <f t="shared" si="32"/>
        <v>415.94</v>
      </c>
      <c r="M120" s="708">
        <f t="shared" si="32"/>
        <v>0</v>
      </c>
      <c r="N120" s="708">
        <f t="shared" si="32"/>
        <v>0</v>
      </c>
      <c r="O120" s="718">
        <f t="shared" si="32"/>
        <v>415.94</v>
      </c>
      <c r="P120" s="617">
        <f t="shared" si="26"/>
        <v>0</v>
      </c>
      <c r="Q120" s="525"/>
      <c r="S120" s="190">
        <v>0</v>
      </c>
      <c r="T120" s="190">
        <v>0</v>
      </c>
      <c r="BT120" s="525"/>
      <c r="BU120" s="523"/>
      <c r="BV120" s="523"/>
      <c r="BW120" s="523">
        <v>0</v>
      </c>
      <c r="BX120" s="523">
        <v>0</v>
      </c>
      <c r="BY120" s="523">
        <v>0</v>
      </c>
      <c r="BZ120" s="523">
        <v>0</v>
      </c>
      <c r="CA120" s="523"/>
      <c r="CB120" s="523"/>
      <c r="CC120" s="523"/>
      <c r="CD120" s="523"/>
      <c r="CE120" s="523"/>
      <c r="CF120" s="523"/>
      <c r="CG120" s="523"/>
      <c r="CH120" s="523"/>
      <c r="CI120" s="523">
        <f t="shared" si="20"/>
        <v>0</v>
      </c>
    </row>
    <row r="121" spans="1:87" ht="15.75" x14ac:dyDescent="0.2">
      <c r="A121" s="600">
        <v>11</v>
      </c>
      <c r="B121" s="558"/>
      <c r="C121" s="558"/>
      <c r="D121" s="558" t="s">
        <v>1498</v>
      </c>
      <c r="E121" s="626"/>
      <c r="F121" s="626"/>
      <c r="G121" s="626"/>
      <c r="H121" s="626"/>
      <c r="I121" s="626"/>
      <c r="J121" s="626"/>
      <c r="K121" s="626"/>
      <c r="L121" s="628">
        <f>SUM(L122:L129)</f>
        <v>62088.5</v>
      </c>
      <c r="M121" s="628">
        <f>SUM(M122:M129)</f>
        <v>0</v>
      </c>
      <c r="N121" s="628">
        <f>SUM(N122:N129)</f>
        <v>0</v>
      </c>
      <c r="O121" s="721">
        <f>SUM(O122:O129)</f>
        <v>62088.5</v>
      </c>
      <c r="P121" s="604">
        <f t="shared" si="26"/>
        <v>0</v>
      </c>
      <c r="Q121" s="525"/>
      <c r="S121" s="189">
        <v>0</v>
      </c>
      <c r="T121" s="189">
        <v>0</v>
      </c>
      <c r="BT121" s="525"/>
      <c r="BU121" s="523"/>
      <c r="BV121" s="523"/>
      <c r="BW121" s="523">
        <v>0</v>
      </c>
      <c r="BX121" s="523">
        <v>0</v>
      </c>
      <c r="BY121" s="523"/>
      <c r="BZ121" s="523"/>
      <c r="CA121" s="523"/>
      <c r="CB121" s="523"/>
      <c r="CC121" s="523"/>
      <c r="CD121" s="523"/>
      <c r="CE121" s="523"/>
      <c r="CF121" s="523"/>
      <c r="CG121" s="523"/>
      <c r="CH121" s="523"/>
      <c r="CI121" s="523">
        <f t="shared" si="20"/>
        <v>0</v>
      </c>
    </row>
    <row r="122" spans="1:87" ht="15" x14ac:dyDescent="0.2">
      <c r="A122" s="680" t="s">
        <v>274</v>
      </c>
      <c r="B122" s="569" t="s">
        <v>2007</v>
      </c>
      <c r="C122" s="569" t="s">
        <v>1339</v>
      </c>
      <c r="D122" s="569" t="s">
        <v>1499</v>
      </c>
      <c r="E122" s="681" t="s">
        <v>14</v>
      </c>
      <c r="F122" s="644">
        <v>14.07</v>
      </c>
      <c r="G122" s="682">
        <v>7.03</v>
      </c>
      <c r="H122" s="681">
        <v>529.37</v>
      </c>
      <c r="I122" s="622">
        <f t="shared" si="21"/>
        <v>0</v>
      </c>
      <c r="J122" s="574">
        <f t="shared" si="22"/>
        <v>0</v>
      </c>
      <c r="K122" s="644">
        <f t="shared" ref="K122:K129" si="33">H122-J122</f>
        <v>529.37</v>
      </c>
      <c r="L122" s="708">
        <f t="shared" ref="L122:O129" si="34">ROUND(H122*$G122,2)</f>
        <v>3721.47</v>
      </c>
      <c r="M122" s="708">
        <f t="shared" si="34"/>
        <v>0</v>
      </c>
      <c r="N122" s="708">
        <f t="shared" si="34"/>
        <v>0</v>
      </c>
      <c r="O122" s="718">
        <f t="shared" si="34"/>
        <v>3721.47</v>
      </c>
      <c r="P122" s="617">
        <f t="shared" si="26"/>
        <v>0</v>
      </c>
      <c r="Q122" s="525"/>
      <c r="S122" s="189">
        <v>0</v>
      </c>
      <c r="T122" s="189">
        <v>0</v>
      </c>
      <c r="BT122" s="525"/>
      <c r="BU122" s="523"/>
      <c r="BV122" s="523"/>
      <c r="BW122" s="523">
        <v>0</v>
      </c>
      <c r="BX122" s="523">
        <v>0</v>
      </c>
      <c r="BY122" s="523">
        <v>0</v>
      </c>
      <c r="BZ122" s="523">
        <v>0</v>
      </c>
      <c r="CA122" s="523"/>
      <c r="CB122" s="523"/>
      <c r="CC122" s="523"/>
      <c r="CD122" s="523"/>
      <c r="CE122" s="523"/>
      <c r="CF122" s="523"/>
      <c r="CG122" s="523"/>
      <c r="CH122" s="523"/>
      <c r="CI122" s="523">
        <f t="shared" si="20"/>
        <v>0</v>
      </c>
    </row>
    <row r="123" spans="1:87" ht="15" x14ac:dyDescent="0.2">
      <c r="A123" s="680" t="s">
        <v>276</v>
      </c>
      <c r="B123" s="569">
        <v>88489</v>
      </c>
      <c r="C123" s="569" t="s">
        <v>1324</v>
      </c>
      <c r="D123" s="569" t="s">
        <v>1500</v>
      </c>
      <c r="E123" s="681" t="s">
        <v>14</v>
      </c>
      <c r="F123" s="644">
        <v>14.07</v>
      </c>
      <c r="G123" s="682">
        <v>9.48</v>
      </c>
      <c r="H123" s="681">
        <v>445.04</v>
      </c>
      <c r="I123" s="622">
        <f t="shared" si="21"/>
        <v>0</v>
      </c>
      <c r="J123" s="574">
        <f t="shared" si="22"/>
        <v>0</v>
      </c>
      <c r="K123" s="644">
        <f t="shared" si="33"/>
        <v>445.04</v>
      </c>
      <c r="L123" s="708">
        <f t="shared" si="34"/>
        <v>4218.9799999999996</v>
      </c>
      <c r="M123" s="708">
        <f t="shared" si="34"/>
        <v>0</v>
      </c>
      <c r="N123" s="708">
        <f t="shared" si="34"/>
        <v>0</v>
      </c>
      <c r="O123" s="718">
        <f t="shared" si="34"/>
        <v>4218.9799999999996</v>
      </c>
      <c r="P123" s="617">
        <f t="shared" si="26"/>
        <v>0</v>
      </c>
      <c r="Q123" s="525"/>
      <c r="S123" s="189">
        <v>0</v>
      </c>
      <c r="T123" s="189">
        <v>0</v>
      </c>
      <c r="BT123" s="525"/>
      <c r="BU123" s="523"/>
      <c r="BV123" s="523"/>
      <c r="BW123" s="523">
        <v>0</v>
      </c>
      <c r="BX123" s="523">
        <v>0</v>
      </c>
      <c r="BY123" s="523">
        <v>0</v>
      </c>
      <c r="BZ123" s="523">
        <v>0</v>
      </c>
      <c r="CA123" s="523"/>
      <c r="CB123" s="523"/>
      <c r="CC123" s="523"/>
      <c r="CD123" s="523"/>
      <c r="CE123" s="523"/>
      <c r="CF123" s="523"/>
      <c r="CG123" s="523"/>
      <c r="CH123" s="523"/>
      <c r="CI123" s="523">
        <f t="shared" si="20"/>
        <v>0</v>
      </c>
    </row>
    <row r="124" spans="1:87" ht="15.75" x14ac:dyDescent="0.2">
      <c r="A124" s="680" t="s">
        <v>278</v>
      </c>
      <c r="B124" s="569">
        <v>88486</v>
      </c>
      <c r="C124" s="569" t="s">
        <v>1324</v>
      </c>
      <c r="D124" s="569" t="s">
        <v>1501</v>
      </c>
      <c r="E124" s="681" t="s">
        <v>14</v>
      </c>
      <c r="F124" s="578"/>
      <c r="G124" s="682">
        <v>8.2899999999999991</v>
      </c>
      <c r="H124" s="681">
        <v>84.33</v>
      </c>
      <c r="I124" s="622">
        <f t="shared" si="21"/>
        <v>0</v>
      </c>
      <c r="J124" s="574">
        <f t="shared" si="22"/>
        <v>0</v>
      </c>
      <c r="K124" s="644">
        <f t="shared" si="33"/>
        <v>84.33</v>
      </c>
      <c r="L124" s="708">
        <f t="shared" si="34"/>
        <v>699.1</v>
      </c>
      <c r="M124" s="708">
        <f t="shared" si="34"/>
        <v>0</v>
      </c>
      <c r="N124" s="708">
        <f t="shared" si="34"/>
        <v>0</v>
      </c>
      <c r="O124" s="718">
        <f t="shared" si="34"/>
        <v>699.1</v>
      </c>
      <c r="P124" s="617">
        <f t="shared" si="26"/>
        <v>0</v>
      </c>
      <c r="Q124" s="525"/>
      <c r="S124" s="189">
        <v>0</v>
      </c>
      <c r="T124" s="189">
        <v>0</v>
      </c>
      <c r="BT124" s="525"/>
      <c r="BU124" s="523"/>
      <c r="BV124" s="523"/>
      <c r="BW124" s="523">
        <v>0</v>
      </c>
      <c r="BX124" s="523">
        <v>0</v>
      </c>
      <c r="BY124" s="523">
        <v>0</v>
      </c>
      <c r="BZ124" s="523">
        <v>0</v>
      </c>
      <c r="CA124" s="523"/>
      <c r="CB124" s="523"/>
      <c r="CC124" s="523"/>
      <c r="CD124" s="523"/>
      <c r="CE124" s="523"/>
      <c r="CF124" s="523"/>
      <c r="CG124" s="523"/>
      <c r="CH124" s="523"/>
      <c r="CI124" s="523">
        <f t="shared" si="20"/>
        <v>0</v>
      </c>
    </row>
    <row r="125" spans="1:87" ht="15.75" x14ac:dyDescent="0.2">
      <c r="A125" s="680" t="s">
        <v>281</v>
      </c>
      <c r="B125" s="569">
        <v>72815</v>
      </c>
      <c r="C125" s="569" t="s">
        <v>1324</v>
      </c>
      <c r="D125" s="569" t="s">
        <v>1502</v>
      </c>
      <c r="E125" s="681" t="s">
        <v>14</v>
      </c>
      <c r="F125" s="578"/>
      <c r="G125" s="682">
        <v>43.08</v>
      </c>
      <c r="H125" s="681">
        <v>483.8</v>
      </c>
      <c r="I125" s="622">
        <f t="shared" si="21"/>
        <v>0</v>
      </c>
      <c r="J125" s="574">
        <f t="shared" si="22"/>
        <v>0</v>
      </c>
      <c r="K125" s="644">
        <f t="shared" si="33"/>
        <v>483.8</v>
      </c>
      <c r="L125" s="708">
        <f t="shared" si="34"/>
        <v>20842.099999999999</v>
      </c>
      <c r="M125" s="708">
        <f t="shared" si="34"/>
        <v>0</v>
      </c>
      <c r="N125" s="708">
        <f t="shared" si="34"/>
        <v>0</v>
      </c>
      <c r="O125" s="718">
        <f t="shared" si="34"/>
        <v>20842.099999999999</v>
      </c>
      <c r="P125" s="617">
        <f t="shared" si="26"/>
        <v>0</v>
      </c>
      <c r="Q125" s="525"/>
      <c r="S125" s="189">
        <v>0</v>
      </c>
      <c r="T125" s="189">
        <v>0</v>
      </c>
      <c r="BT125" s="525"/>
      <c r="BU125" s="523"/>
      <c r="BV125" s="523"/>
      <c r="BW125" s="523">
        <v>0</v>
      </c>
      <c r="BX125" s="523">
        <v>0</v>
      </c>
      <c r="BY125" s="523">
        <v>0</v>
      </c>
      <c r="BZ125" s="523">
        <v>0</v>
      </c>
      <c r="CA125" s="523"/>
      <c r="CB125" s="523"/>
      <c r="CC125" s="523"/>
      <c r="CD125" s="523"/>
      <c r="CE125" s="523"/>
      <c r="CF125" s="523"/>
      <c r="CG125" s="523"/>
      <c r="CH125" s="523"/>
      <c r="CI125" s="523">
        <f t="shared" si="20"/>
        <v>0</v>
      </c>
    </row>
    <row r="126" spans="1:87" ht="15.75" x14ac:dyDescent="0.2">
      <c r="A126" s="680" t="s">
        <v>1503</v>
      </c>
      <c r="B126" s="569">
        <v>41595</v>
      </c>
      <c r="C126" s="569" t="s">
        <v>1324</v>
      </c>
      <c r="D126" s="569" t="s">
        <v>1504</v>
      </c>
      <c r="E126" s="681" t="s">
        <v>81</v>
      </c>
      <c r="F126" s="578"/>
      <c r="G126" s="682">
        <v>8.86</v>
      </c>
      <c r="H126" s="681">
        <v>275.60000000000002</v>
      </c>
      <c r="I126" s="622">
        <f t="shared" si="21"/>
        <v>0</v>
      </c>
      <c r="J126" s="574">
        <f t="shared" si="22"/>
        <v>0</v>
      </c>
      <c r="K126" s="644">
        <f t="shared" si="33"/>
        <v>275.60000000000002</v>
      </c>
      <c r="L126" s="708">
        <f t="shared" si="34"/>
        <v>2441.8200000000002</v>
      </c>
      <c r="M126" s="708">
        <f t="shared" si="34"/>
        <v>0</v>
      </c>
      <c r="N126" s="708">
        <f t="shared" si="34"/>
        <v>0</v>
      </c>
      <c r="O126" s="718">
        <f t="shared" si="34"/>
        <v>2441.8200000000002</v>
      </c>
      <c r="P126" s="617">
        <f t="shared" si="26"/>
        <v>0</v>
      </c>
      <c r="Q126" s="525"/>
      <c r="S126" s="189">
        <v>0</v>
      </c>
      <c r="T126" s="189">
        <v>0</v>
      </c>
      <c r="BT126" s="525"/>
      <c r="BU126" s="523"/>
      <c r="BV126" s="523"/>
      <c r="BW126" s="523">
        <v>0</v>
      </c>
      <c r="BX126" s="523">
        <v>0</v>
      </c>
      <c r="BY126" s="523">
        <v>0</v>
      </c>
      <c r="BZ126" s="523">
        <v>0</v>
      </c>
      <c r="CA126" s="523"/>
      <c r="CB126" s="523"/>
      <c r="CC126" s="523"/>
      <c r="CD126" s="523"/>
      <c r="CE126" s="523"/>
      <c r="CF126" s="523"/>
      <c r="CG126" s="523"/>
      <c r="CH126" s="523"/>
      <c r="CI126" s="523">
        <f t="shared" si="20"/>
        <v>0</v>
      </c>
    </row>
    <row r="127" spans="1:87" ht="15" x14ac:dyDescent="0.2">
      <c r="A127" s="680" t="s">
        <v>1505</v>
      </c>
      <c r="B127" s="569" t="s">
        <v>1506</v>
      </c>
      <c r="C127" s="569" t="s">
        <v>1324</v>
      </c>
      <c r="D127" s="569" t="s">
        <v>1507</v>
      </c>
      <c r="E127" s="681" t="s">
        <v>14</v>
      </c>
      <c r="F127" s="571"/>
      <c r="G127" s="682">
        <v>7.25</v>
      </c>
      <c r="H127" s="681">
        <v>366.82</v>
      </c>
      <c r="I127" s="622">
        <f t="shared" si="21"/>
        <v>0</v>
      </c>
      <c r="J127" s="574">
        <f t="shared" si="22"/>
        <v>0</v>
      </c>
      <c r="K127" s="644">
        <f t="shared" si="33"/>
        <v>366.82</v>
      </c>
      <c r="L127" s="708">
        <f t="shared" si="34"/>
        <v>2659.45</v>
      </c>
      <c r="M127" s="708">
        <f t="shared" si="34"/>
        <v>0</v>
      </c>
      <c r="N127" s="708">
        <f t="shared" si="34"/>
        <v>0</v>
      </c>
      <c r="O127" s="718">
        <f t="shared" si="34"/>
        <v>2659.45</v>
      </c>
      <c r="P127" s="617">
        <f t="shared" si="26"/>
        <v>0</v>
      </c>
      <c r="Q127" s="525"/>
      <c r="S127" s="189">
        <v>0</v>
      </c>
      <c r="T127" s="189">
        <v>0</v>
      </c>
      <c r="BT127" s="525"/>
      <c r="BU127" s="523"/>
      <c r="BV127" s="523"/>
      <c r="BW127" s="523">
        <v>0</v>
      </c>
      <c r="BX127" s="523">
        <v>0</v>
      </c>
      <c r="BY127" s="523">
        <v>0</v>
      </c>
      <c r="BZ127" s="523">
        <v>0</v>
      </c>
      <c r="CA127" s="523"/>
      <c r="CB127" s="523"/>
      <c r="CC127" s="523"/>
      <c r="CD127" s="523"/>
      <c r="CE127" s="523"/>
      <c r="CF127" s="523"/>
      <c r="CG127" s="523"/>
      <c r="CH127" s="523"/>
      <c r="CI127" s="523">
        <f t="shared" si="20"/>
        <v>0</v>
      </c>
    </row>
    <row r="128" spans="1:87" ht="15" x14ac:dyDescent="0.2">
      <c r="A128" s="680" t="s">
        <v>1508</v>
      </c>
      <c r="B128" s="569" t="s">
        <v>1509</v>
      </c>
      <c r="C128" s="569" t="s">
        <v>1324</v>
      </c>
      <c r="D128" s="569" t="s">
        <v>1510</v>
      </c>
      <c r="E128" s="681" t="s">
        <v>14</v>
      </c>
      <c r="F128" s="644">
        <v>37.78</v>
      </c>
      <c r="G128" s="682">
        <v>21.62</v>
      </c>
      <c r="H128" s="681">
        <v>567.82000000000005</v>
      </c>
      <c r="I128" s="622">
        <f t="shared" si="21"/>
        <v>0</v>
      </c>
      <c r="J128" s="574">
        <f t="shared" si="22"/>
        <v>0</v>
      </c>
      <c r="K128" s="644">
        <f t="shared" si="33"/>
        <v>567.82000000000005</v>
      </c>
      <c r="L128" s="708">
        <f t="shared" si="34"/>
        <v>12276.27</v>
      </c>
      <c r="M128" s="708">
        <f t="shared" si="34"/>
        <v>0</v>
      </c>
      <c r="N128" s="708">
        <f t="shared" si="34"/>
        <v>0</v>
      </c>
      <c r="O128" s="718">
        <f t="shared" si="34"/>
        <v>12276.27</v>
      </c>
      <c r="P128" s="617">
        <f t="shared" si="26"/>
        <v>0</v>
      </c>
      <c r="Q128" s="525"/>
      <c r="S128" s="189">
        <v>0</v>
      </c>
      <c r="T128" s="189">
        <v>0</v>
      </c>
      <c r="BT128" s="525"/>
      <c r="BU128" s="523"/>
      <c r="BV128" s="523"/>
      <c r="BW128" s="523">
        <v>0</v>
      </c>
      <c r="BX128" s="523">
        <v>0</v>
      </c>
      <c r="BY128" s="523">
        <v>0</v>
      </c>
      <c r="BZ128" s="523">
        <v>0</v>
      </c>
      <c r="CA128" s="523"/>
      <c r="CB128" s="523"/>
      <c r="CC128" s="523"/>
      <c r="CD128" s="523"/>
      <c r="CE128" s="523"/>
      <c r="CF128" s="523"/>
      <c r="CG128" s="523"/>
      <c r="CH128" s="523"/>
      <c r="CI128" s="523">
        <f t="shared" si="20"/>
        <v>0</v>
      </c>
    </row>
    <row r="129" spans="1:87" ht="15" x14ac:dyDescent="0.2">
      <c r="A129" s="680" t="s">
        <v>1511</v>
      </c>
      <c r="B129" s="569" t="s">
        <v>1512</v>
      </c>
      <c r="C129" s="569" t="s">
        <v>1324</v>
      </c>
      <c r="D129" s="569" t="s">
        <v>1513</v>
      </c>
      <c r="E129" s="681" t="s">
        <v>14</v>
      </c>
      <c r="F129" s="644">
        <v>21.63</v>
      </c>
      <c r="G129" s="682">
        <v>14.78</v>
      </c>
      <c r="H129" s="681">
        <v>1030.4000000000001</v>
      </c>
      <c r="I129" s="622">
        <f t="shared" si="21"/>
        <v>0</v>
      </c>
      <c r="J129" s="574">
        <f t="shared" si="22"/>
        <v>0</v>
      </c>
      <c r="K129" s="644">
        <f t="shared" si="33"/>
        <v>1030.4000000000001</v>
      </c>
      <c r="L129" s="708">
        <f t="shared" si="34"/>
        <v>15229.31</v>
      </c>
      <c r="M129" s="708">
        <f t="shared" si="34"/>
        <v>0</v>
      </c>
      <c r="N129" s="708">
        <f t="shared" si="34"/>
        <v>0</v>
      </c>
      <c r="O129" s="718">
        <f t="shared" si="34"/>
        <v>15229.31</v>
      </c>
      <c r="P129" s="617">
        <f t="shared" si="26"/>
        <v>0</v>
      </c>
      <c r="Q129" s="525"/>
      <c r="S129" s="189">
        <v>0</v>
      </c>
      <c r="T129" s="189">
        <v>271</v>
      </c>
      <c r="BT129" s="525"/>
      <c r="BU129" s="523"/>
      <c r="BV129" s="523"/>
      <c r="BW129" s="523">
        <v>0</v>
      </c>
      <c r="BX129" s="523">
        <v>0</v>
      </c>
      <c r="BY129" s="523">
        <v>0</v>
      </c>
      <c r="BZ129" s="523">
        <v>0</v>
      </c>
      <c r="CA129" s="523"/>
      <c r="CB129" s="523"/>
      <c r="CC129" s="523"/>
      <c r="CD129" s="523"/>
      <c r="CE129" s="523"/>
      <c r="CF129" s="523"/>
      <c r="CG129" s="523"/>
      <c r="CH129" s="523"/>
      <c r="CI129" s="523">
        <f t="shared" si="20"/>
        <v>0</v>
      </c>
    </row>
    <row r="130" spans="1:87" s="663" customFormat="1" ht="15.75" x14ac:dyDescent="0.2">
      <c r="A130" s="600">
        <v>12</v>
      </c>
      <c r="B130" s="558"/>
      <c r="C130" s="558"/>
      <c r="D130" s="558" t="s">
        <v>1514</v>
      </c>
      <c r="E130" s="626"/>
      <c r="F130" s="626"/>
      <c r="G130" s="626"/>
      <c r="H130" s="626"/>
      <c r="I130" s="626"/>
      <c r="J130" s="626"/>
      <c r="K130" s="626"/>
      <c r="L130" s="734">
        <f>SUM(L131,L153)</f>
        <v>4556.04</v>
      </c>
      <c r="M130" s="734">
        <f>SUM(M131,M153)</f>
        <v>551.87</v>
      </c>
      <c r="N130" s="734">
        <f>SUM(N131,N153)</f>
        <v>2437.65</v>
      </c>
      <c r="O130" s="721">
        <f>SUM(O131,O153)</f>
        <v>2118.3900000000003</v>
      </c>
      <c r="P130" s="604">
        <f t="shared" si="26"/>
        <v>0.53503700582084446</v>
      </c>
      <c r="Q130" s="525"/>
      <c r="S130" s="190">
        <v>0</v>
      </c>
      <c r="T130" s="190">
        <v>237</v>
      </c>
      <c r="BT130" s="525"/>
      <c r="BU130" s="523"/>
      <c r="BV130" s="523"/>
      <c r="BW130" s="523">
        <v>0</v>
      </c>
      <c r="BX130" s="523">
        <v>271</v>
      </c>
      <c r="BY130" s="523"/>
      <c r="BZ130" s="523"/>
      <c r="CA130" s="523"/>
      <c r="CB130" s="523"/>
      <c r="CC130" s="523"/>
      <c r="CD130" s="523"/>
      <c r="CE130" s="523"/>
      <c r="CF130" s="523"/>
      <c r="CG130" s="523"/>
      <c r="CH130" s="523"/>
      <c r="CI130" s="523">
        <f t="shared" si="20"/>
        <v>271</v>
      </c>
    </row>
    <row r="131" spans="1:87" ht="15.75" x14ac:dyDescent="0.2">
      <c r="A131" s="605" t="s">
        <v>1515</v>
      </c>
      <c r="B131" s="586"/>
      <c r="C131" s="586"/>
      <c r="D131" s="586" t="s">
        <v>1516</v>
      </c>
      <c r="E131" s="609"/>
      <c r="F131" s="609"/>
      <c r="G131" s="609"/>
      <c r="H131" s="609"/>
      <c r="I131" s="609"/>
      <c r="J131" s="609"/>
      <c r="K131" s="609"/>
      <c r="L131" s="733">
        <f>SUM(L132:L152)</f>
        <v>1719.64</v>
      </c>
      <c r="M131" s="733">
        <f>SUM(M132:M152)</f>
        <v>0</v>
      </c>
      <c r="N131" s="733">
        <f>SUM(N132:N152)</f>
        <v>1719.64</v>
      </c>
      <c r="O131" s="722">
        <f>SUM(O132:O152)</f>
        <v>0</v>
      </c>
      <c r="P131" s="611">
        <f t="shared" si="26"/>
        <v>1</v>
      </c>
      <c r="Q131" s="525"/>
      <c r="S131" s="189">
        <v>0</v>
      </c>
      <c r="T131" s="189">
        <v>12</v>
      </c>
      <c r="BT131" s="525"/>
      <c r="BU131" s="523"/>
      <c r="BV131" s="523"/>
      <c r="BW131" s="523">
        <v>0</v>
      </c>
      <c r="BX131" s="523">
        <v>237</v>
      </c>
      <c r="BY131" s="523"/>
      <c r="BZ131" s="523"/>
      <c r="CA131" s="523"/>
      <c r="CB131" s="523"/>
      <c r="CC131" s="523"/>
      <c r="CD131" s="523"/>
      <c r="CE131" s="523"/>
      <c r="CF131" s="523"/>
      <c r="CG131" s="523"/>
      <c r="CH131" s="523"/>
      <c r="CI131" s="523">
        <f t="shared" si="20"/>
        <v>237</v>
      </c>
    </row>
    <row r="132" spans="1:87" ht="15" x14ac:dyDescent="0.2">
      <c r="A132" s="680" t="s">
        <v>1517</v>
      </c>
      <c r="B132" s="569">
        <v>89401</v>
      </c>
      <c r="C132" s="569" t="s">
        <v>1324</v>
      </c>
      <c r="D132" s="569" t="s">
        <v>1518</v>
      </c>
      <c r="E132" s="681" t="s">
        <v>81</v>
      </c>
      <c r="F132" s="644">
        <v>22.03</v>
      </c>
      <c r="G132" s="682">
        <v>5.29</v>
      </c>
      <c r="H132" s="681">
        <v>12</v>
      </c>
      <c r="I132" s="622">
        <f t="shared" si="21"/>
        <v>0</v>
      </c>
      <c r="J132" s="574">
        <f t="shared" si="22"/>
        <v>12</v>
      </c>
      <c r="K132" s="689">
        <f t="shared" ref="K132:K194" si="35">H132-J132</f>
        <v>0</v>
      </c>
      <c r="L132" s="708">
        <f t="shared" ref="L132:O152" si="36">ROUND(H132*$G132,2)</f>
        <v>63.48</v>
      </c>
      <c r="M132" s="708">
        <f t="shared" si="36"/>
        <v>0</v>
      </c>
      <c r="N132" s="708">
        <f t="shared" si="36"/>
        <v>63.48</v>
      </c>
      <c r="O132" s="718">
        <f t="shared" si="36"/>
        <v>0</v>
      </c>
      <c r="P132" s="617">
        <f t="shared" si="26"/>
        <v>1</v>
      </c>
      <c r="Q132" s="525"/>
      <c r="S132" s="189">
        <v>0</v>
      </c>
      <c r="T132" s="189">
        <v>42</v>
      </c>
      <c r="BT132" s="525"/>
      <c r="BU132" s="523"/>
      <c r="BV132" s="523"/>
      <c r="BW132" s="523">
        <v>0</v>
      </c>
      <c r="BX132" s="523">
        <v>12</v>
      </c>
      <c r="BY132" s="523">
        <v>0</v>
      </c>
      <c r="BZ132" s="523">
        <v>0</v>
      </c>
      <c r="CA132" s="523"/>
      <c r="CB132" s="523"/>
      <c r="CC132" s="523"/>
      <c r="CD132" s="523"/>
      <c r="CE132" s="523"/>
      <c r="CF132" s="523"/>
      <c r="CG132" s="523"/>
      <c r="CH132" s="523"/>
      <c r="CI132" s="523">
        <f t="shared" si="20"/>
        <v>12</v>
      </c>
    </row>
    <row r="133" spans="1:87" ht="15.75" x14ac:dyDescent="0.2">
      <c r="A133" s="680" t="s">
        <v>1519</v>
      </c>
      <c r="B133" s="569">
        <v>89446</v>
      </c>
      <c r="C133" s="569" t="s">
        <v>1324</v>
      </c>
      <c r="D133" s="569" t="s">
        <v>1520</v>
      </c>
      <c r="E133" s="681" t="s">
        <v>81</v>
      </c>
      <c r="F133" s="578"/>
      <c r="G133" s="682">
        <v>3.19</v>
      </c>
      <c r="H133" s="681">
        <v>42</v>
      </c>
      <c r="I133" s="622">
        <f t="shared" si="21"/>
        <v>0</v>
      </c>
      <c r="J133" s="574">
        <f t="shared" si="22"/>
        <v>42</v>
      </c>
      <c r="K133" s="681">
        <f t="shared" si="35"/>
        <v>0</v>
      </c>
      <c r="L133" s="708">
        <f t="shared" si="36"/>
        <v>133.97999999999999</v>
      </c>
      <c r="M133" s="708">
        <f t="shared" si="36"/>
        <v>0</v>
      </c>
      <c r="N133" s="708">
        <f t="shared" si="36"/>
        <v>133.97999999999999</v>
      </c>
      <c r="O133" s="718">
        <f t="shared" si="36"/>
        <v>0</v>
      </c>
      <c r="P133" s="617">
        <f t="shared" si="26"/>
        <v>1</v>
      </c>
      <c r="Q133" s="525"/>
      <c r="S133" s="189">
        <v>0</v>
      </c>
      <c r="T133" s="189">
        <v>28</v>
      </c>
      <c r="BT133" s="525"/>
      <c r="BU133" s="523"/>
      <c r="BV133" s="523"/>
      <c r="BW133" s="523">
        <v>0</v>
      </c>
      <c r="BX133" s="523">
        <v>42</v>
      </c>
      <c r="BY133" s="523">
        <v>0</v>
      </c>
      <c r="BZ133" s="523">
        <v>0</v>
      </c>
      <c r="CA133" s="523"/>
      <c r="CB133" s="523"/>
      <c r="CC133" s="523"/>
      <c r="CD133" s="523"/>
      <c r="CE133" s="523"/>
      <c r="CF133" s="523"/>
      <c r="CG133" s="523"/>
      <c r="CH133" s="523"/>
      <c r="CI133" s="523">
        <f t="shared" si="20"/>
        <v>42</v>
      </c>
    </row>
    <row r="134" spans="1:87" ht="15.75" x14ac:dyDescent="0.2">
      <c r="A134" s="680" t="s">
        <v>1521</v>
      </c>
      <c r="B134" s="569">
        <v>89447</v>
      </c>
      <c r="C134" s="569" t="s">
        <v>1324</v>
      </c>
      <c r="D134" s="569" t="s">
        <v>1522</v>
      </c>
      <c r="E134" s="681" t="s">
        <v>81</v>
      </c>
      <c r="F134" s="578"/>
      <c r="G134" s="682">
        <v>6.33</v>
      </c>
      <c r="H134" s="681">
        <v>28</v>
      </c>
      <c r="I134" s="622">
        <f t="shared" si="21"/>
        <v>0</v>
      </c>
      <c r="J134" s="574">
        <f t="shared" si="22"/>
        <v>28</v>
      </c>
      <c r="K134" s="681">
        <f t="shared" si="35"/>
        <v>0</v>
      </c>
      <c r="L134" s="708">
        <f t="shared" si="36"/>
        <v>177.24</v>
      </c>
      <c r="M134" s="708">
        <f t="shared" si="36"/>
        <v>0</v>
      </c>
      <c r="N134" s="708">
        <f t="shared" si="36"/>
        <v>177.24</v>
      </c>
      <c r="O134" s="718">
        <f t="shared" si="36"/>
        <v>0</v>
      </c>
      <c r="P134" s="617">
        <f t="shared" si="26"/>
        <v>1</v>
      </c>
      <c r="Q134" s="525"/>
      <c r="S134" s="189">
        <v>0</v>
      </c>
      <c r="T134" s="189">
        <v>30</v>
      </c>
      <c r="BT134" s="525"/>
      <c r="BU134" s="523"/>
      <c r="BV134" s="523"/>
      <c r="BW134" s="523">
        <v>0</v>
      </c>
      <c r="BX134" s="523">
        <v>28</v>
      </c>
      <c r="BY134" s="523">
        <v>0</v>
      </c>
      <c r="BZ134" s="523">
        <v>0</v>
      </c>
      <c r="CA134" s="523"/>
      <c r="CB134" s="523"/>
      <c r="CC134" s="523"/>
      <c r="CD134" s="523"/>
      <c r="CE134" s="523"/>
      <c r="CF134" s="523"/>
      <c r="CG134" s="523"/>
      <c r="CH134" s="523"/>
      <c r="CI134" s="523">
        <f t="shared" si="20"/>
        <v>28</v>
      </c>
    </row>
    <row r="135" spans="1:87" ht="15" x14ac:dyDescent="0.2">
      <c r="A135" s="680" t="s">
        <v>1523</v>
      </c>
      <c r="B135" s="569">
        <v>89448</v>
      </c>
      <c r="C135" s="569" t="s">
        <v>1324</v>
      </c>
      <c r="D135" s="569" t="s">
        <v>1524</v>
      </c>
      <c r="E135" s="681" t="s">
        <v>81</v>
      </c>
      <c r="F135" s="571"/>
      <c r="G135" s="682">
        <v>10.15</v>
      </c>
      <c r="H135" s="681">
        <v>30</v>
      </c>
      <c r="I135" s="622">
        <f t="shared" si="21"/>
        <v>0</v>
      </c>
      <c r="J135" s="574">
        <f t="shared" si="22"/>
        <v>30</v>
      </c>
      <c r="K135" s="681">
        <f t="shared" si="35"/>
        <v>0</v>
      </c>
      <c r="L135" s="708">
        <f t="shared" si="36"/>
        <v>304.5</v>
      </c>
      <c r="M135" s="708">
        <f t="shared" si="36"/>
        <v>0</v>
      </c>
      <c r="N135" s="708">
        <f t="shared" si="36"/>
        <v>304.5</v>
      </c>
      <c r="O135" s="718">
        <f t="shared" si="36"/>
        <v>0</v>
      </c>
      <c r="P135" s="617">
        <f t="shared" si="26"/>
        <v>1</v>
      </c>
      <c r="Q135" s="525"/>
      <c r="S135" s="189">
        <v>0</v>
      </c>
      <c r="T135" s="189">
        <v>36</v>
      </c>
      <c r="BT135" s="525"/>
      <c r="BU135" s="523"/>
      <c r="BV135" s="523"/>
      <c r="BW135" s="523">
        <v>0</v>
      </c>
      <c r="BX135" s="523">
        <v>30</v>
      </c>
      <c r="BY135" s="523">
        <v>0</v>
      </c>
      <c r="BZ135" s="523">
        <v>0</v>
      </c>
      <c r="CA135" s="523"/>
      <c r="CB135" s="523"/>
      <c r="CC135" s="523"/>
      <c r="CD135" s="523"/>
      <c r="CE135" s="523"/>
      <c r="CF135" s="523"/>
      <c r="CG135" s="523"/>
      <c r="CH135" s="523"/>
      <c r="CI135" s="523">
        <f t="shared" si="20"/>
        <v>30</v>
      </c>
    </row>
    <row r="136" spans="1:87" ht="15" x14ac:dyDescent="0.2">
      <c r="A136" s="680" t="s">
        <v>1525</v>
      </c>
      <c r="B136" s="569">
        <v>89449</v>
      </c>
      <c r="C136" s="569" t="s">
        <v>1324</v>
      </c>
      <c r="D136" s="569" t="s">
        <v>1526</v>
      </c>
      <c r="E136" s="681" t="s">
        <v>81</v>
      </c>
      <c r="F136" s="644">
        <v>5.81</v>
      </c>
      <c r="G136" s="682">
        <v>11.27</v>
      </c>
      <c r="H136" s="681">
        <v>36</v>
      </c>
      <c r="I136" s="622">
        <f t="shared" si="21"/>
        <v>0</v>
      </c>
      <c r="J136" s="574">
        <f t="shared" si="22"/>
        <v>36</v>
      </c>
      <c r="K136" s="681">
        <f t="shared" si="35"/>
        <v>0</v>
      </c>
      <c r="L136" s="708">
        <f t="shared" si="36"/>
        <v>405.72</v>
      </c>
      <c r="M136" s="708">
        <f t="shared" si="36"/>
        <v>0</v>
      </c>
      <c r="N136" s="708">
        <f t="shared" si="36"/>
        <v>405.72</v>
      </c>
      <c r="O136" s="718">
        <f t="shared" si="36"/>
        <v>0</v>
      </c>
      <c r="P136" s="617">
        <f t="shared" si="26"/>
        <v>1</v>
      </c>
      <c r="Q136" s="525"/>
      <c r="S136" s="189">
        <v>0</v>
      </c>
      <c r="T136" s="189">
        <v>15</v>
      </c>
      <c r="BT136" s="525"/>
      <c r="BU136" s="523"/>
      <c r="BV136" s="523"/>
      <c r="BW136" s="523">
        <v>0</v>
      </c>
      <c r="BX136" s="523">
        <v>36</v>
      </c>
      <c r="BY136" s="523">
        <v>0</v>
      </c>
      <c r="BZ136" s="523">
        <v>0</v>
      </c>
      <c r="CA136" s="523"/>
      <c r="CB136" s="523"/>
      <c r="CC136" s="523"/>
      <c r="CD136" s="523"/>
      <c r="CE136" s="523"/>
      <c r="CF136" s="523"/>
      <c r="CG136" s="523"/>
      <c r="CH136" s="523"/>
      <c r="CI136" s="523">
        <f t="shared" si="20"/>
        <v>36</v>
      </c>
    </row>
    <row r="137" spans="1:87" ht="15" x14ac:dyDescent="0.2">
      <c r="A137" s="680" t="s">
        <v>1527</v>
      </c>
      <c r="B137" s="569">
        <v>89408</v>
      </c>
      <c r="C137" s="569" t="s">
        <v>1324</v>
      </c>
      <c r="D137" s="569" t="s">
        <v>1528</v>
      </c>
      <c r="E137" s="681" t="s">
        <v>102</v>
      </c>
      <c r="F137" s="644">
        <v>37.78</v>
      </c>
      <c r="G137" s="682">
        <v>4.28</v>
      </c>
      <c r="H137" s="681">
        <v>15</v>
      </c>
      <c r="I137" s="622">
        <f t="shared" si="21"/>
        <v>0</v>
      </c>
      <c r="J137" s="574">
        <f t="shared" si="22"/>
        <v>15</v>
      </c>
      <c r="K137" s="681">
        <f t="shared" si="35"/>
        <v>0</v>
      </c>
      <c r="L137" s="708">
        <f t="shared" si="36"/>
        <v>64.2</v>
      </c>
      <c r="M137" s="708">
        <f t="shared" si="36"/>
        <v>0</v>
      </c>
      <c r="N137" s="708">
        <f t="shared" si="36"/>
        <v>64.2</v>
      </c>
      <c r="O137" s="718">
        <f t="shared" si="36"/>
        <v>0</v>
      </c>
      <c r="P137" s="617">
        <f t="shared" si="26"/>
        <v>1</v>
      </c>
      <c r="Q137" s="525"/>
      <c r="S137" s="189">
        <v>0</v>
      </c>
      <c r="T137" s="189">
        <v>8</v>
      </c>
      <c r="BT137" s="525"/>
      <c r="BU137" s="523"/>
      <c r="BV137" s="523"/>
      <c r="BW137" s="523">
        <v>0</v>
      </c>
      <c r="BX137" s="523">
        <v>15</v>
      </c>
      <c r="BY137" s="523">
        <v>0</v>
      </c>
      <c r="BZ137" s="523">
        <v>0</v>
      </c>
      <c r="CA137" s="523"/>
      <c r="CB137" s="523"/>
      <c r="CC137" s="523"/>
      <c r="CD137" s="523"/>
      <c r="CE137" s="523"/>
      <c r="CF137" s="523"/>
      <c r="CG137" s="523"/>
      <c r="CH137" s="523"/>
      <c r="CI137" s="523">
        <f t="shared" si="20"/>
        <v>15</v>
      </c>
    </row>
    <row r="138" spans="1:87" ht="15" x14ac:dyDescent="0.2">
      <c r="A138" s="690" t="s">
        <v>1529</v>
      </c>
      <c r="B138" s="624">
        <v>89492</v>
      </c>
      <c r="C138" s="624" t="s">
        <v>1324</v>
      </c>
      <c r="D138" s="624" t="s">
        <v>1530</v>
      </c>
      <c r="E138" s="691" t="s">
        <v>102</v>
      </c>
      <c r="F138" s="692">
        <v>21.63</v>
      </c>
      <c r="G138" s="693">
        <v>4.79</v>
      </c>
      <c r="H138" s="691">
        <v>8</v>
      </c>
      <c r="I138" s="636">
        <f t="shared" si="21"/>
        <v>0</v>
      </c>
      <c r="J138" s="637">
        <f t="shared" si="22"/>
        <v>8</v>
      </c>
      <c r="K138" s="691">
        <f t="shared" si="35"/>
        <v>0</v>
      </c>
      <c r="L138" s="708">
        <f t="shared" si="36"/>
        <v>38.32</v>
      </c>
      <c r="M138" s="708">
        <f t="shared" si="36"/>
        <v>0</v>
      </c>
      <c r="N138" s="708">
        <f t="shared" si="36"/>
        <v>38.32</v>
      </c>
      <c r="O138" s="718">
        <f t="shared" si="36"/>
        <v>0</v>
      </c>
      <c r="P138" s="694">
        <f t="shared" si="26"/>
        <v>1</v>
      </c>
      <c r="Q138" s="525"/>
      <c r="S138" s="189">
        <v>0</v>
      </c>
      <c r="T138" s="189">
        <v>6</v>
      </c>
      <c r="BT138" s="525"/>
      <c r="BU138" s="523"/>
      <c r="BV138" s="523"/>
      <c r="BW138" s="523">
        <v>0</v>
      </c>
      <c r="BX138" s="523">
        <v>8</v>
      </c>
      <c r="BY138" s="523">
        <v>0</v>
      </c>
      <c r="BZ138" s="523">
        <v>0</v>
      </c>
      <c r="CA138" s="523"/>
      <c r="CB138" s="523"/>
      <c r="CC138" s="523"/>
      <c r="CD138" s="523"/>
      <c r="CE138" s="523"/>
      <c r="CF138" s="523"/>
      <c r="CG138" s="523"/>
      <c r="CH138" s="523"/>
      <c r="CI138" s="523">
        <f t="shared" si="20"/>
        <v>8</v>
      </c>
    </row>
    <row r="139" spans="1:87" ht="15" x14ac:dyDescent="0.2">
      <c r="A139" s="690" t="s">
        <v>1531</v>
      </c>
      <c r="B139" s="624">
        <v>89501</v>
      </c>
      <c r="C139" s="624" t="s">
        <v>1324</v>
      </c>
      <c r="D139" s="624" t="s">
        <v>1532</v>
      </c>
      <c r="E139" s="691" t="s">
        <v>102</v>
      </c>
      <c r="F139" s="692">
        <v>38.770000000000003</v>
      </c>
      <c r="G139" s="693">
        <v>9.3800000000000008</v>
      </c>
      <c r="H139" s="691">
        <v>6</v>
      </c>
      <c r="I139" s="636">
        <f t="shared" si="21"/>
        <v>0</v>
      </c>
      <c r="J139" s="637">
        <f t="shared" si="22"/>
        <v>6</v>
      </c>
      <c r="K139" s="691">
        <f t="shared" si="35"/>
        <v>0</v>
      </c>
      <c r="L139" s="708">
        <f t="shared" si="36"/>
        <v>56.28</v>
      </c>
      <c r="M139" s="708">
        <f t="shared" si="36"/>
        <v>0</v>
      </c>
      <c r="N139" s="708">
        <f t="shared" si="36"/>
        <v>56.28</v>
      </c>
      <c r="O139" s="718">
        <f t="shared" si="36"/>
        <v>0</v>
      </c>
      <c r="P139" s="694">
        <f t="shared" si="26"/>
        <v>1</v>
      </c>
      <c r="Q139" s="525"/>
      <c r="S139" s="189">
        <v>0</v>
      </c>
      <c r="T139" s="189">
        <v>2</v>
      </c>
      <c r="BT139" s="525"/>
      <c r="BU139" s="523"/>
      <c r="BV139" s="523"/>
      <c r="BW139" s="523">
        <v>0</v>
      </c>
      <c r="BX139" s="523">
        <v>6</v>
      </c>
      <c r="BY139" s="523">
        <v>0</v>
      </c>
      <c r="BZ139" s="523">
        <v>0</v>
      </c>
      <c r="CA139" s="523"/>
      <c r="CB139" s="523"/>
      <c r="CC139" s="523"/>
      <c r="CD139" s="523"/>
      <c r="CE139" s="523"/>
      <c r="CF139" s="523"/>
      <c r="CG139" s="523"/>
      <c r="CH139" s="523"/>
      <c r="CI139" s="523">
        <f t="shared" si="20"/>
        <v>6</v>
      </c>
    </row>
    <row r="140" spans="1:87" ht="15.75" x14ac:dyDescent="0.2">
      <c r="A140" s="690" t="s">
        <v>1533</v>
      </c>
      <c r="B140" s="624">
        <v>90373</v>
      </c>
      <c r="C140" s="624" t="s">
        <v>1324</v>
      </c>
      <c r="D140" s="624" t="s">
        <v>1534</v>
      </c>
      <c r="E140" s="691" t="s">
        <v>102</v>
      </c>
      <c r="F140" s="578"/>
      <c r="G140" s="693">
        <v>10.06</v>
      </c>
      <c r="H140" s="691">
        <v>2</v>
      </c>
      <c r="I140" s="636">
        <f t="shared" si="21"/>
        <v>0</v>
      </c>
      <c r="J140" s="637">
        <f t="shared" si="22"/>
        <v>2</v>
      </c>
      <c r="K140" s="691">
        <f t="shared" si="35"/>
        <v>0</v>
      </c>
      <c r="L140" s="708">
        <f t="shared" si="36"/>
        <v>20.12</v>
      </c>
      <c r="M140" s="708">
        <f t="shared" si="36"/>
        <v>0</v>
      </c>
      <c r="N140" s="708">
        <f t="shared" si="36"/>
        <v>20.12</v>
      </c>
      <c r="O140" s="718">
        <f t="shared" si="36"/>
        <v>0</v>
      </c>
      <c r="P140" s="694">
        <f t="shared" si="26"/>
        <v>1</v>
      </c>
      <c r="Q140" s="525"/>
      <c r="S140" s="189">
        <v>0</v>
      </c>
      <c r="T140" s="189">
        <v>4</v>
      </c>
      <c r="BT140" s="525"/>
      <c r="BU140" s="523"/>
      <c r="BV140" s="523"/>
      <c r="BW140" s="523">
        <v>0</v>
      </c>
      <c r="BX140" s="523">
        <v>2</v>
      </c>
      <c r="BY140" s="523">
        <v>0</v>
      </c>
      <c r="BZ140" s="523">
        <v>0</v>
      </c>
      <c r="CA140" s="523"/>
      <c r="CB140" s="523"/>
      <c r="CC140" s="523"/>
      <c r="CD140" s="523"/>
      <c r="CE140" s="523"/>
      <c r="CF140" s="523"/>
      <c r="CG140" s="523"/>
      <c r="CH140" s="523"/>
      <c r="CI140" s="523">
        <f t="shared" si="20"/>
        <v>2</v>
      </c>
    </row>
    <row r="141" spans="1:87" ht="15.75" x14ac:dyDescent="0.2">
      <c r="A141" s="690" t="s">
        <v>1535</v>
      </c>
      <c r="B141" s="624" t="s">
        <v>2007</v>
      </c>
      <c r="C141" s="624" t="s">
        <v>1339</v>
      </c>
      <c r="D141" s="624" t="s">
        <v>1536</v>
      </c>
      <c r="E141" s="691" t="s">
        <v>102</v>
      </c>
      <c r="F141" s="578"/>
      <c r="G141" s="693">
        <v>0</v>
      </c>
      <c r="H141" s="691">
        <v>4</v>
      </c>
      <c r="I141" s="636">
        <f t="shared" si="21"/>
        <v>0</v>
      </c>
      <c r="J141" s="637">
        <f t="shared" si="22"/>
        <v>4</v>
      </c>
      <c r="K141" s="691">
        <f t="shared" si="35"/>
        <v>0</v>
      </c>
      <c r="L141" s="708">
        <f t="shared" si="36"/>
        <v>0</v>
      </c>
      <c r="M141" s="708">
        <f t="shared" si="36"/>
        <v>0</v>
      </c>
      <c r="N141" s="708">
        <f t="shared" si="36"/>
        <v>0</v>
      </c>
      <c r="O141" s="718">
        <f t="shared" si="36"/>
        <v>0</v>
      </c>
      <c r="P141" s="694">
        <v>0</v>
      </c>
      <c r="Q141" s="525"/>
      <c r="S141" s="189">
        <v>0</v>
      </c>
      <c r="T141" s="189">
        <v>16</v>
      </c>
      <c r="BT141" s="525"/>
      <c r="BU141" s="523"/>
      <c r="BV141" s="523"/>
      <c r="BW141" s="523">
        <v>0</v>
      </c>
      <c r="BX141" s="523">
        <v>4</v>
      </c>
      <c r="BY141" s="523">
        <v>0</v>
      </c>
      <c r="BZ141" s="523">
        <v>0</v>
      </c>
      <c r="CA141" s="523"/>
      <c r="CB141" s="523"/>
      <c r="CC141" s="523"/>
      <c r="CD141" s="523"/>
      <c r="CE141" s="523"/>
      <c r="CF141" s="523"/>
      <c r="CG141" s="523"/>
      <c r="CH141" s="523"/>
      <c r="CI141" s="523">
        <f t="shared" si="20"/>
        <v>4</v>
      </c>
    </row>
    <row r="142" spans="1:87" ht="30" x14ac:dyDescent="0.2">
      <c r="A142" s="690" t="s">
        <v>1537</v>
      </c>
      <c r="B142" s="624">
        <v>90373</v>
      </c>
      <c r="C142" s="624" t="s">
        <v>1324</v>
      </c>
      <c r="D142" s="624" t="s">
        <v>1538</v>
      </c>
      <c r="E142" s="691" t="s">
        <v>102</v>
      </c>
      <c r="F142" s="578"/>
      <c r="G142" s="693">
        <v>10.06</v>
      </c>
      <c r="H142" s="691">
        <v>16</v>
      </c>
      <c r="I142" s="636">
        <f t="shared" si="21"/>
        <v>0</v>
      </c>
      <c r="J142" s="637">
        <f t="shared" si="22"/>
        <v>16</v>
      </c>
      <c r="K142" s="691">
        <f t="shared" si="35"/>
        <v>0</v>
      </c>
      <c r="L142" s="708">
        <f t="shared" si="36"/>
        <v>160.96</v>
      </c>
      <c r="M142" s="708">
        <f t="shared" si="36"/>
        <v>0</v>
      </c>
      <c r="N142" s="708">
        <f t="shared" si="36"/>
        <v>160.96</v>
      </c>
      <c r="O142" s="718">
        <f t="shared" si="36"/>
        <v>0</v>
      </c>
      <c r="P142" s="694">
        <f t="shared" ref="P142:P205" si="37">N142/L142</f>
        <v>1</v>
      </c>
      <c r="Q142" s="525"/>
      <c r="S142" s="189">
        <v>0</v>
      </c>
      <c r="T142" s="189">
        <v>4</v>
      </c>
      <c r="BT142" s="525"/>
      <c r="BU142" s="523"/>
      <c r="BV142" s="523"/>
      <c r="BW142" s="523">
        <v>0</v>
      </c>
      <c r="BX142" s="523">
        <v>16</v>
      </c>
      <c r="BY142" s="523">
        <v>0</v>
      </c>
      <c r="BZ142" s="523">
        <v>0</v>
      </c>
      <c r="CA142" s="523"/>
      <c r="CB142" s="523"/>
      <c r="CC142" s="523"/>
      <c r="CD142" s="523"/>
      <c r="CE142" s="523"/>
      <c r="CF142" s="523"/>
      <c r="CG142" s="523"/>
      <c r="CH142" s="523"/>
      <c r="CI142" s="523">
        <f t="shared" si="20"/>
        <v>16</v>
      </c>
    </row>
    <row r="143" spans="1:87" ht="15" x14ac:dyDescent="0.2">
      <c r="A143" s="690" t="s">
        <v>1539</v>
      </c>
      <c r="B143" s="624">
        <v>89622</v>
      </c>
      <c r="C143" s="624" t="s">
        <v>1324</v>
      </c>
      <c r="D143" s="624" t="s">
        <v>1540</v>
      </c>
      <c r="E143" s="691" t="s">
        <v>102</v>
      </c>
      <c r="F143" s="692">
        <v>29.86</v>
      </c>
      <c r="G143" s="693">
        <v>9.23</v>
      </c>
      <c r="H143" s="691">
        <v>4</v>
      </c>
      <c r="I143" s="636">
        <f t="shared" si="21"/>
        <v>0</v>
      </c>
      <c r="J143" s="637">
        <f t="shared" si="22"/>
        <v>4</v>
      </c>
      <c r="K143" s="691">
        <f t="shared" si="35"/>
        <v>0</v>
      </c>
      <c r="L143" s="708">
        <f t="shared" si="36"/>
        <v>36.92</v>
      </c>
      <c r="M143" s="708">
        <f t="shared" si="36"/>
        <v>0</v>
      </c>
      <c r="N143" s="708">
        <f t="shared" si="36"/>
        <v>36.92</v>
      </c>
      <c r="O143" s="718">
        <f t="shared" si="36"/>
        <v>0</v>
      </c>
      <c r="P143" s="694">
        <f t="shared" si="37"/>
        <v>1</v>
      </c>
      <c r="Q143" s="525"/>
      <c r="S143" s="189">
        <v>0</v>
      </c>
      <c r="T143" s="189">
        <v>2</v>
      </c>
      <c r="BT143" s="525"/>
      <c r="BU143" s="523"/>
      <c r="BV143" s="523"/>
      <c r="BW143" s="523">
        <v>0</v>
      </c>
      <c r="BX143" s="523">
        <v>4</v>
      </c>
      <c r="BY143" s="523">
        <v>0</v>
      </c>
      <c r="BZ143" s="523">
        <v>0</v>
      </c>
      <c r="CA143" s="523"/>
      <c r="CB143" s="523"/>
      <c r="CC143" s="523"/>
      <c r="CD143" s="523"/>
      <c r="CE143" s="523"/>
      <c r="CF143" s="523"/>
      <c r="CG143" s="523"/>
      <c r="CH143" s="523"/>
      <c r="CI143" s="523">
        <f t="shared" si="20"/>
        <v>4</v>
      </c>
    </row>
    <row r="144" spans="1:87" ht="15" x14ac:dyDescent="0.2">
      <c r="A144" s="690" t="s">
        <v>1541</v>
      </c>
      <c r="B144" s="624">
        <v>89626</v>
      </c>
      <c r="C144" s="624" t="s">
        <v>1324</v>
      </c>
      <c r="D144" s="624" t="s">
        <v>1542</v>
      </c>
      <c r="E144" s="691" t="s">
        <v>102</v>
      </c>
      <c r="F144" s="692">
        <v>32.090000000000003</v>
      </c>
      <c r="G144" s="693">
        <v>17.79</v>
      </c>
      <c r="H144" s="691">
        <v>2</v>
      </c>
      <c r="I144" s="636">
        <f t="shared" si="21"/>
        <v>0</v>
      </c>
      <c r="J144" s="637">
        <f t="shared" si="22"/>
        <v>2</v>
      </c>
      <c r="K144" s="691">
        <f t="shared" si="35"/>
        <v>0</v>
      </c>
      <c r="L144" s="708">
        <f t="shared" si="36"/>
        <v>35.58</v>
      </c>
      <c r="M144" s="708">
        <f t="shared" si="36"/>
        <v>0</v>
      </c>
      <c r="N144" s="708">
        <f t="shared" si="36"/>
        <v>35.58</v>
      </c>
      <c r="O144" s="718">
        <f t="shared" si="36"/>
        <v>0</v>
      </c>
      <c r="P144" s="694">
        <f t="shared" si="37"/>
        <v>1</v>
      </c>
      <c r="Q144" s="525"/>
      <c r="S144" s="189">
        <v>0</v>
      </c>
      <c r="T144" s="189">
        <v>8</v>
      </c>
      <c r="BT144" s="525"/>
      <c r="BU144" s="523"/>
      <c r="BV144" s="523"/>
      <c r="BW144" s="523">
        <v>0</v>
      </c>
      <c r="BX144" s="523">
        <v>2</v>
      </c>
      <c r="BY144" s="523">
        <v>0</v>
      </c>
      <c r="BZ144" s="523">
        <v>0</v>
      </c>
      <c r="CA144" s="523"/>
      <c r="CB144" s="523"/>
      <c r="CC144" s="523"/>
      <c r="CD144" s="523"/>
      <c r="CE144" s="523"/>
      <c r="CF144" s="523"/>
      <c r="CG144" s="523"/>
      <c r="CH144" s="523"/>
      <c r="CI144" s="523">
        <f t="shared" ref="CI144:CI207" si="38">SUM(BU144:CH144)</f>
        <v>2</v>
      </c>
    </row>
    <row r="145" spans="1:87" ht="15" x14ac:dyDescent="0.2">
      <c r="A145" s="690" t="s">
        <v>1543</v>
      </c>
      <c r="B145" s="624">
        <v>89534</v>
      </c>
      <c r="C145" s="624" t="s">
        <v>1324</v>
      </c>
      <c r="D145" s="624" t="s">
        <v>1544</v>
      </c>
      <c r="E145" s="691" t="s">
        <v>102</v>
      </c>
      <c r="F145" s="692">
        <v>46.88</v>
      </c>
      <c r="G145" s="693">
        <v>2.9</v>
      </c>
      <c r="H145" s="691">
        <v>8</v>
      </c>
      <c r="I145" s="636">
        <f t="shared" ref="I145:I208" si="39">BU145</f>
        <v>0</v>
      </c>
      <c r="J145" s="637">
        <f t="shared" ref="J145:J208" si="40">CI145</f>
        <v>8</v>
      </c>
      <c r="K145" s="691">
        <f t="shared" si="35"/>
        <v>0</v>
      </c>
      <c r="L145" s="708">
        <f t="shared" si="36"/>
        <v>23.2</v>
      </c>
      <c r="M145" s="708">
        <f t="shared" si="36"/>
        <v>0</v>
      </c>
      <c r="N145" s="708">
        <f t="shared" si="36"/>
        <v>23.2</v>
      </c>
      <c r="O145" s="718">
        <f t="shared" si="36"/>
        <v>0</v>
      </c>
      <c r="P145" s="694">
        <f t="shared" si="37"/>
        <v>1</v>
      </c>
      <c r="Q145" s="525"/>
      <c r="S145" s="189">
        <v>0</v>
      </c>
      <c r="T145" s="189">
        <v>4</v>
      </c>
      <c r="BT145" s="525"/>
      <c r="BU145" s="523"/>
      <c r="BV145" s="523"/>
      <c r="BW145" s="523">
        <v>0</v>
      </c>
      <c r="BX145" s="523">
        <v>8</v>
      </c>
      <c r="BY145" s="523">
        <v>0</v>
      </c>
      <c r="BZ145" s="523">
        <v>0</v>
      </c>
      <c r="CA145" s="523"/>
      <c r="CB145" s="523"/>
      <c r="CC145" s="523"/>
      <c r="CD145" s="523"/>
      <c r="CE145" s="523"/>
      <c r="CF145" s="523"/>
      <c r="CG145" s="523"/>
      <c r="CH145" s="523"/>
      <c r="CI145" s="523">
        <f t="shared" si="38"/>
        <v>8</v>
      </c>
    </row>
    <row r="146" spans="1:87" ht="15" x14ac:dyDescent="0.2">
      <c r="A146" s="690" t="s">
        <v>1545</v>
      </c>
      <c r="B146" s="624">
        <v>89386</v>
      </c>
      <c r="C146" s="624" t="s">
        <v>1324</v>
      </c>
      <c r="D146" s="624" t="s">
        <v>1546</v>
      </c>
      <c r="E146" s="691" t="s">
        <v>102</v>
      </c>
      <c r="F146" s="692">
        <v>31.2</v>
      </c>
      <c r="G146" s="693">
        <v>6</v>
      </c>
      <c r="H146" s="691">
        <v>4</v>
      </c>
      <c r="I146" s="636">
        <f t="shared" si="39"/>
        <v>0</v>
      </c>
      <c r="J146" s="637">
        <f t="shared" si="40"/>
        <v>4</v>
      </c>
      <c r="K146" s="691">
        <f t="shared" si="35"/>
        <v>0</v>
      </c>
      <c r="L146" s="708">
        <f t="shared" si="36"/>
        <v>24</v>
      </c>
      <c r="M146" s="708">
        <f t="shared" si="36"/>
        <v>0</v>
      </c>
      <c r="N146" s="708">
        <f t="shared" si="36"/>
        <v>24</v>
      </c>
      <c r="O146" s="718">
        <f t="shared" si="36"/>
        <v>0</v>
      </c>
      <c r="P146" s="694">
        <f t="shared" si="37"/>
        <v>1</v>
      </c>
      <c r="Q146" s="525"/>
      <c r="S146" s="189">
        <v>0</v>
      </c>
      <c r="T146" s="189">
        <v>4</v>
      </c>
      <c r="BT146" s="525"/>
      <c r="BU146" s="523"/>
      <c r="BV146" s="523"/>
      <c r="BW146" s="523">
        <v>0</v>
      </c>
      <c r="BX146" s="523">
        <v>4</v>
      </c>
      <c r="BY146" s="523">
        <v>0</v>
      </c>
      <c r="BZ146" s="523">
        <v>0</v>
      </c>
      <c r="CA146" s="523"/>
      <c r="CB146" s="523"/>
      <c r="CC146" s="523"/>
      <c r="CD146" s="523"/>
      <c r="CE146" s="523"/>
      <c r="CF146" s="523"/>
      <c r="CG146" s="523"/>
      <c r="CH146" s="523"/>
      <c r="CI146" s="523">
        <f t="shared" si="38"/>
        <v>4</v>
      </c>
    </row>
    <row r="147" spans="1:87" ht="15" x14ac:dyDescent="0.2">
      <c r="A147" s="690" t="s">
        <v>1547</v>
      </c>
      <c r="B147" s="624">
        <v>89433</v>
      </c>
      <c r="C147" s="624" t="s">
        <v>1324</v>
      </c>
      <c r="D147" s="624" t="s">
        <v>1548</v>
      </c>
      <c r="E147" s="691" t="s">
        <v>102</v>
      </c>
      <c r="F147" s="692">
        <v>19.170000000000002</v>
      </c>
      <c r="G147" s="693">
        <v>5.63</v>
      </c>
      <c r="H147" s="691">
        <v>4</v>
      </c>
      <c r="I147" s="636">
        <f t="shared" si="39"/>
        <v>0</v>
      </c>
      <c r="J147" s="637">
        <f t="shared" si="40"/>
        <v>4</v>
      </c>
      <c r="K147" s="691">
        <f t="shared" si="35"/>
        <v>0</v>
      </c>
      <c r="L147" s="708">
        <f t="shared" si="36"/>
        <v>22.52</v>
      </c>
      <c r="M147" s="708">
        <f t="shared" si="36"/>
        <v>0</v>
      </c>
      <c r="N147" s="708">
        <f t="shared" si="36"/>
        <v>22.52</v>
      </c>
      <c r="O147" s="718">
        <f t="shared" si="36"/>
        <v>0</v>
      </c>
      <c r="P147" s="694">
        <f t="shared" si="37"/>
        <v>1</v>
      </c>
      <c r="Q147" s="525"/>
      <c r="S147" s="189">
        <v>0</v>
      </c>
      <c r="T147" s="189">
        <v>2</v>
      </c>
      <c r="BT147" s="525"/>
      <c r="BU147" s="523"/>
      <c r="BV147" s="523"/>
      <c r="BW147" s="523">
        <v>0</v>
      </c>
      <c r="BX147" s="523">
        <v>4</v>
      </c>
      <c r="BY147" s="523">
        <v>0</v>
      </c>
      <c r="BZ147" s="523">
        <v>0</v>
      </c>
      <c r="CA147" s="523"/>
      <c r="CB147" s="523"/>
      <c r="CC147" s="523"/>
      <c r="CD147" s="523"/>
      <c r="CE147" s="523"/>
      <c r="CF147" s="523"/>
      <c r="CG147" s="523"/>
      <c r="CH147" s="523"/>
      <c r="CI147" s="523">
        <f t="shared" si="38"/>
        <v>4</v>
      </c>
    </row>
    <row r="148" spans="1:87" ht="15" x14ac:dyDescent="0.2">
      <c r="A148" s="680" t="s">
        <v>1549</v>
      </c>
      <c r="B148" s="569">
        <v>89605</v>
      </c>
      <c r="C148" s="569" t="s">
        <v>1324</v>
      </c>
      <c r="D148" s="569" t="s">
        <v>1550</v>
      </c>
      <c r="E148" s="681" t="s">
        <v>102</v>
      </c>
      <c r="F148" s="644">
        <v>98.11</v>
      </c>
      <c r="G148" s="682">
        <v>11.65</v>
      </c>
      <c r="H148" s="681">
        <v>2</v>
      </c>
      <c r="I148" s="622">
        <f t="shared" si="39"/>
        <v>0</v>
      </c>
      <c r="J148" s="574">
        <f t="shared" si="40"/>
        <v>2</v>
      </c>
      <c r="K148" s="681">
        <f t="shared" si="35"/>
        <v>0</v>
      </c>
      <c r="L148" s="708">
        <f t="shared" si="36"/>
        <v>23.3</v>
      </c>
      <c r="M148" s="708">
        <f t="shared" si="36"/>
        <v>0</v>
      </c>
      <c r="N148" s="708">
        <f t="shared" si="36"/>
        <v>23.3</v>
      </c>
      <c r="O148" s="718">
        <f t="shared" si="36"/>
        <v>0</v>
      </c>
      <c r="P148" s="617">
        <f t="shared" si="37"/>
        <v>1</v>
      </c>
      <c r="Q148" s="525"/>
      <c r="S148" s="189">
        <v>0</v>
      </c>
      <c r="T148" s="189">
        <v>2</v>
      </c>
      <c r="BT148" s="525"/>
      <c r="BU148" s="523"/>
      <c r="BV148" s="523"/>
      <c r="BW148" s="523">
        <v>0</v>
      </c>
      <c r="BX148" s="523">
        <v>2</v>
      </c>
      <c r="BY148" s="523">
        <v>0</v>
      </c>
      <c r="BZ148" s="523">
        <v>0</v>
      </c>
      <c r="CA148" s="523"/>
      <c r="CB148" s="523"/>
      <c r="CC148" s="523"/>
      <c r="CD148" s="523"/>
      <c r="CE148" s="523"/>
      <c r="CF148" s="523"/>
      <c r="CG148" s="523"/>
      <c r="CH148" s="523"/>
      <c r="CI148" s="523">
        <f t="shared" si="38"/>
        <v>2</v>
      </c>
    </row>
    <row r="149" spans="1:87" ht="15" x14ac:dyDescent="0.2">
      <c r="A149" s="680" t="s">
        <v>1551</v>
      </c>
      <c r="B149" s="569">
        <v>90375</v>
      </c>
      <c r="C149" s="569" t="s">
        <v>1324</v>
      </c>
      <c r="D149" s="569" t="s">
        <v>1552</v>
      </c>
      <c r="E149" s="681" t="s">
        <v>102</v>
      </c>
      <c r="F149" s="644">
        <v>174.65</v>
      </c>
      <c r="G149" s="682">
        <v>6.61</v>
      </c>
      <c r="H149" s="681">
        <v>2</v>
      </c>
      <c r="I149" s="622">
        <f t="shared" si="39"/>
        <v>0</v>
      </c>
      <c r="J149" s="574">
        <f t="shared" si="40"/>
        <v>2</v>
      </c>
      <c r="K149" s="681">
        <f t="shared" si="35"/>
        <v>0</v>
      </c>
      <c r="L149" s="708">
        <f t="shared" si="36"/>
        <v>13.22</v>
      </c>
      <c r="M149" s="708">
        <f t="shared" si="36"/>
        <v>0</v>
      </c>
      <c r="N149" s="708">
        <f t="shared" si="36"/>
        <v>13.22</v>
      </c>
      <c r="O149" s="718">
        <f t="shared" si="36"/>
        <v>0</v>
      </c>
      <c r="P149" s="617">
        <f t="shared" si="37"/>
        <v>1</v>
      </c>
      <c r="Q149" s="525"/>
      <c r="S149" s="189">
        <v>0</v>
      </c>
      <c r="T149" s="189">
        <v>4</v>
      </c>
      <c r="BT149" s="525"/>
      <c r="BU149" s="523"/>
      <c r="BV149" s="523"/>
      <c r="BW149" s="523">
        <v>0</v>
      </c>
      <c r="BX149" s="523">
        <v>2</v>
      </c>
      <c r="BY149" s="523">
        <v>0</v>
      </c>
      <c r="BZ149" s="523">
        <v>0</v>
      </c>
      <c r="CA149" s="523"/>
      <c r="CB149" s="523"/>
      <c r="CC149" s="523"/>
      <c r="CD149" s="523"/>
      <c r="CE149" s="523"/>
      <c r="CF149" s="523"/>
      <c r="CG149" s="523"/>
      <c r="CH149" s="523"/>
      <c r="CI149" s="523">
        <f t="shared" si="38"/>
        <v>2</v>
      </c>
    </row>
    <row r="150" spans="1:87" ht="15.75" x14ac:dyDescent="0.2">
      <c r="A150" s="680" t="s">
        <v>1553</v>
      </c>
      <c r="B150" s="569">
        <v>90375</v>
      </c>
      <c r="C150" s="569" t="s">
        <v>1324</v>
      </c>
      <c r="D150" s="569" t="s">
        <v>1554</v>
      </c>
      <c r="E150" s="681" t="s">
        <v>102</v>
      </c>
      <c r="F150" s="578"/>
      <c r="G150" s="682">
        <v>6.61</v>
      </c>
      <c r="H150" s="681">
        <v>4</v>
      </c>
      <c r="I150" s="622">
        <f t="shared" si="39"/>
        <v>0</v>
      </c>
      <c r="J150" s="574">
        <f t="shared" si="40"/>
        <v>4</v>
      </c>
      <c r="K150" s="681">
        <f t="shared" si="35"/>
        <v>0</v>
      </c>
      <c r="L150" s="708">
        <f t="shared" si="36"/>
        <v>26.44</v>
      </c>
      <c r="M150" s="708">
        <f t="shared" si="36"/>
        <v>0</v>
      </c>
      <c r="N150" s="708">
        <f t="shared" si="36"/>
        <v>26.44</v>
      </c>
      <c r="O150" s="718">
        <f t="shared" si="36"/>
        <v>0</v>
      </c>
      <c r="P150" s="617">
        <f t="shared" si="37"/>
        <v>1</v>
      </c>
      <c r="Q150" s="525"/>
      <c r="S150" s="189">
        <v>0</v>
      </c>
      <c r="T150" s="189">
        <v>6</v>
      </c>
      <c r="BT150" s="525"/>
      <c r="BU150" s="523"/>
      <c r="BV150" s="523"/>
      <c r="BW150" s="523">
        <v>0</v>
      </c>
      <c r="BX150" s="523">
        <v>4</v>
      </c>
      <c r="BY150" s="523">
        <v>0</v>
      </c>
      <c r="BZ150" s="523">
        <v>0</v>
      </c>
      <c r="CA150" s="523"/>
      <c r="CB150" s="523"/>
      <c r="CC150" s="523"/>
      <c r="CD150" s="523"/>
      <c r="CE150" s="523"/>
      <c r="CF150" s="523"/>
      <c r="CG150" s="523"/>
      <c r="CH150" s="523"/>
      <c r="CI150" s="523">
        <f t="shared" si="38"/>
        <v>4</v>
      </c>
    </row>
    <row r="151" spans="1:87" ht="15.75" x14ac:dyDescent="0.2">
      <c r="A151" s="680" t="s">
        <v>1555</v>
      </c>
      <c r="B151" s="569">
        <v>89375</v>
      </c>
      <c r="C151" s="569" t="s">
        <v>1324</v>
      </c>
      <c r="D151" s="569" t="s">
        <v>1556</v>
      </c>
      <c r="E151" s="681" t="s">
        <v>102</v>
      </c>
      <c r="F151" s="578"/>
      <c r="G151" s="682">
        <v>7.45</v>
      </c>
      <c r="H151" s="681">
        <v>6</v>
      </c>
      <c r="I151" s="622">
        <f t="shared" si="39"/>
        <v>0</v>
      </c>
      <c r="J151" s="574">
        <f t="shared" si="40"/>
        <v>6</v>
      </c>
      <c r="K151" s="681">
        <f t="shared" si="35"/>
        <v>0</v>
      </c>
      <c r="L151" s="708">
        <f t="shared" si="36"/>
        <v>44.7</v>
      </c>
      <c r="M151" s="708">
        <f t="shared" si="36"/>
        <v>0</v>
      </c>
      <c r="N151" s="708">
        <f t="shared" si="36"/>
        <v>44.7</v>
      </c>
      <c r="O151" s="718">
        <f t="shared" si="36"/>
        <v>0</v>
      </c>
      <c r="P151" s="617">
        <f t="shared" si="37"/>
        <v>1</v>
      </c>
      <c r="Q151" s="525"/>
      <c r="S151" s="189">
        <v>0</v>
      </c>
      <c r="T151" s="189">
        <v>2</v>
      </c>
      <c r="BT151" s="525"/>
      <c r="BU151" s="523"/>
      <c r="BV151" s="523"/>
      <c r="BW151" s="523">
        <v>0</v>
      </c>
      <c r="BX151" s="523">
        <v>6</v>
      </c>
      <c r="BY151" s="523">
        <v>0</v>
      </c>
      <c r="BZ151" s="523">
        <v>0</v>
      </c>
      <c r="CA151" s="523"/>
      <c r="CB151" s="523"/>
      <c r="CC151" s="523"/>
      <c r="CD151" s="523"/>
      <c r="CE151" s="523"/>
      <c r="CF151" s="523"/>
      <c r="CG151" s="523"/>
      <c r="CH151" s="523"/>
      <c r="CI151" s="523">
        <f t="shared" si="38"/>
        <v>6</v>
      </c>
    </row>
    <row r="152" spans="1:87" s="663" customFormat="1" ht="15" x14ac:dyDescent="0.2">
      <c r="A152" s="680" t="s">
        <v>1557</v>
      </c>
      <c r="B152" s="569">
        <v>89594</v>
      </c>
      <c r="C152" s="569" t="s">
        <v>1324</v>
      </c>
      <c r="D152" s="569" t="s">
        <v>1558</v>
      </c>
      <c r="E152" s="681" t="s">
        <v>102</v>
      </c>
      <c r="F152" s="644">
        <v>33.909999999999997</v>
      </c>
      <c r="G152" s="682">
        <v>22.48</v>
      </c>
      <c r="H152" s="681">
        <v>2</v>
      </c>
      <c r="I152" s="622">
        <f t="shared" si="39"/>
        <v>0</v>
      </c>
      <c r="J152" s="574">
        <f t="shared" si="40"/>
        <v>2</v>
      </c>
      <c r="K152" s="681">
        <f t="shared" si="35"/>
        <v>0</v>
      </c>
      <c r="L152" s="708">
        <f t="shared" si="36"/>
        <v>44.96</v>
      </c>
      <c r="M152" s="708">
        <f t="shared" si="36"/>
        <v>0</v>
      </c>
      <c r="N152" s="708">
        <f t="shared" si="36"/>
        <v>44.96</v>
      </c>
      <c r="O152" s="718">
        <f t="shared" si="36"/>
        <v>0</v>
      </c>
      <c r="P152" s="617">
        <f t="shared" si="37"/>
        <v>1</v>
      </c>
      <c r="Q152" s="525"/>
      <c r="S152" s="190">
        <v>0</v>
      </c>
      <c r="T152" s="190">
        <v>34</v>
      </c>
      <c r="BT152" s="525"/>
      <c r="BU152" s="523"/>
      <c r="BV152" s="523"/>
      <c r="BW152" s="523">
        <v>0</v>
      </c>
      <c r="BX152" s="523">
        <v>2</v>
      </c>
      <c r="BY152" s="523">
        <v>0</v>
      </c>
      <c r="BZ152" s="523">
        <v>0</v>
      </c>
      <c r="CA152" s="523"/>
      <c r="CB152" s="523"/>
      <c r="CC152" s="523"/>
      <c r="CD152" s="523"/>
      <c r="CE152" s="523"/>
      <c r="CF152" s="523"/>
      <c r="CG152" s="523"/>
      <c r="CH152" s="523"/>
      <c r="CI152" s="523">
        <f t="shared" si="38"/>
        <v>2</v>
      </c>
    </row>
    <row r="153" spans="1:87" ht="15.75" x14ac:dyDescent="0.2">
      <c r="A153" s="605" t="s">
        <v>290</v>
      </c>
      <c r="B153" s="586"/>
      <c r="C153" s="586"/>
      <c r="D153" s="586" t="s">
        <v>1559</v>
      </c>
      <c r="E153" s="609"/>
      <c r="F153" s="687"/>
      <c r="G153" s="609"/>
      <c r="H153" s="609"/>
      <c r="I153" s="609"/>
      <c r="J153" s="609"/>
      <c r="K153" s="609"/>
      <c r="L153" s="733">
        <f>SUM(L154:L168)</f>
        <v>2836.4</v>
      </c>
      <c r="M153" s="733">
        <f>SUM(M154:M168)</f>
        <v>551.87</v>
      </c>
      <c r="N153" s="733">
        <f>SUM(N154:N168)</f>
        <v>718.01</v>
      </c>
      <c r="O153" s="722">
        <f>SUM(O154:O168)</f>
        <v>2118.3900000000003</v>
      </c>
      <c r="P153" s="611">
        <f t="shared" si="37"/>
        <v>0.25314130588069383</v>
      </c>
      <c r="Q153" s="525"/>
      <c r="S153" s="189">
        <v>0</v>
      </c>
      <c r="T153" s="189">
        <v>0</v>
      </c>
      <c r="BT153" s="525"/>
      <c r="BU153" s="523"/>
      <c r="BV153" s="523"/>
      <c r="BW153" s="523">
        <v>0</v>
      </c>
      <c r="BX153" s="523">
        <v>34</v>
      </c>
      <c r="BY153" s="523"/>
      <c r="BZ153" s="523"/>
      <c r="CA153" s="523"/>
      <c r="CB153" s="523"/>
      <c r="CC153" s="523"/>
      <c r="CD153" s="523"/>
      <c r="CE153" s="523"/>
      <c r="CF153" s="523"/>
      <c r="CG153" s="523"/>
      <c r="CH153" s="523"/>
      <c r="CI153" s="523">
        <f t="shared" si="38"/>
        <v>34</v>
      </c>
    </row>
    <row r="154" spans="1:87" ht="15" x14ac:dyDescent="0.2">
      <c r="A154" s="680" t="s">
        <v>1560</v>
      </c>
      <c r="B154" s="569">
        <v>89353</v>
      </c>
      <c r="C154" s="569" t="s">
        <v>1324</v>
      </c>
      <c r="D154" s="569" t="s">
        <v>1561</v>
      </c>
      <c r="E154" s="681" t="s">
        <v>102</v>
      </c>
      <c r="F154" s="644">
        <v>9.81</v>
      </c>
      <c r="G154" s="682">
        <v>30.67</v>
      </c>
      <c r="H154" s="681">
        <v>1</v>
      </c>
      <c r="I154" s="622">
        <f t="shared" si="39"/>
        <v>1</v>
      </c>
      <c r="J154" s="574">
        <f t="shared" si="40"/>
        <v>1</v>
      </c>
      <c r="K154" s="681">
        <f t="shared" si="35"/>
        <v>0</v>
      </c>
      <c r="L154" s="708">
        <f t="shared" ref="L154:O168" si="41">ROUND(H154*$G154,2)</f>
        <v>30.67</v>
      </c>
      <c r="M154" s="708">
        <f t="shared" si="41"/>
        <v>30.67</v>
      </c>
      <c r="N154" s="708">
        <f t="shared" si="41"/>
        <v>30.67</v>
      </c>
      <c r="O154" s="718">
        <f t="shared" si="41"/>
        <v>0</v>
      </c>
      <c r="P154" s="617">
        <f t="shared" si="37"/>
        <v>1</v>
      </c>
      <c r="Q154" s="525"/>
      <c r="S154" s="189">
        <v>0</v>
      </c>
      <c r="T154" s="189">
        <v>0</v>
      </c>
      <c r="BT154" s="525"/>
      <c r="BU154" s="523">
        <v>1</v>
      </c>
      <c r="BV154" s="523"/>
      <c r="BW154" s="523">
        <v>0</v>
      </c>
      <c r="BX154" s="523">
        <v>0</v>
      </c>
      <c r="BY154" s="523">
        <v>0</v>
      </c>
      <c r="BZ154" s="523">
        <v>0</v>
      </c>
      <c r="CA154" s="523"/>
      <c r="CB154" s="523"/>
      <c r="CC154" s="523"/>
      <c r="CD154" s="523"/>
      <c r="CE154" s="523"/>
      <c r="CF154" s="523"/>
      <c r="CG154" s="523"/>
      <c r="CH154" s="523"/>
      <c r="CI154" s="523">
        <f t="shared" si="38"/>
        <v>1</v>
      </c>
    </row>
    <row r="155" spans="1:87" ht="15" x14ac:dyDescent="0.2">
      <c r="A155" s="680" t="s">
        <v>1562</v>
      </c>
      <c r="B155" s="569" t="s">
        <v>1563</v>
      </c>
      <c r="C155" s="569" t="s">
        <v>1324</v>
      </c>
      <c r="D155" s="569" t="s">
        <v>1564</v>
      </c>
      <c r="E155" s="681" t="s">
        <v>102</v>
      </c>
      <c r="F155" s="644">
        <v>12.72</v>
      </c>
      <c r="G155" s="682">
        <v>86.64</v>
      </c>
      <c r="H155" s="681">
        <v>2</v>
      </c>
      <c r="I155" s="622">
        <f t="shared" si="39"/>
        <v>2</v>
      </c>
      <c r="J155" s="574">
        <f t="shared" si="40"/>
        <v>2</v>
      </c>
      <c r="K155" s="681">
        <f t="shared" si="35"/>
        <v>0</v>
      </c>
      <c r="L155" s="708">
        <f t="shared" si="41"/>
        <v>173.28</v>
      </c>
      <c r="M155" s="708">
        <f t="shared" si="41"/>
        <v>173.28</v>
      </c>
      <c r="N155" s="708">
        <f t="shared" si="41"/>
        <v>173.28</v>
      </c>
      <c r="O155" s="718">
        <f t="shared" si="41"/>
        <v>0</v>
      </c>
      <c r="P155" s="617">
        <f t="shared" si="37"/>
        <v>1</v>
      </c>
      <c r="Q155" s="525"/>
      <c r="S155" s="189">
        <v>0</v>
      </c>
      <c r="T155" s="189">
        <v>0</v>
      </c>
      <c r="BT155" s="525"/>
      <c r="BU155" s="523">
        <v>2</v>
      </c>
      <c r="BV155" s="523"/>
      <c r="BW155" s="523">
        <v>0</v>
      </c>
      <c r="BX155" s="523">
        <v>0</v>
      </c>
      <c r="BY155" s="523">
        <v>0</v>
      </c>
      <c r="BZ155" s="523">
        <v>0</v>
      </c>
      <c r="CA155" s="523"/>
      <c r="CB155" s="523"/>
      <c r="CC155" s="523"/>
      <c r="CD155" s="523"/>
      <c r="CE155" s="523"/>
      <c r="CF155" s="523"/>
      <c r="CG155" s="523"/>
      <c r="CH155" s="523"/>
      <c r="CI155" s="523">
        <f t="shared" si="38"/>
        <v>2</v>
      </c>
    </row>
    <row r="156" spans="1:87" ht="15.75" x14ac:dyDescent="0.2">
      <c r="A156" s="680" t="s">
        <v>1565</v>
      </c>
      <c r="B156" s="569" t="s">
        <v>1566</v>
      </c>
      <c r="C156" s="569" t="s">
        <v>1324</v>
      </c>
      <c r="D156" s="569" t="s">
        <v>1567</v>
      </c>
      <c r="E156" s="681" t="s">
        <v>102</v>
      </c>
      <c r="F156" s="578"/>
      <c r="G156" s="682">
        <v>52.59</v>
      </c>
      <c r="H156" s="681">
        <v>2</v>
      </c>
      <c r="I156" s="622">
        <f t="shared" si="39"/>
        <v>1</v>
      </c>
      <c r="J156" s="574">
        <f t="shared" si="40"/>
        <v>1</v>
      </c>
      <c r="K156" s="681">
        <f t="shared" si="35"/>
        <v>1</v>
      </c>
      <c r="L156" s="708">
        <f t="shared" si="41"/>
        <v>105.18</v>
      </c>
      <c r="M156" s="708">
        <f t="shared" si="41"/>
        <v>52.59</v>
      </c>
      <c r="N156" s="708">
        <f t="shared" si="41"/>
        <v>52.59</v>
      </c>
      <c r="O156" s="718">
        <f t="shared" si="41"/>
        <v>52.59</v>
      </c>
      <c r="P156" s="617">
        <f t="shared" si="37"/>
        <v>0.5</v>
      </c>
      <c r="Q156" s="525"/>
      <c r="S156" s="189">
        <v>0</v>
      </c>
      <c r="T156" s="189">
        <v>0</v>
      </c>
      <c r="BT156" s="525"/>
      <c r="BU156" s="523">
        <v>1</v>
      </c>
      <c r="BV156" s="523"/>
      <c r="BW156" s="523">
        <v>0</v>
      </c>
      <c r="BX156" s="523">
        <v>0</v>
      </c>
      <c r="BY156" s="523">
        <v>0</v>
      </c>
      <c r="BZ156" s="523">
        <v>0</v>
      </c>
      <c r="CA156" s="523"/>
      <c r="CB156" s="523"/>
      <c r="CC156" s="523"/>
      <c r="CD156" s="523"/>
      <c r="CE156" s="523"/>
      <c r="CF156" s="523"/>
      <c r="CG156" s="523"/>
      <c r="CH156" s="523"/>
      <c r="CI156" s="523">
        <f t="shared" si="38"/>
        <v>1</v>
      </c>
    </row>
    <row r="157" spans="1:87" ht="15.75" x14ac:dyDescent="0.2">
      <c r="A157" s="680" t="s">
        <v>1568</v>
      </c>
      <c r="B157" s="569" t="s">
        <v>1569</v>
      </c>
      <c r="C157" s="569" t="s">
        <v>1324</v>
      </c>
      <c r="D157" s="569" t="s">
        <v>1570</v>
      </c>
      <c r="E157" s="681" t="s">
        <v>102</v>
      </c>
      <c r="F157" s="578"/>
      <c r="G157" s="682">
        <v>120.21</v>
      </c>
      <c r="H157" s="681">
        <v>2</v>
      </c>
      <c r="I157" s="573">
        <f t="shared" si="39"/>
        <v>0</v>
      </c>
      <c r="J157" s="573">
        <f t="shared" si="40"/>
        <v>0</v>
      </c>
      <c r="K157" s="685">
        <f t="shared" si="35"/>
        <v>2</v>
      </c>
      <c r="L157" s="708">
        <f t="shared" si="41"/>
        <v>240.42</v>
      </c>
      <c r="M157" s="708">
        <f t="shared" si="41"/>
        <v>0</v>
      </c>
      <c r="N157" s="708">
        <f t="shared" si="41"/>
        <v>0</v>
      </c>
      <c r="O157" s="718">
        <f t="shared" si="41"/>
        <v>240.42</v>
      </c>
      <c r="P157" s="617">
        <f t="shared" si="37"/>
        <v>0</v>
      </c>
      <c r="Q157" s="525"/>
      <c r="S157" s="189">
        <v>0</v>
      </c>
      <c r="T157" s="189">
        <v>0</v>
      </c>
      <c r="BT157" s="525"/>
      <c r="BU157" s="523"/>
      <c r="BV157" s="523"/>
      <c r="BW157" s="523">
        <v>0</v>
      </c>
      <c r="BX157" s="523">
        <v>0</v>
      </c>
      <c r="BY157" s="523">
        <v>0</v>
      </c>
      <c r="BZ157" s="523">
        <v>0</v>
      </c>
      <c r="CA157" s="523"/>
      <c r="CB157" s="523"/>
      <c r="CC157" s="523"/>
      <c r="CD157" s="523"/>
      <c r="CE157" s="523"/>
      <c r="CF157" s="523"/>
      <c r="CG157" s="523"/>
      <c r="CH157" s="523"/>
      <c r="CI157" s="523">
        <f t="shared" si="38"/>
        <v>0</v>
      </c>
    </row>
    <row r="158" spans="1:87" ht="15" x14ac:dyDescent="0.2">
      <c r="A158" s="680" t="s">
        <v>1571</v>
      </c>
      <c r="B158" s="569" t="s">
        <v>1572</v>
      </c>
      <c r="C158" s="569" t="s">
        <v>1324</v>
      </c>
      <c r="D158" s="569" t="s">
        <v>1573</v>
      </c>
      <c r="E158" s="681" t="s">
        <v>102</v>
      </c>
      <c r="F158" s="571"/>
      <c r="G158" s="682">
        <v>67.349999999999994</v>
      </c>
      <c r="H158" s="681">
        <v>2</v>
      </c>
      <c r="I158" s="573">
        <f t="shared" si="39"/>
        <v>1</v>
      </c>
      <c r="J158" s="573">
        <f t="shared" si="40"/>
        <v>1</v>
      </c>
      <c r="K158" s="685">
        <f t="shared" si="35"/>
        <v>1</v>
      </c>
      <c r="L158" s="708">
        <f t="shared" si="41"/>
        <v>134.69999999999999</v>
      </c>
      <c r="M158" s="708">
        <f t="shared" si="41"/>
        <v>67.349999999999994</v>
      </c>
      <c r="N158" s="708">
        <f t="shared" si="41"/>
        <v>67.349999999999994</v>
      </c>
      <c r="O158" s="718">
        <f t="shared" si="41"/>
        <v>67.349999999999994</v>
      </c>
      <c r="P158" s="617">
        <f t="shared" si="37"/>
        <v>0.5</v>
      </c>
      <c r="Q158" s="525"/>
      <c r="S158" s="189">
        <v>0</v>
      </c>
      <c r="T158" s="189">
        <v>0</v>
      </c>
      <c r="BT158" s="525"/>
      <c r="BU158" s="523">
        <v>1</v>
      </c>
      <c r="BV158" s="523"/>
      <c r="BW158" s="523">
        <v>0</v>
      </c>
      <c r="BX158" s="523">
        <v>0</v>
      </c>
      <c r="BY158" s="523">
        <v>0</v>
      </c>
      <c r="BZ158" s="523">
        <v>0</v>
      </c>
      <c r="CA158" s="523"/>
      <c r="CB158" s="523"/>
      <c r="CC158" s="523"/>
      <c r="CD158" s="523"/>
      <c r="CE158" s="523"/>
      <c r="CF158" s="523"/>
      <c r="CG158" s="523"/>
      <c r="CH158" s="523"/>
      <c r="CI158" s="523">
        <f t="shared" si="38"/>
        <v>1</v>
      </c>
    </row>
    <row r="159" spans="1:87" ht="15" x14ac:dyDescent="0.2">
      <c r="A159" s="680" t="s">
        <v>1574</v>
      </c>
      <c r="B159" s="569">
        <v>89987</v>
      </c>
      <c r="C159" s="569" t="s">
        <v>1324</v>
      </c>
      <c r="D159" s="569" t="s">
        <v>1575</v>
      </c>
      <c r="E159" s="681" t="s">
        <v>102</v>
      </c>
      <c r="F159" s="644">
        <v>8.41</v>
      </c>
      <c r="G159" s="682">
        <v>35.92</v>
      </c>
      <c r="H159" s="681">
        <v>2</v>
      </c>
      <c r="I159" s="573">
        <f t="shared" si="39"/>
        <v>1</v>
      </c>
      <c r="J159" s="573">
        <f t="shared" si="40"/>
        <v>1</v>
      </c>
      <c r="K159" s="685">
        <f t="shared" si="35"/>
        <v>1</v>
      </c>
      <c r="L159" s="708">
        <f t="shared" si="41"/>
        <v>71.84</v>
      </c>
      <c r="M159" s="708">
        <f t="shared" si="41"/>
        <v>35.92</v>
      </c>
      <c r="N159" s="708">
        <f t="shared" si="41"/>
        <v>35.92</v>
      </c>
      <c r="O159" s="718">
        <f t="shared" si="41"/>
        <v>35.92</v>
      </c>
      <c r="P159" s="617">
        <f t="shared" si="37"/>
        <v>0.5</v>
      </c>
      <c r="Q159" s="525"/>
      <c r="S159" s="189">
        <v>0</v>
      </c>
      <c r="T159" s="189">
        <v>0</v>
      </c>
      <c r="BT159" s="525"/>
      <c r="BU159" s="523">
        <v>1</v>
      </c>
      <c r="BV159" s="523"/>
      <c r="BW159" s="523">
        <v>0</v>
      </c>
      <c r="BX159" s="523">
        <v>0</v>
      </c>
      <c r="BY159" s="523">
        <v>0</v>
      </c>
      <c r="BZ159" s="523">
        <v>0</v>
      </c>
      <c r="CA159" s="523"/>
      <c r="CB159" s="523"/>
      <c r="CC159" s="523"/>
      <c r="CD159" s="523"/>
      <c r="CE159" s="523"/>
      <c r="CF159" s="523"/>
      <c r="CG159" s="523"/>
      <c r="CH159" s="523"/>
      <c r="CI159" s="523">
        <f t="shared" si="38"/>
        <v>1</v>
      </c>
    </row>
    <row r="160" spans="1:87" ht="15" x14ac:dyDescent="0.2">
      <c r="A160" s="680" t="s">
        <v>1576</v>
      </c>
      <c r="B160" s="569">
        <v>89985</v>
      </c>
      <c r="C160" s="569" t="s">
        <v>1324</v>
      </c>
      <c r="D160" s="569" t="s">
        <v>1577</v>
      </c>
      <c r="E160" s="681" t="s">
        <v>102</v>
      </c>
      <c r="F160" s="644">
        <v>9.49</v>
      </c>
      <c r="G160" s="682">
        <v>64.02</v>
      </c>
      <c r="H160" s="681">
        <v>8</v>
      </c>
      <c r="I160" s="573">
        <f t="shared" si="39"/>
        <v>3</v>
      </c>
      <c r="J160" s="573">
        <f t="shared" si="40"/>
        <v>3</v>
      </c>
      <c r="K160" s="685">
        <f t="shared" si="35"/>
        <v>5</v>
      </c>
      <c r="L160" s="708">
        <f t="shared" si="41"/>
        <v>512.16</v>
      </c>
      <c r="M160" s="708">
        <f t="shared" si="41"/>
        <v>192.06</v>
      </c>
      <c r="N160" s="708">
        <f t="shared" si="41"/>
        <v>192.06</v>
      </c>
      <c r="O160" s="718">
        <f t="shared" si="41"/>
        <v>320.10000000000002</v>
      </c>
      <c r="P160" s="617">
        <f t="shared" si="37"/>
        <v>0.375</v>
      </c>
      <c r="Q160" s="525"/>
      <c r="S160" s="189">
        <v>0</v>
      </c>
      <c r="T160" s="189">
        <v>12</v>
      </c>
      <c r="BT160" s="525"/>
      <c r="BU160" s="523">
        <v>3</v>
      </c>
      <c r="BV160" s="523"/>
      <c r="BW160" s="523">
        <v>0</v>
      </c>
      <c r="BX160" s="523">
        <v>0</v>
      </c>
      <c r="BY160" s="523">
        <v>0</v>
      </c>
      <c r="BZ160" s="523">
        <v>0</v>
      </c>
      <c r="CA160" s="523"/>
      <c r="CB160" s="523"/>
      <c r="CC160" s="523"/>
      <c r="CD160" s="523"/>
      <c r="CE160" s="523"/>
      <c r="CF160" s="523"/>
      <c r="CG160" s="523"/>
      <c r="CH160" s="523"/>
      <c r="CI160" s="523">
        <f t="shared" si="38"/>
        <v>3</v>
      </c>
    </row>
    <row r="161" spans="1:87" ht="15" x14ac:dyDescent="0.2">
      <c r="A161" s="680" t="s">
        <v>1578</v>
      </c>
      <c r="B161" s="569">
        <v>89538</v>
      </c>
      <c r="C161" s="569" t="s">
        <v>1324</v>
      </c>
      <c r="D161" s="569" t="s">
        <v>1579</v>
      </c>
      <c r="E161" s="681" t="s">
        <v>102</v>
      </c>
      <c r="F161" s="644">
        <v>6.56</v>
      </c>
      <c r="G161" s="682">
        <v>2.75</v>
      </c>
      <c r="H161" s="681">
        <v>12</v>
      </c>
      <c r="I161" s="573">
        <f t="shared" si="39"/>
        <v>0</v>
      </c>
      <c r="J161" s="573">
        <f t="shared" si="40"/>
        <v>12</v>
      </c>
      <c r="K161" s="685">
        <f t="shared" si="35"/>
        <v>0</v>
      </c>
      <c r="L161" s="708">
        <f t="shared" si="41"/>
        <v>33</v>
      </c>
      <c r="M161" s="708">
        <f t="shared" si="41"/>
        <v>0</v>
      </c>
      <c r="N161" s="708">
        <f t="shared" si="41"/>
        <v>33</v>
      </c>
      <c r="O161" s="718">
        <f t="shared" si="41"/>
        <v>0</v>
      </c>
      <c r="P161" s="617">
        <f t="shared" si="37"/>
        <v>1</v>
      </c>
      <c r="Q161" s="525"/>
      <c r="S161" s="189">
        <v>0</v>
      </c>
      <c r="T161" s="189">
        <v>4</v>
      </c>
      <c r="BT161" s="525"/>
      <c r="BU161" s="523">
        <v>0</v>
      </c>
      <c r="BV161" s="523"/>
      <c r="BW161" s="523">
        <v>0</v>
      </c>
      <c r="BX161" s="523">
        <v>12</v>
      </c>
      <c r="BY161" s="523">
        <v>0</v>
      </c>
      <c r="BZ161" s="523">
        <v>0</v>
      </c>
      <c r="CA161" s="523"/>
      <c r="CB161" s="523"/>
      <c r="CC161" s="523"/>
      <c r="CD161" s="523"/>
      <c r="CE161" s="523"/>
      <c r="CF161" s="523"/>
      <c r="CG161" s="523"/>
      <c r="CH161" s="523"/>
      <c r="CI161" s="523">
        <f t="shared" si="38"/>
        <v>12</v>
      </c>
    </row>
    <row r="162" spans="1:87" ht="15.75" x14ac:dyDescent="0.2">
      <c r="A162" s="680" t="s">
        <v>1580</v>
      </c>
      <c r="B162" s="569">
        <v>89553</v>
      </c>
      <c r="C162" s="569" t="s">
        <v>1324</v>
      </c>
      <c r="D162" s="569" t="s">
        <v>1581</v>
      </c>
      <c r="E162" s="681" t="s">
        <v>102</v>
      </c>
      <c r="F162" s="578"/>
      <c r="G162" s="682">
        <v>4.01</v>
      </c>
      <c r="H162" s="681">
        <v>4</v>
      </c>
      <c r="I162" s="573">
        <f t="shared" si="39"/>
        <v>0</v>
      </c>
      <c r="J162" s="573">
        <f t="shared" si="40"/>
        <v>4</v>
      </c>
      <c r="K162" s="685">
        <f t="shared" si="35"/>
        <v>0</v>
      </c>
      <c r="L162" s="708">
        <f t="shared" si="41"/>
        <v>16.04</v>
      </c>
      <c r="M162" s="708">
        <f t="shared" si="41"/>
        <v>0</v>
      </c>
      <c r="N162" s="708">
        <f t="shared" si="41"/>
        <v>16.04</v>
      </c>
      <c r="O162" s="718">
        <f t="shared" si="41"/>
        <v>0</v>
      </c>
      <c r="P162" s="617">
        <f t="shared" si="37"/>
        <v>1</v>
      </c>
      <c r="Q162" s="525"/>
      <c r="S162" s="189">
        <v>0</v>
      </c>
      <c r="T162" s="189">
        <v>4</v>
      </c>
      <c r="BT162" s="525"/>
      <c r="BU162" s="523"/>
      <c r="BV162" s="523"/>
      <c r="BW162" s="523">
        <v>0</v>
      </c>
      <c r="BX162" s="523">
        <v>4</v>
      </c>
      <c r="BY162" s="523">
        <v>0</v>
      </c>
      <c r="BZ162" s="523">
        <v>0</v>
      </c>
      <c r="CA162" s="523"/>
      <c r="CB162" s="523"/>
      <c r="CC162" s="523"/>
      <c r="CD162" s="523"/>
      <c r="CE162" s="523"/>
      <c r="CF162" s="523"/>
      <c r="CG162" s="523"/>
      <c r="CH162" s="523"/>
      <c r="CI162" s="523">
        <f t="shared" si="38"/>
        <v>4</v>
      </c>
    </row>
    <row r="163" spans="1:87" ht="15" x14ac:dyDescent="0.2">
      <c r="A163" s="680" t="s">
        <v>1582</v>
      </c>
      <c r="B163" s="569">
        <v>89570</v>
      </c>
      <c r="C163" s="569" t="s">
        <v>1324</v>
      </c>
      <c r="D163" s="569" t="s">
        <v>1583</v>
      </c>
      <c r="E163" s="681" t="s">
        <v>102</v>
      </c>
      <c r="F163" s="644">
        <v>8.41</v>
      </c>
      <c r="G163" s="682">
        <v>6.66</v>
      </c>
      <c r="H163" s="681">
        <v>4</v>
      </c>
      <c r="I163" s="573">
        <f t="shared" si="39"/>
        <v>0</v>
      </c>
      <c r="J163" s="573">
        <f t="shared" si="40"/>
        <v>4</v>
      </c>
      <c r="K163" s="685">
        <f t="shared" si="35"/>
        <v>0</v>
      </c>
      <c r="L163" s="708">
        <f t="shared" si="41"/>
        <v>26.64</v>
      </c>
      <c r="M163" s="708">
        <f t="shared" si="41"/>
        <v>0</v>
      </c>
      <c r="N163" s="708">
        <f t="shared" si="41"/>
        <v>26.64</v>
      </c>
      <c r="O163" s="718">
        <f t="shared" si="41"/>
        <v>0</v>
      </c>
      <c r="P163" s="617">
        <f t="shared" si="37"/>
        <v>1</v>
      </c>
      <c r="Q163" s="525"/>
      <c r="S163" s="189">
        <v>0</v>
      </c>
      <c r="T163" s="189">
        <v>4</v>
      </c>
      <c r="BT163" s="525"/>
      <c r="BU163" s="523"/>
      <c r="BV163" s="523"/>
      <c r="BW163" s="523">
        <v>0</v>
      </c>
      <c r="BX163" s="523">
        <v>4</v>
      </c>
      <c r="BY163" s="523">
        <v>0</v>
      </c>
      <c r="BZ163" s="523">
        <v>0</v>
      </c>
      <c r="CA163" s="523"/>
      <c r="CB163" s="523"/>
      <c r="CC163" s="523"/>
      <c r="CD163" s="523"/>
      <c r="CE163" s="523"/>
      <c r="CF163" s="523"/>
      <c r="CG163" s="523"/>
      <c r="CH163" s="523"/>
      <c r="CI163" s="523">
        <f t="shared" si="38"/>
        <v>4</v>
      </c>
    </row>
    <row r="164" spans="1:87" ht="15.75" x14ac:dyDescent="0.2">
      <c r="A164" s="680" t="s">
        <v>1584</v>
      </c>
      <c r="B164" s="569">
        <v>89596</v>
      </c>
      <c r="C164" s="569" t="s">
        <v>1324</v>
      </c>
      <c r="D164" s="569" t="s">
        <v>1585</v>
      </c>
      <c r="E164" s="681" t="s">
        <v>102</v>
      </c>
      <c r="F164" s="578"/>
      <c r="G164" s="682">
        <v>7.49</v>
      </c>
      <c r="H164" s="681">
        <v>4</v>
      </c>
      <c r="I164" s="573">
        <f t="shared" si="39"/>
        <v>0</v>
      </c>
      <c r="J164" s="573">
        <f t="shared" si="40"/>
        <v>4</v>
      </c>
      <c r="K164" s="685">
        <f t="shared" si="35"/>
        <v>0</v>
      </c>
      <c r="L164" s="708">
        <f t="shared" si="41"/>
        <v>29.96</v>
      </c>
      <c r="M164" s="708">
        <f t="shared" si="41"/>
        <v>0</v>
      </c>
      <c r="N164" s="708">
        <f t="shared" si="41"/>
        <v>29.96</v>
      </c>
      <c r="O164" s="718">
        <f t="shared" si="41"/>
        <v>0</v>
      </c>
      <c r="P164" s="617">
        <f t="shared" si="37"/>
        <v>1</v>
      </c>
      <c r="Q164" s="525"/>
      <c r="S164" s="189">
        <v>0</v>
      </c>
      <c r="T164" s="189">
        <v>10</v>
      </c>
      <c r="BT164" s="525"/>
      <c r="BU164" s="523"/>
      <c r="BV164" s="523"/>
      <c r="BW164" s="523">
        <v>0</v>
      </c>
      <c r="BX164" s="523">
        <v>4</v>
      </c>
      <c r="BY164" s="523">
        <v>0</v>
      </c>
      <c r="BZ164" s="523">
        <v>0</v>
      </c>
      <c r="CA164" s="523"/>
      <c r="CB164" s="523"/>
      <c r="CC164" s="523"/>
      <c r="CD164" s="523"/>
      <c r="CE164" s="523"/>
      <c r="CF164" s="523"/>
      <c r="CG164" s="523"/>
      <c r="CH164" s="523"/>
      <c r="CI164" s="523">
        <f t="shared" si="38"/>
        <v>4</v>
      </c>
    </row>
    <row r="165" spans="1:87" ht="15" x14ac:dyDescent="0.2">
      <c r="A165" s="680" t="s">
        <v>1586</v>
      </c>
      <c r="B165" s="569">
        <v>86884</v>
      </c>
      <c r="C165" s="569" t="s">
        <v>1324</v>
      </c>
      <c r="D165" s="569" t="s">
        <v>1587</v>
      </c>
      <c r="E165" s="681" t="s">
        <v>102</v>
      </c>
      <c r="F165" s="644">
        <v>6.56</v>
      </c>
      <c r="G165" s="682">
        <v>6.05</v>
      </c>
      <c r="H165" s="681">
        <v>10</v>
      </c>
      <c r="I165" s="573">
        <f t="shared" si="39"/>
        <v>0</v>
      </c>
      <c r="J165" s="573">
        <f t="shared" si="40"/>
        <v>10</v>
      </c>
      <c r="K165" s="685">
        <f t="shared" si="35"/>
        <v>0</v>
      </c>
      <c r="L165" s="708">
        <f t="shared" si="41"/>
        <v>60.5</v>
      </c>
      <c r="M165" s="708">
        <f t="shared" si="41"/>
        <v>0</v>
      </c>
      <c r="N165" s="708">
        <f t="shared" si="41"/>
        <v>60.5</v>
      </c>
      <c r="O165" s="718">
        <f t="shared" si="41"/>
        <v>0</v>
      </c>
      <c r="P165" s="617">
        <f t="shared" si="37"/>
        <v>1</v>
      </c>
      <c r="Q165" s="525"/>
      <c r="S165" s="189">
        <v>0</v>
      </c>
      <c r="T165" s="189">
        <v>0</v>
      </c>
      <c r="BT165" s="525"/>
      <c r="BU165" s="523"/>
      <c r="BV165" s="523"/>
      <c r="BW165" s="523">
        <v>0</v>
      </c>
      <c r="BX165" s="523">
        <v>10</v>
      </c>
      <c r="BY165" s="523">
        <v>0</v>
      </c>
      <c r="BZ165" s="523">
        <v>0</v>
      </c>
      <c r="CA165" s="523"/>
      <c r="CB165" s="523"/>
      <c r="CC165" s="523"/>
      <c r="CD165" s="523"/>
      <c r="CE165" s="523"/>
      <c r="CF165" s="523"/>
      <c r="CG165" s="523"/>
      <c r="CH165" s="523"/>
      <c r="CI165" s="523">
        <f t="shared" si="38"/>
        <v>10</v>
      </c>
    </row>
    <row r="166" spans="1:87" ht="15" x14ac:dyDescent="0.2">
      <c r="A166" s="680" t="s">
        <v>1588</v>
      </c>
      <c r="B166" s="569">
        <v>72789</v>
      </c>
      <c r="C166" s="569" t="s">
        <v>1324</v>
      </c>
      <c r="D166" s="569" t="s">
        <v>1589</v>
      </c>
      <c r="E166" s="681" t="s">
        <v>102</v>
      </c>
      <c r="F166" s="644">
        <v>9.49</v>
      </c>
      <c r="G166" s="682">
        <v>16.59</v>
      </c>
      <c r="H166" s="681">
        <v>3</v>
      </c>
      <c r="I166" s="573">
        <f t="shared" si="39"/>
        <v>0</v>
      </c>
      <c r="J166" s="573">
        <f t="shared" si="40"/>
        <v>0</v>
      </c>
      <c r="K166" s="685">
        <f t="shared" si="35"/>
        <v>3</v>
      </c>
      <c r="L166" s="708">
        <f t="shared" si="41"/>
        <v>49.77</v>
      </c>
      <c r="M166" s="708">
        <f t="shared" si="41"/>
        <v>0</v>
      </c>
      <c r="N166" s="708">
        <f t="shared" si="41"/>
        <v>0</v>
      </c>
      <c r="O166" s="718">
        <f t="shared" si="41"/>
        <v>49.77</v>
      </c>
      <c r="P166" s="617">
        <f t="shared" si="37"/>
        <v>0</v>
      </c>
      <c r="Q166" s="525"/>
      <c r="S166" s="189">
        <v>0</v>
      </c>
      <c r="T166" s="189">
        <v>0</v>
      </c>
      <c r="BT166" s="525"/>
      <c r="BU166" s="523"/>
      <c r="BV166" s="523"/>
      <c r="BW166" s="523">
        <v>0</v>
      </c>
      <c r="BX166" s="523">
        <v>0</v>
      </c>
      <c r="BY166" s="523">
        <v>0</v>
      </c>
      <c r="BZ166" s="523">
        <v>0</v>
      </c>
      <c r="CA166" s="523"/>
      <c r="CB166" s="523"/>
      <c r="CC166" s="523"/>
      <c r="CD166" s="523"/>
      <c r="CE166" s="523"/>
      <c r="CF166" s="523"/>
      <c r="CG166" s="523"/>
      <c r="CH166" s="523"/>
      <c r="CI166" s="523">
        <f t="shared" si="38"/>
        <v>0</v>
      </c>
    </row>
    <row r="167" spans="1:87" ht="15.75" x14ac:dyDescent="0.2">
      <c r="A167" s="680" t="s">
        <v>1590</v>
      </c>
      <c r="B167" s="569">
        <v>72792</v>
      </c>
      <c r="C167" s="569" t="s">
        <v>1324</v>
      </c>
      <c r="D167" s="569" t="s">
        <v>1591</v>
      </c>
      <c r="E167" s="681" t="s">
        <v>102</v>
      </c>
      <c r="F167" s="578"/>
      <c r="G167" s="682">
        <v>32.79</v>
      </c>
      <c r="H167" s="681">
        <v>2</v>
      </c>
      <c r="I167" s="573">
        <f t="shared" si="39"/>
        <v>0</v>
      </c>
      <c r="J167" s="573">
        <f t="shared" si="40"/>
        <v>0</v>
      </c>
      <c r="K167" s="685">
        <f t="shared" si="35"/>
        <v>2</v>
      </c>
      <c r="L167" s="708">
        <f t="shared" si="41"/>
        <v>65.58</v>
      </c>
      <c r="M167" s="708">
        <f t="shared" si="41"/>
        <v>0</v>
      </c>
      <c r="N167" s="708">
        <f t="shared" si="41"/>
        <v>0</v>
      </c>
      <c r="O167" s="718">
        <f t="shared" si="41"/>
        <v>65.58</v>
      </c>
      <c r="P167" s="617">
        <f t="shared" si="37"/>
        <v>0</v>
      </c>
      <c r="Q167" s="525"/>
      <c r="S167" s="189">
        <v>0</v>
      </c>
      <c r="T167" s="189">
        <v>0</v>
      </c>
      <c r="BT167" s="525"/>
      <c r="BU167" s="523"/>
      <c r="BV167" s="523"/>
      <c r="BW167" s="523">
        <v>0</v>
      </c>
      <c r="BX167" s="523">
        <v>0</v>
      </c>
      <c r="BY167" s="523">
        <v>0</v>
      </c>
      <c r="BZ167" s="523">
        <v>0</v>
      </c>
      <c r="CA167" s="523"/>
      <c r="CB167" s="523"/>
      <c r="CC167" s="523"/>
      <c r="CD167" s="523"/>
      <c r="CE167" s="523"/>
      <c r="CF167" s="523"/>
      <c r="CG167" s="523"/>
      <c r="CH167" s="523"/>
      <c r="CI167" s="523">
        <f t="shared" si="38"/>
        <v>0</v>
      </c>
    </row>
    <row r="168" spans="1:87" ht="15" x14ac:dyDescent="0.2">
      <c r="A168" s="680" t="s">
        <v>1592</v>
      </c>
      <c r="B168" s="569" t="s">
        <v>2007</v>
      </c>
      <c r="C168" s="569" t="s">
        <v>1339</v>
      </c>
      <c r="D168" s="569" t="s">
        <v>1593</v>
      </c>
      <c r="E168" s="681" t="s">
        <v>102</v>
      </c>
      <c r="F168" s="644">
        <v>13.87</v>
      </c>
      <c r="G168" s="682">
        <v>1286.6600000000001</v>
      </c>
      <c r="H168" s="681">
        <v>1</v>
      </c>
      <c r="I168" s="573">
        <f t="shared" si="39"/>
        <v>0</v>
      </c>
      <c r="J168" s="573">
        <f t="shared" si="40"/>
        <v>0</v>
      </c>
      <c r="K168" s="685">
        <f t="shared" si="35"/>
        <v>1</v>
      </c>
      <c r="L168" s="708">
        <f t="shared" si="41"/>
        <v>1286.6600000000001</v>
      </c>
      <c r="M168" s="708">
        <f t="shared" si="41"/>
        <v>0</v>
      </c>
      <c r="N168" s="708">
        <f t="shared" si="41"/>
        <v>0</v>
      </c>
      <c r="O168" s="718">
        <f t="shared" si="41"/>
        <v>1286.6600000000001</v>
      </c>
      <c r="P168" s="617">
        <f t="shared" si="37"/>
        <v>0</v>
      </c>
      <c r="Q168" s="525"/>
      <c r="S168" s="189">
        <v>0</v>
      </c>
      <c r="T168" s="189">
        <v>0</v>
      </c>
      <c r="BT168" s="525"/>
      <c r="BU168" s="523"/>
      <c r="BV168" s="523"/>
      <c r="BW168" s="523">
        <v>0</v>
      </c>
      <c r="BX168" s="523">
        <v>0</v>
      </c>
      <c r="BY168" s="523">
        <v>0</v>
      </c>
      <c r="BZ168" s="523">
        <v>0</v>
      </c>
      <c r="CA168" s="523"/>
      <c r="CB168" s="523"/>
      <c r="CC168" s="523"/>
      <c r="CD168" s="523"/>
      <c r="CE168" s="523"/>
      <c r="CF168" s="523"/>
      <c r="CG168" s="523"/>
      <c r="CH168" s="523"/>
      <c r="CI168" s="523">
        <f t="shared" si="38"/>
        <v>0</v>
      </c>
    </row>
    <row r="169" spans="1:87" s="663" customFormat="1" ht="15.75" x14ac:dyDescent="0.2">
      <c r="A169" s="600">
        <v>13</v>
      </c>
      <c r="B169" s="558"/>
      <c r="C169" s="558"/>
      <c r="D169" s="558" t="s">
        <v>1594</v>
      </c>
      <c r="E169" s="626"/>
      <c r="F169" s="626"/>
      <c r="G169" s="626"/>
      <c r="H169" s="626"/>
      <c r="I169" s="747"/>
      <c r="J169" s="747"/>
      <c r="K169" s="747"/>
      <c r="L169" s="734">
        <f>SUM(L170,L182)</f>
        <v>16232.49</v>
      </c>
      <c r="M169" s="734">
        <f>SUM(M170,M182)</f>
        <v>656.3</v>
      </c>
      <c r="N169" s="734">
        <f>SUM(N170,N182)</f>
        <v>3089.8100000000004</v>
      </c>
      <c r="O169" s="721">
        <f>SUM(O170,O182)</f>
        <v>13142.68</v>
      </c>
      <c r="P169" s="604">
        <f t="shared" si="37"/>
        <v>0.19034726034021893</v>
      </c>
      <c r="Q169" s="525"/>
      <c r="S169" s="190">
        <v>0</v>
      </c>
      <c r="T169" s="190">
        <v>0</v>
      </c>
      <c r="BT169" s="525"/>
      <c r="BU169" s="523"/>
      <c r="BV169" s="523"/>
      <c r="BW169" s="523">
        <v>0</v>
      </c>
      <c r="BX169" s="523">
        <v>161</v>
      </c>
      <c r="BY169" s="523"/>
      <c r="BZ169" s="523"/>
      <c r="CA169" s="523"/>
      <c r="CB169" s="523"/>
      <c r="CC169" s="523"/>
      <c r="CD169" s="523"/>
      <c r="CE169" s="523"/>
      <c r="CF169" s="523"/>
      <c r="CG169" s="523"/>
      <c r="CH169" s="523"/>
      <c r="CI169" s="523">
        <f t="shared" si="38"/>
        <v>161</v>
      </c>
    </row>
    <row r="170" spans="1:87" ht="15.75" x14ac:dyDescent="0.2">
      <c r="A170" s="605" t="s">
        <v>306</v>
      </c>
      <c r="B170" s="586"/>
      <c r="C170" s="586"/>
      <c r="D170" s="586" t="s">
        <v>1516</v>
      </c>
      <c r="E170" s="683"/>
      <c r="F170" s="683"/>
      <c r="G170" s="683"/>
      <c r="H170" s="683"/>
      <c r="I170" s="748"/>
      <c r="J170" s="748"/>
      <c r="K170" s="748"/>
      <c r="L170" s="735">
        <f>SUM(L171:L181)</f>
        <v>2433.5100000000002</v>
      </c>
      <c r="M170" s="735">
        <f t="shared" ref="M170:O170" si="42">SUM(M171:M181)</f>
        <v>0</v>
      </c>
      <c r="N170" s="735">
        <f t="shared" si="42"/>
        <v>2433.5100000000002</v>
      </c>
      <c r="O170" s="724">
        <f t="shared" si="42"/>
        <v>0</v>
      </c>
      <c r="P170" s="611">
        <f t="shared" si="37"/>
        <v>1</v>
      </c>
      <c r="Q170" s="525"/>
      <c r="S170" s="189">
        <v>0</v>
      </c>
      <c r="T170" s="189">
        <v>47.5</v>
      </c>
      <c r="BT170" s="525"/>
      <c r="BU170" s="523"/>
      <c r="BV170" s="523"/>
      <c r="BW170" s="523">
        <v>0</v>
      </c>
      <c r="BX170" s="523">
        <v>161</v>
      </c>
      <c r="BY170" s="523"/>
      <c r="BZ170" s="523"/>
      <c r="CA170" s="523"/>
      <c r="CB170" s="523"/>
      <c r="CC170" s="523"/>
      <c r="CD170" s="523"/>
      <c r="CE170" s="523"/>
      <c r="CF170" s="523"/>
      <c r="CG170" s="523"/>
      <c r="CH170" s="523"/>
      <c r="CI170" s="523">
        <f t="shared" si="38"/>
        <v>161</v>
      </c>
    </row>
    <row r="171" spans="1:87" ht="15.75" x14ac:dyDescent="0.2">
      <c r="A171" s="680" t="s">
        <v>1595</v>
      </c>
      <c r="B171" s="569">
        <v>89711</v>
      </c>
      <c r="C171" s="569" t="s">
        <v>1324</v>
      </c>
      <c r="D171" s="569" t="s">
        <v>1596</v>
      </c>
      <c r="E171" s="681" t="s">
        <v>81</v>
      </c>
      <c r="F171" s="578"/>
      <c r="G171" s="682">
        <v>13.04</v>
      </c>
      <c r="H171" s="681">
        <v>0</v>
      </c>
      <c r="I171" s="573">
        <f t="shared" si="39"/>
        <v>0</v>
      </c>
      <c r="J171" s="573">
        <f t="shared" si="40"/>
        <v>0</v>
      </c>
      <c r="K171" s="685">
        <f t="shared" si="35"/>
        <v>0</v>
      </c>
      <c r="L171" s="708">
        <f t="shared" ref="L171:O181" si="43">ROUND(H171*$G171,2)</f>
        <v>0</v>
      </c>
      <c r="M171" s="708">
        <f t="shared" si="43"/>
        <v>0</v>
      </c>
      <c r="N171" s="708">
        <f t="shared" si="43"/>
        <v>0</v>
      </c>
      <c r="O171" s="718">
        <f t="shared" si="43"/>
        <v>0</v>
      </c>
      <c r="P171" s="617">
        <v>0</v>
      </c>
      <c r="Q171" s="525"/>
      <c r="S171" s="189">
        <v>0</v>
      </c>
      <c r="T171" s="189">
        <v>21.5</v>
      </c>
      <c r="BT171" s="525"/>
      <c r="BU171" s="523"/>
      <c r="BV171" s="523"/>
      <c r="BW171" s="523">
        <v>-47.5</v>
      </c>
      <c r="BX171" s="523">
        <v>47.5</v>
      </c>
      <c r="BY171" s="523">
        <v>0</v>
      </c>
      <c r="BZ171" s="523">
        <v>0</v>
      </c>
      <c r="CA171" s="523"/>
      <c r="CB171" s="523"/>
      <c r="CC171" s="523"/>
      <c r="CD171" s="523"/>
      <c r="CE171" s="523"/>
      <c r="CF171" s="523"/>
      <c r="CG171" s="523"/>
      <c r="CH171" s="523"/>
      <c r="CI171" s="523">
        <f t="shared" si="38"/>
        <v>0</v>
      </c>
    </row>
    <row r="172" spans="1:87" ht="15.75" x14ac:dyDescent="0.2">
      <c r="A172" s="680" t="s">
        <v>1597</v>
      </c>
      <c r="B172" s="569">
        <v>89712</v>
      </c>
      <c r="C172" s="569" t="s">
        <v>1324</v>
      </c>
      <c r="D172" s="569" t="s">
        <v>1598</v>
      </c>
      <c r="E172" s="681" t="s">
        <v>81</v>
      </c>
      <c r="F172" s="578"/>
      <c r="G172" s="682">
        <v>18.98</v>
      </c>
      <c r="H172" s="681">
        <v>21.5</v>
      </c>
      <c r="I172" s="573">
        <f t="shared" si="39"/>
        <v>0</v>
      </c>
      <c r="J172" s="573">
        <f t="shared" si="40"/>
        <v>21.5</v>
      </c>
      <c r="K172" s="685">
        <f t="shared" si="35"/>
        <v>0</v>
      </c>
      <c r="L172" s="708">
        <f t="shared" si="43"/>
        <v>408.07</v>
      </c>
      <c r="M172" s="708">
        <f t="shared" si="43"/>
        <v>0</v>
      </c>
      <c r="N172" s="708">
        <f t="shared" si="43"/>
        <v>408.07</v>
      </c>
      <c r="O172" s="718">
        <f t="shared" si="43"/>
        <v>0</v>
      </c>
      <c r="P172" s="617">
        <f t="shared" si="37"/>
        <v>1</v>
      </c>
      <c r="Q172" s="525"/>
      <c r="S172" s="189">
        <v>0</v>
      </c>
      <c r="T172" s="189">
        <v>36</v>
      </c>
      <c r="BT172" s="525"/>
      <c r="BU172" s="523"/>
      <c r="BV172" s="523"/>
      <c r="BW172" s="523">
        <v>0</v>
      </c>
      <c r="BX172" s="523">
        <v>21.5</v>
      </c>
      <c r="BY172" s="523">
        <v>0</v>
      </c>
      <c r="BZ172" s="523">
        <v>0</v>
      </c>
      <c r="CA172" s="523"/>
      <c r="CB172" s="523"/>
      <c r="CC172" s="523"/>
      <c r="CD172" s="523"/>
      <c r="CE172" s="523"/>
      <c r="CF172" s="523"/>
      <c r="CG172" s="523"/>
      <c r="CH172" s="523"/>
      <c r="CI172" s="523">
        <f t="shared" si="38"/>
        <v>21.5</v>
      </c>
    </row>
    <row r="173" spans="1:87" ht="15" x14ac:dyDescent="0.2">
      <c r="A173" s="680" t="s">
        <v>1599</v>
      </c>
      <c r="B173" s="569">
        <v>89714</v>
      </c>
      <c r="C173" s="569" t="s">
        <v>1324</v>
      </c>
      <c r="D173" s="569" t="s">
        <v>1600</v>
      </c>
      <c r="E173" s="681" t="s">
        <v>81</v>
      </c>
      <c r="F173" s="644">
        <v>224.11</v>
      </c>
      <c r="G173" s="682">
        <v>36.869999999999997</v>
      </c>
      <c r="H173" s="681">
        <v>36</v>
      </c>
      <c r="I173" s="573">
        <f t="shared" si="39"/>
        <v>0</v>
      </c>
      <c r="J173" s="573">
        <f t="shared" si="40"/>
        <v>36</v>
      </c>
      <c r="K173" s="685">
        <f t="shared" si="35"/>
        <v>0</v>
      </c>
      <c r="L173" s="708">
        <f t="shared" si="43"/>
        <v>1327.32</v>
      </c>
      <c r="M173" s="708">
        <f t="shared" si="43"/>
        <v>0</v>
      </c>
      <c r="N173" s="708">
        <f t="shared" si="43"/>
        <v>1327.32</v>
      </c>
      <c r="O173" s="718">
        <f t="shared" si="43"/>
        <v>0</v>
      </c>
      <c r="P173" s="617">
        <f t="shared" si="37"/>
        <v>1</v>
      </c>
      <c r="Q173" s="525"/>
      <c r="S173" s="189">
        <v>0</v>
      </c>
      <c r="T173" s="189">
        <v>7</v>
      </c>
      <c r="BT173" s="525"/>
      <c r="BU173" s="523"/>
      <c r="BV173" s="523"/>
      <c r="BW173" s="523">
        <v>0</v>
      </c>
      <c r="BX173" s="523">
        <v>36</v>
      </c>
      <c r="BY173" s="523">
        <v>0</v>
      </c>
      <c r="BZ173" s="523">
        <v>0</v>
      </c>
      <c r="CA173" s="523"/>
      <c r="CB173" s="523"/>
      <c r="CC173" s="523"/>
      <c r="CD173" s="523"/>
      <c r="CE173" s="523"/>
      <c r="CF173" s="523"/>
      <c r="CG173" s="523"/>
      <c r="CH173" s="523"/>
      <c r="CI173" s="523">
        <f t="shared" si="38"/>
        <v>36</v>
      </c>
    </row>
    <row r="174" spans="1:87" ht="15" x14ac:dyDescent="0.2">
      <c r="A174" s="680" t="s">
        <v>1601</v>
      </c>
      <c r="B174" s="569">
        <v>89726</v>
      </c>
      <c r="C174" s="569" t="s">
        <v>1324</v>
      </c>
      <c r="D174" s="569" t="s">
        <v>1602</v>
      </c>
      <c r="E174" s="681" t="s">
        <v>102</v>
      </c>
      <c r="F174" s="644">
        <v>312.5</v>
      </c>
      <c r="G174" s="682">
        <v>6.33</v>
      </c>
      <c r="H174" s="681">
        <v>7</v>
      </c>
      <c r="I174" s="573">
        <f t="shared" si="39"/>
        <v>0</v>
      </c>
      <c r="J174" s="573">
        <f t="shared" si="40"/>
        <v>7</v>
      </c>
      <c r="K174" s="685">
        <f t="shared" si="35"/>
        <v>0</v>
      </c>
      <c r="L174" s="708">
        <f t="shared" si="43"/>
        <v>44.31</v>
      </c>
      <c r="M174" s="708">
        <f t="shared" si="43"/>
        <v>0</v>
      </c>
      <c r="N174" s="708">
        <f t="shared" si="43"/>
        <v>44.31</v>
      </c>
      <c r="O174" s="718">
        <f t="shared" si="43"/>
        <v>0</v>
      </c>
      <c r="P174" s="617">
        <f t="shared" si="37"/>
        <v>1</v>
      </c>
      <c r="Q174" s="525"/>
      <c r="S174" s="189">
        <v>0</v>
      </c>
      <c r="T174" s="189">
        <v>6</v>
      </c>
      <c r="BT174" s="525"/>
      <c r="BU174" s="523"/>
      <c r="BV174" s="523"/>
      <c r="BW174" s="523">
        <v>0</v>
      </c>
      <c r="BX174" s="523">
        <v>7</v>
      </c>
      <c r="BY174" s="523">
        <v>0</v>
      </c>
      <c r="BZ174" s="523">
        <v>0</v>
      </c>
      <c r="CA174" s="523"/>
      <c r="CB174" s="523"/>
      <c r="CC174" s="523"/>
      <c r="CD174" s="523"/>
      <c r="CE174" s="523"/>
      <c r="CF174" s="523"/>
      <c r="CG174" s="523"/>
      <c r="CH174" s="523"/>
      <c r="CI174" s="523">
        <f t="shared" si="38"/>
        <v>7</v>
      </c>
    </row>
    <row r="175" spans="1:87" ht="15" x14ac:dyDescent="0.2">
      <c r="A175" s="680" t="s">
        <v>1603</v>
      </c>
      <c r="B175" s="569">
        <v>89744</v>
      </c>
      <c r="C175" s="569" t="s">
        <v>1324</v>
      </c>
      <c r="D175" s="569" t="s">
        <v>1604</v>
      </c>
      <c r="E175" s="681" t="s">
        <v>102</v>
      </c>
      <c r="F175" s="644">
        <v>323.14</v>
      </c>
      <c r="G175" s="682">
        <v>16.600000000000001</v>
      </c>
      <c r="H175" s="681">
        <v>6</v>
      </c>
      <c r="I175" s="573">
        <f t="shared" si="39"/>
        <v>0</v>
      </c>
      <c r="J175" s="573">
        <f t="shared" si="40"/>
        <v>6</v>
      </c>
      <c r="K175" s="685">
        <f t="shared" si="35"/>
        <v>0</v>
      </c>
      <c r="L175" s="708">
        <f t="shared" si="43"/>
        <v>99.6</v>
      </c>
      <c r="M175" s="708">
        <f t="shared" si="43"/>
        <v>0</v>
      </c>
      <c r="N175" s="708">
        <f t="shared" si="43"/>
        <v>99.6</v>
      </c>
      <c r="O175" s="718">
        <f t="shared" si="43"/>
        <v>0</v>
      </c>
      <c r="P175" s="617">
        <f t="shared" si="37"/>
        <v>1</v>
      </c>
      <c r="Q175" s="525"/>
      <c r="S175" s="189">
        <v>0</v>
      </c>
      <c r="T175" s="189">
        <v>10</v>
      </c>
      <c r="BT175" s="525"/>
      <c r="BU175" s="523"/>
      <c r="BV175" s="523"/>
      <c r="BW175" s="523">
        <v>0</v>
      </c>
      <c r="BX175" s="523">
        <v>6</v>
      </c>
      <c r="BY175" s="523">
        <v>0</v>
      </c>
      <c r="BZ175" s="523">
        <v>0</v>
      </c>
      <c r="CA175" s="523"/>
      <c r="CB175" s="523"/>
      <c r="CC175" s="523"/>
      <c r="CD175" s="523"/>
      <c r="CE175" s="523"/>
      <c r="CF175" s="523"/>
      <c r="CG175" s="523"/>
      <c r="CH175" s="523"/>
      <c r="CI175" s="523">
        <f t="shared" si="38"/>
        <v>6</v>
      </c>
    </row>
    <row r="176" spans="1:87" ht="15" x14ac:dyDescent="0.2">
      <c r="A176" s="680" t="s">
        <v>1605</v>
      </c>
      <c r="B176" s="569">
        <v>89724</v>
      </c>
      <c r="C176" s="569" t="s">
        <v>1324</v>
      </c>
      <c r="D176" s="569" t="s">
        <v>1606</v>
      </c>
      <c r="E176" s="681" t="s">
        <v>102</v>
      </c>
      <c r="F176" s="644">
        <v>224.11</v>
      </c>
      <c r="G176" s="682">
        <v>5.6</v>
      </c>
      <c r="H176" s="681">
        <v>10</v>
      </c>
      <c r="I176" s="573">
        <f t="shared" si="39"/>
        <v>0</v>
      </c>
      <c r="J176" s="573">
        <f t="shared" si="40"/>
        <v>10</v>
      </c>
      <c r="K176" s="685">
        <f t="shared" si="35"/>
        <v>0</v>
      </c>
      <c r="L176" s="708">
        <f t="shared" si="43"/>
        <v>56</v>
      </c>
      <c r="M176" s="708">
        <f t="shared" si="43"/>
        <v>0</v>
      </c>
      <c r="N176" s="708">
        <f t="shared" si="43"/>
        <v>56</v>
      </c>
      <c r="O176" s="718">
        <f t="shared" si="43"/>
        <v>0</v>
      </c>
      <c r="P176" s="617">
        <f t="shared" si="37"/>
        <v>1</v>
      </c>
      <c r="Q176" s="525"/>
      <c r="S176" s="189">
        <v>0</v>
      </c>
      <c r="T176" s="189">
        <v>6</v>
      </c>
      <c r="BT176" s="525"/>
      <c r="BU176" s="523"/>
      <c r="BV176" s="523"/>
      <c r="BW176" s="523">
        <v>0</v>
      </c>
      <c r="BX176" s="523">
        <v>10</v>
      </c>
      <c r="BY176" s="523">
        <v>0</v>
      </c>
      <c r="BZ176" s="523">
        <v>0</v>
      </c>
      <c r="CA176" s="523"/>
      <c r="CB176" s="523"/>
      <c r="CC176" s="523"/>
      <c r="CD176" s="523"/>
      <c r="CE176" s="523"/>
      <c r="CF176" s="523"/>
      <c r="CG176" s="523"/>
      <c r="CH176" s="523"/>
      <c r="CI176" s="523">
        <f t="shared" si="38"/>
        <v>10</v>
      </c>
    </row>
    <row r="177" spans="1:87" ht="15" x14ac:dyDescent="0.2">
      <c r="A177" s="680" t="s">
        <v>1607</v>
      </c>
      <c r="B177" s="569">
        <v>89827</v>
      </c>
      <c r="C177" s="569" t="s">
        <v>1324</v>
      </c>
      <c r="D177" s="569" t="s">
        <v>1608</v>
      </c>
      <c r="E177" s="681" t="s">
        <v>102</v>
      </c>
      <c r="F177" s="644">
        <v>33.93</v>
      </c>
      <c r="G177" s="682">
        <v>10.23</v>
      </c>
      <c r="H177" s="681">
        <v>6</v>
      </c>
      <c r="I177" s="573">
        <f t="shared" si="39"/>
        <v>0</v>
      </c>
      <c r="J177" s="573">
        <f t="shared" si="40"/>
        <v>6</v>
      </c>
      <c r="K177" s="685">
        <f t="shared" si="35"/>
        <v>0</v>
      </c>
      <c r="L177" s="708">
        <f t="shared" si="43"/>
        <v>61.38</v>
      </c>
      <c r="M177" s="708">
        <f t="shared" si="43"/>
        <v>0</v>
      </c>
      <c r="N177" s="708">
        <f t="shared" si="43"/>
        <v>61.38</v>
      </c>
      <c r="O177" s="718">
        <f t="shared" si="43"/>
        <v>0</v>
      </c>
      <c r="P177" s="617">
        <f t="shared" si="37"/>
        <v>1</v>
      </c>
      <c r="Q177" s="525"/>
      <c r="S177" s="189">
        <v>0</v>
      </c>
      <c r="T177" s="189">
        <v>5</v>
      </c>
      <c r="BT177" s="525"/>
      <c r="BU177" s="523"/>
      <c r="BV177" s="523"/>
      <c r="BW177" s="523">
        <v>0</v>
      </c>
      <c r="BX177" s="523">
        <v>6</v>
      </c>
      <c r="BY177" s="523">
        <v>0</v>
      </c>
      <c r="BZ177" s="523">
        <v>0</v>
      </c>
      <c r="CA177" s="523"/>
      <c r="CB177" s="523"/>
      <c r="CC177" s="523"/>
      <c r="CD177" s="523"/>
      <c r="CE177" s="523"/>
      <c r="CF177" s="523"/>
      <c r="CG177" s="523"/>
      <c r="CH177" s="523"/>
      <c r="CI177" s="523">
        <f t="shared" si="38"/>
        <v>6</v>
      </c>
    </row>
    <row r="178" spans="1:87" ht="15" x14ac:dyDescent="0.2">
      <c r="A178" s="680" t="s">
        <v>1609</v>
      </c>
      <c r="B178" s="569">
        <v>89834</v>
      </c>
      <c r="C178" s="569" t="s">
        <v>1324</v>
      </c>
      <c r="D178" s="569" t="s">
        <v>1610</v>
      </c>
      <c r="E178" s="681" t="s">
        <v>102</v>
      </c>
      <c r="F178" s="644">
        <v>33.93</v>
      </c>
      <c r="G178" s="682">
        <v>25.46</v>
      </c>
      <c r="H178" s="681">
        <v>5</v>
      </c>
      <c r="I178" s="573">
        <f t="shared" si="39"/>
        <v>0</v>
      </c>
      <c r="J178" s="573">
        <f t="shared" si="40"/>
        <v>5</v>
      </c>
      <c r="K178" s="685">
        <f t="shared" si="35"/>
        <v>0</v>
      </c>
      <c r="L178" s="708">
        <f t="shared" si="43"/>
        <v>127.3</v>
      </c>
      <c r="M178" s="708">
        <f t="shared" si="43"/>
        <v>0</v>
      </c>
      <c r="N178" s="708">
        <f t="shared" si="43"/>
        <v>127.3</v>
      </c>
      <c r="O178" s="718">
        <f t="shared" si="43"/>
        <v>0</v>
      </c>
      <c r="P178" s="617">
        <f t="shared" si="37"/>
        <v>1</v>
      </c>
      <c r="Q178" s="525"/>
      <c r="S178" s="189">
        <v>0</v>
      </c>
      <c r="T178" s="189">
        <v>5</v>
      </c>
      <c r="BT178" s="525"/>
      <c r="BU178" s="523"/>
      <c r="BV178" s="523"/>
      <c r="BW178" s="523">
        <v>0</v>
      </c>
      <c r="BX178" s="523">
        <v>5</v>
      </c>
      <c r="BY178" s="523">
        <v>0</v>
      </c>
      <c r="BZ178" s="523">
        <v>0</v>
      </c>
      <c r="CA178" s="523"/>
      <c r="CB178" s="523"/>
      <c r="CC178" s="523"/>
      <c r="CD178" s="523"/>
      <c r="CE178" s="523"/>
      <c r="CF178" s="523"/>
      <c r="CG178" s="523"/>
      <c r="CH178" s="523"/>
      <c r="CI178" s="523">
        <f t="shared" si="38"/>
        <v>5</v>
      </c>
    </row>
    <row r="179" spans="1:87" ht="15" x14ac:dyDescent="0.2">
      <c r="A179" s="680" t="s">
        <v>1611</v>
      </c>
      <c r="B179" s="569">
        <v>89797</v>
      </c>
      <c r="C179" s="569" t="s">
        <v>1324</v>
      </c>
      <c r="D179" s="569" t="s">
        <v>1612</v>
      </c>
      <c r="E179" s="681" t="s">
        <v>102</v>
      </c>
      <c r="F179" s="644">
        <v>33.93</v>
      </c>
      <c r="G179" s="682">
        <v>31.16</v>
      </c>
      <c r="H179" s="681">
        <v>5</v>
      </c>
      <c r="I179" s="573">
        <f t="shared" si="39"/>
        <v>0</v>
      </c>
      <c r="J179" s="573">
        <f t="shared" si="40"/>
        <v>5</v>
      </c>
      <c r="K179" s="685">
        <f t="shared" si="35"/>
        <v>0</v>
      </c>
      <c r="L179" s="708">
        <f t="shared" si="43"/>
        <v>155.80000000000001</v>
      </c>
      <c r="M179" s="708">
        <f t="shared" si="43"/>
        <v>0</v>
      </c>
      <c r="N179" s="708">
        <f t="shared" si="43"/>
        <v>155.80000000000001</v>
      </c>
      <c r="O179" s="718">
        <f t="shared" si="43"/>
        <v>0</v>
      </c>
      <c r="P179" s="617">
        <f t="shared" si="37"/>
        <v>1</v>
      </c>
      <c r="Q179" s="525"/>
      <c r="S179" s="189">
        <v>0</v>
      </c>
      <c r="T179" s="189">
        <v>1</v>
      </c>
      <c r="BT179" s="525"/>
      <c r="BU179" s="523"/>
      <c r="BV179" s="523"/>
      <c r="BW179" s="523">
        <v>0</v>
      </c>
      <c r="BX179" s="523">
        <v>5</v>
      </c>
      <c r="BY179" s="523">
        <v>0</v>
      </c>
      <c r="BZ179" s="523">
        <v>0</v>
      </c>
      <c r="CA179" s="523"/>
      <c r="CB179" s="523"/>
      <c r="CC179" s="523"/>
      <c r="CD179" s="523"/>
      <c r="CE179" s="523"/>
      <c r="CF179" s="523"/>
      <c r="CG179" s="523"/>
      <c r="CH179" s="523"/>
      <c r="CI179" s="523">
        <f t="shared" si="38"/>
        <v>5</v>
      </c>
    </row>
    <row r="180" spans="1:87" ht="15" x14ac:dyDescent="0.2">
      <c r="A180" s="680" t="s">
        <v>1613</v>
      </c>
      <c r="B180" s="569">
        <v>89852</v>
      </c>
      <c r="C180" s="569" t="s">
        <v>1324</v>
      </c>
      <c r="D180" s="569" t="s">
        <v>1614</v>
      </c>
      <c r="E180" s="681" t="s">
        <v>102</v>
      </c>
      <c r="F180" s="644">
        <v>33.93</v>
      </c>
      <c r="G180" s="682">
        <v>27.17</v>
      </c>
      <c r="H180" s="681">
        <v>1</v>
      </c>
      <c r="I180" s="573">
        <f t="shared" si="39"/>
        <v>0</v>
      </c>
      <c r="J180" s="573">
        <f t="shared" si="40"/>
        <v>1</v>
      </c>
      <c r="K180" s="685">
        <f t="shared" si="35"/>
        <v>0</v>
      </c>
      <c r="L180" s="708">
        <f t="shared" si="43"/>
        <v>27.17</v>
      </c>
      <c r="M180" s="708">
        <f t="shared" si="43"/>
        <v>0</v>
      </c>
      <c r="N180" s="708">
        <f t="shared" si="43"/>
        <v>27.17</v>
      </c>
      <c r="O180" s="718">
        <f t="shared" si="43"/>
        <v>0</v>
      </c>
      <c r="P180" s="617">
        <f t="shared" si="37"/>
        <v>1</v>
      </c>
      <c r="Q180" s="525"/>
      <c r="S180" s="189">
        <v>0</v>
      </c>
      <c r="T180" s="189">
        <v>16</v>
      </c>
      <c r="BT180" s="525"/>
      <c r="BU180" s="523"/>
      <c r="BV180" s="523"/>
      <c r="BW180" s="523">
        <v>0</v>
      </c>
      <c r="BX180" s="523">
        <v>1</v>
      </c>
      <c r="BY180" s="523">
        <v>0</v>
      </c>
      <c r="BZ180" s="523">
        <v>0</v>
      </c>
      <c r="CA180" s="523"/>
      <c r="CB180" s="523"/>
      <c r="CC180" s="523"/>
      <c r="CD180" s="523"/>
      <c r="CE180" s="523"/>
      <c r="CF180" s="523"/>
      <c r="CG180" s="523"/>
      <c r="CH180" s="523"/>
      <c r="CI180" s="523">
        <f t="shared" si="38"/>
        <v>1</v>
      </c>
    </row>
    <row r="181" spans="1:87" s="663" customFormat="1" ht="15" x14ac:dyDescent="0.2">
      <c r="A181" s="680" t="s">
        <v>1615</v>
      </c>
      <c r="B181" s="569">
        <v>89728</v>
      </c>
      <c r="C181" s="569" t="s">
        <v>1324</v>
      </c>
      <c r="D181" s="569" t="s">
        <v>1616</v>
      </c>
      <c r="E181" s="681" t="s">
        <v>102</v>
      </c>
      <c r="F181" s="644">
        <v>33.93</v>
      </c>
      <c r="G181" s="682">
        <v>7.91</v>
      </c>
      <c r="H181" s="681">
        <v>16</v>
      </c>
      <c r="I181" s="573">
        <f t="shared" si="39"/>
        <v>0</v>
      </c>
      <c r="J181" s="573">
        <f t="shared" si="40"/>
        <v>16</v>
      </c>
      <c r="K181" s="685">
        <f t="shared" si="35"/>
        <v>0</v>
      </c>
      <c r="L181" s="708">
        <f t="shared" si="43"/>
        <v>126.56</v>
      </c>
      <c r="M181" s="708">
        <f t="shared" si="43"/>
        <v>0</v>
      </c>
      <c r="N181" s="708">
        <f t="shared" si="43"/>
        <v>126.56</v>
      </c>
      <c r="O181" s="718">
        <f t="shared" si="43"/>
        <v>0</v>
      </c>
      <c r="P181" s="617">
        <f t="shared" si="37"/>
        <v>1</v>
      </c>
      <c r="Q181" s="525"/>
      <c r="S181" s="190">
        <v>0</v>
      </c>
      <c r="T181" s="190">
        <v>0</v>
      </c>
      <c r="BT181" s="525"/>
      <c r="BU181" s="523"/>
      <c r="BV181" s="523"/>
      <c r="BW181" s="523">
        <v>0</v>
      </c>
      <c r="BX181" s="523">
        <v>16</v>
      </c>
      <c r="BY181" s="523">
        <v>0</v>
      </c>
      <c r="BZ181" s="523">
        <v>0</v>
      </c>
      <c r="CA181" s="523"/>
      <c r="CB181" s="523"/>
      <c r="CC181" s="523"/>
      <c r="CD181" s="523"/>
      <c r="CE181" s="523"/>
      <c r="CF181" s="523"/>
      <c r="CG181" s="523"/>
      <c r="CH181" s="523"/>
      <c r="CI181" s="523">
        <f t="shared" si="38"/>
        <v>16</v>
      </c>
    </row>
    <row r="182" spans="1:87" ht="15.75" x14ac:dyDescent="0.2">
      <c r="A182" s="605" t="s">
        <v>309</v>
      </c>
      <c r="B182" s="586"/>
      <c r="C182" s="586"/>
      <c r="D182" s="586" t="s">
        <v>1617</v>
      </c>
      <c r="E182" s="609"/>
      <c r="F182" s="609"/>
      <c r="G182" s="609"/>
      <c r="H182" s="609"/>
      <c r="I182" s="749"/>
      <c r="J182" s="749"/>
      <c r="K182" s="749"/>
      <c r="L182" s="733">
        <f>SUM(L183:L190)</f>
        <v>13798.98</v>
      </c>
      <c r="M182" s="733">
        <f>SUM(M183:M190)</f>
        <v>656.3</v>
      </c>
      <c r="N182" s="733">
        <f>SUM(N183:N190)</f>
        <v>656.3</v>
      </c>
      <c r="O182" s="722">
        <f>SUM(O183:O190)</f>
        <v>13142.68</v>
      </c>
      <c r="P182" s="611">
        <f t="shared" si="37"/>
        <v>4.7561486428707049E-2</v>
      </c>
      <c r="Q182" s="525"/>
      <c r="S182" s="189">
        <v>0</v>
      </c>
      <c r="T182" s="189">
        <v>0</v>
      </c>
      <c r="BT182" s="525"/>
      <c r="BU182" s="523"/>
      <c r="BV182" s="523"/>
      <c r="BW182" s="523">
        <v>0</v>
      </c>
      <c r="BX182" s="523">
        <v>0</v>
      </c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523">
        <f t="shared" si="38"/>
        <v>0</v>
      </c>
    </row>
    <row r="183" spans="1:87" ht="15" x14ac:dyDescent="0.2">
      <c r="A183" s="680" t="s">
        <v>1618</v>
      </c>
      <c r="B183" s="569" t="s">
        <v>2007</v>
      </c>
      <c r="C183" s="569" t="s">
        <v>1339</v>
      </c>
      <c r="D183" s="569" t="s">
        <v>1619</v>
      </c>
      <c r="E183" s="681" t="s">
        <v>102</v>
      </c>
      <c r="F183" s="644">
        <v>190.09</v>
      </c>
      <c r="G183" s="682">
        <v>46.81</v>
      </c>
      <c r="H183" s="681">
        <v>6</v>
      </c>
      <c r="I183" s="685">
        <f t="shared" si="39"/>
        <v>3</v>
      </c>
      <c r="J183" s="573">
        <f t="shared" si="40"/>
        <v>3</v>
      </c>
      <c r="K183" s="644">
        <f t="shared" si="35"/>
        <v>3</v>
      </c>
      <c r="L183" s="708">
        <f t="shared" ref="L183:O190" si="44">ROUND(H183*$G183,2)</f>
        <v>280.86</v>
      </c>
      <c r="M183" s="708">
        <f t="shared" si="44"/>
        <v>140.43</v>
      </c>
      <c r="N183" s="708">
        <f t="shared" si="44"/>
        <v>140.43</v>
      </c>
      <c r="O183" s="718">
        <f t="shared" si="44"/>
        <v>140.43</v>
      </c>
      <c r="P183" s="617">
        <f t="shared" si="37"/>
        <v>0.5</v>
      </c>
      <c r="Q183" s="525"/>
      <c r="S183" s="189">
        <v>0</v>
      </c>
      <c r="T183" s="189">
        <v>0</v>
      </c>
      <c r="BT183" s="525"/>
      <c r="BU183" s="523">
        <v>3</v>
      </c>
      <c r="BV183" s="523"/>
      <c r="BW183" s="523">
        <v>0</v>
      </c>
      <c r="BX183" s="523">
        <v>0</v>
      </c>
      <c r="BY183" s="523">
        <v>0</v>
      </c>
      <c r="BZ183" s="523">
        <v>0</v>
      </c>
      <c r="CA183" s="523"/>
      <c r="CB183" s="523"/>
      <c r="CC183" s="523"/>
      <c r="CD183" s="523"/>
      <c r="CE183" s="523"/>
      <c r="CF183" s="523"/>
      <c r="CG183" s="523"/>
      <c r="CH183" s="523"/>
      <c r="CI183" s="523">
        <f t="shared" si="38"/>
        <v>3</v>
      </c>
    </row>
    <row r="184" spans="1:87" ht="15" x14ac:dyDescent="0.2">
      <c r="A184" s="680" t="s">
        <v>1620</v>
      </c>
      <c r="B184" s="569" t="s">
        <v>1621</v>
      </c>
      <c r="C184" s="569" t="s">
        <v>1324</v>
      </c>
      <c r="D184" s="569" t="s">
        <v>1622</v>
      </c>
      <c r="E184" s="681" t="s">
        <v>102</v>
      </c>
      <c r="F184" s="644">
        <v>222.14</v>
      </c>
      <c r="G184" s="682">
        <v>367.21</v>
      </c>
      <c r="H184" s="681">
        <v>2</v>
      </c>
      <c r="I184" s="685">
        <f t="shared" si="39"/>
        <v>1</v>
      </c>
      <c r="J184" s="573">
        <f t="shared" si="40"/>
        <v>1</v>
      </c>
      <c r="K184" s="644">
        <f t="shared" si="35"/>
        <v>1</v>
      </c>
      <c r="L184" s="708">
        <f t="shared" si="44"/>
        <v>734.42</v>
      </c>
      <c r="M184" s="708">
        <f t="shared" si="44"/>
        <v>367.21</v>
      </c>
      <c r="N184" s="708">
        <f t="shared" si="44"/>
        <v>367.21</v>
      </c>
      <c r="O184" s="718">
        <f t="shared" si="44"/>
        <v>367.21</v>
      </c>
      <c r="P184" s="617">
        <f t="shared" si="37"/>
        <v>0.5</v>
      </c>
      <c r="Q184" s="525"/>
      <c r="S184" s="189">
        <v>0</v>
      </c>
      <c r="T184" s="189">
        <v>0</v>
      </c>
      <c r="BT184" s="525"/>
      <c r="BU184" s="523">
        <v>1</v>
      </c>
      <c r="BV184" s="523"/>
      <c r="BW184" s="523">
        <v>0</v>
      </c>
      <c r="BX184" s="523">
        <v>0</v>
      </c>
      <c r="BY184" s="523">
        <v>0</v>
      </c>
      <c r="BZ184" s="523">
        <v>0</v>
      </c>
      <c r="CA184" s="523"/>
      <c r="CB184" s="523"/>
      <c r="CC184" s="523"/>
      <c r="CD184" s="523"/>
      <c r="CE184" s="523"/>
      <c r="CF184" s="523"/>
      <c r="CG184" s="523"/>
      <c r="CH184" s="523"/>
      <c r="CI184" s="523">
        <f t="shared" si="38"/>
        <v>1</v>
      </c>
    </row>
    <row r="185" spans="1:87" ht="15" x14ac:dyDescent="0.2">
      <c r="A185" s="680" t="s">
        <v>1623</v>
      </c>
      <c r="B185" s="569">
        <v>89710</v>
      </c>
      <c r="C185" s="569" t="s">
        <v>1324</v>
      </c>
      <c r="D185" s="569" t="s">
        <v>1624</v>
      </c>
      <c r="E185" s="681" t="s">
        <v>102</v>
      </c>
      <c r="F185" s="644">
        <v>474.97</v>
      </c>
      <c r="G185" s="682">
        <v>7.75</v>
      </c>
      <c r="H185" s="681">
        <v>6</v>
      </c>
      <c r="I185" s="685">
        <f t="shared" si="39"/>
        <v>3</v>
      </c>
      <c r="J185" s="573">
        <f t="shared" si="40"/>
        <v>3</v>
      </c>
      <c r="K185" s="644">
        <f t="shared" si="35"/>
        <v>3</v>
      </c>
      <c r="L185" s="708">
        <f t="shared" si="44"/>
        <v>46.5</v>
      </c>
      <c r="M185" s="708">
        <f t="shared" si="44"/>
        <v>23.25</v>
      </c>
      <c r="N185" s="708">
        <f t="shared" si="44"/>
        <v>23.25</v>
      </c>
      <c r="O185" s="718">
        <f t="shared" si="44"/>
        <v>23.25</v>
      </c>
      <c r="P185" s="617">
        <f t="shared" si="37"/>
        <v>0.5</v>
      </c>
      <c r="Q185" s="525"/>
      <c r="S185" s="189">
        <v>0</v>
      </c>
      <c r="T185" s="189">
        <v>0</v>
      </c>
      <c r="BT185" s="525"/>
      <c r="BU185" s="523">
        <v>3</v>
      </c>
      <c r="BV185" s="523"/>
      <c r="BW185" s="523">
        <v>0</v>
      </c>
      <c r="BX185" s="523">
        <v>0</v>
      </c>
      <c r="BY185" s="523">
        <v>0</v>
      </c>
      <c r="BZ185" s="523">
        <v>0</v>
      </c>
      <c r="CA185" s="523"/>
      <c r="CB185" s="523"/>
      <c r="CC185" s="523"/>
      <c r="CD185" s="523"/>
      <c r="CE185" s="523"/>
      <c r="CF185" s="523"/>
      <c r="CG185" s="523"/>
      <c r="CH185" s="523"/>
      <c r="CI185" s="523">
        <f t="shared" si="38"/>
        <v>3</v>
      </c>
    </row>
    <row r="186" spans="1:87" ht="15" x14ac:dyDescent="0.2">
      <c r="A186" s="680" t="s">
        <v>1625</v>
      </c>
      <c r="B186" s="569">
        <v>89798</v>
      </c>
      <c r="C186" s="569" t="s">
        <v>1324</v>
      </c>
      <c r="D186" s="569" t="s">
        <v>1626</v>
      </c>
      <c r="E186" s="681" t="s">
        <v>81</v>
      </c>
      <c r="F186" s="644">
        <v>891.52</v>
      </c>
      <c r="G186" s="682">
        <v>6.93</v>
      </c>
      <c r="H186" s="681">
        <v>8</v>
      </c>
      <c r="I186" s="685">
        <f t="shared" si="39"/>
        <v>2</v>
      </c>
      <c r="J186" s="573">
        <f t="shared" si="40"/>
        <v>2</v>
      </c>
      <c r="K186" s="644">
        <f t="shared" si="35"/>
        <v>6</v>
      </c>
      <c r="L186" s="708">
        <f t="shared" si="44"/>
        <v>55.44</v>
      </c>
      <c r="M186" s="708">
        <f t="shared" si="44"/>
        <v>13.86</v>
      </c>
      <c r="N186" s="708">
        <f t="shared" si="44"/>
        <v>13.86</v>
      </c>
      <c r="O186" s="718">
        <f t="shared" si="44"/>
        <v>41.58</v>
      </c>
      <c r="P186" s="617">
        <f t="shared" si="37"/>
        <v>0.25</v>
      </c>
      <c r="Q186" s="525"/>
      <c r="S186" s="189">
        <v>0</v>
      </c>
      <c r="T186" s="189">
        <v>0</v>
      </c>
      <c r="BT186" s="525"/>
      <c r="BU186" s="523">
        <v>2</v>
      </c>
      <c r="BV186" s="523"/>
      <c r="BW186" s="523">
        <v>0</v>
      </c>
      <c r="BX186" s="523">
        <v>0</v>
      </c>
      <c r="BY186" s="523">
        <v>0</v>
      </c>
      <c r="BZ186" s="523">
        <v>0</v>
      </c>
      <c r="CA186" s="523"/>
      <c r="CB186" s="523"/>
      <c r="CC186" s="523"/>
      <c r="CD186" s="523"/>
      <c r="CE186" s="523"/>
      <c r="CF186" s="523"/>
      <c r="CG186" s="523"/>
      <c r="CH186" s="523"/>
      <c r="CI186" s="523">
        <f t="shared" si="38"/>
        <v>2</v>
      </c>
    </row>
    <row r="187" spans="1:87" ht="15" x14ac:dyDescent="0.2">
      <c r="A187" s="680" t="s">
        <v>1627</v>
      </c>
      <c r="B187" s="569">
        <v>86882</v>
      </c>
      <c r="C187" s="569" t="s">
        <v>1324</v>
      </c>
      <c r="D187" s="569" t="s">
        <v>1628</v>
      </c>
      <c r="E187" s="681" t="s">
        <v>102</v>
      </c>
      <c r="F187" s="644">
        <v>179</v>
      </c>
      <c r="G187" s="682">
        <v>13.42</v>
      </c>
      <c r="H187" s="681">
        <v>8</v>
      </c>
      <c r="I187" s="685">
        <f t="shared" si="39"/>
        <v>4</v>
      </c>
      <c r="J187" s="573">
        <f t="shared" si="40"/>
        <v>4</v>
      </c>
      <c r="K187" s="644">
        <f t="shared" si="35"/>
        <v>4</v>
      </c>
      <c r="L187" s="708">
        <f t="shared" si="44"/>
        <v>107.36</v>
      </c>
      <c r="M187" s="708">
        <f t="shared" si="44"/>
        <v>53.68</v>
      </c>
      <c r="N187" s="708">
        <f t="shared" si="44"/>
        <v>53.68</v>
      </c>
      <c r="O187" s="718">
        <f t="shared" si="44"/>
        <v>53.68</v>
      </c>
      <c r="P187" s="617">
        <f t="shared" si="37"/>
        <v>0.5</v>
      </c>
      <c r="Q187" s="525"/>
      <c r="S187" s="189">
        <v>0</v>
      </c>
      <c r="T187" s="189">
        <v>0</v>
      </c>
      <c r="BT187" s="525"/>
      <c r="BU187" s="523">
        <v>4</v>
      </c>
      <c r="BV187" s="523"/>
      <c r="BW187" s="523">
        <v>0</v>
      </c>
      <c r="BX187" s="523">
        <v>0</v>
      </c>
      <c r="BY187" s="523">
        <v>0</v>
      </c>
      <c r="BZ187" s="523">
        <v>0</v>
      </c>
      <c r="CA187" s="523"/>
      <c r="CB187" s="523"/>
      <c r="CC187" s="523"/>
      <c r="CD187" s="523"/>
      <c r="CE187" s="523"/>
      <c r="CF187" s="523"/>
      <c r="CG187" s="523"/>
      <c r="CH187" s="523"/>
      <c r="CI187" s="523">
        <f t="shared" si="38"/>
        <v>4</v>
      </c>
    </row>
    <row r="188" spans="1:87" ht="15" x14ac:dyDescent="0.2">
      <c r="A188" s="680" t="s">
        <v>1629</v>
      </c>
      <c r="B188" s="569" t="s">
        <v>1630</v>
      </c>
      <c r="C188" s="569" t="s">
        <v>1324</v>
      </c>
      <c r="D188" s="569" t="s">
        <v>1631</v>
      </c>
      <c r="E188" s="681" t="s">
        <v>102</v>
      </c>
      <c r="F188" s="644">
        <v>144</v>
      </c>
      <c r="G188" s="682">
        <v>57.87</v>
      </c>
      <c r="H188" s="681">
        <v>8</v>
      </c>
      <c r="I188" s="685">
        <f t="shared" si="39"/>
        <v>1</v>
      </c>
      <c r="J188" s="573">
        <f t="shared" si="40"/>
        <v>1</v>
      </c>
      <c r="K188" s="644">
        <f t="shared" si="35"/>
        <v>7</v>
      </c>
      <c r="L188" s="708">
        <f t="shared" si="44"/>
        <v>462.96</v>
      </c>
      <c r="M188" s="708">
        <f t="shared" si="44"/>
        <v>57.87</v>
      </c>
      <c r="N188" s="708">
        <f t="shared" si="44"/>
        <v>57.87</v>
      </c>
      <c r="O188" s="718">
        <f t="shared" si="44"/>
        <v>405.09</v>
      </c>
      <c r="P188" s="617">
        <f t="shared" si="37"/>
        <v>0.125</v>
      </c>
      <c r="Q188" s="525"/>
      <c r="S188" s="189">
        <v>0</v>
      </c>
      <c r="T188" s="189">
        <v>0</v>
      </c>
      <c r="BT188" s="525"/>
      <c r="BU188" s="523">
        <v>1</v>
      </c>
      <c r="BV188" s="523"/>
      <c r="BW188" s="523">
        <v>0</v>
      </c>
      <c r="BX188" s="523">
        <v>0</v>
      </c>
      <c r="BY188" s="523">
        <v>0</v>
      </c>
      <c r="BZ188" s="523">
        <v>0</v>
      </c>
      <c r="CA188" s="523"/>
      <c r="CB188" s="523"/>
      <c r="CC188" s="523"/>
      <c r="CD188" s="523"/>
      <c r="CE188" s="523"/>
      <c r="CF188" s="523"/>
      <c r="CG188" s="523"/>
      <c r="CH188" s="523"/>
      <c r="CI188" s="523">
        <f t="shared" si="38"/>
        <v>1</v>
      </c>
    </row>
    <row r="189" spans="1:87" ht="15" x14ac:dyDescent="0.2">
      <c r="A189" s="680" t="s">
        <v>1632</v>
      </c>
      <c r="B189" s="569" t="s">
        <v>1633</v>
      </c>
      <c r="C189" s="569" t="s">
        <v>1324</v>
      </c>
      <c r="D189" s="569" t="s">
        <v>1634</v>
      </c>
      <c r="E189" s="681" t="s">
        <v>102</v>
      </c>
      <c r="F189" s="644">
        <v>201.25</v>
      </c>
      <c r="G189" s="682">
        <v>3019.34</v>
      </c>
      <c r="H189" s="681">
        <v>1</v>
      </c>
      <c r="I189" s="685">
        <f t="shared" si="39"/>
        <v>0</v>
      </c>
      <c r="J189" s="573">
        <f t="shared" si="40"/>
        <v>0</v>
      </c>
      <c r="K189" s="644">
        <f t="shared" si="35"/>
        <v>1</v>
      </c>
      <c r="L189" s="708">
        <f t="shared" si="44"/>
        <v>3019.34</v>
      </c>
      <c r="M189" s="708">
        <f t="shared" si="44"/>
        <v>0</v>
      </c>
      <c r="N189" s="708">
        <f t="shared" si="44"/>
        <v>0</v>
      </c>
      <c r="O189" s="718">
        <f t="shared" si="44"/>
        <v>3019.34</v>
      </c>
      <c r="P189" s="617">
        <f t="shared" si="37"/>
        <v>0</v>
      </c>
      <c r="Q189" s="525"/>
      <c r="S189" s="189">
        <v>0</v>
      </c>
      <c r="T189" s="189">
        <v>0</v>
      </c>
      <c r="BT189" s="525"/>
      <c r="BU189" s="523"/>
      <c r="BV189" s="523"/>
      <c r="BW189" s="523">
        <v>0</v>
      </c>
      <c r="BX189" s="523">
        <v>0</v>
      </c>
      <c r="BY189" s="523">
        <v>0</v>
      </c>
      <c r="BZ189" s="523">
        <v>0</v>
      </c>
      <c r="CA189" s="523"/>
      <c r="CB189" s="523"/>
      <c r="CC189" s="523"/>
      <c r="CD189" s="523"/>
      <c r="CE189" s="523"/>
      <c r="CF189" s="523"/>
      <c r="CG189" s="523"/>
      <c r="CH189" s="523"/>
      <c r="CI189" s="523">
        <f t="shared" si="38"/>
        <v>0</v>
      </c>
    </row>
    <row r="190" spans="1:87" s="663" customFormat="1" ht="15" x14ac:dyDescent="0.2">
      <c r="A190" s="680" t="s">
        <v>1635</v>
      </c>
      <c r="B190" s="569" t="s">
        <v>1636</v>
      </c>
      <c r="C190" s="569" t="s">
        <v>1324</v>
      </c>
      <c r="D190" s="569" t="s">
        <v>1637</v>
      </c>
      <c r="E190" s="681" t="s">
        <v>102</v>
      </c>
      <c r="F190" s="644">
        <v>356.72</v>
      </c>
      <c r="G190" s="682">
        <v>9092.1</v>
      </c>
      <c r="H190" s="681">
        <v>1</v>
      </c>
      <c r="I190" s="685">
        <f t="shared" si="39"/>
        <v>0</v>
      </c>
      <c r="J190" s="573">
        <f t="shared" si="40"/>
        <v>0</v>
      </c>
      <c r="K190" s="644">
        <f t="shared" si="35"/>
        <v>1</v>
      </c>
      <c r="L190" s="708">
        <f t="shared" si="44"/>
        <v>9092.1</v>
      </c>
      <c r="M190" s="708">
        <f t="shared" si="44"/>
        <v>0</v>
      </c>
      <c r="N190" s="708">
        <f t="shared" si="44"/>
        <v>0</v>
      </c>
      <c r="O190" s="718">
        <f t="shared" si="44"/>
        <v>9092.1</v>
      </c>
      <c r="P190" s="617">
        <f t="shared" si="37"/>
        <v>0</v>
      </c>
      <c r="Q190" s="525"/>
      <c r="S190" s="190">
        <v>0</v>
      </c>
      <c r="T190" s="190">
        <v>0</v>
      </c>
      <c r="BT190" s="525"/>
      <c r="BU190" s="523"/>
      <c r="BV190" s="523"/>
      <c r="BW190" s="523">
        <v>0</v>
      </c>
      <c r="BX190" s="523">
        <v>0</v>
      </c>
      <c r="BY190" s="523">
        <v>0</v>
      </c>
      <c r="BZ190" s="523">
        <v>0</v>
      </c>
      <c r="CA190" s="523"/>
      <c r="CB190" s="523"/>
      <c r="CC190" s="523"/>
      <c r="CD190" s="523"/>
      <c r="CE190" s="523"/>
      <c r="CF190" s="523"/>
      <c r="CG190" s="523"/>
      <c r="CH190" s="523"/>
      <c r="CI190" s="523">
        <f t="shared" si="38"/>
        <v>0</v>
      </c>
    </row>
    <row r="191" spans="1:87" ht="15.75" x14ac:dyDescent="0.2">
      <c r="A191" s="600">
        <v>14</v>
      </c>
      <c r="B191" s="558"/>
      <c r="C191" s="558"/>
      <c r="D191" s="558" t="s">
        <v>656</v>
      </c>
      <c r="E191" s="626"/>
      <c r="F191" s="626"/>
      <c r="G191" s="626"/>
      <c r="H191" s="626"/>
      <c r="I191" s="747"/>
      <c r="J191" s="747"/>
      <c r="K191" s="747"/>
      <c r="L191" s="734">
        <f>SUM(L192:L194)</f>
        <v>11646.28</v>
      </c>
      <c r="M191" s="734">
        <f>SUM(M192:M194)</f>
        <v>0</v>
      </c>
      <c r="N191" s="734">
        <f>SUM(N192:N194)</f>
        <v>0</v>
      </c>
      <c r="O191" s="721">
        <f>SUM(O192:O194)</f>
        <v>11646.28</v>
      </c>
      <c r="P191" s="604">
        <f t="shared" si="37"/>
        <v>0</v>
      </c>
      <c r="Q191" s="525"/>
      <c r="S191" s="189">
        <v>0</v>
      </c>
      <c r="T191" s="189">
        <v>0</v>
      </c>
      <c r="BT191" s="525"/>
      <c r="BU191" s="523"/>
      <c r="BV191" s="523"/>
      <c r="BW191" s="523">
        <v>0</v>
      </c>
      <c r="BX191" s="523">
        <v>0</v>
      </c>
      <c r="BY191" s="523"/>
      <c r="BZ191" s="523"/>
      <c r="CA191" s="523"/>
      <c r="CB191" s="523"/>
      <c r="CC191" s="523"/>
      <c r="CD191" s="523"/>
      <c r="CE191" s="523"/>
      <c r="CF191" s="523"/>
      <c r="CG191" s="523"/>
      <c r="CH191" s="523"/>
      <c r="CI191" s="523">
        <f t="shared" si="38"/>
        <v>0</v>
      </c>
    </row>
    <row r="192" spans="1:87" ht="15" x14ac:dyDescent="0.2">
      <c r="A192" s="680" t="s">
        <v>355</v>
      </c>
      <c r="B192" s="569">
        <v>83688</v>
      </c>
      <c r="C192" s="569" t="s">
        <v>1324</v>
      </c>
      <c r="D192" s="569" t="s">
        <v>1638</v>
      </c>
      <c r="E192" s="681" t="s">
        <v>81</v>
      </c>
      <c r="F192" s="644">
        <v>415</v>
      </c>
      <c r="G192" s="682">
        <v>141.97999999999999</v>
      </c>
      <c r="H192" s="681">
        <v>76.400000000000006</v>
      </c>
      <c r="I192" s="685">
        <f t="shared" si="39"/>
        <v>0</v>
      </c>
      <c r="J192" s="573">
        <f t="shared" si="40"/>
        <v>0</v>
      </c>
      <c r="K192" s="644">
        <f t="shared" si="35"/>
        <v>76.400000000000006</v>
      </c>
      <c r="L192" s="708">
        <f t="shared" ref="L192:O194" si="45">ROUND(H192*$G192,2)</f>
        <v>10847.27</v>
      </c>
      <c r="M192" s="708">
        <f t="shared" si="45"/>
        <v>0</v>
      </c>
      <c r="N192" s="708">
        <f t="shared" si="45"/>
        <v>0</v>
      </c>
      <c r="O192" s="718">
        <f t="shared" si="45"/>
        <v>10847.27</v>
      </c>
      <c r="P192" s="617">
        <f t="shared" si="37"/>
        <v>0</v>
      </c>
      <c r="Q192" s="525"/>
      <c r="S192" s="189">
        <v>0</v>
      </c>
      <c r="T192" s="189">
        <v>0</v>
      </c>
      <c r="BT192" s="525"/>
      <c r="BU192" s="523"/>
      <c r="BV192" s="523"/>
      <c r="BW192" s="523">
        <v>0</v>
      </c>
      <c r="BX192" s="523">
        <v>0</v>
      </c>
      <c r="BY192" s="523">
        <v>0</v>
      </c>
      <c r="BZ192" s="523">
        <v>0</v>
      </c>
      <c r="CA192" s="523"/>
      <c r="CB192" s="523"/>
      <c r="CC192" s="523"/>
      <c r="CD192" s="523"/>
      <c r="CE192" s="523"/>
      <c r="CF192" s="523"/>
      <c r="CG192" s="523"/>
      <c r="CH192" s="523"/>
      <c r="CI192" s="523">
        <f t="shared" si="38"/>
        <v>0</v>
      </c>
    </row>
    <row r="193" spans="1:87" ht="15" x14ac:dyDescent="0.2">
      <c r="A193" s="680" t="s">
        <v>1639</v>
      </c>
      <c r="B193" s="569" t="s">
        <v>2007</v>
      </c>
      <c r="C193" s="569" t="s">
        <v>1339</v>
      </c>
      <c r="D193" s="569" t="s">
        <v>1640</v>
      </c>
      <c r="E193" s="681" t="s">
        <v>102</v>
      </c>
      <c r="F193" s="644">
        <v>63.04</v>
      </c>
      <c r="G193" s="682">
        <v>76.84</v>
      </c>
      <c r="H193" s="681">
        <v>8</v>
      </c>
      <c r="I193" s="685">
        <f t="shared" si="39"/>
        <v>0</v>
      </c>
      <c r="J193" s="573">
        <f t="shared" si="40"/>
        <v>0</v>
      </c>
      <c r="K193" s="644">
        <f t="shared" si="35"/>
        <v>8</v>
      </c>
      <c r="L193" s="708">
        <f t="shared" si="45"/>
        <v>614.72</v>
      </c>
      <c r="M193" s="708">
        <f t="shared" si="45"/>
        <v>0</v>
      </c>
      <c r="N193" s="708">
        <f t="shared" si="45"/>
        <v>0</v>
      </c>
      <c r="O193" s="718">
        <f t="shared" si="45"/>
        <v>614.72</v>
      </c>
      <c r="P193" s="617">
        <f t="shared" si="37"/>
        <v>0</v>
      </c>
      <c r="Q193" s="525"/>
      <c r="S193" s="189">
        <v>0</v>
      </c>
      <c r="T193" s="189">
        <v>0</v>
      </c>
      <c r="BT193" s="525"/>
      <c r="BU193" s="523"/>
      <c r="BV193" s="523"/>
      <c r="BW193" s="523">
        <v>0</v>
      </c>
      <c r="BX193" s="523">
        <v>0</v>
      </c>
      <c r="BY193" s="523">
        <v>0</v>
      </c>
      <c r="BZ193" s="523">
        <v>0</v>
      </c>
      <c r="CA193" s="523"/>
      <c r="CB193" s="523"/>
      <c r="CC193" s="523"/>
      <c r="CD193" s="523"/>
      <c r="CE193" s="523"/>
      <c r="CF193" s="523"/>
      <c r="CG193" s="523"/>
      <c r="CH193" s="523"/>
      <c r="CI193" s="523">
        <f t="shared" si="38"/>
        <v>0</v>
      </c>
    </row>
    <row r="194" spans="1:87" s="663" customFormat="1" ht="15" x14ac:dyDescent="0.2">
      <c r="A194" s="680" t="s">
        <v>1641</v>
      </c>
      <c r="B194" s="569">
        <v>88549</v>
      </c>
      <c r="C194" s="569" t="s">
        <v>1324</v>
      </c>
      <c r="D194" s="569" t="s">
        <v>1642</v>
      </c>
      <c r="E194" s="681" t="s">
        <v>48</v>
      </c>
      <c r="F194" s="630"/>
      <c r="G194" s="682">
        <v>98.55</v>
      </c>
      <c r="H194" s="681">
        <v>1.87</v>
      </c>
      <c r="I194" s="685">
        <f t="shared" si="39"/>
        <v>0</v>
      </c>
      <c r="J194" s="573">
        <f t="shared" si="40"/>
        <v>0</v>
      </c>
      <c r="K194" s="644">
        <f t="shared" si="35"/>
        <v>1.87</v>
      </c>
      <c r="L194" s="708">
        <f t="shared" si="45"/>
        <v>184.29</v>
      </c>
      <c r="M194" s="708">
        <f t="shared" si="45"/>
        <v>0</v>
      </c>
      <c r="N194" s="708">
        <f t="shared" si="45"/>
        <v>0</v>
      </c>
      <c r="O194" s="718">
        <f t="shared" si="45"/>
        <v>184.29</v>
      </c>
      <c r="P194" s="617">
        <f t="shared" si="37"/>
        <v>0</v>
      </c>
      <c r="Q194" s="525"/>
      <c r="S194" s="190">
        <v>0</v>
      </c>
      <c r="T194" s="190">
        <v>0</v>
      </c>
      <c r="BT194" s="525"/>
      <c r="BU194" s="523"/>
      <c r="BV194" s="523"/>
      <c r="BW194" s="523">
        <v>0</v>
      </c>
      <c r="BX194" s="523">
        <v>0</v>
      </c>
      <c r="BY194" s="523">
        <v>0</v>
      </c>
      <c r="BZ194" s="523">
        <v>0</v>
      </c>
      <c r="CA194" s="523"/>
      <c r="CB194" s="523"/>
      <c r="CC194" s="523"/>
      <c r="CD194" s="523"/>
      <c r="CE194" s="523"/>
      <c r="CF194" s="523"/>
      <c r="CG194" s="523"/>
      <c r="CH194" s="523"/>
      <c r="CI194" s="523">
        <f t="shared" si="38"/>
        <v>0</v>
      </c>
    </row>
    <row r="195" spans="1:87" ht="15.75" x14ac:dyDescent="0.2">
      <c r="A195" s="600">
        <v>15</v>
      </c>
      <c r="B195" s="558"/>
      <c r="C195" s="558"/>
      <c r="D195" s="558" t="s">
        <v>1643</v>
      </c>
      <c r="E195" s="626"/>
      <c r="F195" s="626"/>
      <c r="G195" s="626"/>
      <c r="H195" s="626"/>
      <c r="I195" s="747"/>
      <c r="J195" s="747"/>
      <c r="K195" s="747"/>
      <c r="L195" s="734">
        <f>SUM(L196:L208)</f>
        <v>7636.1200000000017</v>
      </c>
      <c r="M195" s="734">
        <f>SUM(M196:M208)</f>
        <v>0</v>
      </c>
      <c r="N195" s="734">
        <f>SUM(N196:N208)</f>
        <v>0</v>
      </c>
      <c r="O195" s="721">
        <f>SUM(O196:O208)</f>
        <v>7636.1200000000017</v>
      </c>
      <c r="P195" s="604">
        <f t="shared" si="37"/>
        <v>0</v>
      </c>
      <c r="Q195" s="525"/>
      <c r="S195" s="189">
        <v>0</v>
      </c>
      <c r="T195" s="189">
        <v>0</v>
      </c>
      <c r="BT195" s="525"/>
      <c r="BU195" s="523"/>
      <c r="BV195" s="523"/>
      <c r="BW195" s="523">
        <v>0</v>
      </c>
      <c r="BX195" s="523">
        <v>0</v>
      </c>
      <c r="BY195" s="523"/>
      <c r="BZ195" s="523"/>
      <c r="CA195" s="523"/>
      <c r="CB195" s="523"/>
      <c r="CC195" s="523"/>
      <c r="CD195" s="523"/>
      <c r="CE195" s="523"/>
      <c r="CF195" s="523"/>
      <c r="CG195" s="523"/>
      <c r="CH195" s="523"/>
      <c r="CI195" s="523">
        <f t="shared" si="38"/>
        <v>0</v>
      </c>
    </row>
    <row r="196" spans="1:87" ht="15" x14ac:dyDescent="0.2">
      <c r="A196" s="680" t="s">
        <v>494</v>
      </c>
      <c r="B196" s="569">
        <v>6021</v>
      </c>
      <c r="C196" s="569" t="s">
        <v>1324</v>
      </c>
      <c r="D196" s="569" t="s">
        <v>1644</v>
      </c>
      <c r="E196" s="681" t="s">
        <v>102</v>
      </c>
      <c r="F196" s="571"/>
      <c r="G196" s="682">
        <v>330.33</v>
      </c>
      <c r="H196" s="681">
        <v>6</v>
      </c>
      <c r="I196" s="685">
        <f t="shared" si="39"/>
        <v>0</v>
      </c>
      <c r="J196" s="573">
        <f t="shared" si="40"/>
        <v>0</v>
      </c>
      <c r="K196" s="644">
        <f t="shared" ref="K196:K259" si="46">H196-J196</f>
        <v>6</v>
      </c>
      <c r="L196" s="708">
        <f t="shared" ref="L196:O208" si="47">ROUND(H196*$G196,2)</f>
        <v>1981.98</v>
      </c>
      <c r="M196" s="708">
        <f t="shared" si="47"/>
        <v>0</v>
      </c>
      <c r="N196" s="708">
        <f t="shared" si="47"/>
        <v>0</v>
      </c>
      <c r="O196" s="718">
        <f t="shared" si="47"/>
        <v>1981.98</v>
      </c>
      <c r="P196" s="617">
        <f t="shared" si="37"/>
        <v>0</v>
      </c>
      <c r="Q196" s="525"/>
      <c r="S196" s="189">
        <v>0</v>
      </c>
      <c r="T196" s="189">
        <v>0</v>
      </c>
      <c r="BT196" s="525"/>
      <c r="BU196" s="523"/>
      <c r="BV196" s="523"/>
      <c r="BW196" s="523">
        <v>0</v>
      </c>
      <c r="BX196" s="523">
        <v>0</v>
      </c>
      <c r="BY196" s="523">
        <v>0</v>
      </c>
      <c r="BZ196" s="523">
        <v>0</v>
      </c>
      <c r="CA196" s="523"/>
      <c r="CB196" s="523"/>
      <c r="CC196" s="523"/>
      <c r="CD196" s="523"/>
      <c r="CE196" s="523"/>
      <c r="CF196" s="523"/>
      <c r="CG196" s="523"/>
      <c r="CH196" s="523"/>
      <c r="CI196" s="523">
        <f t="shared" si="38"/>
        <v>0</v>
      </c>
    </row>
    <row r="197" spans="1:87" ht="15" x14ac:dyDescent="0.2">
      <c r="A197" s="680" t="s">
        <v>496</v>
      </c>
      <c r="B197" s="569">
        <v>40729</v>
      </c>
      <c r="C197" s="569" t="s">
        <v>1324</v>
      </c>
      <c r="D197" s="569" t="s">
        <v>1645</v>
      </c>
      <c r="E197" s="681" t="s">
        <v>102</v>
      </c>
      <c r="F197" s="571"/>
      <c r="G197" s="682">
        <v>204.63</v>
      </c>
      <c r="H197" s="681">
        <v>6</v>
      </c>
      <c r="I197" s="685">
        <f t="shared" si="39"/>
        <v>0</v>
      </c>
      <c r="J197" s="573">
        <f t="shared" si="40"/>
        <v>0</v>
      </c>
      <c r="K197" s="644">
        <f t="shared" si="46"/>
        <v>6</v>
      </c>
      <c r="L197" s="708">
        <f t="shared" si="47"/>
        <v>1227.78</v>
      </c>
      <c r="M197" s="708">
        <f t="shared" si="47"/>
        <v>0</v>
      </c>
      <c r="N197" s="708">
        <f t="shared" si="47"/>
        <v>0</v>
      </c>
      <c r="O197" s="718">
        <f t="shared" si="47"/>
        <v>1227.78</v>
      </c>
      <c r="P197" s="617">
        <f t="shared" si="37"/>
        <v>0</v>
      </c>
      <c r="Q197" s="525"/>
      <c r="S197" s="189">
        <v>0</v>
      </c>
      <c r="T197" s="189">
        <v>0</v>
      </c>
      <c r="BT197" s="525"/>
      <c r="BU197" s="523"/>
      <c r="BV197" s="523"/>
      <c r="BW197" s="523">
        <v>0</v>
      </c>
      <c r="BX197" s="523">
        <v>0</v>
      </c>
      <c r="BY197" s="523">
        <v>0</v>
      </c>
      <c r="BZ197" s="523">
        <v>0</v>
      </c>
      <c r="CA197" s="523"/>
      <c r="CB197" s="523"/>
      <c r="CC197" s="523"/>
      <c r="CD197" s="523"/>
      <c r="CE197" s="523"/>
      <c r="CF197" s="523"/>
      <c r="CG197" s="523"/>
      <c r="CH197" s="523"/>
      <c r="CI197" s="523">
        <f t="shared" si="38"/>
        <v>0</v>
      </c>
    </row>
    <row r="198" spans="1:87" ht="15" x14ac:dyDescent="0.2">
      <c r="A198" s="680" t="s">
        <v>498</v>
      </c>
      <c r="B198" s="569">
        <v>86901</v>
      </c>
      <c r="C198" s="569" t="s">
        <v>1324</v>
      </c>
      <c r="D198" s="569" t="s">
        <v>1646</v>
      </c>
      <c r="E198" s="681" t="s">
        <v>102</v>
      </c>
      <c r="F198" s="644">
        <v>11.27</v>
      </c>
      <c r="G198" s="682">
        <v>102.4</v>
      </c>
      <c r="H198" s="681">
        <v>6</v>
      </c>
      <c r="I198" s="685">
        <f t="shared" si="39"/>
        <v>0</v>
      </c>
      <c r="J198" s="573">
        <f t="shared" si="40"/>
        <v>0</v>
      </c>
      <c r="K198" s="644">
        <f t="shared" si="46"/>
        <v>6</v>
      </c>
      <c r="L198" s="708">
        <f t="shared" si="47"/>
        <v>614.4</v>
      </c>
      <c r="M198" s="708">
        <f t="shared" si="47"/>
        <v>0</v>
      </c>
      <c r="N198" s="708">
        <f t="shared" si="47"/>
        <v>0</v>
      </c>
      <c r="O198" s="718">
        <f t="shared" si="47"/>
        <v>614.4</v>
      </c>
      <c r="P198" s="617">
        <f t="shared" si="37"/>
        <v>0</v>
      </c>
      <c r="Q198" s="525"/>
      <c r="S198" s="189">
        <v>0</v>
      </c>
      <c r="T198" s="189">
        <v>0</v>
      </c>
      <c r="BT198" s="525"/>
      <c r="BU198" s="523"/>
      <c r="BV198" s="523"/>
      <c r="BW198" s="523">
        <v>0</v>
      </c>
      <c r="BX198" s="523">
        <v>0</v>
      </c>
      <c r="BY198" s="523">
        <v>0</v>
      </c>
      <c r="BZ198" s="523">
        <v>0</v>
      </c>
      <c r="CA198" s="523"/>
      <c r="CB198" s="523"/>
      <c r="CC198" s="523"/>
      <c r="CD198" s="523"/>
      <c r="CE198" s="523"/>
      <c r="CF198" s="523"/>
      <c r="CG198" s="523"/>
      <c r="CH198" s="523"/>
      <c r="CI198" s="523">
        <f t="shared" si="38"/>
        <v>0</v>
      </c>
    </row>
    <row r="199" spans="1:87" ht="15" x14ac:dyDescent="0.2">
      <c r="A199" s="680" t="s">
        <v>500</v>
      </c>
      <c r="B199" s="569">
        <v>86942</v>
      </c>
      <c r="C199" s="569" t="s">
        <v>1324</v>
      </c>
      <c r="D199" s="569" t="s">
        <v>1647</v>
      </c>
      <c r="E199" s="681" t="s">
        <v>102</v>
      </c>
      <c r="F199" s="644">
        <v>11.89</v>
      </c>
      <c r="G199" s="682">
        <v>160.06</v>
      </c>
      <c r="H199" s="681">
        <v>2</v>
      </c>
      <c r="I199" s="685">
        <f t="shared" si="39"/>
        <v>0</v>
      </c>
      <c r="J199" s="573">
        <f t="shared" si="40"/>
        <v>0</v>
      </c>
      <c r="K199" s="644">
        <f t="shared" si="46"/>
        <v>2</v>
      </c>
      <c r="L199" s="708">
        <f t="shared" si="47"/>
        <v>320.12</v>
      </c>
      <c r="M199" s="708">
        <f t="shared" si="47"/>
        <v>0</v>
      </c>
      <c r="N199" s="708">
        <f t="shared" si="47"/>
        <v>0</v>
      </c>
      <c r="O199" s="718">
        <f t="shared" si="47"/>
        <v>320.12</v>
      </c>
      <c r="P199" s="617">
        <f t="shared" si="37"/>
        <v>0</v>
      </c>
      <c r="Q199" s="525"/>
      <c r="S199" s="189">
        <v>0</v>
      </c>
      <c r="T199" s="189">
        <v>0</v>
      </c>
      <c r="BT199" s="525"/>
      <c r="BU199" s="523"/>
      <c r="BV199" s="523"/>
      <c r="BW199" s="523">
        <v>0</v>
      </c>
      <c r="BX199" s="523">
        <v>0</v>
      </c>
      <c r="BY199" s="523">
        <v>0</v>
      </c>
      <c r="BZ199" s="523">
        <v>0</v>
      </c>
      <c r="CA199" s="523"/>
      <c r="CB199" s="523"/>
      <c r="CC199" s="523"/>
      <c r="CD199" s="523"/>
      <c r="CE199" s="523"/>
      <c r="CF199" s="523"/>
      <c r="CG199" s="523"/>
      <c r="CH199" s="523"/>
      <c r="CI199" s="523">
        <f t="shared" si="38"/>
        <v>0</v>
      </c>
    </row>
    <row r="200" spans="1:87" ht="15" x14ac:dyDescent="0.2">
      <c r="A200" s="680" t="s">
        <v>502</v>
      </c>
      <c r="B200" s="569" t="s">
        <v>2007</v>
      </c>
      <c r="C200" s="569" t="s">
        <v>1339</v>
      </c>
      <c r="D200" s="569" t="s">
        <v>1648</v>
      </c>
      <c r="E200" s="681" t="s">
        <v>102</v>
      </c>
      <c r="F200" s="644">
        <v>28.56</v>
      </c>
      <c r="G200" s="682">
        <v>223.26</v>
      </c>
      <c r="H200" s="681">
        <v>2</v>
      </c>
      <c r="I200" s="685">
        <f t="shared" si="39"/>
        <v>0</v>
      </c>
      <c r="J200" s="573">
        <f t="shared" si="40"/>
        <v>0</v>
      </c>
      <c r="K200" s="644">
        <f t="shared" si="46"/>
        <v>2</v>
      </c>
      <c r="L200" s="708">
        <f t="shared" si="47"/>
        <v>446.52</v>
      </c>
      <c r="M200" s="708">
        <f t="shared" si="47"/>
        <v>0</v>
      </c>
      <c r="N200" s="708">
        <f t="shared" si="47"/>
        <v>0</v>
      </c>
      <c r="O200" s="718">
        <f t="shared" si="47"/>
        <v>446.52</v>
      </c>
      <c r="P200" s="617">
        <f t="shared" si="37"/>
        <v>0</v>
      </c>
      <c r="Q200" s="525"/>
      <c r="S200" s="189">
        <v>0</v>
      </c>
      <c r="T200" s="189">
        <v>0</v>
      </c>
      <c r="BT200" s="525"/>
      <c r="BU200" s="523"/>
      <c r="BV200" s="523"/>
      <c r="BW200" s="523">
        <v>0</v>
      </c>
      <c r="BX200" s="523">
        <v>0</v>
      </c>
      <c r="BY200" s="523">
        <v>0</v>
      </c>
      <c r="BZ200" s="523">
        <v>0</v>
      </c>
      <c r="CA200" s="523"/>
      <c r="CB200" s="523"/>
      <c r="CC200" s="523"/>
      <c r="CD200" s="523"/>
      <c r="CE200" s="523"/>
      <c r="CF200" s="523"/>
      <c r="CG200" s="523"/>
      <c r="CH200" s="523"/>
      <c r="CI200" s="523">
        <f t="shared" si="38"/>
        <v>0</v>
      </c>
    </row>
    <row r="201" spans="1:87" ht="15" x14ac:dyDescent="0.2">
      <c r="A201" s="680" t="s">
        <v>504</v>
      </c>
      <c r="B201" s="569">
        <v>86906</v>
      </c>
      <c r="C201" s="569" t="s">
        <v>1324</v>
      </c>
      <c r="D201" s="569" t="s">
        <v>1649</v>
      </c>
      <c r="E201" s="681" t="s">
        <v>102</v>
      </c>
      <c r="F201" s="644">
        <v>35.53</v>
      </c>
      <c r="G201" s="682">
        <v>39.97</v>
      </c>
      <c r="H201" s="681">
        <v>8</v>
      </c>
      <c r="I201" s="685">
        <f t="shared" si="39"/>
        <v>0</v>
      </c>
      <c r="J201" s="573">
        <f t="shared" si="40"/>
        <v>0</v>
      </c>
      <c r="K201" s="644">
        <f t="shared" si="46"/>
        <v>8</v>
      </c>
      <c r="L201" s="708">
        <f t="shared" si="47"/>
        <v>319.76</v>
      </c>
      <c r="M201" s="708">
        <f t="shared" si="47"/>
        <v>0</v>
      </c>
      <c r="N201" s="708">
        <f t="shared" si="47"/>
        <v>0</v>
      </c>
      <c r="O201" s="718">
        <f t="shared" si="47"/>
        <v>319.76</v>
      </c>
      <c r="P201" s="617">
        <f t="shared" si="37"/>
        <v>0</v>
      </c>
      <c r="Q201" s="525"/>
      <c r="S201" s="189">
        <v>0</v>
      </c>
      <c r="T201" s="189">
        <v>0</v>
      </c>
      <c r="BT201" s="525"/>
      <c r="BU201" s="523"/>
      <c r="BV201" s="523"/>
      <c r="BW201" s="523">
        <v>0</v>
      </c>
      <c r="BX201" s="523">
        <v>0</v>
      </c>
      <c r="BY201" s="523">
        <v>0</v>
      </c>
      <c r="BZ201" s="523">
        <v>0</v>
      </c>
      <c r="CA201" s="523"/>
      <c r="CB201" s="523"/>
      <c r="CC201" s="523"/>
      <c r="CD201" s="523"/>
      <c r="CE201" s="523"/>
      <c r="CF201" s="523"/>
      <c r="CG201" s="523"/>
      <c r="CH201" s="523"/>
      <c r="CI201" s="523">
        <f t="shared" si="38"/>
        <v>0</v>
      </c>
    </row>
    <row r="202" spans="1:87" ht="15" x14ac:dyDescent="0.2">
      <c r="A202" s="680" t="s">
        <v>506</v>
      </c>
      <c r="B202" s="569">
        <v>86914</v>
      </c>
      <c r="C202" s="569" t="s">
        <v>1324</v>
      </c>
      <c r="D202" s="569" t="s">
        <v>1650</v>
      </c>
      <c r="E202" s="681" t="s">
        <v>102</v>
      </c>
      <c r="F202" s="644">
        <v>47.11</v>
      </c>
      <c r="G202" s="682">
        <v>31.02</v>
      </c>
      <c r="H202" s="681">
        <v>2</v>
      </c>
      <c r="I202" s="685">
        <f t="shared" si="39"/>
        <v>0</v>
      </c>
      <c r="J202" s="573">
        <f t="shared" si="40"/>
        <v>0</v>
      </c>
      <c r="K202" s="644">
        <f t="shared" si="46"/>
        <v>2</v>
      </c>
      <c r="L202" s="708">
        <f t="shared" si="47"/>
        <v>62.04</v>
      </c>
      <c r="M202" s="708">
        <f t="shared" si="47"/>
        <v>0</v>
      </c>
      <c r="N202" s="708">
        <f t="shared" si="47"/>
        <v>0</v>
      </c>
      <c r="O202" s="718">
        <f t="shared" si="47"/>
        <v>62.04</v>
      </c>
      <c r="P202" s="617">
        <f t="shared" si="37"/>
        <v>0</v>
      </c>
      <c r="Q202" s="525"/>
      <c r="S202" s="189">
        <v>0</v>
      </c>
      <c r="T202" s="189">
        <v>0</v>
      </c>
      <c r="BT202" s="525"/>
      <c r="BU202" s="523"/>
      <c r="BV202" s="523"/>
      <c r="BW202" s="523">
        <v>0</v>
      </c>
      <c r="BX202" s="523">
        <v>0</v>
      </c>
      <c r="BY202" s="523">
        <v>0</v>
      </c>
      <c r="BZ202" s="523">
        <v>0</v>
      </c>
      <c r="CA202" s="523"/>
      <c r="CB202" s="523"/>
      <c r="CC202" s="523"/>
      <c r="CD202" s="523"/>
      <c r="CE202" s="523"/>
      <c r="CF202" s="523"/>
      <c r="CG202" s="523"/>
      <c r="CH202" s="523"/>
      <c r="CI202" s="523">
        <f t="shared" si="38"/>
        <v>0</v>
      </c>
    </row>
    <row r="203" spans="1:87" ht="15" x14ac:dyDescent="0.2">
      <c r="A203" s="680" t="s">
        <v>508</v>
      </c>
      <c r="B203" s="569">
        <v>9535</v>
      </c>
      <c r="C203" s="569" t="s">
        <v>1324</v>
      </c>
      <c r="D203" s="569" t="s">
        <v>1651</v>
      </c>
      <c r="E203" s="681" t="s">
        <v>102</v>
      </c>
      <c r="F203" s="571"/>
      <c r="G203" s="682">
        <v>30.06</v>
      </c>
      <c r="H203" s="681">
        <v>6</v>
      </c>
      <c r="I203" s="685">
        <f t="shared" si="39"/>
        <v>0</v>
      </c>
      <c r="J203" s="573">
        <f t="shared" si="40"/>
        <v>0</v>
      </c>
      <c r="K203" s="644">
        <f t="shared" si="46"/>
        <v>6</v>
      </c>
      <c r="L203" s="708">
        <f t="shared" si="47"/>
        <v>180.36</v>
      </c>
      <c r="M203" s="708">
        <f t="shared" si="47"/>
        <v>0</v>
      </c>
      <c r="N203" s="708">
        <f t="shared" si="47"/>
        <v>0</v>
      </c>
      <c r="O203" s="718">
        <f t="shared" si="47"/>
        <v>180.36</v>
      </c>
      <c r="P203" s="617">
        <f t="shared" si="37"/>
        <v>0</v>
      </c>
      <c r="Q203" s="525"/>
      <c r="S203" s="189">
        <v>0</v>
      </c>
      <c r="T203" s="189">
        <v>0</v>
      </c>
      <c r="BT203" s="525"/>
      <c r="BU203" s="523"/>
      <c r="BV203" s="523"/>
      <c r="BW203" s="523">
        <v>0</v>
      </c>
      <c r="BX203" s="523">
        <v>0</v>
      </c>
      <c r="BY203" s="523">
        <v>0</v>
      </c>
      <c r="BZ203" s="523">
        <v>0</v>
      </c>
      <c r="CA203" s="523"/>
      <c r="CB203" s="523"/>
      <c r="CC203" s="523"/>
      <c r="CD203" s="523"/>
      <c r="CE203" s="523"/>
      <c r="CF203" s="523"/>
      <c r="CG203" s="523"/>
      <c r="CH203" s="523"/>
      <c r="CI203" s="523">
        <f t="shared" si="38"/>
        <v>0</v>
      </c>
    </row>
    <row r="204" spans="1:87" ht="30" x14ac:dyDescent="0.2">
      <c r="A204" s="680" t="s">
        <v>511</v>
      </c>
      <c r="B204" s="569" t="s">
        <v>2007</v>
      </c>
      <c r="C204" s="569" t="s">
        <v>1339</v>
      </c>
      <c r="D204" s="569" t="s">
        <v>1652</v>
      </c>
      <c r="E204" s="681" t="s">
        <v>102</v>
      </c>
      <c r="F204" s="644">
        <v>5.09</v>
      </c>
      <c r="G204" s="682">
        <v>141.72</v>
      </c>
      <c r="H204" s="681">
        <v>6</v>
      </c>
      <c r="I204" s="685">
        <f t="shared" si="39"/>
        <v>0</v>
      </c>
      <c r="J204" s="573">
        <f t="shared" si="40"/>
        <v>0</v>
      </c>
      <c r="K204" s="644">
        <f t="shared" si="46"/>
        <v>6</v>
      </c>
      <c r="L204" s="708">
        <f t="shared" si="47"/>
        <v>850.32</v>
      </c>
      <c r="M204" s="708">
        <f t="shared" si="47"/>
        <v>0</v>
      </c>
      <c r="N204" s="708">
        <f t="shared" si="47"/>
        <v>0</v>
      </c>
      <c r="O204" s="718">
        <f t="shared" si="47"/>
        <v>850.32</v>
      </c>
      <c r="P204" s="617">
        <f t="shared" si="37"/>
        <v>0</v>
      </c>
      <c r="Q204" s="525"/>
      <c r="S204" s="189">
        <v>0</v>
      </c>
      <c r="T204" s="189">
        <v>0</v>
      </c>
      <c r="BT204" s="525"/>
      <c r="BU204" s="523"/>
      <c r="BV204" s="523"/>
      <c r="BW204" s="523">
        <v>0</v>
      </c>
      <c r="BX204" s="523">
        <v>0</v>
      </c>
      <c r="BY204" s="523">
        <v>0</v>
      </c>
      <c r="BZ204" s="523">
        <v>0</v>
      </c>
      <c r="CA204" s="523"/>
      <c r="CB204" s="523"/>
      <c r="CC204" s="523"/>
      <c r="CD204" s="523"/>
      <c r="CE204" s="523"/>
      <c r="CF204" s="523"/>
      <c r="CG204" s="523"/>
      <c r="CH204" s="523"/>
      <c r="CI204" s="523">
        <f t="shared" si="38"/>
        <v>0</v>
      </c>
    </row>
    <row r="205" spans="1:87" ht="15" x14ac:dyDescent="0.2">
      <c r="A205" s="680" t="s">
        <v>513</v>
      </c>
      <c r="B205" s="569" t="s">
        <v>2007</v>
      </c>
      <c r="C205" s="569" t="s">
        <v>1339</v>
      </c>
      <c r="D205" s="569" t="s">
        <v>1653</v>
      </c>
      <c r="E205" s="681" t="s">
        <v>102</v>
      </c>
      <c r="F205" s="644">
        <v>6.77</v>
      </c>
      <c r="G205" s="682">
        <v>39.700000000000003</v>
      </c>
      <c r="H205" s="681">
        <v>4</v>
      </c>
      <c r="I205" s="685">
        <f t="shared" si="39"/>
        <v>0</v>
      </c>
      <c r="J205" s="573">
        <f t="shared" si="40"/>
        <v>0</v>
      </c>
      <c r="K205" s="644">
        <f t="shared" si="46"/>
        <v>4</v>
      </c>
      <c r="L205" s="708">
        <f t="shared" si="47"/>
        <v>158.80000000000001</v>
      </c>
      <c r="M205" s="708">
        <f t="shared" si="47"/>
        <v>0</v>
      </c>
      <c r="N205" s="708">
        <f t="shared" si="47"/>
        <v>0</v>
      </c>
      <c r="O205" s="718">
        <f t="shared" si="47"/>
        <v>158.80000000000001</v>
      </c>
      <c r="P205" s="617">
        <f t="shared" si="37"/>
        <v>0</v>
      </c>
      <c r="Q205" s="525"/>
      <c r="S205" s="189">
        <v>0</v>
      </c>
      <c r="T205" s="189">
        <v>0</v>
      </c>
      <c r="BT205" s="525"/>
      <c r="BU205" s="523"/>
      <c r="BV205" s="523"/>
      <c r="BW205" s="523">
        <v>0</v>
      </c>
      <c r="BX205" s="523">
        <v>0</v>
      </c>
      <c r="BY205" s="523">
        <v>0</v>
      </c>
      <c r="BZ205" s="523">
        <v>0</v>
      </c>
      <c r="CA205" s="523"/>
      <c r="CB205" s="523"/>
      <c r="CC205" s="523"/>
      <c r="CD205" s="523"/>
      <c r="CE205" s="523"/>
      <c r="CF205" s="523"/>
      <c r="CG205" s="523"/>
      <c r="CH205" s="523"/>
      <c r="CI205" s="523">
        <f t="shared" si="38"/>
        <v>0</v>
      </c>
    </row>
    <row r="206" spans="1:87" ht="15" x14ac:dyDescent="0.2">
      <c r="A206" s="680" t="s">
        <v>515</v>
      </c>
      <c r="B206" s="569" t="s">
        <v>2007</v>
      </c>
      <c r="C206" s="569" t="s">
        <v>1339</v>
      </c>
      <c r="D206" s="569" t="s">
        <v>1654</v>
      </c>
      <c r="E206" s="681" t="s">
        <v>102</v>
      </c>
      <c r="F206" s="644">
        <v>10.76</v>
      </c>
      <c r="G206" s="682">
        <v>30.45</v>
      </c>
      <c r="H206" s="681">
        <v>4</v>
      </c>
      <c r="I206" s="685">
        <f t="shared" si="39"/>
        <v>0</v>
      </c>
      <c r="J206" s="573">
        <f t="shared" si="40"/>
        <v>0</v>
      </c>
      <c r="K206" s="644">
        <f t="shared" si="46"/>
        <v>4</v>
      </c>
      <c r="L206" s="708">
        <f t="shared" si="47"/>
        <v>121.8</v>
      </c>
      <c r="M206" s="708">
        <f t="shared" si="47"/>
        <v>0</v>
      </c>
      <c r="N206" s="708">
        <f t="shared" si="47"/>
        <v>0</v>
      </c>
      <c r="O206" s="718">
        <f t="shared" si="47"/>
        <v>121.8</v>
      </c>
      <c r="P206" s="617">
        <f t="shared" ref="P206:P269" si="48">N206/L206</f>
        <v>0</v>
      </c>
      <c r="Q206" s="525"/>
      <c r="S206" s="189">
        <v>0</v>
      </c>
      <c r="T206" s="189">
        <v>0</v>
      </c>
      <c r="BT206" s="525"/>
      <c r="BU206" s="523"/>
      <c r="BV206" s="523"/>
      <c r="BW206" s="523">
        <v>0</v>
      </c>
      <c r="BX206" s="523">
        <v>0</v>
      </c>
      <c r="BY206" s="523">
        <v>0</v>
      </c>
      <c r="BZ206" s="523">
        <v>0</v>
      </c>
      <c r="CA206" s="523"/>
      <c r="CB206" s="523"/>
      <c r="CC206" s="523"/>
      <c r="CD206" s="523"/>
      <c r="CE206" s="523"/>
      <c r="CF206" s="523"/>
      <c r="CG206" s="523"/>
      <c r="CH206" s="523"/>
      <c r="CI206" s="523">
        <f t="shared" si="38"/>
        <v>0</v>
      </c>
    </row>
    <row r="207" spans="1:87" ht="15" x14ac:dyDescent="0.2">
      <c r="A207" s="680" t="s">
        <v>517</v>
      </c>
      <c r="B207" s="569" t="s">
        <v>2007</v>
      </c>
      <c r="C207" s="569" t="s">
        <v>1339</v>
      </c>
      <c r="D207" s="569" t="s">
        <v>1655</v>
      </c>
      <c r="E207" s="681" t="s">
        <v>102</v>
      </c>
      <c r="F207" s="644">
        <v>42.01</v>
      </c>
      <c r="G207" s="682">
        <v>32.1</v>
      </c>
      <c r="H207" s="681">
        <v>6</v>
      </c>
      <c r="I207" s="685">
        <f t="shared" si="39"/>
        <v>0</v>
      </c>
      <c r="J207" s="573">
        <f t="shared" si="40"/>
        <v>0</v>
      </c>
      <c r="K207" s="644">
        <f t="shared" si="46"/>
        <v>6</v>
      </c>
      <c r="L207" s="708">
        <f t="shared" si="47"/>
        <v>192.6</v>
      </c>
      <c r="M207" s="708">
        <f t="shared" si="47"/>
        <v>0</v>
      </c>
      <c r="N207" s="708">
        <f t="shared" si="47"/>
        <v>0</v>
      </c>
      <c r="O207" s="718">
        <f t="shared" si="47"/>
        <v>192.6</v>
      </c>
      <c r="P207" s="617">
        <f t="shared" si="48"/>
        <v>0</v>
      </c>
      <c r="Q207" s="525"/>
      <c r="S207" s="189">
        <v>0</v>
      </c>
      <c r="T207" s="189">
        <v>0</v>
      </c>
      <c r="BT207" s="525"/>
      <c r="BU207" s="523"/>
      <c r="BV207" s="523"/>
      <c r="BW207" s="523">
        <v>0</v>
      </c>
      <c r="BX207" s="523">
        <v>0</v>
      </c>
      <c r="BY207" s="523">
        <v>0</v>
      </c>
      <c r="BZ207" s="523">
        <v>0</v>
      </c>
      <c r="CA207" s="523"/>
      <c r="CB207" s="523"/>
      <c r="CC207" s="523"/>
      <c r="CD207" s="523"/>
      <c r="CE207" s="523"/>
      <c r="CF207" s="523"/>
      <c r="CG207" s="523"/>
      <c r="CH207" s="523"/>
      <c r="CI207" s="523">
        <f t="shared" si="38"/>
        <v>0</v>
      </c>
    </row>
    <row r="208" spans="1:87" s="663" customFormat="1" ht="15" x14ac:dyDescent="0.2">
      <c r="A208" s="680" t="s">
        <v>519</v>
      </c>
      <c r="B208" s="569" t="s">
        <v>2007</v>
      </c>
      <c r="C208" s="569" t="s">
        <v>1339</v>
      </c>
      <c r="D208" s="569" t="s">
        <v>1656</v>
      </c>
      <c r="E208" s="681" t="s">
        <v>102</v>
      </c>
      <c r="F208" s="644">
        <v>19.79</v>
      </c>
      <c r="G208" s="682">
        <v>579.82000000000005</v>
      </c>
      <c r="H208" s="681">
        <v>2</v>
      </c>
      <c r="I208" s="685">
        <f t="shared" si="39"/>
        <v>0</v>
      </c>
      <c r="J208" s="573">
        <f t="shared" si="40"/>
        <v>0</v>
      </c>
      <c r="K208" s="644">
        <f t="shared" si="46"/>
        <v>2</v>
      </c>
      <c r="L208" s="708">
        <f t="shared" si="47"/>
        <v>1159.6400000000001</v>
      </c>
      <c r="M208" s="708">
        <f t="shared" si="47"/>
        <v>0</v>
      </c>
      <c r="N208" s="708">
        <f t="shared" si="47"/>
        <v>0</v>
      </c>
      <c r="O208" s="718">
        <f t="shared" si="47"/>
        <v>1159.6400000000001</v>
      </c>
      <c r="P208" s="617">
        <f t="shared" si="48"/>
        <v>0</v>
      </c>
      <c r="Q208" s="525"/>
      <c r="S208" s="190">
        <v>0</v>
      </c>
      <c r="T208" s="190">
        <v>0</v>
      </c>
      <c r="BT208" s="525"/>
      <c r="BU208" s="523"/>
      <c r="BV208" s="523"/>
      <c r="BW208" s="523">
        <v>0</v>
      </c>
      <c r="BX208" s="523">
        <v>0</v>
      </c>
      <c r="BY208" s="523">
        <v>0</v>
      </c>
      <c r="BZ208" s="523">
        <v>0</v>
      </c>
      <c r="CA208" s="523"/>
      <c r="CB208" s="523"/>
      <c r="CC208" s="523"/>
      <c r="CD208" s="523"/>
      <c r="CE208" s="523"/>
      <c r="CF208" s="523"/>
      <c r="CG208" s="523"/>
      <c r="CH208" s="523"/>
      <c r="CI208" s="523">
        <f t="shared" ref="CI208:CI271" si="49">SUM(BU208:CH208)</f>
        <v>0</v>
      </c>
    </row>
    <row r="209" spans="1:87" ht="15.75" x14ac:dyDescent="0.2">
      <c r="A209" s="600">
        <v>16</v>
      </c>
      <c r="B209" s="558"/>
      <c r="C209" s="558"/>
      <c r="D209" s="558" t="s">
        <v>1657</v>
      </c>
      <c r="E209" s="626"/>
      <c r="F209" s="626"/>
      <c r="G209" s="626"/>
      <c r="H209" s="626"/>
      <c r="I209" s="747"/>
      <c r="J209" s="747"/>
      <c r="K209" s="747"/>
      <c r="L209" s="734">
        <f>SUM(L210:L214)</f>
        <v>792.22</v>
      </c>
      <c r="M209" s="734">
        <f>SUM(M210:M214)</f>
        <v>0</v>
      </c>
      <c r="N209" s="734">
        <f>SUM(N210:N214)</f>
        <v>0</v>
      </c>
      <c r="O209" s="721">
        <f>SUM(O210:O214)</f>
        <v>792.22</v>
      </c>
      <c r="P209" s="604">
        <f t="shared" si="48"/>
        <v>0</v>
      </c>
      <c r="Q209" s="525"/>
      <c r="S209" s="189">
        <v>0</v>
      </c>
      <c r="T209" s="189">
        <v>0</v>
      </c>
      <c r="BT209" s="525"/>
      <c r="BU209" s="523"/>
      <c r="BV209" s="523"/>
      <c r="BW209" s="523">
        <v>0</v>
      </c>
      <c r="BX209" s="523">
        <v>0</v>
      </c>
      <c r="BY209" s="523"/>
      <c r="BZ209" s="523"/>
      <c r="CA209" s="523"/>
      <c r="CB209" s="523"/>
      <c r="CC209" s="523"/>
      <c r="CD209" s="523"/>
      <c r="CE209" s="523"/>
      <c r="CF209" s="523"/>
      <c r="CG209" s="523"/>
      <c r="CH209" s="523"/>
      <c r="CI209" s="523">
        <f t="shared" si="49"/>
        <v>0</v>
      </c>
    </row>
    <row r="210" spans="1:87" ht="15" x14ac:dyDescent="0.2">
      <c r="A210" s="680" t="s">
        <v>616</v>
      </c>
      <c r="B210" s="569" t="s">
        <v>2007</v>
      </c>
      <c r="C210" s="569" t="s">
        <v>1339</v>
      </c>
      <c r="D210" s="569" t="s">
        <v>1658</v>
      </c>
      <c r="E210" s="681" t="s">
        <v>102</v>
      </c>
      <c r="F210" s="644">
        <v>40.08</v>
      </c>
      <c r="G210" s="682">
        <v>109.5</v>
      </c>
      <c r="H210" s="681">
        <v>2</v>
      </c>
      <c r="I210" s="685">
        <f t="shared" ref="I210:I273" si="50">BU210</f>
        <v>0</v>
      </c>
      <c r="J210" s="573">
        <f t="shared" ref="J210:J273" si="51">CI210</f>
        <v>0</v>
      </c>
      <c r="K210" s="644">
        <f t="shared" si="46"/>
        <v>2</v>
      </c>
      <c r="L210" s="708">
        <f t="shared" ref="L210:O214" si="52">ROUND(H210*$G210,2)</f>
        <v>219</v>
      </c>
      <c r="M210" s="708">
        <f t="shared" si="52"/>
        <v>0</v>
      </c>
      <c r="N210" s="708">
        <f t="shared" si="52"/>
        <v>0</v>
      </c>
      <c r="O210" s="718">
        <f t="shared" si="52"/>
        <v>219</v>
      </c>
      <c r="P210" s="617">
        <f t="shared" si="48"/>
        <v>0</v>
      </c>
      <c r="Q210" s="525"/>
      <c r="S210" s="189">
        <v>0</v>
      </c>
      <c r="T210" s="189">
        <v>0</v>
      </c>
      <c r="BT210" s="525"/>
      <c r="BU210" s="523"/>
      <c r="BV210" s="523"/>
      <c r="BW210" s="523">
        <v>0</v>
      </c>
      <c r="BX210" s="523">
        <v>0</v>
      </c>
      <c r="BY210" s="523">
        <v>0</v>
      </c>
      <c r="BZ210" s="523">
        <v>0</v>
      </c>
      <c r="CA210" s="523"/>
      <c r="CB210" s="523"/>
      <c r="CC210" s="523"/>
      <c r="CD210" s="523"/>
      <c r="CE210" s="523"/>
      <c r="CF210" s="523"/>
      <c r="CG210" s="523"/>
      <c r="CH210" s="523"/>
      <c r="CI210" s="523">
        <f t="shared" si="49"/>
        <v>0</v>
      </c>
    </row>
    <row r="211" spans="1:87" ht="15" x14ac:dyDescent="0.2">
      <c r="A211" s="680" t="s">
        <v>618</v>
      </c>
      <c r="B211" s="569" t="s">
        <v>2007</v>
      </c>
      <c r="C211" s="569" t="s">
        <v>1339</v>
      </c>
      <c r="D211" s="569" t="s">
        <v>1659</v>
      </c>
      <c r="E211" s="681" t="s">
        <v>102</v>
      </c>
      <c r="F211" s="644">
        <v>199.75</v>
      </c>
      <c r="G211" s="682">
        <v>227.16</v>
      </c>
      <c r="H211" s="681">
        <v>2</v>
      </c>
      <c r="I211" s="685">
        <f t="shared" si="50"/>
        <v>0</v>
      </c>
      <c r="J211" s="573">
        <f t="shared" si="51"/>
        <v>0</v>
      </c>
      <c r="K211" s="644">
        <f t="shared" si="46"/>
        <v>2</v>
      </c>
      <c r="L211" s="708">
        <f t="shared" si="52"/>
        <v>454.32</v>
      </c>
      <c r="M211" s="708">
        <f t="shared" si="52"/>
        <v>0</v>
      </c>
      <c r="N211" s="708">
        <f t="shared" si="52"/>
        <v>0</v>
      </c>
      <c r="O211" s="718">
        <f t="shared" si="52"/>
        <v>454.32</v>
      </c>
      <c r="P211" s="617">
        <f t="shared" si="48"/>
        <v>0</v>
      </c>
      <c r="Q211" s="525"/>
      <c r="S211" s="189">
        <v>0</v>
      </c>
      <c r="T211" s="189">
        <v>0</v>
      </c>
      <c r="BT211" s="525"/>
      <c r="BU211" s="523"/>
      <c r="BV211" s="523"/>
      <c r="BW211" s="523">
        <v>0</v>
      </c>
      <c r="BX211" s="523">
        <v>0</v>
      </c>
      <c r="BY211" s="523">
        <v>0</v>
      </c>
      <c r="BZ211" s="523">
        <v>0</v>
      </c>
      <c r="CA211" s="523"/>
      <c r="CB211" s="523"/>
      <c r="CC211" s="523"/>
      <c r="CD211" s="523"/>
      <c r="CE211" s="523"/>
      <c r="CF211" s="523"/>
      <c r="CG211" s="523"/>
      <c r="CH211" s="523"/>
      <c r="CI211" s="523">
        <f t="shared" si="49"/>
        <v>0</v>
      </c>
    </row>
    <row r="212" spans="1:87" ht="15" x14ac:dyDescent="0.2">
      <c r="A212" s="680" t="s">
        <v>620</v>
      </c>
      <c r="B212" s="569" t="s">
        <v>2007</v>
      </c>
      <c r="C212" s="569" t="s">
        <v>1339</v>
      </c>
      <c r="D212" s="569" t="s">
        <v>1660</v>
      </c>
      <c r="E212" s="681" t="s">
        <v>102</v>
      </c>
      <c r="F212" s="571"/>
      <c r="G212" s="682">
        <v>27.98</v>
      </c>
      <c r="H212" s="681">
        <v>2</v>
      </c>
      <c r="I212" s="685">
        <f t="shared" si="50"/>
        <v>0</v>
      </c>
      <c r="J212" s="573">
        <f t="shared" si="51"/>
        <v>0</v>
      </c>
      <c r="K212" s="644">
        <f t="shared" si="46"/>
        <v>2</v>
      </c>
      <c r="L212" s="708">
        <f t="shared" si="52"/>
        <v>55.96</v>
      </c>
      <c r="M212" s="708">
        <f t="shared" si="52"/>
        <v>0</v>
      </c>
      <c r="N212" s="708">
        <f t="shared" si="52"/>
        <v>0</v>
      </c>
      <c r="O212" s="718">
        <f t="shared" si="52"/>
        <v>55.96</v>
      </c>
      <c r="P212" s="617">
        <f t="shared" si="48"/>
        <v>0</v>
      </c>
      <c r="Q212" s="525"/>
      <c r="S212" s="189">
        <v>0</v>
      </c>
      <c r="T212" s="189">
        <v>0</v>
      </c>
      <c r="BT212" s="525"/>
      <c r="BU212" s="523"/>
      <c r="BV212" s="523"/>
      <c r="BW212" s="523">
        <v>0</v>
      </c>
      <c r="BX212" s="523">
        <v>0</v>
      </c>
      <c r="BY212" s="523">
        <v>0</v>
      </c>
      <c r="BZ212" s="523">
        <v>0</v>
      </c>
      <c r="CA212" s="523"/>
      <c r="CB212" s="523"/>
      <c r="CC212" s="523"/>
      <c r="CD212" s="523"/>
      <c r="CE212" s="523"/>
      <c r="CF212" s="523"/>
      <c r="CG212" s="523"/>
      <c r="CH212" s="523"/>
      <c r="CI212" s="523">
        <f t="shared" si="49"/>
        <v>0</v>
      </c>
    </row>
    <row r="213" spans="1:87" ht="15" x14ac:dyDescent="0.2">
      <c r="A213" s="680" t="s">
        <v>1661</v>
      </c>
      <c r="B213" s="569" t="s">
        <v>2007</v>
      </c>
      <c r="C213" s="569" t="s">
        <v>1339</v>
      </c>
      <c r="D213" s="569" t="s">
        <v>1662</v>
      </c>
      <c r="E213" s="681" t="s">
        <v>102</v>
      </c>
      <c r="F213" s="644">
        <v>3.37</v>
      </c>
      <c r="G213" s="682">
        <v>16.36</v>
      </c>
      <c r="H213" s="681">
        <v>2</v>
      </c>
      <c r="I213" s="685">
        <f t="shared" si="50"/>
        <v>0</v>
      </c>
      <c r="J213" s="573">
        <f t="shared" si="51"/>
        <v>0</v>
      </c>
      <c r="K213" s="644">
        <f t="shared" si="46"/>
        <v>2</v>
      </c>
      <c r="L213" s="708">
        <f t="shared" si="52"/>
        <v>32.72</v>
      </c>
      <c r="M213" s="708">
        <f t="shared" si="52"/>
        <v>0</v>
      </c>
      <c r="N213" s="708">
        <f t="shared" si="52"/>
        <v>0</v>
      </c>
      <c r="O213" s="718">
        <f t="shared" si="52"/>
        <v>32.72</v>
      </c>
      <c r="P213" s="617">
        <f t="shared" si="48"/>
        <v>0</v>
      </c>
      <c r="Q213" s="525"/>
      <c r="S213" s="189">
        <v>0</v>
      </c>
      <c r="T213" s="189">
        <v>0</v>
      </c>
      <c r="BT213" s="525"/>
      <c r="BU213" s="523"/>
      <c r="BV213" s="523"/>
      <c r="BW213" s="523">
        <v>0</v>
      </c>
      <c r="BX213" s="523">
        <v>0</v>
      </c>
      <c r="BY213" s="523">
        <v>0</v>
      </c>
      <c r="BZ213" s="523">
        <v>0</v>
      </c>
      <c r="CA213" s="523"/>
      <c r="CB213" s="523"/>
      <c r="CC213" s="523"/>
      <c r="CD213" s="523"/>
      <c r="CE213" s="523"/>
      <c r="CF213" s="523"/>
      <c r="CG213" s="523"/>
      <c r="CH213" s="523"/>
      <c r="CI213" s="523">
        <f t="shared" si="49"/>
        <v>0</v>
      </c>
    </row>
    <row r="214" spans="1:87" s="194" customFormat="1" ht="15" x14ac:dyDescent="0.2">
      <c r="A214" s="680" t="s">
        <v>1663</v>
      </c>
      <c r="B214" s="569" t="s">
        <v>2007</v>
      </c>
      <c r="C214" s="569" t="s">
        <v>1339</v>
      </c>
      <c r="D214" s="569" t="s">
        <v>1664</v>
      </c>
      <c r="E214" s="681" t="s">
        <v>102</v>
      </c>
      <c r="F214" s="644">
        <v>10.220000000000001</v>
      </c>
      <c r="G214" s="682">
        <v>15.11</v>
      </c>
      <c r="H214" s="681">
        <v>2</v>
      </c>
      <c r="I214" s="685">
        <f t="shared" si="50"/>
        <v>0</v>
      </c>
      <c r="J214" s="573">
        <f t="shared" si="51"/>
        <v>0</v>
      </c>
      <c r="K214" s="644">
        <f t="shared" si="46"/>
        <v>2</v>
      </c>
      <c r="L214" s="708">
        <f t="shared" si="52"/>
        <v>30.22</v>
      </c>
      <c r="M214" s="708">
        <f t="shared" si="52"/>
        <v>0</v>
      </c>
      <c r="N214" s="708">
        <f t="shared" si="52"/>
        <v>0</v>
      </c>
      <c r="O214" s="718">
        <f t="shared" si="52"/>
        <v>30.22</v>
      </c>
      <c r="P214" s="617">
        <f t="shared" si="48"/>
        <v>0</v>
      </c>
      <c r="Q214" s="525"/>
      <c r="S214" s="195">
        <v>0</v>
      </c>
      <c r="T214" s="195">
        <v>0</v>
      </c>
      <c r="BT214" s="525"/>
      <c r="BU214" s="523"/>
      <c r="BV214" s="523"/>
      <c r="BW214" s="523">
        <v>0</v>
      </c>
      <c r="BX214" s="523">
        <v>0</v>
      </c>
      <c r="BY214" s="523">
        <v>0</v>
      </c>
      <c r="BZ214" s="523">
        <v>0</v>
      </c>
      <c r="CA214" s="523"/>
      <c r="CB214" s="523"/>
      <c r="CC214" s="523"/>
      <c r="CD214" s="523"/>
      <c r="CE214" s="523"/>
      <c r="CF214" s="523"/>
      <c r="CG214" s="523"/>
      <c r="CH214" s="523"/>
      <c r="CI214" s="523">
        <f t="shared" si="49"/>
        <v>0</v>
      </c>
    </row>
    <row r="215" spans="1:87" s="663" customFormat="1" ht="15.75" x14ac:dyDescent="0.2">
      <c r="A215" s="600">
        <v>17</v>
      </c>
      <c r="B215" s="558"/>
      <c r="C215" s="558"/>
      <c r="D215" s="558" t="s">
        <v>1665</v>
      </c>
      <c r="E215" s="626"/>
      <c r="F215" s="626"/>
      <c r="G215" s="626"/>
      <c r="H215" s="626"/>
      <c r="I215" s="747"/>
      <c r="J215" s="747"/>
      <c r="K215" s="747"/>
      <c r="L215" s="734">
        <f>SUM(L216,L226,L248,L253)</f>
        <v>20098.660000000003</v>
      </c>
      <c r="M215" s="734">
        <f>SUM(M216,M226,M248,M253)</f>
        <v>0</v>
      </c>
      <c r="N215" s="734">
        <f>SUM(N216,N226,N248,N253)</f>
        <v>311.62</v>
      </c>
      <c r="O215" s="721">
        <f>SUM(O216,O226,O248,O253)</f>
        <v>19787.04</v>
      </c>
      <c r="P215" s="604">
        <f t="shared" si="48"/>
        <v>1.550451622147944E-2</v>
      </c>
      <c r="Q215" s="525"/>
      <c r="S215" s="190">
        <v>0</v>
      </c>
      <c r="T215" s="190">
        <v>0</v>
      </c>
      <c r="BT215" s="525"/>
      <c r="BU215" s="523"/>
      <c r="BV215" s="523"/>
      <c r="BW215" s="523">
        <v>46</v>
      </c>
      <c r="BX215" s="523">
        <v>0</v>
      </c>
      <c r="BY215" s="523"/>
      <c r="BZ215" s="523"/>
      <c r="CA215" s="523"/>
      <c r="CB215" s="523"/>
      <c r="CC215" s="523"/>
      <c r="CD215" s="523"/>
      <c r="CE215" s="523"/>
      <c r="CF215" s="523"/>
      <c r="CG215" s="523"/>
      <c r="CH215" s="523"/>
      <c r="CI215" s="523">
        <f t="shared" si="49"/>
        <v>46</v>
      </c>
    </row>
    <row r="216" spans="1:87" ht="15.75" x14ac:dyDescent="0.2">
      <c r="A216" s="605" t="s">
        <v>625</v>
      </c>
      <c r="B216" s="586"/>
      <c r="C216" s="586"/>
      <c r="D216" s="586" t="s">
        <v>1666</v>
      </c>
      <c r="E216" s="683"/>
      <c r="F216" s="683"/>
      <c r="G216" s="683"/>
      <c r="H216" s="683"/>
      <c r="I216" s="748"/>
      <c r="J216" s="748"/>
      <c r="K216" s="748"/>
      <c r="L216" s="733">
        <f>SUM(L217:L225)</f>
        <v>1711.6100000000001</v>
      </c>
      <c r="M216" s="733">
        <f>SUM(M217:M225)</f>
        <v>0</v>
      </c>
      <c r="N216" s="733">
        <f>SUM(N217:N225)</f>
        <v>0</v>
      </c>
      <c r="O216" s="722">
        <f>SUM(O217:O225)</f>
        <v>1711.6100000000001</v>
      </c>
      <c r="P216" s="611">
        <f t="shared" si="48"/>
        <v>0</v>
      </c>
      <c r="Q216" s="525"/>
      <c r="S216" s="189">
        <v>0</v>
      </c>
      <c r="T216" s="189">
        <v>0</v>
      </c>
      <c r="BT216" s="525"/>
      <c r="BU216" s="523"/>
      <c r="BV216" s="523"/>
      <c r="BW216" s="523">
        <v>0</v>
      </c>
      <c r="BX216" s="523">
        <v>0</v>
      </c>
      <c r="BY216" s="523"/>
      <c r="BZ216" s="523"/>
      <c r="CA216" s="523"/>
      <c r="CB216" s="523"/>
      <c r="CC216" s="523"/>
      <c r="CD216" s="523"/>
      <c r="CE216" s="523"/>
      <c r="CF216" s="523"/>
      <c r="CG216" s="523"/>
      <c r="CH216" s="523"/>
      <c r="CI216" s="523">
        <f t="shared" si="49"/>
        <v>0</v>
      </c>
    </row>
    <row r="217" spans="1:87" ht="15" x14ac:dyDescent="0.2">
      <c r="A217" s="680" t="s">
        <v>1667</v>
      </c>
      <c r="B217" s="569">
        <v>83463</v>
      </c>
      <c r="C217" s="569" t="s">
        <v>1324</v>
      </c>
      <c r="D217" s="569" t="s">
        <v>1668</v>
      </c>
      <c r="E217" s="681" t="s">
        <v>102</v>
      </c>
      <c r="F217" s="644">
        <v>12.73</v>
      </c>
      <c r="G217" s="682">
        <v>211.62</v>
      </c>
      <c r="H217" s="681">
        <v>1</v>
      </c>
      <c r="I217" s="685">
        <f t="shared" si="50"/>
        <v>0</v>
      </c>
      <c r="J217" s="573">
        <f t="shared" si="51"/>
        <v>0</v>
      </c>
      <c r="K217" s="644">
        <f t="shared" si="46"/>
        <v>1</v>
      </c>
      <c r="L217" s="708">
        <f t="shared" ref="L217:O225" si="53">ROUND(H217*$G217,2)</f>
        <v>211.62</v>
      </c>
      <c r="M217" s="708">
        <f t="shared" si="53"/>
        <v>0</v>
      </c>
      <c r="N217" s="708">
        <f t="shared" si="53"/>
        <v>0</v>
      </c>
      <c r="O217" s="718">
        <f t="shared" si="53"/>
        <v>211.62</v>
      </c>
      <c r="P217" s="617">
        <f t="shared" si="48"/>
        <v>0</v>
      </c>
      <c r="Q217" s="525"/>
      <c r="S217" s="189">
        <v>0</v>
      </c>
      <c r="T217" s="189">
        <v>0</v>
      </c>
      <c r="BT217" s="525"/>
      <c r="BU217" s="523"/>
      <c r="BV217" s="523"/>
      <c r="BW217" s="523">
        <v>0</v>
      </c>
      <c r="BX217" s="523">
        <v>0</v>
      </c>
      <c r="BY217" s="523">
        <v>0</v>
      </c>
      <c r="BZ217" s="523">
        <v>0</v>
      </c>
      <c r="CA217" s="523"/>
      <c r="CB217" s="523"/>
      <c r="CC217" s="523"/>
      <c r="CD217" s="523"/>
      <c r="CE217" s="523"/>
      <c r="CF217" s="523"/>
      <c r="CG217" s="523"/>
      <c r="CH217" s="523"/>
      <c r="CI217" s="523">
        <f t="shared" si="49"/>
        <v>0</v>
      </c>
    </row>
    <row r="218" spans="1:87" ht="15" x14ac:dyDescent="0.2">
      <c r="A218" s="680" t="s">
        <v>1669</v>
      </c>
      <c r="B218" s="569" t="s">
        <v>1670</v>
      </c>
      <c r="C218" s="569" t="s">
        <v>1324</v>
      </c>
      <c r="D218" s="569" t="s">
        <v>1671</v>
      </c>
      <c r="E218" s="681" t="s">
        <v>102</v>
      </c>
      <c r="F218" s="644">
        <v>8.5299999999999994</v>
      </c>
      <c r="G218" s="682">
        <v>332.47</v>
      </c>
      <c r="H218" s="681">
        <v>1</v>
      </c>
      <c r="I218" s="685">
        <f t="shared" si="50"/>
        <v>0</v>
      </c>
      <c r="J218" s="573">
        <f t="shared" si="51"/>
        <v>0</v>
      </c>
      <c r="K218" s="644">
        <f t="shared" si="46"/>
        <v>1</v>
      </c>
      <c r="L218" s="708">
        <f t="shared" si="53"/>
        <v>332.47</v>
      </c>
      <c r="M218" s="708">
        <f t="shared" si="53"/>
        <v>0</v>
      </c>
      <c r="N218" s="708">
        <f t="shared" si="53"/>
        <v>0</v>
      </c>
      <c r="O218" s="718">
        <f t="shared" si="53"/>
        <v>332.47</v>
      </c>
      <c r="P218" s="617">
        <f t="shared" si="48"/>
        <v>0</v>
      </c>
      <c r="Q218" s="525"/>
      <c r="S218" s="189">
        <v>0</v>
      </c>
      <c r="T218" s="189">
        <v>0</v>
      </c>
      <c r="BT218" s="525"/>
      <c r="BU218" s="523"/>
      <c r="BV218" s="523"/>
      <c r="BW218" s="523">
        <v>0</v>
      </c>
      <c r="BX218" s="523">
        <v>0</v>
      </c>
      <c r="BY218" s="523">
        <v>0</v>
      </c>
      <c r="BZ218" s="523">
        <v>0</v>
      </c>
      <c r="CA218" s="523"/>
      <c r="CB218" s="523"/>
      <c r="CC218" s="523"/>
      <c r="CD218" s="523"/>
      <c r="CE218" s="523"/>
      <c r="CF218" s="523"/>
      <c r="CG218" s="523"/>
      <c r="CH218" s="523"/>
      <c r="CI218" s="523">
        <f t="shared" si="49"/>
        <v>0</v>
      </c>
    </row>
    <row r="219" spans="1:87" ht="30" x14ac:dyDescent="0.2">
      <c r="A219" s="680" t="s">
        <v>1672</v>
      </c>
      <c r="B219" s="569" t="s">
        <v>1673</v>
      </c>
      <c r="C219" s="569" t="s">
        <v>1343</v>
      </c>
      <c r="D219" s="569" t="s">
        <v>1674</v>
      </c>
      <c r="E219" s="681" t="s">
        <v>102</v>
      </c>
      <c r="F219" s="644">
        <v>22.59</v>
      </c>
      <c r="G219" s="682">
        <v>65.62</v>
      </c>
      <c r="H219" s="681">
        <v>1</v>
      </c>
      <c r="I219" s="685">
        <f t="shared" si="50"/>
        <v>0</v>
      </c>
      <c r="J219" s="573">
        <f t="shared" si="51"/>
        <v>0</v>
      </c>
      <c r="K219" s="644">
        <f t="shared" si="46"/>
        <v>1</v>
      </c>
      <c r="L219" s="708">
        <f t="shared" si="53"/>
        <v>65.62</v>
      </c>
      <c r="M219" s="708">
        <f t="shared" si="53"/>
        <v>0</v>
      </c>
      <c r="N219" s="708">
        <f t="shared" si="53"/>
        <v>0</v>
      </c>
      <c r="O219" s="718">
        <f t="shared" si="53"/>
        <v>65.62</v>
      </c>
      <c r="P219" s="617">
        <f t="shared" si="48"/>
        <v>0</v>
      </c>
      <c r="Q219" s="525"/>
      <c r="S219" s="189">
        <v>0</v>
      </c>
      <c r="T219" s="189">
        <v>0</v>
      </c>
      <c r="BT219" s="525"/>
      <c r="BU219" s="523"/>
      <c r="BV219" s="523"/>
      <c r="BW219" s="523">
        <v>0</v>
      </c>
      <c r="BX219" s="523">
        <v>0</v>
      </c>
      <c r="BY219" s="523">
        <v>0</v>
      </c>
      <c r="BZ219" s="523">
        <v>0</v>
      </c>
      <c r="CA219" s="523"/>
      <c r="CB219" s="523"/>
      <c r="CC219" s="523"/>
      <c r="CD219" s="523"/>
      <c r="CE219" s="523"/>
      <c r="CF219" s="523"/>
      <c r="CG219" s="523"/>
      <c r="CH219" s="523"/>
      <c r="CI219" s="523">
        <f t="shared" si="49"/>
        <v>0</v>
      </c>
    </row>
    <row r="220" spans="1:87" ht="15" x14ac:dyDescent="0.2">
      <c r="A220" s="680" t="s">
        <v>1675</v>
      </c>
      <c r="B220" s="569" t="s">
        <v>1676</v>
      </c>
      <c r="C220" s="569" t="s">
        <v>1324</v>
      </c>
      <c r="D220" s="569" t="s">
        <v>1677</v>
      </c>
      <c r="E220" s="681" t="s">
        <v>102</v>
      </c>
      <c r="F220" s="571"/>
      <c r="G220" s="682">
        <v>11.27</v>
      </c>
      <c r="H220" s="681">
        <v>7</v>
      </c>
      <c r="I220" s="685">
        <f t="shared" si="50"/>
        <v>0</v>
      </c>
      <c r="J220" s="573">
        <f t="shared" si="51"/>
        <v>0</v>
      </c>
      <c r="K220" s="644">
        <f t="shared" si="46"/>
        <v>7</v>
      </c>
      <c r="L220" s="708">
        <f t="shared" si="53"/>
        <v>78.89</v>
      </c>
      <c r="M220" s="708">
        <f t="shared" si="53"/>
        <v>0</v>
      </c>
      <c r="N220" s="708">
        <f t="shared" si="53"/>
        <v>0</v>
      </c>
      <c r="O220" s="718">
        <f t="shared" si="53"/>
        <v>78.89</v>
      </c>
      <c r="P220" s="617">
        <f t="shared" si="48"/>
        <v>0</v>
      </c>
      <c r="Q220" s="525"/>
      <c r="S220" s="189">
        <v>0</v>
      </c>
      <c r="T220" s="189">
        <v>0</v>
      </c>
      <c r="BT220" s="525"/>
      <c r="BU220" s="523"/>
      <c r="BV220" s="523"/>
      <c r="BW220" s="523">
        <v>0</v>
      </c>
      <c r="BX220" s="523">
        <v>0</v>
      </c>
      <c r="BY220" s="523">
        <v>0</v>
      </c>
      <c r="BZ220" s="523">
        <v>0</v>
      </c>
      <c r="CA220" s="523"/>
      <c r="CB220" s="523"/>
      <c r="CC220" s="523"/>
      <c r="CD220" s="523"/>
      <c r="CE220" s="523"/>
      <c r="CF220" s="523"/>
      <c r="CG220" s="523"/>
      <c r="CH220" s="523"/>
      <c r="CI220" s="523">
        <f t="shared" si="49"/>
        <v>0</v>
      </c>
    </row>
    <row r="221" spans="1:87" ht="15" x14ac:dyDescent="0.2">
      <c r="A221" s="680" t="s">
        <v>1678</v>
      </c>
      <c r="B221" s="569" t="s">
        <v>1676</v>
      </c>
      <c r="C221" s="569" t="s">
        <v>1324</v>
      </c>
      <c r="D221" s="569" t="s">
        <v>1679</v>
      </c>
      <c r="E221" s="681" t="s">
        <v>102</v>
      </c>
      <c r="F221" s="644">
        <v>4.09</v>
      </c>
      <c r="G221" s="682">
        <v>11.27</v>
      </c>
      <c r="H221" s="681">
        <v>5</v>
      </c>
      <c r="I221" s="685">
        <f t="shared" si="50"/>
        <v>0</v>
      </c>
      <c r="J221" s="573">
        <f t="shared" si="51"/>
        <v>0</v>
      </c>
      <c r="K221" s="644">
        <f t="shared" si="46"/>
        <v>5</v>
      </c>
      <c r="L221" s="708">
        <f t="shared" si="53"/>
        <v>56.35</v>
      </c>
      <c r="M221" s="708">
        <f t="shared" si="53"/>
        <v>0</v>
      </c>
      <c r="N221" s="708">
        <f t="shared" si="53"/>
        <v>0</v>
      </c>
      <c r="O221" s="718">
        <f t="shared" si="53"/>
        <v>56.35</v>
      </c>
      <c r="P221" s="617">
        <f t="shared" si="48"/>
        <v>0</v>
      </c>
      <c r="Q221" s="525"/>
      <c r="S221" s="189">
        <v>0</v>
      </c>
      <c r="T221" s="189">
        <v>0</v>
      </c>
      <c r="BT221" s="525"/>
      <c r="BU221" s="523"/>
      <c r="BV221" s="523"/>
      <c r="BW221" s="523">
        <v>0</v>
      </c>
      <c r="BX221" s="523">
        <v>0</v>
      </c>
      <c r="BY221" s="523">
        <v>0</v>
      </c>
      <c r="BZ221" s="523">
        <v>0</v>
      </c>
      <c r="CA221" s="523"/>
      <c r="CB221" s="523"/>
      <c r="CC221" s="523"/>
      <c r="CD221" s="523"/>
      <c r="CE221" s="523"/>
      <c r="CF221" s="523"/>
      <c r="CG221" s="523"/>
      <c r="CH221" s="523"/>
      <c r="CI221" s="523">
        <f t="shared" si="49"/>
        <v>0</v>
      </c>
    </row>
    <row r="222" spans="1:87" ht="15" x14ac:dyDescent="0.2">
      <c r="A222" s="680" t="s">
        <v>1680</v>
      </c>
      <c r="B222" s="569" t="s">
        <v>1676</v>
      </c>
      <c r="C222" s="569" t="s">
        <v>1324</v>
      </c>
      <c r="D222" s="569" t="s">
        <v>1681</v>
      </c>
      <c r="E222" s="681" t="s">
        <v>102</v>
      </c>
      <c r="F222" s="644">
        <v>5.71</v>
      </c>
      <c r="G222" s="682">
        <v>11.27</v>
      </c>
      <c r="H222" s="681">
        <v>8</v>
      </c>
      <c r="I222" s="685">
        <f t="shared" si="50"/>
        <v>0</v>
      </c>
      <c r="J222" s="573">
        <f t="shared" si="51"/>
        <v>0</v>
      </c>
      <c r="K222" s="644">
        <f t="shared" si="46"/>
        <v>8</v>
      </c>
      <c r="L222" s="708">
        <f t="shared" si="53"/>
        <v>90.16</v>
      </c>
      <c r="M222" s="708">
        <f t="shared" si="53"/>
        <v>0</v>
      </c>
      <c r="N222" s="708">
        <f t="shared" si="53"/>
        <v>0</v>
      </c>
      <c r="O222" s="718">
        <f t="shared" si="53"/>
        <v>90.16</v>
      </c>
      <c r="P222" s="617">
        <f t="shared" si="48"/>
        <v>0</v>
      </c>
      <c r="Q222" s="525"/>
      <c r="S222" s="189">
        <v>0</v>
      </c>
      <c r="T222" s="189">
        <v>0</v>
      </c>
      <c r="BT222" s="525"/>
      <c r="BU222" s="523"/>
      <c r="BV222" s="523"/>
      <c r="BW222" s="523">
        <v>0</v>
      </c>
      <c r="BX222" s="523">
        <v>0</v>
      </c>
      <c r="BY222" s="523">
        <v>0</v>
      </c>
      <c r="BZ222" s="523">
        <v>0</v>
      </c>
      <c r="CA222" s="523"/>
      <c r="CB222" s="523"/>
      <c r="CC222" s="523"/>
      <c r="CD222" s="523"/>
      <c r="CE222" s="523"/>
      <c r="CF222" s="523"/>
      <c r="CG222" s="523"/>
      <c r="CH222" s="523"/>
      <c r="CI222" s="523">
        <f t="shared" si="49"/>
        <v>0</v>
      </c>
    </row>
    <row r="223" spans="1:87" ht="15" x14ac:dyDescent="0.2">
      <c r="A223" s="680" t="s">
        <v>1682</v>
      </c>
      <c r="B223" s="569" t="s">
        <v>1683</v>
      </c>
      <c r="C223" s="569" t="s">
        <v>1324</v>
      </c>
      <c r="D223" s="569" t="s">
        <v>1684</v>
      </c>
      <c r="E223" s="681" t="s">
        <v>102</v>
      </c>
      <c r="F223" s="644">
        <v>8.99</v>
      </c>
      <c r="G223" s="682">
        <v>97.76</v>
      </c>
      <c r="H223" s="681">
        <v>2</v>
      </c>
      <c r="I223" s="685">
        <f t="shared" si="50"/>
        <v>0</v>
      </c>
      <c r="J223" s="573">
        <f t="shared" si="51"/>
        <v>0</v>
      </c>
      <c r="K223" s="644">
        <f t="shared" si="46"/>
        <v>2</v>
      </c>
      <c r="L223" s="708">
        <f t="shared" si="53"/>
        <v>195.52</v>
      </c>
      <c r="M223" s="708">
        <f t="shared" si="53"/>
        <v>0</v>
      </c>
      <c r="N223" s="708">
        <f t="shared" si="53"/>
        <v>0</v>
      </c>
      <c r="O223" s="718">
        <f t="shared" si="53"/>
        <v>195.52</v>
      </c>
      <c r="P223" s="617">
        <f t="shared" si="48"/>
        <v>0</v>
      </c>
      <c r="Q223" s="525"/>
      <c r="S223" s="189">
        <v>0</v>
      </c>
      <c r="T223" s="189">
        <v>0</v>
      </c>
      <c r="BT223" s="525"/>
      <c r="BU223" s="523"/>
      <c r="BV223" s="523"/>
      <c r="BW223" s="523">
        <v>0</v>
      </c>
      <c r="BX223" s="523">
        <v>0</v>
      </c>
      <c r="BY223" s="523">
        <v>0</v>
      </c>
      <c r="BZ223" s="523">
        <v>0</v>
      </c>
      <c r="CA223" s="523"/>
      <c r="CB223" s="523"/>
      <c r="CC223" s="523"/>
      <c r="CD223" s="523"/>
      <c r="CE223" s="523"/>
      <c r="CF223" s="523"/>
      <c r="CG223" s="523"/>
      <c r="CH223" s="523"/>
      <c r="CI223" s="523">
        <f t="shared" si="49"/>
        <v>0</v>
      </c>
    </row>
    <row r="224" spans="1:87" ht="15" x14ac:dyDescent="0.2">
      <c r="A224" s="680" t="s">
        <v>1685</v>
      </c>
      <c r="B224" s="569" t="s">
        <v>1686</v>
      </c>
      <c r="C224" s="569" t="s">
        <v>1324</v>
      </c>
      <c r="D224" s="569" t="s">
        <v>1687</v>
      </c>
      <c r="E224" s="681" t="s">
        <v>102</v>
      </c>
      <c r="F224" s="644">
        <v>23.78</v>
      </c>
      <c r="G224" s="682">
        <v>276.94</v>
      </c>
      <c r="H224" s="681">
        <v>1</v>
      </c>
      <c r="I224" s="685">
        <f t="shared" si="50"/>
        <v>0</v>
      </c>
      <c r="J224" s="573">
        <f t="shared" si="51"/>
        <v>0</v>
      </c>
      <c r="K224" s="644">
        <f t="shared" si="46"/>
        <v>1</v>
      </c>
      <c r="L224" s="708">
        <f t="shared" si="53"/>
        <v>276.94</v>
      </c>
      <c r="M224" s="708">
        <f t="shared" si="53"/>
        <v>0</v>
      </c>
      <c r="N224" s="708">
        <f t="shared" si="53"/>
        <v>0</v>
      </c>
      <c r="O224" s="718">
        <f t="shared" si="53"/>
        <v>276.94</v>
      </c>
      <c r="P224" s="617">
        <f t="shared" si="48"/>
        <v>0</v>
      </c>
      <c r="Q224" s="525"/>
      <c r="S224" s="189">
        <v>0</v>
      </c>
      <c r="T224" s="189">
        <v>0</v>
      </c>
      <c r="BT224" s="525"/>
      <c r="BU224" s="523"/>
      <c r="BV224" s="523"/>
      <c r="BW224" s="523">
        <v>0</v>
      </c>
      <c r="BX224" s="523">
        <v>0</v>
      </c>
      <c r="BY224" s="523">
        <v>0</v>
      </c>
      <c r="BZ224" s="523">
        <v>0</v>
      </c>
      <c r="CA224" s="523"/>
      <c r="CB224" s="523"/>
      <c r="CC224" s="523"/>
      <c r="CD224" s="523"/>
      <c r="CE224" s="523"/>
      <c r="CF224" s="523"/>
      <c r="CG224" s="523"/>
      <c r="CH224" s="523"/>
      <c r="CI224" s="523">
        <f t="shared" si="49"/>
        <v>0</v>
      </c>
    </row>
    <row r="225" spans="1:87" s="664" customFormat="1" ht="15" x14ac:dyDescent="0.2">
      <c r="A225" s="680" t="s">
        <v>1688</v>
      </c>
      <c r="B225" s="569" t="s">
        <v>2007</v>
      </c>
      <c r="C225" s="569" t="s">
        <v>1339</v>
      </c>
      <c r="D225" s="569" t="s">
        <v>1689</v>
      </c>
      <c r="E225" s="681" t="s">
        <v>102</v>
      </c>
      <c r="F225" s="644">
        <v>72.209999999999994</v>
      </c>
      <c r="G225" s="682">
        <v>101.01</v>
      </c>
      <c r="H225" s="681">
        <v>4</v>
      </c>
      <c r="I225" s="685">
        <f t="shared" si="50"/>
        <v>0</v>
      </c>
      <c r="J225" s="573">
        <f t="shared" si="51"/>
        <v>0</v>
      </c>
      <c r="K225" s="644">
        <f t="shared" si="46"/>
        <v>4</v>
      </c>
      <c r="L225" s="708">
        <f t="shared" si="53"/>
        <v>404.04</v>
      </c>
      <c r="M225" s="708">
        <f t="shared" si="53"/>
        <v>0</v>
      </c>
      <c r="N225" s="708">
        <f t="shared" si="53"/>
        <v>0</v>
      </c>
      <c r="O225" s="718">
        <f t="shared" si="53"/>
        <v>404.04</v>
      </c>
      <c r="P225" s="617">
        <f t="shared" si="48"/>
        <v>0</v>
      </c>
      <c r="Q225" s="525"/>
      <c r="S225" s="191">
        <v>0</v>
      </c>
      <c r="T225" s="191">
        <v>0</v>
      </c>
      <c r="BT225" s="525"/>
      <c r="BU225" s="523"/>
      <c r="BV225" s="523"/>
      <c r="BW225" s="523">
        <v>0</v>
      </c>
      <c r="BX225" s="523">
        <v>0</v>
      </c>
      <c r="BY225" s="523">
        <v>0</v>
      </c>
      <c r="BZ225" s="523">
        <v>0</v>
      </c>
      <c r="CA225" s="523"/>
      <c r="CB225" s="523"/>
      <c r="CC225" s="523"/>
      <c r="CD225" s="523"/>
      <c r="CE225" s="523"/>
      <c r="CF225" s="523"/>
      <c r="CG225" s="523"/>
      <c r="CH225" s="523"/>
      <c r="CI225" s="523">
        <f t="shared" si="49"/>
        <v>0</v>
      </c>
    </row>
    <row r="226" spans="1:87" s="110" customFormat="1" ht="15.75" x14ac:dyDescent="0.2">
      <c r="A226" s="605" t="s">
        <v>631</v>
      </c>
      <c r="B226" s="586"/>
      <c r="C226" s="586"/>
      <c r="D226" s="586" t="s">
        <v>1690</v>
      </c>
      <c r="E226" s="683"/>
      <c r="F226" s="683">
        <f>SUM(F227:F247)</f>
        <v>274.84000000000003</v>
      </c>
      <c r="G226" s="687"/>
      <c r="H226" s="683"/>
      <c r="I226" s="748">
        <f t="shared" si="50"/>
        <v>0</v>
      </c>
      <c r="J226" s="750">
        <f t="shared" si="51"/>
        <v>46</v>
      </c>
      <c r="K226" s="748">
        <f t="shared" si="46"/>
        <v>-46</v>
      </c>
      <c r="L226" s="733">
        <f>SUM(L227:L247)</f>
        <v>3741.5200000000004</v>
      </c>
      <c r="M226" s="733">
        <f>SUM(M227:M247)</f>
        <v>0</v>
      </c>
      <c r="N226" s="733">
        <f>SUM(N227:N247)</f>
        <v>311.62</v>
      </c>
      <c r="O226" s="722">
        <f>SUM(O227:O247)</f>
        <v>3429.9</v>
      </c>
      <c r="P226" s="611">
        <f t="shared" si="48"/>
        <v>8.3287006350360279E-2</v>
      </c>
      <c r="Q226" s="525"/>
      <c r="S226" s="192">
        <v>28</v>
      </c>
      <c r="T226" s="192">
        <v>0</v>
      </c>
      <c r="BT226" s="525"/>
      <c r="BU226" s="523"/>
      <c r="BV226" s="523"/>
      <c r="BW226" s="523">
        <v>46</v>
      </c>
      <c r="BX226" s="523">
        <v>0</v>
      </c>
      <c r="BY226" s="523"/>
      <c r="BZ226" s="523"/>
      <c r="CA226" s="523"/>
      <c r="CB226" s="523"/>
      <c r="CC226" s="523"/>
      <c r="CD226" s="523"/>
      <c r="CE226" s="523"/>
      <c r="CF226" s="523"/>
      <c r="CG226" s="523"/>
      <c r="CH226" s="523"/>
      <c r="CI226" s="523">
        <f t="shared" si="49"/>
        <v>46</v>
      </c>
    </row>
    <row r="227" spans="1:87" s="110" customFormat="1" ht="15" x14ac:dyDescent="0.2">
      <c r="A227" s="612" t="s">
        <v>1691</v>
      </c>
      <c r="B227" s="613">
        <v>91854</v>
      </c>
      <c r="C227" s="613" t="s">
        <v>1324</v>
      </c>
      <c r="D227" s="614" t="s">
        <v>1692</v>
      </c>
      <c r="E227" s="615" t="s">
        <v>81</v>
      </c>
      <c r="F227" s="644">
        <v>6.88</v>
      </c>
      <c r="G227" s="616">
        <v>6.16</v>
      </c>
      <c r="H227" s="615">
        <v>28</v>
      </c>
      <c r="I227" s="685">
        <f t="shared" si="50"/>
        <v>0</v>
      </c>
      <c r="J227" s="573">
        <f t="shared" si="51"/>
        <v>28</v>
      </c>
      <c r="K227" s="644">
        <f t="shared" si="46"/>
        <v>0</v>
      </c>
      <c r="L227" s="708">
        <f t="shared" ref="L227:O247" si="54">ROUND(H227*$G227,2)</f>
        <v>172.48</v>
      </c>
      <c r="M227" s="708">
        <f t="shared" si="54"/>
        <v>0</v>
      </c>
      <c r="N227" s="708">
        <f t="shared" si="54"/>
        <v>172.48</v>
      </c>
      <c r="O227" s="718">
        <f t="shared" si="54"/>
        <v>0</v>
      </c>
      <c r="P227" s="617">
        <f t="shared" si="48"/>
        <v>1</v>
      </c>
      <c r="Q227" s="525"/>
      <c r="S227" s="192">
        <v>18</v>
      </c>
      <c r="T227" s="192">
        <v>0</v>
      </c>
      <c r="BT227" s="525"/>
      <c r="BU227" s="523"/>
      <c r="BV227" s="523"/>
      <c r="BW227" s="523">
        <v>28</v>
      </c>
      <c r="BX227" s="523">
        <v>0</v>
      </c>
      <c r="BY227" s="523">
        <v>0</v>
      </c>
      <c r="BZ227" s="523">
        <v>0</v>
      </c>
      <c r="CA227" s="523"/>
      <c r="CB227" s="523"/>
      <c r="CC227" s="523"/>
      <c r="CD227" s="523"/>
      <c r="CE227" s="523"/>
      <c r="CF227" s="523"/>
      <c r="CG227" s="523"/>
      <c r="CH227" s="523"/>
      <c r="CI227" s="523">
        <f t="shared" si="49"/>
        <v>28</v>
      </c>
    </row>
    <row r="228" spans="1:87" ht="15" x14ac:dyDescent="0.2">
      <c r="A228" s="612" t="s">
        <v>1693</v>
      </c>
      <c r="B228" s="613">
        <v>91856</v>
      </c>
      <c r="C228" s="613" t="s">
        <v>1324</v>
      </c>
      <c r="D228" s="614" t="s">
        <v>1694</v>
      </c>
      <c r="E228" s="615" t="s">
        <v>81</v>
      </c>
      <c r="F228" s="644">
        <v>9.86</v>
      </c>
      <c r="G228" s="616">
        <v>7.73</v>
      </c>
      <c r="H228" s="615">
        <v>18</v>
      </c>
      <c r="I228" s="685">
        <f t="shared" si="50"/>
        <v>0</v>
      </c>
      <c r="J228" s="573">
        <f t="shared" si="51"/>
        <v>18</v>
      </c>
      <c r="K228" s="644">
        <f t="shared" si="46"/>
        <v>0</v>
      </c>
      <c r="L228" s="708">
        <f t="shared" si="54"/>
        <v>139.13999999999999</v>
      </c>
      <c r="M228" s="708">
        <f t="shared" si="54"/>
        <v>0</v>
      </c>
      <c r="N228" s="708">
        <f t="shared" si="54"/>
        <v>139.13999999999999</v>
      </c>
      <c r="O228" s="718">
        <f t="shared" si="54"/>
        <v>0</v>
      </c>
      <c r="P228" s="617">
        <f t="shared" si="48"/>
        <v>1</v>
      </c>
      <c r="Q228" s="525"/>
      <c r="S228" s="189">
        <v>0</v>
      </c>
      <c r="T228" s="189">
        <v>0</v>
      </c>
      <c r="BT228" s="525"/>
      <c r="BU228" s="523"/>
      <c r="BV228" s="523"/>
      <c r="BW228" s="523">
        <v>18</v>
      </c>
      <c r="BX228" s="523">
        <v>0</v>
      </c>
      <c r="BY228" s="523">
        <v>0</v>
      </c>
      <c r="BZ228" s="523">
        <v>0</v>
      </c>
      <c r="CA228" s="523"/>
      <c r="CB228" s="523"/>
      <c r="CC228" s="523"/>
      <c r="CD228" s="523"/>
      <c r="CE228" s="523"/>
      <c r="CF228" s="523"/>
      <c r="CG228" s="523"/>
      <c r="CH228" s="523"/>
      <c r="CI228" s="523">
        <f t="shared" si="49"/>
        <v>18</v>
      </c>
    </row>
    <row r="229" spans="1:87" ht="15" x14ac:dyDescent="0.2">
      <c r="A229" s="680" t="s">
        <v>1695</v>
      </c>
      <c r="B229" s="569">
        <v>91873</v>
      </c>
      <c r="C229" s="569" t="s">
        <v>1324</v>
      </c>
      <c r="D229" s="569" t="s">
        <v>1696</v>
      </c>
      <c r="E229" s="681" t="s">
        <v>81</v>
      </c>
      <c r="F229" s="644">
        <v>10.4</v>
      </c>
      <c r="G229" s="682">
        <v>12.57</v>
      </c>
      <c r="H229" s="681">
        <v>18</v>
      </c>
      <c r="I229" s="685">
        <f t="shared" si="50"/>
        <v>0</v>
      </c>
      <c r="J229" s="573">
        <f t="shared" si="51"/>
        <v>0</v>
      </c>
      <c r="K229" s="644">
        <f t="shared" si="46"/>
        <v>18</v>
      </c>
      <c r="L229" s="708">
        <f t="shared" si="54"/>
        <v>226.26</v>
      </c>
      <c r="M229" s="708">
        <f t="shared" si="54"/>
        <v>0</v>
      </c>
      <c r="N229" s="708">
        <f t="shared" si="54"/>
        <v>0</v>
      </c>
      <c r="O229" s="718">
        <f t="shared" si="54"/>
        <v>226.26</v>
      </c>
      <c r="P229" s="617">
        <f t="shared" si="48"/>
        <v>0</v>
      </c>
      <c r="Q229" s="525"/>
      <c r="S229" s="189">
        <v>0</v>
      </c>
      <c r="T229" s="189">
        <v>0</v>
      </c>
      <c r="BT229" s="525"/>
      <c r="BU229" s="523"/>
      <c r="BV229" s="523"/>
      <c r="BW229" s="523">
        <v>0</v>
      </c>
      <c r="BX229" s="523">
        <v>0</v>
      </c>
      <c r="BY229" s="523">
        <v>0</v>
      </c>
      <c r="BZ229" s="523">
        <v>0</v>
      </c>
      <c r="CA229" s="523"/>
      <c r="CB229" s="523"/>
      <c r="CC229" s="523"/>
      <c r="CD229" s="523"/>
      <c r="CE229" s="523"/>
      <c r="CF229" s="523"/>
      <c r="CG229" s="523"/>
      <c r="CH229" s="523"/>
      <c r="CI229" s="523">
        <f t="shared" si="49"/>
        <v>0</v>
      </c>
    </row>
    <row r="230" spans="1:87" ht="15" x14ac:dyDescent="0.2">
      <c r="A230" s="680" t="s">
        <v>1697</v>
      </c>
      <c r="B230" s="569">
        <v>72308</v>
      </c>
      <c r="C230" s="569" t="s">
        <v>1324</v>
      </c>
      <c r="D230" s="569" t="s">
        <v>1698</v>
      </c>
      <c r="E230" s="681" t="s">
        <v>81</v>
      </c>
      <c r="F230" s="644">
        <v>9.6</v>
      </c>
      <c r="G230" s="682">
        <v>14.39</v>
      </c>
      <c r="H230" s="681">
        <v>82</v>
      </c>
      <c r="I230" s="685">
        <f t="shared" si="50"/>
        <v>0</v>
      </c>
      <c r="J230" s="573">
        <f t="shared" si="51"/>
        <v>0</v>
      </c>
      <c r="K230" s="644">
        <f t="shared" si="46"/>
        <v>82</v>
      </c>
      <c r="L230" s="708">
        <f t="shared" si="54"/>
        <v>1179.98</v>
      </c>
      <c r="M230" s="708">
        <f t="shared" si="54"/>
        <v>0</v>
      </c>
      <c r="N230" s="708">
        <f t="shared" si="54"/>
        <v>0</v>
      </c>
      <c r="O230" s="718">
        <f t="shared" si="54"/>
        <v>1179.98</v>
      </c>
      <c r="P230" s="617">
        <f t="shared" si="48"/>
        <v>0</v>
      </c>
      <c r="Q230" s="525"/>
      <c r="S230" s="189">
        <v>0</v>
      </c>
      <c r="T230" s="189">
        <v>0</v>
      </c>
      <c r="BT230" s="525"/>
      <c r="BU230" s="523"/>
      <c r="BV230" s="523"/>
      <c r="BW230" s="523">
        <v>0</v>
      </c>
      <c r="BX230" s="523">
        <v>0</v>
      </c>
      <c r="BY230" s="523">
        <v>0</v>
      </c>
      <c r="BZ230" s="523">
        <v>0</v>
      </c>
      <c r="CA230" s="523"/>
      <c r="CB230" s="523"/>
      <c r="CC230" s="523"/>
      <c r="CD230" s="523"/>
      <c r="CE230" s="523"/>
      <c r="CF230" s="523"/>
      <c r="CG230" s="523"/>
      <c r="CH230" s="523"/>
      <c r="CI230" s="523">
        <f t="shared" si="49"/>
        <v>0</v>
      </c>
    </row>
    <row r="231" spans="1:87" ht="15" x14ac:dyDescent="0.2">
      <c r="A231" s="680" t="s">
        <v>1699</v>
      </c>
      <c r="B231" s="569">
        <v>72309</v>
      </c>
      <c r="C231" s="569" t="s">
        <v>1324</v>
      </c>
      <c r="D231" s="569" t="s">
        <v>1700</v>
      </c>
      <c r="E231" s="681" t="s">
        <v>81</v>
      </c>
      <c r="F231" s="644">
        <v>7.38</v>
      </c>
      <c r="G231" s="682">
        <v>22.92</v>
      </c>
      <c r="H231" s="681">
        <v>13</v>
      </c>
      <c r="I231" s="685">
        <f t="shared" si="50"/>
        <v>0</v>
      </c>
      <c r="J231" s="573">
        <f t="shared" si="51"/>
        <v>0</v>
      </c>
      <c r="K231" s="644">
        <f t="shared" si="46"/>
        <v>13</v>
      </c>
      <c r="L231" s="708">
        <f t="shared" si="54"/>
        <v>297.95999999999998</v>
      </c>
      <c r="M231" s="708">
        <f t="shared" si="54"/>
        <v>0</v>
      </c>
      <c r="N231" s="708">
        <f t="shared" si="54"/>
        <v>0</v>
      </c>
      <c r="O231" s="718">
        <f t="shared" si="54"/>
        <v>297.95999999999998</v>
      </c>
      <c r="P231" s="617">
        <f t="shared" si="48"/>
        <v>0</v>
      </c>
      <c r="Q231" s="525"/>
      <c r="S231" s="189">
        <v>0</v>
      </c>
      <c r="T231" s="189">
        <v>0</v>
      </c>
      <c r="BT231" s="525"/>
      <c r="BU231" s="523"/>
      <c r="BV231" s="523"/>
      <c r="BW231" s="523">
        <v>0</v>
      </c>
      <c r="BX231" s="523">
        <v>0</v>
      </c>
      <c r="BY231" s="523">
        <v>0</v>
      </c>
      <c r="BZ231" s="523">
        <v>0</v>
      </c>
      <c r="CA231" s="523"/>
      <c r="CB231" s="523"/>
      <c r="CC231" s="523"/>
      <c r="CD231" s="523"/>
      <c r="CE231" s="523"/>
      <c r="CF231" s="523"/>
      <c r="CG231" s="523"/>
      <c r="CH231" s="523"/>
      <c r="CI231" s="523">
        <f t="shared" si="49"/>
        <v>0</v>
      </c>
    </row>
    <row r="232" spans="1:87" ht="15" x14ac:dyDescent="0.2">
      <c r="A232" s="680" t="s">
        <v>2011</v>
      </c>
      <c r="B232" s="569" t="s">
        <v>2012</v>
      </c>
      <c r="C232" s="569" t="s">
        <v>1324</v>
      </c>
      <c r="D232" s="569" t="s">
        <v>1702</v>
      </c>
      <c r="E232" s="681" t="s">
        <v>81</v>
      </c>
      <c r="F232" s="571"/>
      <c r="G232" s="682">
        <v>24.94</v>
      </c>
      <c r="H232" s="681">
        <v>30</v>
      </c>
      <c r="I232" s="685">
        <f t="shared" si="50"/>
        <v>0</v>
      </c>
      <c r="J232" s="573">
        <f t="shared" si="51"/>
        <v>0</v>
      </c>
      <c r="K232" s="644">
        <f t="shared" si="46"/>
        <v>30</v>
      </c>
      <c r="L232" s="708">
        <f t="shared" si="54"/>
        <v>748.2</v>
      </c>
      <c r="M232" s="708">
        <f t="shared" si="54"/>
        <v>0</v>
      </c>
      <c r="N232" s="708">
        <f t="shared" si="54"/>
        <v>0</v>
      </c>
      <c r="O232" s="718">
        <f t="shared" si="54"/>
        <v>748.2</v>
      </c>
      <c r="P232" s="617">
        <f t="shared" si="48"/>
        <v>0</v>
      </c>
      <c r="Q232" s="525"/>
      <c r="S232" s="189">
        <v>0</v>
      </c>
      <c r="T232" s="189">
        <v>0</v>
      </c>
      <c r="BT232" s="525"/>
      <c r="BU232" s="523"/>
      <c r="BV232" s="523"/>
      <c r="BW232" s="523">
        <v>0</v>
      </c>
      <c r="BX232" s="523">
        <v>0</v>
      </c>
      <c r="BY232" s="523">
        <v>0</v>
      </c>
      <c r="BZ232" s="523">
        <v>0</v>
      </c>
      <c r="CA232" s="523"/>
      <c r="CB232" s="523"/>
      <c r="CC232" s="523"/>
      <c r="CD232" s="523"/>
      <c r="CE232" s="523"/>
      <c r="CF232" s="523"/>
      <c r="CG232" s="523"/>
      <c r="CH232" s="523"/>
      <c r="CI232" s="523">
        <f t="shared" si="49"/>
        <v>0</v>
      </c>
    </row>
    <row r="233" spans="1:87" ht="30" x14ac:dyDescent="0.2">
      <c r="A233" s="680" t="s">
        <v>1703</v>
      </c>
      <c r="B233" s="569" t="s">
        <v>1704</v>
      </c>
      <c r="C233" s="569" t="s">
        <v>1324</v>
      </c>
      <c r="D233" s="569" t="s">
        <v>1705</v>
      </c>
      <c r="E233" s="681" t="s">
        <v>102</v>
      </c>
      <c r="F233" s="644">
        <v>3.06</v>
      </c>
      <c r="G233" s="682">
        <v>23.12</v>
      </c>
      <c r="H233" s="681">
        <v>5</v>
      </c>
      <c r="I233" s="685">
        <f t="shared" si="50"/>
        <v>0</v>
      </c>
      <c r="J233" s="573">
        <f t="shared" si="51"/>
        <v>0</v>
      </c>
      <c r="K233" s="644">
        <f t="shared" si="46"/>
        <v>5</v>
      </c>
      <c r="L233" s="708">
        <f t="shared" si="54"/>
        <v>115.6</v>
      </c>
      <c r="M233" s="708">
        <f t="shared" si="54"/>
        <v>0</v>
      </c>
      <c r="N233" s="708">
        <f t="shared" si="54"/>
        <v>0</v>
      </c>
      <c r="O233" s="718">
        <f t="shared" si="54"/>
        <v>115.6</v>
      </c>
      <c r="P233" s="617">
        <f t="shared" si="48"/>
        <v>0</v>
      </c>
      <c r="Q233" s="525"/>
      <c r="S233" s="189">
        <v>0</v>
      </c>
      <c r="T233" s="189">
        <v>0</v>
      </c>
      <c r="BT233" s="525"/>
      <c r="BU233" s="523"/>
      <c r="BV233" s="523"/>
      <c r="BW233" s="523">
        <v>0</v>
      </c>
      <c r="BX233" s="523">
        <v>0</v>
      </c>
      <c r="BY233" s="523">
        <v>0</v>
      </c>
      <c r="BZ233" s="523">
        <v>0</v>
      </c>
      <c r="CA233" s="523"/>
      <c r="CB233" s="523"/>
      <c r="CC233" s="523"/>
      <c r="CD233" s="523"/>
      <c r="CE233" s="523"/>
      <c r="CF233" s="523"/>
      <c r="CG233" s="523"/>
      <c r="CH233" s="523"/>
      <c r="CI233" s="523">
        <f t="shared" si="49"/>
        <v>0</v>
      </c>
    </row>
    <row r="234" spans="1:87" ht="30" x14ac:dyDescent="0.2">
      <c r="A234" s="680" t="s">
        <v>1706</v>
      </c>
      <c r="B234" s="569" t="s">
        <v>1707</v>
      </c>
      <c r="C234" s="569" t="s">
        <v>1324</v>
      </c>
      <c r="D234" s="569" t="s">
        <v>1708</v>
      </c>
      <c r="E234" s="681" t="s">
        <v>102</v>
      </c>
      <c r="F234" s="644">
        <v>4.18</v>
      </c>
      <c r="G234" s="682">
        <v>25.34</v>
      </c>
      <c r="H234" s="681">
        <v>5</v>
      </c>
      <c r="I234" s="685">
        <f t="shared" si="50"/>
        <v>0</v>
      </c>
      <c r="J234" s="573">
        <f t="shared" si="51"/>
        <v>0</v>
      </c>
      <c r="K234" s="644">
        <f t="shared" si="46"/>
        <v>5</v>
      </c>
      <c r="L234" s="708">
        <f t="shared" si="54"/>
        <v>126.7</v>
      </c>
      <c r="M234" s="708">
        <f t="shared" si="54"/>
        <v>0</v>
      </c>
      <c r="N234" s="708">
        <f t="shared" si="54"/>
        <v>0</v>
      </c>
      <c r="O234" s="718">
        <f t="shared" si="54"/>
        <v>126.7</v>
      </c>
      <c r="P234" s="617">
        <f t="shared" si="48"/>
        <v>0</v>
      </c>
      <c r="Q234" s="525"/>
      <c r="S234" s="189">
        <v>0</v>
      </c>
      <c r="T234" s="189">
        <v>0</v>
      </c>
      <c r="BT234" s="525"/>
      <c r="BU234" s="523"/>
      <c r="BV234" s="523"/>
      <c r="BW234" s="523">
        <v>0</v>
      </c>
      <c r="BX234" s="523">
        <v>0</v>
      </c>
      <c r="BY234" s="523">
        <v>0</v>
      </c>
      <c r="BZ234" s="523">
        <v>0</v>
      </c>
      <c r="CA234" s="523"/>
      <c r="CB234" s="523"/>
      <c r="CC234" s="523"/>
      <c r="CD234" s="523"/>
      <c r="CE234" s="523"/>
      <c r="CF234" s="523"/>
      <c r="CG234" s="523"/>
      <c r="CH234" s="523"/>
      <c r="CI234" s="523">
        <f t="shared" si="49"/>
        <v>0</v>
      </c>
    </row>
    <row r="235" spans="1:87" ht="30" x14ac:dyDescent="0.2">
      <c r="A235" s="680" t="s">
        <v>1709</v>
      </c>
      <c r="B235" s="569" t="s">
        <v>1704</v>
      </c>
      <c r="C235" s="569" t="s">
        <v>1324</v>
      </c>
      <c r="D235" s="569" t="s">
        <v>1710</v>
      </c>
      <c r="E235" s="681" t="s">
        <v>102</v>
      </c>
      <c r="F235" s="644">
        <v>6.7</v>
      </c>
      <c r="G235" s="682">
        <v>25.88</v>
      </c>
      <c r="H235" s="681">
        <v>4</v>
      </c>
      <c r="I235" s="685">
        <f t="shared" si="50"/>
        <v>0</v>
      </c>
      <c r="J235" s="573">
        <f t="shared" si="51"/>
        <v>0</v>
      </c>
      <c r="K235" s="644">
        <f t="shared" si="46"/>
        <v>4</v>
      </c>
      <c r="L235" s="708">
        <f t="shared" si="54"/>
        <v>103.52</v>
      </c>
      <c r="M235" s="708">
        <f t="shared" si="54"/>
        <v>0</v>
      </c>
      <c r="N235" s="708">
        <f t="shared" si="54"/>
        <v>0</v>
      </c>
      <c r="O235" s="718">
        <f t="shared" si="54"/>
        <v>103.52</v>
      </c>
      <c r="P235" s="617">
        <f t="shared" si="48"/>
        <v>0</v>
      </c>
      <c r="Q235" s="525"/>
      <c r="S235" s="189">
        <v>0</v>
      </c>
      <c r="T235" s="189">
        <v>0</v>
      </c>
      <c r="BT235" s="525"/>
      <c r="BU235" s="523"/>
      <c r="BV235" s="523"/>
      <c r="BW235" s="523">
        <v>0</v>
      </c>
      <c r="BX235" s="523">
        <v>0</v>
      </c>
      <c r="BY235" s="523">
        <v>0</v>
      </c>
      <c r="BZ235" s="523">
        <v>0</v>
      </c>
      <c r="CA235" s="523"/>
      <c r="CB235" s="523"/>
      <c r="CC235" s="523"/>
      <c r="CD235" s="523"/>
      <c r="CE235" s="523"/>
      <c r="CF235" s="523"/>
      <c r="CG235" s="523"/>
      <c r="CH235" s="523"/>
      <c r="CI235" s="523">
        <f t="shared" si="49"/>
        <v>0</v>
      </c>
    </row>
    <row r="236" spans="1:87" ht="30" x14ac:dyDescent="0.2">
      <c r="A236" s="680" t="s">
        <v>1711</v>
      </c>
      <c r="B236" s="569" t="s">
        <v>1712</v>
      </c>
      <c r="C236" s="569" t="s">
        <v>1324</v>
      </c>
      <c r="D236" s="569" t="s">
        <v>1713</v>
      </c>
      <c r="E236" s="681" t="s">
        <v>102</v>
      </c>
      <c r="F236" s="644">
        <v>12.3</v>
      </c>
      <c r="G236" s="682">
        <v>26.28</v>
      </c>
      <c r="H236" s="681">
        <v>1</v>
      </c>
      <c r="I236" s="685">
        <f t="shared" si="50"/>
        <v>0</v>
      </c>
      <c r="J236" s="573">
        <f t="shared" si="51"/>
        <v>0</v>
      </c>
      <c r="K236" s="644">
        <f t="shared" si="46"/>
        <v>1</v>
      </c>
      <c r="L236" s="708">
        <f t="shared" si="54"/>
        <v>26.28</v>
      </c>
      <c r="M236" s="708">
        <f t="shared" si="54"/>
        <v>0</v>
      </c>
      <c r="N236" s="708">
        <f t="shared" si="54"/>
        <v>0</v>
      </c>
      <c r="O236" s="718">
        <f t="shared" si="54"/>
        <v>26.28</v>
      </c>
      <c r="P236" s="617">
        <f t="shared" si="48"/>
        <v>0</v>
      </c>
      <c r="Q236" s="525"/>
      <c r="S236" s="189">
        <v>0</v>
      </c>
      <c r="T236" s="189">
        <v>0</v>
      </c>
      <c r="BT236" s="525"/>
      <c r="BU236" s="523"/>
      <c r="BV236" s="523"/>
      <c r="BW236" s="523">
        <v>0</v>
      </c>
      <c r="BX236" s="523">
        <v>0</v>
      </c>
      <c r="BY236" s="523">
        <v>0</v>
      </c>
      <c r="BZ236" s="523">
        <v>0</v>
      </c>
      <c r="CA236" s="523"/>
      <c r="CB236" s="523"/>
      <c r="CC236" s="523"/>
      <c r="CD236" s="523"/>
      <c r="CE236" s="523"/>
      <c r="CF236" s="523"/>
      <c r="CG236" s="523"/>
      <c r="CH236" s="523"/>
      <c r="CI236" s="523">
        <f t="shared" si="49"/>
        <v>0</v>
      </c>
    </row>
    <row r="237" spans="1:87" ht="30" x14ac:dyDescent="0.2">
      <c r="A237" s="680" t="s">
        <v>1714</v>
      </c>
      <c r="B237" s="569" t="s">
        <v>1715</v>
      </c>
      <c r="C237" s="569" t="s">
        <v>1343</v>
      </c>
      <c r="D237" s="569" t="s">
        <v>1716</v>
      </c>
      <c r="E237" s="681" t="s">
        <v>102</v>
      </c>
      <c r="F237" s="644">
        <v>33.06</v>
      </c>
      <c r="G237" s="682">
        <v>1.94</v>
      </c>
      <c r="H237" s="681">
        <v>50</v>
      </c>
      <c r="I237" s="685">
        <f t="shared" si="50"/>
        <v>0</v>
      </c>
      <c r="J237" s="573">
        <f t="shared" si="51"/>
        <v>0</v>
      </c>
      <c r="K237" s="644">
        <f t="shared" si="46"/>
        <v>50</v>
      </c>
      <c r="L237" s="708">
        <f t="shared" si="54"/>
        <v>97</v>
      </c>
      <c r="M237" s="708">
        <f t="shared" si="54"/>
        <v>0</v>
      </c>
      <c r="N237" s="708">
        <f t="shared" si="54"/>
        <v>0</v>
      </c>
      <c r="O237" s="718">
        <f t="shared" si="54"/>
        <v>97</v>
      </c>
      <c r="P237" s="617">
        <f t="shared" si="48"/>
        <v>0</v>
      </c>
      <c r="Q237" s="525"/>
      <c r="S237" s="189">
        <v>0</v>
      </c>
      <c r="T237" s="189">
        <v>0</v>
      </c>
      <c r="BT237" s="525"/>
      <c r="BU237" s="523"/>
      <c r="BV237" s="523"/>
      <c r="BW237" s="523">
        <v>0</v>
      </c>
      <c r="BX237" s="523">
        <v>0</v>
      </c>
      <c r="BY237" s="523">
        <v>0</v>
      </c>
      <c r="BZ237" s="523">
        <v>0</v>
      </c>
      <c r="CA237" s="523"/>
      <c r="CB237" s="523"/>
      <c r="CC237" s="523"/>
      <c r="CD237" s="523"/>
      <c r="CE237" s="523"/>
      <c r="CF237" s="523"/>
      <c r="CG237" s="523"/>
      <c r="CH237" s="523"/>
      <c r="CI237" s="523">
        <f t="shared" si="49"/>
        <v>0</v>
      </c>
    </row>
    <row r="238" spans="1:87" ht="30" x14ac:dyDescent="0.2">
      <c r="A238" s="680" t="s">
        <v>1717</v>
      </c>
      <c r="B238" s="569" t="s">
        <v>1715</v>
      </c>
      <c r="C238" s="569" t="s">
        <v>1343</v>
      </c>
      <c r="D238" s="569" t="s">
        <v>1718</v>
      </c>
      <c r="E238" s="681" t="s">
        <v>102</v>
      </c>
      <c r="F238" s="644">
        <v>4.53</v>
      </c>
      <c r="G238" s="682">
        <v>2.19</v>
      </c>
      <c r="H238" s="681">
        <v>4</v>
      </c>
      <c r="I238" s="685">
        <f t="shared" si="50"/>
        <v>0</v>
      </c>
      <c r="J238" s="573">
        <f t="shared" si="51"/>
        <v>0</v>
      </c>
      <c r="K238" s="644">
        <f t="shared" si="46"/>
        <v>4</v>
      </c>
      <c r="L238" s="708">
        <f t="shared" si="54"/>
        <v>8.76</v>
      </c>
      <c r="M238" s="708">
        <f t="shared" si="54"/>
        <v>0</v>
      </c>
      <c r="N238" s="708">
        <f t="shared" si="54"/>
        <v>0</v>
      </c>
      <c r="O238" s="718">
        <f t="shared" si="54"/>
        <v>8.76</v>
      </c>
      <c r="P238" s="617">
        <f t="shared" si="48"/>
        <v>0</v>
      </c>
      <c r="Q238" s="525"/>
      <c r="S238" s="189">
        <v>0</v>
      </c>
      <c r="T238" s="189">
        <v>0</v>
      </c>
      <c r="BT238" s="525"/>
      <c r="BU238" s="523"/>
      <c r="BV238" s="523"/>
      <c r="BW238" s="523">
        <v>0</v>
      </c>
      <c r="BX238" s="523">
        <v>0</v>
      </c>
      <c r="BY238" s="523">
        <v>0</v>
      </c>
      <c r="BZ238" s="523">
        <v>0</v>
      </c>
      <c r="CA238" s="523"/>
      <c r="CB238" s="523"/>
      <c r="CC238" s="523"/>
      <c r="CD238" s="523"/>
      <c r="CE238" s="523"/>
      <c r="CF238" s="523"/>
      <c r="CG238" s="523"/>
      <c r="CH238" s="523"/>
      <c r="CI238" s="523">
        <f t="shared" si="49"/>
        <v>0</v>
      </c>
    </row>
    <row r="239" spans="1:87" ht="30" x14ac:dyDescent="0.2">
      <c r="A239" s="680" t="s">
        <v>1719</v>
      </c>
      <c r="B239" s="569" t="s">
        <v>1715</v>
      </c>
      <c r="C239" s="569" t="s">
        <v>1343</v>
      </c>
      <c r="D239" s="569" t="s">
        <v>1720</v>
      </c>
      <c r="E239" s="681" t="s">
        <v>102</v>
      </c>
      <c r="F239" s="571"/>
      <c r="G239" s="682">
        <v>2.4</v>
      </c>
      <c r="H239" s="681">
        <v>4</v>
      </c>
      <c r="I239" s="685">
        <f t="shared" si="50"/>
        <v>0</v>
      </c>
      <c r="J239" s="573">
        <f t="shared" si="51"/>
        <v>0</v>
      </c>
      <c r="K239" s="751">
        <f t="shared" si="46"/>
        <v>4</v>
      </c>
      <c r="L239" s="708">
        <f t="shared" si="54"/>
        <v>9.6</v>
      </c>
      <c r="M239" s="708">
        <f t="shared" si="54"/>
        <v>0</v>
      </c>
      <c r="N239" s="708">
        <f t="shared" si="54"/>
        <v>0</v>
      </c>
      <c r="O239" s="718">
        <f t="shared" si="54"/>
        <v>9.6</v>
      </c>
      <c r="P239" s="617">
        <f t="shared" si="48"/>
        <v>0</v>
      </c>
      <c r="Q239" s="525"/>
      <c r="S239" s="189">
        <v>0</v>
      </c>
      <c r="T239" s="189">
        <v>0</v>
      </c>
      <c r="BT239" s="525"/>
      <c r="BU239" s="523"/>
      <c r="BV239" s="523"/>
      <c r="BW239" s="523">
        <v>0</v>
      </c>
      <c r="BX239" s="523">
        <v>0</v>
      </c>
      <c r="BY239" s="523">
        <v>0</v>
      </c>
      <c r="BZ239" s="523">
        <v>0</v>
      </c>
      <c r="CA239" s="523"/>
      <c r="CB239" s="523"/>
      <c r="CC239" s="523"/>
      <c r="CD239" s="523"/>
      <c r="CE239" s="523"/>
      <c r="CF239" s="523"/>
      <c r="CG239" s="523"/>
      <c r="CH239" s="523"/>
      <c r="CI239" s="523">
        <f t="shared" si="49"/>
        <v>0</v>
      </c>
    </row>
    <row r="240" spans="1:87" ht="15" x14ac:dyDescent="0.2">
      <c r="A240" s="680" t="s">
        <v>1721</v>
      </c>
      <c r="B240" s="569">
        <v>73542</v>
      </c>
      <c r="C240" s="569" t="s">
        <v>1324</v>
      </c>
      <c r="D240" s="569" t="s">
        <v>1722</v>
      </c>
      <c r="E240" s="681" t="s">
        <v>1723</v>
      </c>
      <c r="F240" s="644">
        <v>5.76</v>
      </c>
      <c r="G240" s="682">
        <v>0.73</v>
      </c>
      <c r="H240" s="681">
        <v>15</v>
      </c>
      <c r="I240" s="685">
        <f t="shared" si="50"/>
        <v>0</v>
      </c>
      <c r="J240" s="573">
        <f t="shared" si="51"/>
        <v>0</v>
      </c>
      <c r="K240" s="644">
        <f t="shared" si="46"/>
        <v>15</v>
      </c>
      <c r="L240" s="708">
        <f t="shared" si="54"/>
        <v>10.95</v>
      </c>
      <c r="M240" s="708">
        <f t="shared" si="54"/>
        <v>0</v>
      </c>
      <c r="N240" s="708">
        <f t="shared" si="54"/>
        <v>0</v>
      </c>
      <c r="O240" s="718">
        <f t="shared" si="54"/>
        <v>10.95</v>
      </c>
      <c r="P240" s="617">
        <f t="shared" si="48"/>
        <v>0</v>
      </c>
      <c r="Q240" s="525"/>
      <c r="S240" s="189">
        <v>0</v>
      </c>
      <c r="T240" s="189">
        <v>0</v>
      </c>
      <c r="BT240" s="525"/>
      <c r="BU240" s="523"/>
      <c r="BV240" s="523"/>
      <c r="BW240" s="523">
        <v>0</v>
      </c>
      <c r="BX240" s="523">
        <v>0</v>
      </c>
      <c r="BY240" s="523">
        <v>0</v>
      </c>
      <c r="BZ240" s="523">
        <v>0</v>
      </c>
      <c r="CA240" s="523"/>
      <c r="CB240" s="523"/>
      <c r="CC240" s="523"/>
      <c r="CD240" s="523"/>
      <c r="CE240" s="523"/>
      <c r="CF240" s="523"/>
      <c r="CG240" s="523"/>
      <c r="CH240" s="523"/>
      <c r="CI240" s="523">
        <f t="shared" si="49"/>
        <v>0</v>
      </c>
    </row>
    <row r="241" spans="1:87" ht="15" x14ac:dyDescent="0.2">
      <c r="A241" s="680" t="s">
        <v>1724</v>
      </c>
      <c r="B241" s="569">
        <v>84158</v>
      </c>
      <c r="C241" s="569" t="s">
        <v>1324</v>
      </c>
      <c r="D241" s="569" t="s">
        <v>1725</v>
      </c>
      <c r="E241" s="681" t="s">
        <v>1723</v>
      </c>
      <c r="F241" s="644">
        <v>8.1999999999999993</v>
      </c>
      <c r="G241" s="682">
        <v>1.42</v>
      </c>
      <c r="H241" s="681">
        <v>2</v>
      </c>
      <c r="I241" s="685">
        <f t="shared" si="50"/>
        <v>0</v>
      </c>
      <c r="J241" s="573">
        <f t="shared" si="51"/>
        <v>0</v>
      </c>
      <c r="K241" s="644">
        <f t="shared" si="46"/>
        <v>2</v>
      </c>
      <c r="L241" s="708">
        <f t="shared" si="54"/>
        <v>2.84</v>
      </c>
      <c r="M241" s="708">
        <f t="shared" si="54"/>
        <v>0</v>
      </c>
      <c r="N241" s="708">
        <f t="shared" si="54"/>
        <v>0</v>
      </c>
      <c r="O241" s="718">
        <f t="shared" si="54"/>
        <v>2.84</v>
      </c>
      <c r="P241" s="617">
        <f t="shared" si="48"/>
        <v>0</v>
      </c>
      <c r="Q241" s="525"/>
      <c r="S241" s="189">
        <v>0</v>
      </c>
      <c r="T241" s="189">
        <v>0</v>
      </c>
      <c r="BT241" s="525"/>
      <c r="BU241" s="523"/>
      <c r="BV241" s="523"/>
      <c r="BW241" s="523">
        <v>0</v>
      </c>
      <c r="BX241" s="523">
        <v>0</v>
      </c>
      <c r="BY241" s="523">
        <v>0</v>
      </c>
      <c r="BZ241" s="523">
        <v>0</v>
      </c>
      <c r="CA241" s="523"/>
      <c r="CB241" s="523"/>
      <c r="CC241" s="523"/>
      <c r="CD241" s="523"/>
      <c r="CE241" s="523"/>
      <c r="CF241" s="523"/>
      <c r="CG241" s="523"/>
      <c r="CH241" s="523"/>
      <c r="CI241" s="523">
        <f t="shared" si="49"/>
        <v>0</v>
      </c>
    </row>
    <row r="242" spans="1:87" ht="15" x14ac:dyDescent="0.2">
      <c r="A242" s="680" t="s">
        <v>1726</v>
      </c>
      <c r="B242" s="569">
        <v>84159</v>
      </c>
      <c r="C242" s="569" t="s">
        <v>1324</v>
      </c>
      <c r="D242" s="569" t="s">
        <v>1727</v>
      </c>
      <c r="E242" s="681" t="s">
        <v>1723</v>
      </c>
      <c r="F242" s="644">
        <v>13.75</v>
      </c>
      <c r="G242" s="682">
        <v>3.16</v>
      </c>
      <c r="H242" s="681">
        <v>1</v>
      </c>
      <c r="I242" s="685">
        <f t="shared" si="50"/>
        <v>0</v>
      </c>
      <c r="J242" s="573">
        <f t="shared" si="51"/>
        <v>0</v>
      </c>
      <c r="K242" s="644">
        <f t="shared" si="46"/>
        <v>1</v>
      </c>
      <c r="L242" s="708">
        <f t="shared" si="54"/>
        <v>3.16</v>
      </c>
      <c r="M242" s="708">
        <f t="shared" si="54"/>
        <v>0</v>
      </c>
      <c r="N242" s="708">
        <f t="shared" si="54"/>
        <v>0</v>
      </c>
      <c r="O242" s="718">
        <f t="shared" si="54"/>
        <v>3.16</v>
      </c>
      <c r="P242" s="617">
        <f t="shared" si="48"/>
        <v>0</v>
      </c>
      <c r="Q242" s="525"/>
      <c r="S242" s="189">
        <v>0</v>
      </c>
      <c r="T242" s="189">
        <v>0</v>
      </c>
      <c r="BT242" s="525"/>
      <c r="BU242" s="523"/>
      <c r="BV242" s="523"/>
      <c r="BW242" s="523">
        <v>0</v>
      </c>
      <c r="BX242" s="523">
        <v>0</v>
      </c>
      <c r="BY242" s="523">
        <v>0</v>
      </c>
      <c r="BZ242" s="523">
        <v>0</v>
      </c>
      <c r="CA242" s="523"/>
      <c r="CB242" s="523"/>
      <c r="CC242" s="523"/>
      <c r="CD242" s="523"/>
      <c r="CE242" s="523"/>
      <c r="CF242" s="523"/>
      <c r="CG242" s="523"/>
      <c r="CH242" s="523"/>
      <c r="CI242" s="523">
        <f t="shared" si="49"/>
        <v>0</v>
      </c>
    </row>
    <row r="243" spans="1:87" ht="15" x14ac:dyDescent="0.2">
      <c r="A243" s="680" t="s">
        <v>1728</v>
      </c>
      <c r="B243" s="569">
        <v>92695</v>
      </c>
      <c r="C243" s="569" t="s">
        <v>1324</v>
      </c>
      <c r="D243" s="569" t="s">
        <v>1729</v>
      </c>
      <c r="E243" s="681" t="s">
        <v>102</v>
      </c>
      <c r="F243" s="644">
        <v>27.72</v>
      </c>
      <c r="G243" s="682">
        <v>14</v>
      </c>
      <c r="H243" s="681">
        <v>15</v>
      </c>
      <c r="I243" s="685">
        <f t="shared" si="50"/>
        <v>0</v>
      </c>
      <c r="J243" s="573">
        <f t="shared" si="51"/>
        <v>0</v>
      </c>
      <c r="K243" s="644">
        <f t="shared" si="46"/>
        <v>15</v>
      </c>
      <c r="L243" s="708">
        <f t="shared" si="54"/>
        <v>210</v>
      </c>
      <c r="M243" s="708">
        <f t="shared" si="54"/>
        <v>0</v>
      </c>
      <c r="N243" s="708">
        <f t="shared" si="54"/>
        <v>0</v>
      </c>
      <c r="O243" s="718">
        <f t="shared" si="54"/>
        <v>210</v>
      </c>
      <c r="P243" s="617">
        <f t="shared" si="48"/>
        <v>0</v>
      </c>
      <c r="Q243" s="525"/>
      <c r="S243" s="189">
        <v>0</v>
      </c>
      <c r="T243" s="189">
        <v>0</v>
      </c>
      <c r="BT243" s="525"/>
      <c r="BU243" s="523"/>
      <c r="BV243" s="523"/>
      <c r="BW243" s="523">
        <v>0</v>
      </c>
      <c r="BX243" s="523">
        <v>0</v>
      </c>
      <c r="BY243" s="523">
        <v>0</v>
      </c>
      <c r="BZ243" s="523">
        <v>0</v>
      </c>
      <c r="CA243" s="523"/>
      <c r="CB243" s="523"/>
      <c r="CC243" s="523"/>
      <c r="CD243" s="523"/>
      <c r="CE243" s="523"/>
      <c r="CF243" s="523"/>
      <c r="CG243" s="523"/>
      <c r="CH243" s="523"/>
      <c r="CI243" s="523">
        <f t="shared" si="49"/>
        <v>0</v>
      </c>
    </row>
    <row r="244" spans="1:87" ht="15" x14ac:dyDescent="0.2">
      <c r="A244" s="680" t="s">
        <v>1730</v>
      </c>
      <c r="B244" s="569">
        <v>92697</v>
      </c>
      <c r="C244" s="569" t="s">
        <v>1324</v>
      </c>
      <c r="D244" s="569" t="s">
        <v>1731</v>
      </c>
      <c r="E244" s="681" t="s">
        <v>102</v>
      </c>
      <c r="F244" s="644">
        <v>71.03</v>
      </c>
      <c r="G244" s="682">
        <v>22.66</v>
      </c>
      <c r="H244" s="681">
        <v>2</v>
      </c>
      <c r="I244" s="685">
        <f t="shared" si="50"/>
        <v>0</v>
      </c>
      <c r="J244" s="573">
        <f t="shared" si="51"/>
        <v>0</v>
      </c>
      <c r="K244" s="644">
        <f t="shared" si="46"/>
        <v>2</v>
      </c>
      <c r="L244" s="708">
        <f t="shared" si="54"/>
        <v>45.32</v>
      </c>
      <c r="M244" s="708">
        <f t="shared" si="54"/>
        <v>0</v>
      </c>
      <c r="N244" s="708">
        <f t="shared" si="54"/>
        <v>0</v>
      </c>
      <c r="O244" s="718">
        <f t="shared" si="54"/>
        <v>45.32</v>
      </c>
      <c r="P244" s="617">
        <f t="shared" si="48"/>
        <v>0</v>
      </c>
      <c r="Q244" s="525"/>
      <c r="S244" s="189">
        <v>0</v>
      </c>
      <c r="T244" s="189">
        <v>0</v>
      </c>
      <c r="BT244" s="525"/>
      <c r="BU244" s="523"/>
      <c r="BV244" s="523"/>
      <c r="BW244" s="523">
        <v>0</v>
      </c>
      <c r="BX244" s="523">
        <v>0</v>
      </c>
      <c r="BY244" s="523">
        <v>0</v>
      </c>
      <c r="BZ244" s="523">
        <v>0</v>
      </c>
      <c r="CA244" s="523"/>
      <c r="CB244" s="523"/>
      <c r="CC244" s="523"/>
      <c r="CD244" s="523"/>
      <c r="CE244" s="523"/>
      <c r="CF244" s="523"/>
      <c r="CG244" s="523"/>
      <c r="CH244" s="523"/>
      <c r="CI244" s="523">
        <f t="shared" si="49"/>
        <v>0</v>
      </c>
    </row>
    <row r="245" spans="1:87" ht="15" x14ac:dyDescent="0.2">
      <c r="A245" s="680" t="s">
        <v>1732</v>
      </c>
      <c r="B245" s="569">
        <v>92662</v>
      </c>
      <c r="C245" s="569" t="s">
        <v>1324</v>
      </c>
      <c r="D245" s="569" t="s">
        <v>1733</v>
      </c>
      <c r="E245" s="681" t="s">
        <v>102</v>
      </c>
      <c r="F245" s="644">
        <v>12.99</v>
      </c>
      <c r="G245" s="682">
        <v>22.38</v>
      </c>
      <c r="H245" s="681">
        <v>1</v>
      </c>
      <c r="I245" s="685">
        <f t="shared" si="50"/>
        <v>0</v>
      </c>
      <c r="J245" s="573">
        <f t="shared" si="51"/>
        <v>0</v>
      </c>
      <c r="K245" s="644">
        <f t="shared" si="46"/>
        <v>1</v>
      </c>
      <c r="L245" s="708">
        <f t="shared" si="54"/>
        <v>22.38</v>
      </c>
      <c r="M245" s="708">
        <f t="shared" si="54"/>
        <v>0</v>
      </c>
      <c r="N245" s="708">
        <f t="shared" si="54"/>
        <v>0</v>
      </c>
      <c r="O245" s="718">
        <f t="shared" si="54"/>
        <v>22.38</v>
      </c>
      <c r="P245" s="617">
        <f t="shared" si="48"/>
        <v>0</v>
      </c>
      <c r="Q245" s="525"/>
      <c r="S245" s="189">
        <v>0</v>
      </c>
      <c r="T245" s="189">
        <v>0</v>
      </c>
      <c r="BT245" s="525"/>
      <c r="BU245" s="523"/>
      <c r="BV245" s="523"/>
      <c r="BW245" s="523">
        <v>0</v>
      </c>
      <c r="BX245" s="523">
        <v>0</v>
      </c>
      <c r="BY245" s="523">
        <v>0</v>
      </c>
      <c r="BZ245" s="523">
        <v>0</v>
      </c>
      <c r="CA245" s="523"/>
      <c r="CB245" s="523"/>
      <c r="CC245" s="523"/>
      <c r="CD245" s="523"/>
      <c r="CE245" s="523"/>
      <c r="CF245" s="523"/>
      <c r="CG245" s="523"/>
      <c r="CH245" s="523"/>
      <c r="CI245" s="523">
        <f t="shared" si="49"/>
        <v>0</v>
      </c>
    </row>
    <row r="246" spans="1:87" ht="15" x14ac:dyDescent="0.2">
      <c r="A246" s="680" t="s">
        <v>1734</v>
      </c>
      <c r="B246" s="569">
        <v>92868</v>
      </c>
      <c r="C246" s="569" t="s">
        <v>1324</v>
      </c>
      <c r="D246" s="569" t="s">
        <v>1735</v>
      </c>
      <c r="E246" s="681" t="s">
        <v>102</v>
      </c>
      <c r="F246" s="644">
        <v>14.25</v>
      </c>
      <c r="G246" s="682">
        <v>9.5299999999999994</v>
      </c>
      <c r="H246" s="681">
        <v>16</v>
      </c>
      <c r="I246" s="685">
        <f t="shared" si="50"/>
        <v>0</v>
      </c>
      <c r="J246" s="573">
        <f t="shared" si="51"/>
        <v>0</v>
      </c>
      <c r="K246" s="644">
        <f t="shared" si="46"/>
        <v>16</v>
      </c>
      <c r="L246" s="708">
        <f t="shared" si="54"/>
        <v>152.47999999999999</v>
      </c>
      <c r="M246" s="708">
        <f t="shared" si="54"/>
        <v>0</v>
      </c>
      <c r="N246" s="708">
        <f t="shared" si="54"/>
        <v>0</v>
      </c>
      <c r="O246" s="718">
        <f t="shared" si="54"/>
        <v>152.47999999999999</v>
      </c>
      <c r="P246" s="617">
        <f t="shared" si="48"/>
        <v>0</v>
      </c>
      <c r="Q246" s="525"/>
      <c r="S246" s="189">
        <v>0</v>
      </c>
      <c r="T246" s="189">
        <v>0</v>
      </c>
      <c r="BT246" s="525"/>
      <c r="BU246" s="523"/>
      <c r="BV246" s="523"/>
      <c r="BW246" s="523">
        <v>0</v>
      </c>
      <c r="BX246" s="523">
        <v>0</v>
      </c>
      <c r="BY246" s="523">
        <v>0</v>
      </c>
      <c r="BZ246" s="523">
        <v>0</v>
      </c>
      <c r="CA246" s="523"/>
      <c r="CB246" s="523"/>
      <c r="CC246" s="523"/>
      <c r="CD246" s="523"/>
      <c r="CE246" s="523"/>
      <c r="CF246" s="523"/>
      <c r="CG246" s="523"/>
      <c r="CH246" s="523"/>
      <c r="CI246" s="523">
        <f t="shared" si="49"/>
        <v>0</v>
      </c>
    </row>
    <row r="247" spans="1:87" s="663" customFormat="1" ht="15" x14ac:dyDescent="0.2">
      <c r="A247" s="680" t="s">
        <v>1736</v>
      </c>
      <c r="B247" s="569">
        <v>92865</v>
      </c>
      <c r="C247" s="569" t="s">
        <v>1324</v>
      </c>
      <c r="D247" s="569" t="s">
        <v>1737</v>
      </c>
      <c r="E247" s="681" t="s">
        <v>102</v>
      </c>
      <c r="F247" s="644">
        <v>13.19</v>
      </c>
      <c r="G247" s="682">
        <v>6.13</v>
      </c>
      <c r="H247" s="681">
        <v>7</v>
      </c>
      <c r="I247" s="685">
        <f t="shared" si="50"/>
        <v>0</v>
      </c>
      <c r="J247" s="573">
        <f t="shared" si="51"/>
        <v>0</v>
      </c>
      <c r="K247" s="644">
        <f t="shared" si="46"/>
        <v>7</v>
      </c>
      <c r="L247" s="708">
        <f t="shared" si="54"/>
        <v>42.91</v>
      </c>
      <c r="M247" s="708">
        <f t="shared" si="54"/>
        <v>0</v>
      </c>
      <c r="N247" s="708">
        <f t="shared" si="54"/>
        <v>0</v>
      </c>
      <c r="O247" s="718">
        <f t="shared" si="54"/>
        <v>42.91</v>
      </c>
      <c r="P247" s="617">
        <f t="shared" si="48"/>
        <v>0</v>
      </c>
      <c r="Q247" s="525"/>
      <c r="S247" s="190">
        <v>0</v>
      </c>
      <c r="T247" s="190">
        <v>0</v>
      </c>
      <c r="BT247" s="525"/>
      <c r="BU247" s="523"/>
      <c r="BV247" s="523"/>
      <c r="BW247" s="523">
        <v>0</v>
      </c>
      <c r="BX247" s="523">
        <v>0</v>
      </c>
      <c r="BY247" s="523">
        <v>0</v>
      </c>
      <c r="BZ247" s="523">
        <v>0</v>
      </c>
      <c r="CA247" s="523"/>
      <c r="CB247" s="523"/>
      <c r="CC247" s="523"/>
      <c r="CD247" s="523"/>
      <c r="CE247" s="523"/>
      <c r="CF247" s="523"/>
      <c r="CG247" s="523"/>
      <c r="CH247" s="523"/>
      <c r="CI247" s="523">
        <f t="shared" si="49"/>
        <v>0</v>
      </c>
    </row>
    <row r="248" spans="1:87" ht="15.75" x14ac:dyDescent="0.2">
      <c r="A248" s="605" t="s">
        <v>634</v>
      </c>
      <c r="B248" s="586"/>
      <c r="C248" s="586"/>
      <c r="D248" s="586" t="s">
        <v>1738</v>
      </c>
      <c r="E248" s="683"/>
      <c r="F248" s="683"/>
      <c r="G248" s="683"/>
      <c r="H248" s="683"/>
      <c r="I248" s="748"/>
      <c r="J248" s="748"/>
      <c r="K248" s="748"/>
      <c r="L248" s="733">
        <f>SUM(L249:L252)</f>
        <v>4345.79</v>
      </c>
      <c r="M248" s="733">
        <f>SUM(M249:M252)</f>
        <v>0</v>
      </c>
      <c r="N248" s="733">
        <f>SUM(N249:N252)</f>
        <v>0</v>
      </c>
      <c r="O248" s="722">
        <f>SUM(O249:O252)</f>
        <v>4345.79</v>
      </c>
      <c r="P248" s="611">
        <f t="shared" si="48"/>
        <v>0</v>
      </c>
      <c r="Q248" s="525"/>
      <c r="S248" s="189">
        <v>0</v>
      </c>
      <c r="T248" s="189">
        <v>0</v>
      </c>
      <c r="BT248" s="525"/>
      <c r="BU248" s="523"/>
      <c r="BV248" s="523"/>
      <c r="BW248" s="523">
        <v>0</v>
      </c>
      <c r="BX248" s="523">
        <v>0</v>
      </c>
      <c r="BY248" s="523"/>
      <c r="BZ248" s="523"/>
      <c r="CA248" s="523"/>
      <c r="CB248" s="523"/>
      <c r="CC248" s="523"/>
      <c r="CD248" s="523"/>
      <c r="CE248" s="523"/>
      <c r="CF248" s="523"/>
      <c r="CG248" s="523"/>
      <c r="CH248" s="523"/>
      <c r="CI248" s="523">
        <f t="shared" si="49"/>
        <v>0</v>
      </c>
    </row>
    <row r="249" spans="1:87" ht="15" x14ac:dyDescent="0.2">
      <c r="A249" s="680" t="s">
        <v>1739</v>
      </c>
      <c r="B249" s="569">
        <v>91926</v>
      </c>
      <c r="C249" s="569" t="s">
        <v>1324</v>
      </c>
      <c r="D249" s="569" t="s">
        <v>1740</v>
      </c>
      <c r="E249" s="681" t="s">
        <v>81</v>
      </c>
      <c r="F249" s="644">
        <v>26.32</v>
      </c>
      <c r="G249" s="682">
        <v>2.31</v>
      </c>
      <c r="H249" s="681">
        <v>190</v>
      </c>
      <c r="I249" s="685">
        <f t="shared" si="50"/>
        <v>0</v>
      </c>
      <c r="J249" s="573">
        <f t="shared" si="51"/>
        <v>0</v>
      </c>
      <c r="K249" s="644">
        <f t="shared" si="46"/>
        <v>190</v>
      </c>
      <c r="L249" s="708">
        <f t="shared" ref="L249:O252" si="55">ROUND(H249*$G249,2)</f>
        <v>438.9</v>
      </c>
      <c r="M249" s="708">
        <f t="shared" si="55"/>
        <v>0</v>
      </c>
      <c r="N249" s="708">
        <f t="shared" si="55"/>
        <v>0</v>
      </c>
      <c r="O249" s="718">
        <f t="shared" si="55"/>
        <v>438.9</v>
      </c>
      <c r="P249" s="617">
        <f t="shared" si="48"/>
        <v>0</v>
      </c>
      <c r="Q249" s="525"/>
      <c r="S249" s="189">
        <v>0</v>
      </c>
      <c r="T249" s="189">
        <v>0</v>
      </c>
      <c r="BT249" s="525"/>
      <c r="BU249" s="523"/>
      <c r="BV249" s="523"/>
      <c r="BW249" s="523">
        <v>0</v>
      </c>
      <c r="BX249" s="523">
        <v>0</v>
      </c>
      <c r="BY249" s="523">
        <v>0</v>
      </c>
      <c r="BZ249" s="523">
        <v>0</v>
      </c>
      <c r="CA249" s="523"/>
      <c r="CB249" s="523"/>
      <c r="CC249" s="523"/>
      <c r="CD249" s="523"/>
      <c r="CE249" s="523"/>
      <c r="CF249" s="523"/>
      <c r="CG249" s="523"/>
      <c r="CH249" s="523"/>
      <c r="CI249" s="523">
        <f t="shared" si="49"/>
        <v>0</v>
      </c>
    </row>
    <row r="250" spans="1:87" ht="15" x14ac:dyDescent="0.2">
      <c r="A250" s="680" t="s">
        <v>1741</v>
      </c>
      <c r="B250" s="569">
        <v>91928</v>
      </c>
      <c r="C250" s="569" t="s">
        <v>1324</v>
      </c>
      <c r="D250" s="569" t="s">
        <v>1742</v>
      </c>
      <c r="E250" s="681" t="s">
        <v>81</v>
      </c>
      <c r="F250" s="644">
        <v>61.2</v>
      </c>
      <c r="G250" s="682">
        <v>3.64</v>
      </c>
      <c r="H250" s="681">
        <v>820</v>
      </c>
      <c r="I250" s="685">
        <f t="shared" si="50"/>
        <v>0</v>
      </c>
      <c r="J250" s="573">
        <f t="shared" si="51"/>
        <v>0</v>
      </c>
      <c r="K250" s="644">
        <f t="shared" si="46"/>
        <v>820</v>
      </c>
      <c r="L250" s="708">
        <f t="shared" si="55"/>
        <v>2984.8</v>
      </c>
      <c r="M250" s="708">
        <f t="shared" si="55"/>
        <v>0</v>
      </c>
      <c r="N250" s="708">
        <f t="shared" si="55"/>
        <v>0</v>
      </c>
      <c r="O250" s="718">
        <f t="shared" si="55"/>
        <v>2984.8</v>
      </c>
      <c r="P250" s="617">
        <f t="shared" si="48"/>
        <v>0</v>
      </c>
      <c r="Q250" s="525"/>
      <c r="S250" s="189">
        <v>0</v>
      </c>
      <c r="T250" s="189">
        <v>0</v>
      </c>
      <c r="BT250" s="525"/>
      <c r="BU250" s="523"/>
      <c r="BV250" s="523"/>
      <c r="BW250" s="523">
        <v>0</v>
      </c>
      <c r="BX250" s="523">
        <v>0</v>
      </c>
      <c r="BY250" s="523">
        <v>0</v>
      </c>
      <c r="BZ250" s="523">
        <v>0</v>
      </c>
      <c r="CA250" s="523"/>
      <c r="CB250" s="523"/>
      <c r="CC250" s="523"/>
      <c r="CD250" s="523"/>
      <c r="CE250" s="523"/>
      <c r="CF250" s="523"/>
      <c r="CG250" s="523"/>
      <c r="CH250" s="523"/>
      <c r="CI250" s="523">
        <f t="shared" si="49"/>
        <v>0</v>
      </c>
    </row>
    <row r="251" spans="1:87" ht="15" x14ac:dyDescent="0.2">
      <c r="A251" s="680" t="s">
        <v>1743</v>
      </c>
      <c r="B251" s="569">
        <v>91934</v>
      </c>
      <c r="C251" s="569" t="s">
        <v>1324</v>
      </c>
      <c r="D251" s="569" t="s">
        <v>1744</v>
      </c>
      <c r="E251" s="681" t="s">
        <v>81</v>
      </c>
      <c r="F251" s="571"/>
      <c r="G251" s="682">
        <v>12.3</v>
      </c>
      <c r="H251" s="681">
        <v>14</v>
      </c>
      <c r="I251" s="685">
        <f t="shared" si="50"/>
        <v>0</v>
      </c>
      <c r="J251" s="573">
        <f t="shared" si="51"/>
        <v>0</v>
      </c>
      <c r="K251" s="644">
        <f t="shared" si="46"/>
        <v>14</v>
      </c>
      <c r="L251" s="708">
        <f t="shared" si="55"/>
        <v>172.2</v>
      </c>
      <c r="M251" s="708">
        <f t="shared" si="55"/>
        <v>0</v>
      </c>
      <c r="N251" s="708">
        <f t="shared" si="55"/>
        <v>0</v>
      </c>
      <c r="O251" s="718">
        <f t="shared" si="55"/>
        <v>172.2</v>
      </c>
      <c r="P251" s="617">
        <f t="shared" si="48"/>
        <v>0</v>
      </c>
      <c r="Q251" s="525"/>
      <c r="S251" s="189">
        <v>0</v>
      </c>
      <c r="T251" s="189">
        <v>0</v>
      </c>
      <c r="BT251" s="525"/>
      <c r="BU251" s="523"/>
      <c r="BV251" s="523"/>
      <c r="BW251" s="523">
        <v>0</v>
      </c>
      <c r="BX251" s="523">
        <v>0</v>
      </c>
      <c r="BY251" s="523">
        <v>0</v>
      </c>
      <c r="BZ251" s="523">
        <v>0</v>
      </c>
      <c r="CA251" s="523"/>
      <c r="CB251" s="523"/>
      <c r="CC251" s="523"/>
      <c r="CD251" s="523"/>
      <c r="CE251" s="523"/>
      <c r="CF251" s="523"/>
      <c r="CG251" s="523"/>
      <c r="CH251" s="523"/>
      <c r="CI251" s="523">
        <f t="shared" si="49"/>
        <v>0</v>
      </c>
    </row>
    <row r="252" spans="1:87" s="663" customFormat="1" ht="15" x14ac:dyDescent="0.2">
      <c r="A252" s="680" t="s">
        <v>1745</v>
      </c>
      <c r="B252" s="569">
        <v>92985</v>
      </c>
      <c r="C252" s="569" t="s">
        <v>1324</v>
      </c>
      <c r="D252" s="569" t="s">
        <v>1746</v>
      </c>
      <c r="E252" s="681" t="s">
        <v>81</v>
      </c>
      <c r="F252" s="644">
        <v>8.39</v>
      </c>
      <c r="G252" s="682">
        <v>18.29</v>
      </c>
      <c r="H252" s="681">
        <v>41</v>
      </c>
      <c r="I252" s="685">
        <f t="shared" si="50"/>
        <v>0</v>
      </c>
      <c r="J252" s="573">
        <f t="shared" si="51"/>
        <v>0</v>
      </c>
      <c r="K252" s="644">
        <f t="shared" si="46"/>
        <v>41</v>
      </c>
      <c r="L252" s="708">
        <f t="shared" si="55"/>
        <v>749.89</v>
      </c>
      <c r="M252" s="708">
        <f t="shared" si="55"/>
        <v>0</v>
      </c>
      <c r="N252" s="708">
        <f t="shared" si="55"/>
        <v>0</v>
      </c>
      <c r="O252" s="718">
        <f t="shared" si="55"/>
        <v>749.89</v>
      </c>
      <c r="P252" s="617">
        <f t="shared" si="48"/>
        <v>0</v>
      </c>
      <c r="Q252" s="525"/>
      <c r="S252" s="190">
        <v>0</v>
      </c>
      <c r="T252" s="190">
        <v>0</v>
      </c>
      <c r="BT252" s="525"/>
      <c r="BU252" s="523"/>
      <c r="BV252" s="523"/>
      <c r="BW252" s="523">
        <v>0</v>
      </c>
      <c r="BX252" s="523">
        <v>0</v>
      </c>
      <c r="BY252" s="523">
        <v>0</v>
      </c>
      <c r="BZ252" s="523">
        <v>0</v>
      </c>
      <c r="CA252" s="523"/>
      <c r="CB252" s="523"/>
      <c r="CC252" s="523"/>
      <c r="CD252" s="523"/>
      <c r="CE252" s="523"/>
      <c r="CF252" s="523"/>
      <c r="CG252" s="523"/>
      <c r="CH252" s="523"/>
      <c r="CI252" s="523">
        <f t="shared" si="49"/>
        <v>0</v>
      </c>
    </row>
    <row r="253" spans="1:87" ht="15.75" x14ac:dyDescent="0.2">
      <c r="A253" s="605" t="s">
        <v>640</v>
      </c>
      <c r="B253" s="586"/>
      <c r="C253" s="586"/>
      <c r="D253" s="586" t="s">
        <v>1747</v>
      </c>
      <c r="E253" s="683"/>
      <c r="F253" s="683"/>
      <c r="G253" s="683"/>
      <c r="H253" s="683"/>
      <c r="I253" s="748"/>
      <c r="J253" s="748"/>
      <c r="K253" s="748"/>
      <c r="L253" s="733">
        <f>SUM(L254:L259)</f>
        <v>10299.74</v>
      </c>
      <c r="M253" s="733">
        <f>SUM(M254:M259)</f>
        <v>0</v>
      </c>
      <c r="N253" s="733">
        <f>SUM(N254:N259)</f>
        <v>0</v>
      </c>
      <c r="O253" s="722">
        <f>SUM(O254:O259)</f>
        <v>10299.74</v>
      </c>
      <c r="P253" s="611">
        <f t="shared" si="48"/>
        <v>0</v>
      </c>
      <c r="Q253" s="525"/>
      <c r="S253" s="189">
        <v>0</v>
      </c>
      <c r="T253" s="189">
        <v>0</v>
      </c>
      <c r="BT253" s="525"/>
      <c r="BU253" s="523"/>
      <c r="BV253" s="523"/>
      <c r="BW253" s="523">
        <v>0</v>
      </c>
      <c r="BX253" s="523">
        <v>0</v>
      </c>
      <c r="BY253" s="523"/>
      <c r="BZ253" s="523"/>
      <c r="CA253" s="523"/>
      <c r="CB253" s="523"/>
      <c r="CC253" s="523"/>
      <c r="CD253" s="523"/>
      <c r="CE253" s="523"/>
      <c r="CF253" s="523"/>
      <c r="CG253" s="523"/>
      <c r="CH253" s="523"/>
      <c r="CI253" s="523">
        <f t="shared" si="49"/>
        <v>0</v>
      </c>
    </row>
    <row r="254" spans="1:87" ht="15" x14ac:dyDescent="0.2">
      <c r="A254" s="680" t="s">
        <v>1748</v>
      </c>
      <c r="B254" s="569">
        <v>92000</v>
      </c>
      <c r="C254" s="569" t="s">
        <v>1324</v>
      </c>
      <c r="D254" s="569" t="s">
        <v>1749</v>
      </c>
      <c r="E254" s="681" t="s">
        <v>102</v>
      </c>
      <c r="F254" s="644">
        <v>21.53</v>
      </c>
      <c r="G254" s="682">
        <v>20.07</v>
      </c>
      <c r="H254" s="681">
        <v>4</v>
      </c>
      <c r="I254" s="685">
        <f t="shared" si="50"/>
        <v>0</v>
      </c>
      <c r="J254" s="573">
        <f t="shared" si="51"/>
        <v>0</v>
      </c>
      <c r="K254" s="644">
        <f t="shared" si="46"/>
        <v>4</v>
      </c>
      <c r="L254" s="708">
        <f t="shared" ref="L254:O259" si="56">ROUND(H254*$G254,2)</f>
        <v>80.28</v>
      </c>
      <c r="M254" s="708">
        <f t="shared" si="56"/>
        <v>0</v>
      </c>
      <c r="N254" s="708">
        <f t="shared" si="56"/>
        <v>0</v>
      </c>
      <c r="O254" s="718">
        <f t="shared" si="56"/>
        <v>80.28</v>
      </c>
      <c r="P254" s="617">
        <f t="shared" si="48"/>
        <v>0</v>
      </c>
      <c r="Q254" s="525"/>
      <c r="S254" s="189">
        <v>0</v>
      </c>
      <c r="T254" s="189">
        <v>0</v>
      </c>
      <c r="BT254" s="525"/>
      <c r="BU254" s="523"/>
      <c r="BV254" s="523"/>
      <c r="BW254" s="523">
        <v>0</v>
      </c>
      <c r="BX254" s="523">
        <v>0</v>
      </c>
      <c r="BY254" s="523">
        <v>0</v>
      </c>
      <c r="BZ254" s="523">
        <v>0</v>
      </c>
      <c r="CA254" s="523"/>
      <c r="CB254" s="523"/>
      <c r="CC254" s="523"/>
      <c r="CD254" s="523"/>
      <c r="CE254" s="523"/>
      <c r="CF254" s="523"/>
      <c r="CG254" s="523"/>
      <c r="CH254" s="523"/>
      <c r="CI254" s="523">
        <f t="shared" si="49"/>
        <v>0</v>
      </c>
    </row>
    <row r="255" spans="1:87" ht="15" x14ac:dyDescent="0.2">
      <c r="A255" s="680" t="s">
        <v>1750</v>
      </c>
      <c r="B255" s="569">
        <v>92001</v>
      </c>
      <c r="C255" s="569" t="s">
        <v>1324</v>
      </c>
      <c r="D255" s="569" t="s">
        <v>1751</v>
      </c>
      <c r="E255" s="681" t="s">
        <v>102</v>
      </c>
      <c r="F255" s="644">
        <v>133.13999999999999</v>
      </c>
      <c r="G255" s="682">
        <v>21.83</v>
      </c>
      <c r="H255" s="681">
        <v>1</v>
      </c>
      <c r="I255" s="685">
        <f t="shared" si="50"/>
        <v>0</v>
      </c>
      <c r="J255" s="573">
        <f t="shared" si="51"/>
        <v>0</v>
      </c>
      <c r="K255" s="644">
        <f t="shared" si="46"/>
        <v>1</v>
      </c>
      <c r="L255" s="708">
        <f t="shared" si="56"/>
        <v>21.83</v>
      </c>
      <c r="M255" s="708">
        <f t="shared" si="56"/>
        <v>0</v>
      </c>
      <c r="N255" s="708">
        <f t="shared" si="56"/>
        <v>0</v>
      </c>
      <c r="O255" s="718">
        <f t="shared" si="56"/>
        <v>21.83</v>
      </c>
      <c r="P255" s="617">
        <f t="shared" si="48"/>
        <v>0</v>
      </c>
      <c r="Q255" s="525"/>
      <c r="S255" s="189">
        <v>0</v>
      </c>
      <c r="T255" s="189">
        <v>0</v>
      </c>
      <c r="BT255" s="525"/>
      <c r="BU255" s="523"/>
      <c r="BV255" s="523"/>
      <c r="BW255" s="523">
        <v>0</v>
      </c>
      <c r="BX255" s="523">
        <v>0</v>
      </c>
      <c r="BY255" s="523">
        <v>0</v>
      </c>
      <c r="BZ255" s="523">
        <v>0</v>
      </c>
      <c r="CA255" s="523"/>
      <c r="CB255" s="523"/>
      <c r="CC255" s="523"/>
      <c r="CD255" s="523"/>
      <c r="CE255" s="523"/>
      <c r="CF255" s="523"/>
      <c r="CG255" s="523"/>
      <c r="CH255" s="523"/>
      <c r="CI255" s="523">
        <f t="shared" si="49"/>
        <v>0</v>
      </c>
    </row>
    <row r="256" spans="1:87" ht="15" x14ac:dyDescent="0.2">
      <c r="A256" s="680" t="s">
        <v>1752</v>
      </c>
      <c r="B256" s="569">
        <v>91953</v>
      </c>
      <c r="C256" s="569" t="s">
        <v>1324</v>
      </c>
      <c r="D256" s="569" t="s">
        <v>1753</v>
      </c>
      <c r="E256" s="681" t="s">
        <v>102</v>
      </c>
      <c r="F256" s="571"/>
      <c r="G256" s="682">
        <v>18.98</v>
      </c>
      <c r="H256" s="681">
        <v>7</v>
      </c>
      <c r="I256" s="685">
        <f t="shared" si="50"/>
        <v>0</v>
      </c>
      <c r="J256" s="573">
        <f t="shared" si="51"/>
        <v>0</v>
      </c>
      <c r="K256" s="644">
        <f t="shared" si="46"/>
        <v>7</v>
      </c>
      <c r="L256" s="708">
        <f t="shared" si="56"/>
        <v>132.86000000000001</v>
      </c>
      <c r="M256" s="708">
        <f t="shared" si="56"/>
        <v>0</v>
      </c>
      <c r="N256" s="708">
        <f t="shared" si="56"/>
        <v>0</v>
      </c>
      <c r="O256" s="718">
        <f t="shared" si="56"/>
        <v>132.86000000000001</v>
      </c>
      <c r="P256" s="617">
        <f t="shared" si="48"/>
        <v>0</v>
      </c>
      <c r="Q256" s="525"/>
      <c r="S256" s="189">
        <v>0</v>
      </c>
      <c r="T256" s="189">
        <v>0</v>
      </c>
      <c r="BT256" s="525"/>
      <c r="BU256" s="523"/>
      <c r="BV256" s="523"/>
      <c r="BW256" s="523">
        <v>0</v>
      </c>
      <c r="BX256" s="523">
        <v>0</v>
      </c>
      <c r="BY256" s="523">
        <v>0</v>
      </c>
      <c r="BZ256" s="523">
        <v>0</v>
      </c>
      <c r="CA256" s="523"/>
      <c r="CB256" s="523"/>
      <c r="CC256" s="523"/>
      <c r="CD256" s="523"/>
      <c r="CE256" s="523"/>
      <c r="CF256" s="523"/>
      <c r="CG256" s="523"/>
      <c r="CH256" s="523"/>
      <c r="CI256" s="523">
        <f t="shared" si="49"/>
        <v>0</v>
      </c>
    </row>
    <row r="257" spans="1:87" ht="15" x14ac:dyDescent="0.2">
      <c r="A257" s="680" t="s">
        <v>1754</v>
      </c>
      <c r="B257" s="569" t="s">
        <v>1755</v>
      </c>
      <c r="C257" s="569" t="s">
        <v>1324</v>
      </c>
      <c r="D257" s="569" t="s">
        <v>1756</v>
      </c>
      <c r="E257" s="681" t="s">
        <v>102</v>
      </c>
      <c r="F257" s="644">
        <v>1.81</v>
      </c>
      <c r="G257" s="682">
        <v>133.31</v>
      </c>
      <c r="H257" s="681">
        <v>1</v>
      </c>
      <c r="I257" s="685">
        <f t="shared" si="50"/>
        <v>0</v>
      </c>
      <c r="J257" s="573">
        <f t="shared" si="51"/>
        <v>0</v>
      </c>
      <c r="K257" s="644">
        <f t="shared" si="46"/>
        <v>1</v>
      </c>
      <c r="L257" s="708">
        <f t="shared" si="56"/>
        <v>133.31</v>
      </c>
      <c r="M257" s="708">
        <f t="shared" si="56"/>
        <v>0</v>
      </c>
      <c r="N257" s="708">
        <f t="shared" si="56"/>
        <v>0</v>
      </c>
      <c r="O257" s="718">
        <f t="shared" si="56"/>
        <v>133.31</v>
      </c>
      <c r="P257" s="617">
        <f t="shared" si="48"/>
        <v>0</v>
      </c>
      <c r="Q257" s="525"/>
      <c r="S257" s="189">
        <v>0</v>
      </c>
      <c r="T257" s="189">
        <v>0</v>
      </c>
      <c r="BT257" s="525"/>
      <c r="BU257" s="523"/>
      <c r="BV257" s="523"/>
      <c r="BW257" s="523">
        <v>0</v>
      </c>
      <c r="BX257" s="523">
        <v>0</v>
      </c>
      <c r="BY257" s="523">
        <v>0</v>
      </c>
      <c r="BZ257" s="523">
        <v>0</v>
      </c>
      <c r="CA257" s="523"/>
      <c r="CB257" s="523"/>
      <c r="CC257" s="523"/>
      <c r="CD257" s="523"/>
      <c r="CE257" s="523"/>
      <c r="CF257" s="523"/>
      <c r="CG257" s="523"/>
      <c r="CH257" s="523"/>
      <c r="CI257" s="523">
        <f t="shared" si="49"/>
        <v>0</v>
      </c>
    </row>
    <row r="258" spans="1:87" ht="15" x14ac:dyDescent="0.2">
      <c r="A258" s="680" t="s">
        <v>1757</v>
      </c>
      <c r="B258" s="569" t="s">
        <v>1758</v>
      </c>
      <c r="C258" s="569" t="s">
        <v>1324</v>
      </c>
      <c r="D258" s="569" t="s">
        <v>1759</v>
      </c>
      <c r="E258" s="681" t="s">
        <v>102</v>
      </c>
      <c r="F258" s="644">
        <v>2.93</v>
      </c>
      <c r="G258" s="682">
        <v>156.31</v>
      </c>
      <c r="H258" s="681">
        <v>6</v>
      </c>
      <c r="I258" s="685">
        <f t="shared" si="50"/>
        <v>0</v>
      </c>
      <c r="J258" s="573">
        <f t="shared" si="51"/>
        <v>0</v>
      </c>
      <c r="K258" s="644">
        <f t="shared" si="46"/>
        <v>6</v>
      </c>
      <c r="L258" s="708">
        <f t="shared" si="56"/>
        <v>937.86</v>
      </c>
      <c r="M258" s="708">
        <f t="shared" si="56"/>
        <v>0</v>
      </c>
      <c r="N258" s="708">
        <f t="shared" si="56"/>
        <v>0</v>
      </c>
      <c r="O258" s="718">
        <f t="shared" si="56"/>
        <v>937.86</v>
      </c>
      <c r="P258" s="617">
        <f t="shared" si="48"/>
        <v>0</v>
      </c>
      <c r="Q258" s="525"/>
      <c r="S258" s="189">
        <v>0</v>
      </c>
      <c r="T258" s="189">
        <v>0</v>
      </c>
      <c r="BT258" s="525"/>
      <c r="BU258" s="523"/>
      <c r="BV258" s="523"/>
      <c r="BW258" s="523">
        <v>0</v>
      </c>
      <c r="BX258" s="523">
        <v>0</v>
      </c>
      <c r="BY258" s="523">
        <v>0</v>
      </c>
      <c r="BZ258" s="523">
        <v>0</v>
      </c>
      <c r="CA258" s="523"/>
      <c r="CB258" s="523"/>
      <c r="CC258" s="523"/>
      <c r="CD258" s="523"/>
      <c r="CE258" s="523"/>
      <c r="CF258" s="523"/>
      <c r="CG258" s="523"/>
      <c r="CH258" s="523"/>
      <c r="CI258" s="523">
        <f t="shared" si="49"/>
        <v>0</v>
      </c>
    </row>
    <row r="259" spans="1:87" ht="30" x14ac:dyDescent="0.2">
      <c r="A259" s="680" t="s">
        <v>1760</v>
      </c>
      <c r="B259" s="569" t="s">
        <v>2007</v>
      </c>
      <c r="C259" s="569" t="s">
        <v>1339</v>
      </c>
      <c r="D259" s="569" t="s">
        <v>1761</v>
      </c>
      <c r="E259" s="681" t="s">
        <v>102</v>
      </c>
      <c r="F259" s="644">
        <v>4.1100000000000003</v>
      </c>
      <c r="G259" s="682">
        <v>449.68</v>
      </c>
      <c r="H259" s="681">
        <v>20</v>
      </c>
      <c r="I259" s="685">
        <f t="shared" si="50"/>
        <v>0</v>
      </c>
      <c r="J259" s="573">
        <f t="shared" si="51"/>
        <v>0</v>
      </c>
      <c r="K259" s="644">
        <f t="shared" si="46"/>
        <v>20</v>
      </c>
      <c r="L259" s="708">
        <f t="shared" si="56"/>
        <v>8993.6</v>
      </c>
      <c r="M259" s="708">
        <f t="shared" si="56"/>
        <v>0</v>
      </c>
      <c r="N259" s="708">
        <f t="shared" si="56"/>
        <v>0</v>
      </c>
      <c r="O259" s="718">
        <f t="shared" si="56"/>
        <v>8993.6</v>
      </c>
      <c r="P259" s="617">
        <f t="shared" si="48"/>
        <v>0</v>
      </c>
      <c r="Q259" s="525"/>
      <c r="S259" s="189">
        <v>0</v>
      </c>
      <c r="T259" s="189">
        <v>0</v>
      </c>
      <c r="BT259" s="525"/>
      <c r="BU259" s="523"/>
      <c r="BV259" s="523"/>
      <c r="BW259" s="523">
        <v>0</v>
      </c>
      <c r="BX259" s="523">
        <v>0</v>
      </c>
      <c r="BY259" s="523">
        <v>0</v>
      </c>
      <c r="BZ259" s="523">
        <v>0</v>
      </c>
      <c r="CA259" s="523"/>
      <c r="CB259" s="523"/>
      <c r="CC259" s="523"/>
      <c r="CD259" s="523"/>
      <c r="CE259" s="523"/>
      <c r="CF259" s="523"/>
      <c r="CG259" s="523"/>
      <c r="CH259" s="523"/>
      <c r="CI259" s="523">
        <f t="shared" si="49"/>
        <v>0</v>
      </c>
    </row>
    <row r="260" spans="1:87" ht="15.75" x14ac:dyDescent="0.2">
      <c r="A260" s="600">
        <v>18</v>
      </c>
      <c r="B260" s="558"/>
      <c r="C260" s="558"/>
      <c r="D260" s="558" t="s">
        <v>1762</v>
      </c>
      <c r="E260" s="626"/>
      <c r="F260" s="626"/>
      <c r="G260" s="626"/>
      <c r="H260" s="626"/>
      <c r="I260" s="747"/>
      <c r="J260" s="747"/>
      <c r="K260" s="747"/>
      <c r="L260" s="734">
        <f>SUM(L261:L268)</f>
        <v>7237.1900000000014</v>
      </c>
      <c r="M260" s="734">
        <f>SUM(M261:M268)</f>
        <v>0</v>
      </c>
      <c r="N260" s="734">
        <f>SUM(N261:N268)</f>
        <v>0</v>
      </c>
      <c r="O260" s="721">
        <f>SUM(O261:O268)</f>
        <v>7237.1900000000014</v>
      </c>
      <c r="P260" s="604">
        <f t="shared" si="48"/>
        <v>0</v>
      </c>
      <c r="Q260" s="525"/>
      <c r="S260" s="189">
        <v>0</v>
      </c>
      <c r="T260" s="189">
        <v>0</v>
      </c>
      <c r="BT260" s="525"/>
      <c r="BU260" s="523"/>
      <c r="BV260" s="523"/>
      <c r="BW260" s="523">
        <v>0</v>
      </c>
      <c r="BX260" s="523">
        <v>0</v>
      </c>
      <c r="BY260" s="523"/>
      <c r="BZ260" s="523"/>
      <c r="CA260" s="523"/>
      <c r="CB260" s="523"/>
      <c r="CC260" s="523"/>
      <c r="CD260" s="523"/>
      <c r="CE260" s="523"/>
      <c r="CF260" s="523"/>
      <c r="CG260" s="523"/>
      <c r="CH260" s="523"/>
      <c r="CI260" s="523">
        <f t="shared" si="49"/>
        <v>0</v>
      </c>
    </row>
    <row r="261" spans="1:87" ht="30" x14ac:dyDescent="0.2">
      <c r="A261" s="680" t="s">
        <v>657</v>
      </c>
      <c r="B261" s="569" t="s">
        <v>2007</v>
      </c>
      <c r="C261" s="569" t="s">
        <v>1339</v>
      </c>
      <c r="D261" s="569" t="s">
        <v>1763</v>
      </c>
      <c r="E261" s="681" t="s">
        <v>102</v>
      </c>
      <c r="F261" s="571"/>
      <c r="G261" s="682">
        <v>205.82</v>
      </c>
      <c r="H261" s="681">
        <v>7</v>
      </c>
      <c r="I261" s="685">
        <f t="shared" si="50"/>
        <v>0</v>
      </c>
      <c r="J261" s="573">
        <f t="shared" si="51"/>
        <v>0</v>
      </c>
      <c r="K261" s="644">
        <f t="shared" ref="K261:K284" si="57">H261-J261</f>
        <v>7</v>
      </c>
      <c r="L261" s="708">
        <f t="shared" ref="L261:O268" si="58">ROUND(H261*$G261,2)</f>
        <v>1440.74</v>
      </c>
      <c r="M261" s="708">
        <f t="shared" si="58"/>
        <v>0</v>
      </c>
      <c r="N261" s="708">
        <f t="shared" si="58"/>
        <v>0</v>
      </c>
      <c r="O261" s="718">
        <f t="shared" si="58"/>
        <v>1440.74</v>
      </c>
      <c r="P261" s="617">
        <f t="shared" si="48"/>
        <v>0</v>
      </c>
      <c r="Q261" s="525"/>
      <c r="S261" s="189">
        <v>0</v>
      </c>
      <c r="T261" s="189">
        <v>0</v>
      </c>
      <c r="BT261" s="525"/>
      <c r="BU261" s="523"/>
      <c r="BV261" s="523"/>
      <c r="BW261" s="523">
        <v>0</v>
      </c>
      <c r="BX261" s="523">
        <v>0</v>
      </c>
      <c r="BY261" s="523">
        <v>0</v>
      </c>
      <c r="BZ261" s="523">
        <v>0</v>
      </c>
      <c r="CA261" s="523"/>
      <c r="CB261" s="523"/>
      <c r="CC261" s="523"/>
      <c r="CD261" s="523"/>
      <c r="CE261" s="523"/>
      <c r="CF261" s="523"/>
      <c r="CG261" s="523"/>
      <c r="CH261" s="523"/>
      <c r="CI261" s="523">
        <f t="shared" si="49"/>
        <v>0</v>
      </c>
    </row>
    <row r="262" spans="1:87" ht="15" x14ac:dyDescent="0.2">
      <c r="A262" s="680" t="s">
        <v>664</v>
      </c>
      <c r="B262" s="569" t="s">
        <v>2007</v>
      </c>
      <c r="C262" s="569" t="s">
        <v>1339</v>
      </c>
      <c r="D262" s="569" t="s">
        <v>1764</v>
      </c>
      <c r="E262" s="681" t="s">
        <v>102</v>
      </c>
      <c r="F262" s="644">
        <v>179.19</v>
      </c>
      <c r="G262" s="682">
        <v>232.41</v>
      </c>
      <c r="H262" s="681">
        <v>1</v>
      </c>
      <c r="I262" s="685">
        <f t="shared" si="50"/>
        <v>0</v>
      </c>
      <c r="J262" s="573">
        <f t="shared" si="51"/>
        <v>0</v>
      </c>
      <c r="K262" s="644">
        <f t="shared" si="57"/>
        <v>1</v>
      </c>
      <c r="L262" s="708">
        <f t="shared" si="58"/>
        <v>232.41</v>
      </c>
      <c r="M262" s="708">
        <f t="shared" si="58"/>
        <v>0</v>
      </c>
      <c r="N262" s="708">
        <f t="shared" si="58"/>
        <v>0</v>
      </c>
      <c r="O262" s="718">
        <f t="shared" si="58"/>
        <v>232.41</v>
      </c>
      <c r="P262" s="617">
        <f t="shared" si="48"/>
        <v>0</v>
      </c>
      <c r="Q262" s="525"/>
      <c r="S262" s="189">
        <v>0</v>
      </c>
      <c r="T262" s="189">
        <v>0</v>
      </c>
      <c r="BT262" s="525"/>
      <c r="BU262" s="523"/>
      <c r="BV262" s="523"/>
      <c r="BW262" s="523">
        <v>0</v>
      </c>
      <c r="BX262" s="523">
        <v>0</v>
      </c>
      <c r="BY262" s="523">
        <v>0</v>
      </c>
      <c r="BZ262" s="523">
        <v>0</v>
      </c>
      <c r="CA262" s="523"/>
      <c r="CB262" s="523"/>
      <c r="CC262" s="523"/>
      <c r="CD262" s="523"/>
      <c r="CE262" s="523"/>
      <c r="CF262" s="523"/>
      <c r="CG262" s="523"/>
      <c r="CH262" s="523"/>
      <c r="CI262" s="523">
        <f t="shared" si="49"/>
        <v>0</v>
      </c>
    </row>
    <row r="263" spans="1:87" ht="15" x14ac:dyDescent="0.2">
      <c r="A263" s="680" t="s">
        <v>668</v>
      </c>
      <c r="B263" s="569">
        <v>72929</v>
      </c>
      <c r="C263" s="569" t="s">
        <v>1324</v>
      </c>
      <c r="D263" s="569" t="s">
        <v>1765</v>
      </c>
      <c r="E263" s="681" t="s">
        <v>81</v>
      </c>
      <c r="F263" s="644">
        <v>212.03</v>
      </c>
      <c r="G263" s="682">
        <v>22.1</v>
      </c>
      <c r="H263" s="681">
        <v>39.200000000000003</v>
      </c>
      <c r="I263" s="685">
        <f t="shared" si="50"/>
        <v>0</v>
      </c>
      <c r="J263" s="573">
        <f t="shared" si="51"/>
        <v>0</v>
      </c>
      <c r="K263" s="644">
        <f t="shared" si="57"/>
        <v>39.200000000000003</v>
      </c>
      <c r="L263" s="708">
        <f t="shared" si="58"/>
        <v>866.32</v>
      </c>
      <c r="M263" s="708">
        <f t="shared" si="58"/>
        <v>0</v>
      </c>
      <c r="N263" s="708">
        <f t="shared" si="58"/>
        <v>0</v>
      </c>
      <c r="O263" s="718">
        <f t="shared" si="58"/>
        <v>866.32</v>
      </c>
      <c r="P263" s="617">
        <f t="shared" si="48"/>
        <v>0</v>
      </c>
      <c r="Q263" s="525"/>
      <c r="S263" s="189">
        <v>0</v>
      </c>
      <c r="T263" s="189">
        <v>0</v>
      </c>
      <c r="BT263" s="525"/>
      <c r="BU263" s="523"/>
      <c r="BV263" s="523"/>
      <c r="BW263" s="523">
        <v>0</v>
      </c>
      <c r="BX263" s="523">
        <v>0</v>
      </c>
      <c r="BY263" s="523">
        <v>0</v>
      </c>
      <c r="BZ263" s="523">
        <v>0</v>
      </c>
      <c r="CA263" s="523"/>
      <c r="CB263" s="523"/>
      <c r="CC263" s="523"/>
      <c r="CD263" s="523"/>
      <c r="CE263" s="523"/>
      <c r="CF263" s="523"/>
      <c r="CG263" s="523"/>
      <c r="CH263" s="523"/>
      <c r="CI263" s="523">
        <f t="shared" si="49"/>
        <v>0</v>
      </c>
    </row>
    <row r="264" spans="1:87" ht="15" x14ac:dyDescent="0.2">
      <c r="A264" s="680" t="s">
        <v>671</v>
      </c>
      <c r="B264" s="569">
        <v>72930</v>
      </c>
      <c r="C264" s="569" t="s">
        <v>1324</v>
      </c>
      <c r="D264" s="569" t="s">
        <v>1766</v>
      </c>
      <c r="E264" s="681" t="s">
        <v>81</v>
      </c>
      <c r="F264" s="644">
        <v>101.58</v>
      </c>
      <c r="G264" s="682">
        <v>31.35</v>
      </c>
      <c r="H264" s="681">
        <v>126.32</v>
      </c>
      <c r="I264" s="685">
        <f t="shared" si="50"/>
        <v>0</v>
      </c>
      <c r="J264" s="573">
        <f t="shared" si="51"/>
        <v>0</v>
      </c>
      <c r="K264" s="644">
        <f t="shared" si="57"/>
        <v>126.32</v>
      </c>
      <c r="L264" s="708">
        <f t="shared" si="58"/>
        <v>3960.13</v>
      </c>
      <c r="M264" s="708">
        <f t="shared" si="58"/>
        <v>0</v>
      </c>
      <c r="N264" s="708">
        <f t="shared" si="58"/>
        <v>0</v>
      </c>
      <c r="O264" s="718">
        <f t="shared" si="58"/>
        <v>3960.13</v>
      </c>
      <c r="P264" s="617">
        <f t="shared" si="48"/>
        <v>0</v>
      </c>
      <c r="Q264" s="525"/>
      <c r="S264" s="189">
        <v>0</v>
      </c>
      <c r="T264" s="189">
        <v>0</v>
      </c>
      <c r="BT264" s="525"/>
      <c r="BU264" s="523"/>
      <c r="BV264" s="523"/>
      <c r="BW264" s="523">
        <v>0</v>
      </c>
      <c r="BX264" s="523">
        <v>0</v>
      </c>
      <c r="BY264" s="523">
        <v>0</v>
      </c>
      <c r="BZ264" s="523">
        <v>0</v>
      </c>
      <c r="CA264" s="523"/>
      <c r="CB264" s="523"/>
      <c r="CC264" s="523"/>
      <c r="CD264" s="523"/>
      <c r="CE264" s="523"/>
      <c r="CF264" s="523"/>
      <c r="CG264" s="523"/>
      <c r="CH264" s="523"/>
      <c r="CI264" s="523">
        <f t="shared" si="49"/>
        <v>0</v>
      </c>
    </row>
    <row r="265" spans="1:87" ht="15" x14ac:dyDescent="0.2">
      <c r="A265" s="680" t="s">
        <v>679</v>
      </c>
      <c r="B265" s="569">
        <v>93008</v>
      </c>
      <c r="C265" s="569" t="s">
        <v>1324</v>
      </c>
      <c r="D265" s="569" t="s">
        <v>1767</v>
      </c>
      <c r="E265" s="681" t="s">
        <v>81</v>
      </c>
      <c r="F265" s="644">
        <v>412.2</v>
      </c>
      <c r="G265" s="682">
        <v>9.83</v>
      </c>
      <c r="H265" s="681">
        <v>21</v>
      </c>
      <c r="I265" s="685">
        <f t="shared" si="50"/>
        <v>0</v>
      </c>
      <c r="J265" s="573">
        <f t="shared" si="51"/>
        <v>0</v>
      </c>
      <c r="K265" s="644">
        <f t="shared" si="57"/>
        <v>21</v>
      </c>
      <c r="L265" s="708">
        <f t="shared" si="58"/>
        <v>206.43</v>
      </c>
      <c r="M265" s="708">
        <f t="shared" si="58"/>
        <v>0</v>
      </c>
      <c r="N265" s="708">
        <f t="shared" si="58"/>
        <v>0</v>
      </c>
      <c r="O265" s="718">
        <f t="shared" si="58"/>
        <v>206.43</v>
      </c>
      <c r="P265" s="617">
        <f t="shared" si="48"/>
        <v>0</v>
      </c>
      <c r="Q265" s="525"/>
      <c r="S265" s="189">
        <v>0</v>
      </c>
      <c r="T265" s="189">
        <v>0</v>
      </c>
      <c r="BT265" s="525"/>
      <c r="BU265" s="523"/>
      <c r="BV265" s="523"/>
      <c r="BW265" s="523">
        <v>0</v>
      </c>
      <c r="BX265" s="523">
        <v>0</v>
      </c>
      <c r="BY265" s="523">
        <v>0</v>
      </c>
      <c r="BZ265" s="523">
        <v>0</v>
      </c>
      <c r="CA265" s="523"/>
      <c r="CB265" s="523"/>
      <c r="CC265" s="523"/>
      <c r="CD265" s="523"/>
      <c r="CE265" s="523"/>
      <c r="CF265" s="523"/>
      <c r="CG265" s="523"/>
      <c r="CH265" s="523"/>
      <c r="CI265" s="523">
        <f t="shared" si="49"/>
        <v>0</v>
      </c>
    </row>
    <row r="266" spans="1:87" ht="30" x14ac:dyDescent="0.2">
      <c r="A266" s="680" t="s">
        <v>1768</v>
      </c>
      <c r="B266" s="569" t="s">
        <v>2007</v>
      </c>
      <c r="C266" s="569" t="s">
        <v>1769</v>
      </c>
      <c r="D266" s="569" t="s">
        <v>1770</v>
      </c>
      <c r="E266" s="681" t="s">
        <v>102</v>
      </c>
      <c r="F266" s="644">
        <v>348.66</v>
      </c>
      <c r="G266" s="682">
        <v>38.299999999999997</v>
      </c>
      <c r="H266" s="681">
        <v>7</v>
      </c>
      <c r="I266" s="685">
        <f t="shared" si="50"/>
        <v>0</v>
      </c>
      <c r="J266" s="573">
        <f t="shared" si="51"/>
        <v>0</v>
      </c>
      <c r="K266" s="644">
        <f t="shared" si="57"/>
        <v>7</v>
      </c>
      <c r="L266" s="708">
        <f t="shared" si="58"/>
        <v>268.10000000000002</v>
      </c>
      <c r="M266" s="708">
        <f t="shared" si="58"/>
        <v>0</v>
      </c>
      <c r="N266" s="708">
        <f t="shared" si="58"/>
        <v>0</v>
      </c>
      <c r="O266" s="718">
        <f t="shared" si="58"/>
        <v>268.10000000000002</v>
      </c>
      <c r="P266" s="617">
        <f t="shared" si="48"/>
        <v>0</v>
      </c>
      <c r="Q266" s="525"/>
      <c r="S266" s="189">
        <v>0</v>
      </c>
      <c r="T266" s="189">
        <v>0</v>
      </c>
      <c r="BT266" s="525"/>
      <c r="BU266" s="523"/>
      <c r="BV266" s="523"/>
      <c r="BW266" s="523">
        <v>0</v>
      </c>
      <c r="BX266" s="523">
        <v>0</v>
      </c>
      <c r="BY266" s="523">
        <v>0</v>
      </c>
      <c r="BZ266" s="523">
        <v>0</v>
      </c>
      <c r="CA266" s="523"/>
      <c r="CB266" s="523"/>
      <c r="CC266" s="523"/>
      <c r="CD266" s="523"/>
      <c r="CE266" s="523"/>
      <c r="CF266" s="523"/>
      <c r="CG266" s="523"/>
      <c r="CH266" s="523"/>
      <c r="CI266" s="523">
        <f t="shared" si="49"/>
        <v>0</v>
      </c>
    </row>
    <row r="267" spans="1:87" ht="30" x14ac:dyDescent="0.2">
      <c r="A267" s="680" t="s">
        <v>1771</v>
      </c>
      <c r="B267" s="569" t="s">
        <v>2007</v>
      </c>
      <c r="C267" s="569" t="s">
        <v>1769</v>
      </c>
      <c r="D267" s="569" t="s">
        <v>1772</v>
      </c>
      <c r="E267" s="681" t="s">
        <v>102</v>
      </c>
      <c r="F267" s="644">
        <v>153.37</v>
      </c>
      <c r="G267" s="682">
        <v>24.49</v>
      </c>
      <c r="H267" s="681">
        <v>7</v>
      </c>
      <c r="I267" s="685">
        <f t="shared" si="50"/>
        <v>0</v>
      </c>
      <c r="J267" s="573">
        <f t="shared" si="51"/>
        <v>0</v>
      </c>
      <c r="K267" s="644">
        <f t="shared" si="57"/>
        <v>7</v>
      </c>
      <c r="L267" s="708">
        <f t="shared" si="58"/>
        <v>171.43</v>
      </c>
      <c r="M267" s="708">
        <f t="shared" si="58"/>
        <v>0</v>
      </c>
      <c r="N267" s="708">
        <f t="shared" si="58"/>
        <v>0</v>
      </c>
      <c r="O267" s="718">
        <f t="shared" si="58"/>
        <v>171.43</v>
      </c>
      <c r="P267" s="617">
        <f t="shared" si="48"/>
        <v>0</v>
      </c>
      <c r="Q267" s="525"/>
      <c r="S267" s="189">
        <v>0</v>
      </c>
      <c r="T267" s="189">
        <v>0</v>
      </c>
      <c r="BT267" s="525"/>
      <c r="BU267" s="523"/>
      <c r="BV267" s="523"/>
      <c r="BW267" s="523">
        <v>0</v>
      </c>
      <c r="BX267" s="523">
        <v>0</v>
      </c>
      <c r="BY267" s="523">
        <v>0</v>
      </c>
      <c r="BZ267" s="523">
        <v>0</v>
      </c>
      <c r="CA267" s="523"/>
      <c r="CB267" s="523"/>
      <c r="CC267" s="523"/>
      <c r="CD267" s="523"/>
      <c r="CE267" s="523"/>
      <c r="CF267" s="523"/>
      <c r="CG267" s="523"/>
      <c r="CH267" s="523"/>
      <c r="CI267" s="523">
        <f t="shared" si="49"/>
        <v>0</v>
      </c>
    </row>
    <row r="268" spans="1:87" ht="15" x14ac:dyDescent="0.2">
      <c r="A268" s="680" t="s">
        <v>1773</v>
      </c>
      <c r="B268" s="569">
        <v>72262</v>
      </c>
      <c r="C268" s="569" t="s">
        <v>1324</v>
      </c>
      <c r="D268" s="569" t="s">
        <v>1774</v>
      </c>
      <c r="E268" s="681" t="s">
        <v>102</v>
      </c>
      <c r="F268" s="644">
        <v>62.01</v>
      </c>
      <c r="G268" s="682">
        <v>13.09</v>
      </c>
      <c r="H268" s="681">
        <v>7</v>
      </c>
      <c r="I268" s="685">
        <f t="shared" si="50"/>
        <v>0</v>
      </c>
      <c r="J268" s="573">
        <f t="shared" si="51"/>
        <v>0</v>
      </c>
      <c r="K268" s="644">
        <f t="shared" si="57"/>
        <v>7</v>
      </c>
      <c r="L268" s="708">
        <f t="shared" si="58"/>
        <v>91.63</v>
      </c>
      <c r="M268" s="708">
        <f t="shared" si="58"/>
        <v>0</v>
      </c>
      <c r="N268" s="708">
        <f t="shared" si="58"/>
        <v>0</v>
      </c>
      <c r="O268" s="718">
        <f t="shared" si="58"/>
        <v>91.63</v>
      </c>
      <c r="P268" s="617">
        <f t="shared" si="48"/>
        <v>0</v>
      </c>
      <c r="Q268" s="525"/>
      <c r="S268" s="189">
        <v>0</v>
      </c>
      <c r="T268" s="189">
        <v>0</v>
      </c>
      <c r="BT268" s="525"/>
      <c r="BU268" s="523"/>
      <c r="BV268" s="523"/>
      <c r="BW268" s="523">
        <v>0</v>
      </c>
      <c r="BX268" s="523">
        <v>0</v>
      </c>
      <c r="BY268" s="523">
        <v>0</v>
      </c>
      <c r="BZ268" s="523">
        <v>0</v>
      </c>
      <c r="CA268" s="523"/>
      <c r="CB268" s="523"/>
      <c r="CC268" s="523"/>
      <c r="CD268" s="523"/>
      <c r="CE268" s="523"/>
      <c r="CF268" s="523"/>
      <c r="CG268" s="523"/>
      <c r="CH268" s="523"/>
      <c r="CI268" s="523">
        <f t="shared" si="49"/>
        <v>0</v>
      </c>
    </row>
    <row r="269" spans="1:87" s="663" customFormat="1" ht="15.75" x14ac:dyDescent="0.2">
      <c r="A269" s="600">
        <v>19</v>
      </c>
      <c r="B269" s="558"/>
      <c r="C269" s="558"/>
      <c r="D269" s="558" t="s">
        <v>304</v>
      </c>
      <c r="E269" s="626"/>
      <c r="F269" s="626"/>
      <c r="G269" s="626"/>
      <c r="H269" s="626"/>
      <c r="I269" s="747"/>
      <c r="J269" s="747"/>
      <c r="K269" s="747"/>
      <c r="L269" s="734">
        <f>SUM(L270,L276)</f>
        <v>28168.979999999996</v>
      </c>
      <c r="M269" s="734">
        <f>SUM(M270,M276)</f>
        <v>0</v>
      </c>
      <c r="N269" s="734">
        <f>SUM(N270,N276)</f>
        <v>0</v>
      </c>
      <c r="O269" s="721">
        <f>SUM(O270,O276)</f>
        <v>28168.979999999996</v>
      </c>
      <c r="P269" s="604">
        <f t="shared" si="48"/>
        <v>0</v>
      </c>
      <c r="Q269" s="525"/>
      <c r="S269" s="190">
        <v>0</v>
      </c>
      <c r="T269" s="190">
        <v>0</v>
      </c>
      <c r="BT269" s="525"/>
      <c r="BU269" s="523"/>
      <c r="BV269" s="523"/>
      <c r="BW269" s="523">
        <v>0</v>
      </c>
      <c r="BX269" s="523">
        <v>0</v>
      </c>
      <c r="BY269" s="523"/>
      <c r="BZ269" s="523"/>
      <c r="CA269" s="523"/>
      <c r="CB269" s="523"/>
      <c r="CC269" s="523"/>
      <c r="CD269" s="523"/>
      <c r="CE269" s="523"/>
      <c r="CF269" s="523"/>
      <c r="CG269" s="523"/>
      <c r="CH269" s="523"/>
      <c r="CI269" s="523">
        <f t="shared" si="49"/>
        <v>0</v>
      </c>
    </row>
    <row r="270" spans="1:87" ht="15.75" x14ac:dyDescent="0.2">
      <c r="A270" s="605" t="s">
        <v>685</v>
      </c>
      <c r="B270" s="586"/>
      <c r="C270" s="586"/>
      <c r="D270" s="586" t="s">
        <v>1775</v>
      </c>
      <c r="E270" s="683"/>
      <c r="F270" s="683"/>
      <c r="G270" s="683"/>
      <c r="H270" s="683"/>
      <c r="I270" s="748"/>
      <c r="J270" s="748"/>
      <c r="K270" s="748"/>
      <c r="L270" s="733">
        <f>SUM(L271:L275)</f>
        <v>6263.99</v>
      </c>
      <c r="M270" s="733">
        <f>SUM(M271:M275)</f>
        <v>0</v>
      </c>
      <c r="N270" s="733">
        <f>SUM(N271:N275)</f>
        <v>0</v>
      </c>
      <c r="O270" s="722">
        <f>SUM(O271:O275)</f>
        <v>6263.99</v>
      </c>
      <c r="P270" s="611">
        <f t="shared" ref="P270:P284" si="59">N270/L270</f>
        <v>0</v>
      </c>
      <c r="Q270" s="525"/>
      <c r="S270" s="189">
        <v>0</v>
      </c>
      <c r="T270" s="189">
        <v>0</v>
      </c>
      <c r="BT270" s="525"/>
      <c r="BU270" s="523"/>
      <c r="BV270" s="523"/>
      <c r="BW270" s="523">
        <v>0</v>
      </c>
      <c r="BX270" s="523">
        <v>0</v>
      </c>
      <c r="BY270" s="523"/>
      <c r="BZ270" s="523"/>
      <c r="CA270" s="523"/>
      <c r="CB270" s="523"/>
      <c r="CC270" s="523"/>
      <c r="CD270" s="523"/>
      <c r="CE270" s="523"/>
      <c r="CF270" s="523"/>
      <c r="CG270" s="523"/>
      <c r="CH270" s="523"/>
      <c r="CI270" s="523">
        <f t="shared" si="49"/>
        <v>0</v>
      </c>
    </row>
    <row r="271" spans="1:87" ht="15" x14ac:dyDescent="0.2">
      <c r="A271" s="680" t="s">
        <v>1776</v>
      </c>
      <c r="B271" s="569" t="s">
        <v>2007</v>
      </c>
      <c r="C271" s="569" t="s">
        <v>1339</v>
      </c>
      <c r="D271" s="569" t="s">
        <v>1777</v>
      </c>
      <c r="E271" s="681" t="s">
        <v>14</v>
      </c>
      <c r="F271" s="644">
        <v>224.79</v>
      </c>
      <c r="G271" s="682">
        <v>236.77</v>
      </c>
      <c r="H271" s="681">
        <v>2.5</v>
      </c>
      <c r="I271" s="685">
        <f t="shared" si="50"/>
        <v>0</v>
      </c>
      <c r="J271" s="573">
        <f t="shared" si="51"/>
        <v>0</v>
      </c>
      <c r="K271" s="644">
        <f t="shared" si="57"/>
        <v>2.5</v>
      </c>
      <c r="L271" s="708">
        <f t="shared" ref="L271:O275" si="60">ROUND(H271*$G271,2)</f>
        <v>591.92999999999995</v>
      </c>
      <c r="M271" s="708">
        <f t="shared" si="60"/>
        <v>0</v>
      </c>
      <c r="N271" s="708">
        <f t="shared" si="60"/>
        <v>0</v>
      </c>
      <c r="O271" s="718">
        <f t="shared" si="60"/>
        <v>591.92999999999995</v>
      </c>
      <c r="P271" s="617">
        <f t="shared" si="59"/>
        <v>0</v>
      </c>
      <c r="Q271" s="525"/>
      <c r="S271" s="189">
        <v>0</v>
      </c>
      <c r="T271" s="189">
        <v>0</v>
      </c>
      <c r="BT271" s="525"/>
      <c r="BU271" s="523"/>
      <c r="BV271" s="523"/>
      <c r="BW271" s="523">
        <v>0</v>
      </c>
      <c r="BX271" s="523">
        <v>0</v>
      </c>
      <c r="BY271" s="523">
        <v>0</v>
      </c>
      <c r="BZ271" s="523">
        <v>0</v>
      </c>
      <c r="CA271" s="523"/>
      <c r="CB271" s="523"/>
      <c r="CC271" s="523"/>
      <c r="CD271" s="523"/>
      <c r="CE271" s="523"/>
      <c r="CF271" s="523"/>
      <c r="CG271" s="523"/>
      <c r="CH271" s="523"/>
      <c r="CI271" s="523">
        <f t="shared" si="49"/>
        <v>0</v>
      </c>
    </row>
    <row r="272" spans="1:87" ht="15" x14ac:dyDescent="0.2">
      <c r="A272" s="680" t="s">
        <v>1778</v>
      </c>
      <c r="B272" s="569" t="s">
        <v>2007</v>
      </c>
      <c r="C272" s="569" t="s">
        <v>1339</v>
      </c>
      <c r="D272" s="569" t="s">
        <v>1779</v>
      </c>
      <c r="E272" s="681" t="s">
        <v>102</v>
      </c>
      <c r="F272" s="644">
        <v>170.36</v>
      </c>
      <c r="G272" s="682">
        <v>1103.49</v>
      </c>
      <c r="H272" s="681">
        <v>1</v>
      </c>
      <c r="I272" s="685">
        <f t="shared" si="50"/>
        <v>0</v>
      </c>
      <c r="J272" s="573">
        <f t="shared" si="51"/>
        <v>0</v>
      </c>
      <c r="K272" s="644">
        <f t="shared" si="57"/>
        <v>1</v>
      </c>
      <c r="L272" s="708">
        <f t="shared" si="60"/>
        <v>1103.49</v>
      </c>
      <c r="M272" s="708">
        <f t="shared" si="60"/>
        <v>0</v>
      </c>
      <c r="N272" s="708">
        <f t="shared" si="60"/>
        <v>0</v>
      </c>
      <c r="O272" s="718">
        <f t="shared" si="60"/>
        <v>1103.49</v>
      </c>
      <c r="P272" s="617">
        <f t="shared" si="59"/>
        <v>0</v>
      </c>
      <c r="Q272" s="525"/>
      <c r="S272" s="189">
        <v>0</v>
      </c>
      <c r="T272" s="189">
        <v>0</v>
      </c>
      <c r="BT272" s="525"/>
      <c r="BU272" s="523"/>
      <c r="BV272" s="523"/>
      <c r="BW272" s="523">
        <v>0</v>
      </c>
      <c r="BX272" s="523">
        <v>0</v>
      </c>
      <c r="BY272" s="523">
        <v>0</v>
      </c>
      <c r="BZ272" s="523">
        <v>0</v>
      </c>
      <c r="CA272" s="523"/>
      <c r="CB272" s="523"/>
      <c r="CC272" s="523"/>
      <c r="CD272" s="523"/>
      <c r="CE272" s="523"/>
      <c r="CF272" s="523"/>
      <c r="CG272" s="523"/>
      <c r="CH272" s="523"/>
      <c r="CI272" s="523">
        <f t="shared" ref="CI272:CI285" si="61">SUM(BU272:CH272)</f>
        <v>0</v>
      </c>
    </row>
    <row r="273" spans="1:87" ht="15" x14ac:dyDescent="0.2">
      <c r="A273" s="680" t="s">
        <v>1780</v>
      </c>
      <c r="B273" s="569" t="s">
        <v>2007</v>
      </c>
      <c r="C273" s="569" t="s">
        <v>1339</v>
      </c>
      <c r="D273" s="569" t="s">
        <v>1781</v>
      </c>
      <c r="E273" s="681" t="s">
        <v>102</v>
      </c>
      <c r="F273" s="644">
        <v>108</v>
      </c>
      <c r="G273" s="682">
        <v>1841.38</v>
      </c>
      <c r="H273" s="681">
        <v>1</v>
      </c>
      <c r="I273" s="685">
        <f t="shared" si="50"/>
        <v>0</v>
      </c>
      <c r="J273" s="573">
        <f t="shared" si="51"/>
        <v>0</v>
      </c>
      <c r="K273" s="644">
        <f t="shared" si="57"/>
        <v>1</v>
      </c>
      <c r="L273" s="708">
        <f t="shared" si="60"/>
        <v>1841.38</v>
      </c>
      <c r="M273" s="708">
        <f t="shared" si="60"/>
        <v>0</v>
      </c>
      <c r="N273" s="708">
        <f t="shared" si="60"/>
        <v>0</v>
      </c>
      <c r="O273" s="718">
        <f t="shared" si="60"/>
        <v>1841.38</v>
      </c>
      <c r="P273" s="617">
        <f t="shared" si="59"/>
        <v>0</v>
      </c>
      <c r="Q273" s="525"/>
      <c r="S273" s="189">
        <v>0</v>
      </c>
      <c r="T273" s="189">
        <v>0</v>
      </c>
      <c r="BT273" s="525"/>
      <c r="BU273" s="523"/>
      <c r="BV273" s="523"/>
      <c r="BW273" s="523">
        <v>0</v>
      </c>
      <c r="BX273" s="523">
        <v>0</v>
      </c>
      <c r="BY273" s="523">
        <v>0</v>
      </c>
      <c r="BZ273" s="523">
        <v>0</v>
      </c>
      <c r="CA273" s="523"/>
      <c r="CB273" s="523"/>
      <c r="CC273" s="523"/>
      <c r="CD273" s="523"/>
      <c r="CE273" s="523"/>
      <c r="CF273" s="523"/>
      <c r="CG273" s="523"/>
      <c r="CH273" s="523"/>
      <c r="CI273" s="523">
        <f t="shared" si="61"/>
        <v>0</v>
      </c>
    </row>
    <row r="274" spans="1:87" ht="15" x14ac:dyDescent="0.2">
      <c r="A274" s="680" t="s">
        <v>1782</v>
      </c>
      <c r="B274" s="569" t="s">
        <v>2007</v>
      </c>
      <c r="C274" s="569" t="s">
        <v>1339</v>
      </c>
      <c r="D274" s="569" t="s">
        <v>1783</v>
      </c>
      <c r="E274" s="681" t="s">
        <v>102</v>
      </c>
      <c r="F274" s="644">
        <v>1249</v>
      </c>
      <c r="G274" s="682">
        <v>777.91</v>
      </c>
      <c r="H274" s="681">
        <v>1</v>
      </c>
      <c r="I274" s="685">
        <f t="shared" ref="I274:I285" si="62">BU274</f>
        <v>0</v>
      </c>
      <c r="J274" s="573">
        <f t="shared" ref="J274:J285" si="63">CI274</f>
        <v>0</v>
      </c>
      <c r="K274" s="644">
        <f t="shared" si="57"/>
        <v>1</v>
      </c>
      <c r="L274" s="708">
        <f t="shared" si="60"/>
        <v>777.91</v>
      </c>
      <c r="M274" s="708">
        <f t="shared" si="60"/>
        <v>0</v>
      </c>
      <c r="N274" s="708">
        <f t="shared" si="60"/>
        <v>0</v>
      </c>
      <c r="O274" s="718">
        <f t="shared" si="60"/>
        <v>777.91</v>
      </c>
      <c r="P274" s="617">
        <f t="shared" si="59"/>
        <v>0</v>
      </c>
      <c r="Q274" s="525"/>
      <c r="S274" s="189">
        <v>0</v>
      </c>
      <c r="T274" s="189">
        <v>0</v>
      </c>
      <c r="BT274" s="525"/>
      <c r="BU274" s="523"/>
      <c r="BV274" s="523"/>
      <c r="BW274" s="523">
        <v>0</v>
      </c>
      <c r="BX274" s="523">
        <v>0</v>
      </c>
      <c r="BY274" s="523">
        <v>0</v>
      </c>
      <c r="BZ274" s="523">
        <v>0</v>
      </c>
      <c r="CA274" s="523"/>
      <c r="CB274" s="523"/>
      <c r="CC274" s="523"/>
      <c r="CD274" s="523"/>
      <c r="CE274" s="523"/>
      <c r="CF274" s="523"/>
      <c r="CG274" s="523"/>
      <c r="CH274" s="523"/>
      <c r="CI274" s="523">
        <f t="shared" si="61"/>
        <v>0</v>
      </c>
    </row>
    <row r="275" spans="1:87" s="663" customFormat="1" ht="15" x14ac:dyDescent="0.2">
      <c r="A275" s="680" t="s">
        <v>1784</v>
      </c>
      <c r="B275" s="569">
        <v>84862</v>
      </c>
      <c r="C275" s="569" t="s">
        <v>1324</v>
      </c>
      <c r="D275" s="569" t="s">
        <v>1785</v>
      </c>
      <c r="E275" s="681" t="s">
        <v>81</v>
      </c>
      <c r="F275" s="644">
        <v>74.2</v>
      </c>
      <c r="G275" s="682">
        <v>203.05</v>
      </c>
      <c r="H275" s="681">
        <v>9.6</v>
      </c>
      <c r="I275" s="685">
        <f t="shared" si="62"/>
        <v>0</v>
      </c>
      <c r="J275" s="573">
        <f t="shared" si="63"/>
        <v>0</v>
      </c>
      <c r="K275" s="644">
        <f t="shared" si="57"/>
        <v>9.6</v>
      </c>
      <c r="L275" s="708">
        <f t="shared" si="60"/>
        <v>1949.28</v>
      </c>
      <c r="M275" s="708">
        <f t="shared" si="60"/>
        <v>0</v>
      </c>
      <c r="N275" s="708">
        <f t="shared" si="60"/>
        <v>0</v>
      </c>
      <c r="O275" s="718">
        <f t="shared" si="60"/>
        <v>1949.28</v>
      </c>
      <c r="P275" s="617">
        <f t="shared" si="59"/>
        <v>0</v>
      </c>
      <c r="Q275" s="525"/>
      <c r="S275" s="190">
        <v>0</v>
      </c>
      <c r="T275" s="190">
        <v>0</v>
      </c>
      <c r="BT275" s="525"/>
      <c r="BU275" s="523"/>
      <c r="BV275" s="523"/>
      <c r="BW275" s="523">
        <v>0</v>
      </c>
      <c r="BX275" s="523">
        <v>0</v>
      </c>
      <c r="BY275" s="523">
        <v>0</v>
      </c>
      <c r="BZ275" s="523">
        <v>0</v>
      </c>
      <c r="CA275" s="523"/>
      <c r="CB275" s="523"/>
      <c r="CC275" s="523"/>
      <c r="CD275" s="523"/>
      <c r="CE275" s="523"/>
      <c r="CF275" s="523"/>
      <c r="CG275" s="523"/>
      <c r="CH275" s="523"/>
      <c r="CI275" s="523">
        <f t="shared" si="61"/>
        <v>0</v>
      </c>
    </row>
    <row r="276" spans="1:87" ht="15.75" x14ac:dyDescent="0.2">
      <c r="A276" s="605" t="s">
        <v>691</v>
      </c>
      <c r="B276" s="586"/>
      <c r="C276" s="586"/>
      <c r="D276" s="586" t="s">
        <v>1786</v>
      </c>
      <c r="E276" s="683"/>
      <c r="F276" s="683"/>
      <c r="G276" s="683"/>
      <c r="H276" s="683"/>
      <c r="I276" s="748"/>
      <c r="J276" s="748"/>
      <c r="K276" s="748"/>
      <c r="L276" s="733">
        <f>SUM(L277:L278)</f>
        <v>21904.989999999998</v>
      </c>
      <c r="M276" s="733">
        <f>SUM(M277:M278)</f>
        <v>0</v>
      </c>
      <c r="N276" s="733">
        <f>SUM(N277:N278)</f>
        <v>0</v>
      </c>
      <c r="O276" s="722">
        <f>SUM(O277:O278)</f>
        <v>21904.989999999998</v>
      </c>
      <c r="P276" s="611">
        <f t="shared" si="59"/>
        <v>0</v>
      </c>
      <c r="Q276" s="525"/>
      <c r="S276" s="189">
        <v>0</v>
      </c>
      <c r="T276" s="189">
        <v>0</v>
      </c>
      <c r="BT276" s="525"/>
      <c r="BU276" s="523"/>
      <c r="BV276" s="523"/>
      <c r="BW276" s="523">
        <v>0</v>
      </c>
      <c r="BX276" s="523">
        <v>0</v>
      </c>
      <c r="BY276" s="523"/>
      <c r="BZ276" s="523"/>
      <c r="CA276" s="523"/>
      <c r="CB276" s="523"/>
      <c r="CC276" s="523"/>
      <c r="CD276" s="523"/>
      <c r="CE276" s="523"/>
      <c r="CF276" s="523"/>
      <c r="CG276" s="523"/>
      <c r="CH276" s="523"/>
      <c r="CI276" s="523">
        <f t="shared" si="61"/>
        <v>0</v>
      </c>
    </row>
    <row r="277" spans="1:87" ht="30" x14ac:dyDescent="0.2">
      <c r="A277" s="680" t="s">
        <v>1787</v>
      </c>
      <c r="B277" s="569" t="s">
        <v>1788</v>
      </c>
      <c r="C277" s="569" t="s">
        <v>1324</v>
      </c>
      <c r="D277" s="569" t="s">
        <v>1789</v>
      </c>
      <c r="E277" s="681" t="s">
        <v>14</v>
      </c>
      <c r="F277" s="644">
        <v>62.36</v>
      </c>
      <c r="G277" s="682">
        <v>103.67</v>
      </c>
      <c r="H277" s="681">
        <v>201</v>
      </c>
      <c r="I277" s="685">
        <f t="shared" si="62"/>
        <v>0</v>
      </c>
      <c r="J277" s="573">
        <f t="shared" si="63"/>
        <v>0</v>
      </c>
      <c r="K277" s="644">
        <f t="shared" si="57"/>
        <v>201</v>
      </c>
      <c r="L277" s="708">
        <f t="shared" ref="L277:O278" si="64">ROUND(H277*$G277,2)</f>
        <v>20837.669999999998</v>
      </c>
      <c r="M277" s="708">
        <f t="shared" si="64"/>
        <v>0</v>
      </c>
      <c r="N277" s="708">
        <f t="shared" si="64"/>
        <v>0</v>
      </c>
      <c r="O277" s="718">
        <f t="shared" si="64"/>
        <v>20837.669999999998</v>
      </c>
      <c r="P277" s="617">
        <f t="shared" si="59"/>
        <v>0</v>
      </c>
      <c r="Q277" s="525"/>
      <c r="S277" s="189">
        <v>0</v>
      </c>
      <c r="T277" s="189">
        <v>0</v>
      </c>
      <c r="BT277" s="525"/>
      <c r="BU277" s="523"/>
      <c r="BV277" s="523"/>
      <c r="BW277" s="523">
        <v>0</v>
      </c>
      <c r="BX277" s="523">
        <v>0</v>
      </c>
      <c r="BY277" s="523">
        <v>0</v>
      </c>
      <c r="BZ277" s="523">
        <v>0</v>
      </c>
      <c r="CA277" s="523"/>
      <c r="CB277" s="523"/>
      <c r="CC277" s="523"/>
      <c r="CD277" s="523"/>
      <c r="CE277" s="523"/>
      <c r="CF277" s="523"/>
      <c r="CG277" s="523"/>
      <c r="CH277" s="523"/>
      <c r="CI277" s="523">
        <f t="shared" si="61"/>
        <v>0</v>
      </c>
    </row>
    <row r="278" spans="1:87" s="663" customFormat="1" ht="15" x14ac:dyDescent="0.2">
      <c r="A278" s="680" t="s">
        <v>1790</v>
      </c>
      <c r="B278" s="569" t="s">
        <v>2007</v>
      </c>
      <c r="C278" s="569" t="s">
        <v>1339</v>
      </c>
      <c r="D278" s="569" t="s">
        <v>1791</v>
      </c>
      <c r="E278" s="681" t="s">
        <v>102</v>
      </c>
      <c r="F278" s="644">
        <v>100.46</v>
      </c>
      <c r="G278" s="682">
        <v>266.83</v>
      </c>
      <c r="H278" s="681">
        <v>4</v>
      </c>
      <c r="I278" s="685">
        <f t="shared" si="62"/>
        <v>0</v>
      </c>
      <c r="J278" s="573">
        <f t="shared" si="63"/>
        <v>0</v>
      </c>
      <c r="K278" s="644">
        <f t="shared" si="57"/>
        <v>4</v>
      </c>
      <c r="L278" s="708">
        <f t="shared" si="64"/>
        <v>1067.32</v>
      </c>
      <c r="M278" s="708">
        <f t="shared" si="64"/>
        <v>0</v>
      </c>
      <c r="N278" s="708">
        <f t="shared" si="64"/>
        <v>0</v>
      </c>
      <c r="O278" s="718">
        <f t="shared" si="64"/>
        <v>1067.32</v>
      </c>
      <c r="P278" s="617">
        <f t="shared" si="59"/>
        <v>0</v>
      </c>
      <c r="Q278" s="525"/>
      <c r="S278" s="190">
        <v>0</v>
      </c>
      <c r="T278" s="190">
        <v>0</v>
      </c>
      <c r="BT278" s="525"/>
      <c r="BU278" s="523"/>
      <c r="BV278" s="523"/>
      <c r="BW278" s="523">
        <v>0</v>
      </c>
      <c r="BX278" s="523">
        <v>0</v>
      </c>
      <c r="BY278" s="523">
        <v>0</v>
      </c>
      <c r="BZ278" s="523">
        <v>0</v>
      </c>
      <c r="CA278" s="523"/>
      <c r="CB278" s="523"/>
      <c r="CC278" s="523"/>
      <c r="CD278" s="523"/>
      <c r="CE278" s="523"/>
      <c r="CF278" s="523"/>
      <c r="CG278" s="523"/>
      <c r="CH278" s="523"/>
      <c r="CI278" s="523">
        <f t="shared" si="61"/>
        <v>0</v>
      </c>
    </row>
    <row r="279" spans="1:87" ht="15.75" x14ac:dyDescent="0.2">
      <c r="A279" s="600">
        <v>20</v>
      </c>
      <c r="B279" s="558"/>
      <c r="C279" s="558"/>
      <c r="D279" s="558" t="s">
        <v>1232</v>
      </c>
      <c r="E279" s="626"/>
      <c r="F279" s="626"/>
      <c r="G279" s="626"/>
      <c r="H279" s="626"/>
      <c r="I279" s="747"/>
      <c r="J279" s="747"/>
      <c r="K279" s="747"/>
      <c r="L279" s="734">
        <f>SUM(L280:L284)</f>
        <v>4777.13</v>
      </c>
      <c r="M279" s="734">
        <f>SUM(M280:M284)</f>
        <v>0</v>
      </c>
      <c r="N279" s="734">
        <f>SUM(N280:N284)</f>
        <v>0</v>
      </c>
      <c r="O279" s="721">
        <f>SUM(O280:O284)</f>
        <v>4777.13</v>
      </c>
      <c r="P279" s="604">
        <f t="shared" si="59"/>
        <v>0</v>
      </c>
      <c r="Q279" s="525"/>
      <c r="S279" s="189">
        <v>0</v>
      </c>
      <c r="T279" s="189">
        <v>0</v>
      </c>
      <c r="BT279" s="525"/>
      <c r="BU279" s="523"/>
      <c r="BV279" s="523"/>
      <c r="BW279" s="523">
        <v>0</v>
      </c>
      <c r="BX279" s="523">
        <v>0</v>
      </c>
      <c r="BY279" s="523"/>
      <c r="BZ279" s="523"/>
      <c r="CA279" s="523"/>
      <c r="CB279" s="523"/>
      <c r="CC279" s="523"/>
      <c r="CD279" s="523"/>
      <c r="CE279" s="523"/>
      <c r="CF279" s="523"/>
      <c r="CG279" s="523"/>
      <c r="CH279" s="523"/>
      <c r="CI279" s="523">
        <f t="shared" si="61"/>
        <v>0</v>
      </c>
    </row>
    <row r="280" spans="1:87" ht="15" x14ac:dyDescent="0.2">
      <c r="A280" s="680" t="s">
        <v>719</v>
      </c>
      <c r="B280" s="569" t="s">
        <v>1792</v>
      </c>
      <c r="C280" s="569" t="s">
        <v>1324</v>
      </c>
      <c r="D280" s="569" t="s">
        <v>1793</v>
      </c>
      <c r="E280" s="681" t="s">
        <v>14</v>
      </c>
      <c r="F280" s="644">
        <v>37.18</v>
      </c>
      <c r="G280" s="682">
        <v>4.97</v>
      </c>
      <c r="H280" s="681">
        <v>296.01</v>
      </c>
      <c r="I280" s="685">
        <f t="shared" si="62"/>
        <v>0</v>
      </c>
      <c r="J280" s="573">
        <f t="shared" si="63"/>
        <v>0</v>
      </c>
      <c r="K280" s="644">
        <f t="shared" si="57"/>
        <v>296.01</v>
      </c>
      <c r="L280" s="708">
        <f t="shared" ref="L280:O284" si="65">ROUND(H280*$G280,2)</f>
        <v>1471.17</v>
      </c>
      <c r="M280" s="708">
        <f t="shared" si="65"/>
        <v>0</v>
      </c>
      <c r="N280" s="708">
        <f t="shared" si="65"/>
        <v>0</v>
      </c>
      <c r="O280" s="718">
        <f t="shared" si="65"/>
        <v>1471.17</v>
      </c>
      <c r="P280" s="617">
        <f t="shared" si="59"/>
        <v>0</v>
      </c>
      <c r="Q280" s="525"/>
      <c r="S280" s="189">
        <v>0</v>
      </c>
      <c r="T280" s="189">
        <v>0</v>
      </c>
      <c r="BT280" s="525"/>
      <c r="BU280" s="523"/>
      <c r="BV280" s="523"/>
      <c r="BW280" s="523">
        <v>0</v>
      </c>
      <c r="BX280" s="523">
        <v>0</v>
      </c>
      <c r="BY280" s="523">
        <v>0</v>
      </c>
      <c r="BZ280" s="523">
        <v>0</v>
      </c>
      <c r="CA280" s="523"/>
      <c r="CB280" s="523"/>
      <c r="CC280" s="523"/>
      <c r="CD280" s="523"/>
      <c r="CE280" s="523"/>
      <c r="CF280" s="523"/>
      <c r="CG280" s="523"/>
      <c r="CH280" s="523"/>
      <c r="CI280" s="523">
        <f t="shared" si="61"/>
        <v>0</v>
      </c>
    </row>
    <row r="281" spans="1:87" ht="15" x14ac:dyDescent="0.2">
      <c r="A281" s="680" t="s">
        <v>726</v>
      </c>
      <c r="B281" s="569" t="s">
        <v>1794</v>
      </c>
      <c r="C281" s="569" t="s">
        <v>1324</v>
      </c>
      <c r="D281" s="569" t="s">
        <v>1795</v>
      </c>
      <c r="E281" s="681" t="s">
        <v>14</v>
      </c>
      <c r="F281" s="644">
        <v>14.42</v>
      </c>
      <c r="G281" s="682">
        <v>9.57</v>
      </c>
      <c r="H281" s="681">
        <v>21.9</v>
      </c>
      <c r="I281" s="685">
        <f t="shared" si="62"/>
        <v>0</v>
      </c>
      <c r="J281" s="573">
        <f t="shared" si="63"/>
        <v>0</v>
      </c>
      <c r="K281" s="644">
        <f t="shared" si="57"/>
        <v>21.9</v>
      </c>
      <c r="L281" s="708">
        <f t="shared" si="65"/>
        <v>209.58</v>
      </c>
      <c r="M281" s="708">
        <f t="shared" si="65"/>
        <v>0</v>
      </c>
      <c r="N281" s="708">
        <f t="shared" si="65"/>
        <v>0</v>
      </c>
      <c r="O281" s="718">
        <f t="shared" si="65"/>
        <v>209.58</v>
      </c>
      <c r="P281" s="617">
        <f t="shared" si="59"/>
        <v>0</v>
      </c>
      <c r="Q281" s="525"/>
      <c r="S281" s="189">
        <v>0</v>
      </c>
      <c r="T281" s="189">
        <v>0</v>
      </c>
      <c r="BT281" s="525"/>
      <c r="BU281" s="523"/>
      <c r="BV281" s="523"/>
      <c r="BW281" s="523">
        <v>0</v>
      </c>
      <c r="BX281" s="523">
        <v>0</v>
      </c>
      <c r="BY281" s="523">
        <v>0</v>
      </c>
      <c r="BZ281" s="523">
        <v>0</v>
      </c>
      <c r="CA281" s="523"/>
      <c r="CB281" s="523"/>
      <c r="CC281" s="523"/>
      <c r="CD281" s="523"/>
      <c r="CE281" s="523"/>
      <c r="CF281" s="523"/>
      <c r="CG281" s="523"/>
      <c r="CH281" s="523"/>
      <c r="CI281" s="523">
        <f t="shared" si="61"/>
        <v>0</v>
      </c>
    </row>
    <row r="282" spans="1:87" ht="30" x14ac:dyDescent="0.2">
      <c r="A282" s="680" t="s">
        <v>730</v>
      </c>
      <c r="B282" s="569" t="s">
        <v>1796</v>
      </c>
      <c r="C282" s="569" t="s">
        <v>1324</v>
      </c>
      <c r="D282" s="569" t="s">
        <v>1797</v>
      </c>
      <c r="E282" s="681" t="s">
        <v>14</v>
      </c>
      <c r="F282" s="644">
        <v>22.57</v>
      </c>
      <c r="G282" s="682">
        <v>11.45</v>
      </c>
      <c r="H282" s="681">
        <v>64.91</v>
      </c>
      <c r="I282" s="685">
        <f t="shared" si="62"/>
        <v>0</v>
      </c>
      <c r="J282" s="573">
        <f t="shared" si="63"/>
        <v>0</v>
      </c>
      <c r="K282" s="644">
        <f t="shared" si="57"/>
        <v>64.91</v>
      </c>
      <c r="L282" s="708">
        <f t="shared" si="65"/>
        <v>743.22</v>
      </c>
      <c r="M282" s="708">
        <f t="shared" si="65"/>
        <v>0</v>
      </c>
      <c r="N282" s="708">
        <f t="shared" si="65"/>
        <v>0</v>
      </c>
      <c r="O282" s="718">
        <f t="shared" si="65"/>
        <v>743.22</v>
      </c>
      <c r="P282" s="617">
        <f t="shared" si="59"/>
        <v>0</v>
      </c>
      <c r="Q282" s="525"/>
      <c r="S282" s="189">
        <v>0</v>
      </c>
      <c r="T282" s="189">
        <v>0</v>
      </c>
      <c r="BT282" s="525"/>
      <c r="BU282" s="523"/>
      <c r="BV282" s="523"/>
      <c r="BW282" s="523">
        <v>0</v>
      </c>
      <c r="BX282" s="523">
        <v>0</v>
      </c>
      <c r="BY282" s="523">
        <v>0</v>
      </c>
      <c r="BZ282" s="523">
        <v>0</v>
      </c>
      <c r="CA282" s="523"/>
      <c r="CB282" s="523"/>
      <c r="CC282" s="523"/>
      <c r="CD282" s="523"/>
      <c r="CE282" s="523"/>
      <c r="CF282" s="523"/>
      <c r="CG282" s="523"/>
      <c r="CH282" s="523"/>
      <c r="CI282" s="523">
        <f t="shared" si="61"/>
        <v>0</v>
      </c>
    </row>
    <row r="283" spans="1:87" ht="15" x14ac:dyDescent="0.2">
      <c r="A283" s="680" t="s">
        <v>739</v>
      </c>
      <c r="B283" s="569" t="s">
        <v>1798</v>
      </c>
      <c r="C283" s="569" t="s">
        <v>1324</v>
      </c>
      <c r="D283" s="569" t="s">
        <v>1799</v>
      </c>
      <c r="E283" s="681" t="s">
        <v>14</v>
      </c>
      <c r="F283" s="644">
        <v>26.75</v>
      </c>
      <c r="G283" s="682">
        <v>1.53</v>
      </c>
      <c r="H283" s="681">
        <v>676.67</v>
      </c>
      <c r="I283" s="685">
        <f t="shared" si="62"/>
        <v>0</v>
      </c>
      <c r="J283" s="573">
        <f t="shared" si="63"/>
        <v>0</v>
      </c>
      <c r="K283" s="644">
        <f t="shared" si="57"/>
        <v>676.67</v>
      </c>
      <c r="L283" s="708">
        <f t="shared" si="65"/>
        <v>1035.31</v>
      </c>
      <c r="M283" s="708">
        <f t="shared" si="65"/>
        <v>0</v>
      </c>
      <c r="N283" s="708">
        <f t="shared" si="65"/>
        <v>0</v>
      </c>
      <c r="O283" s="718">
        <f t="shared" si="65"/>
        <v>1035.31</v>
      </c>
      <c r="P283" s="617">
        <f t="shared" si="59"/>
        <v>0</v>
      </c>
      <c r="Q283" s="525"/>
      <c r="S283" s="189">
        <v>0</v>
      </c>
      <c r="T283" s="189">
        <v>0</v>
      </c>
      <c r="BT283" s="525"/>
      <c r="BU283" s="523"/>
      <c r="BV283" s="523"/>
      <c r="BW283" s="523">
        <v>0</v>
      </c>
      <c r="BX283" s="523">
        <v>0</v>
      </c>
      <c r="BY283" s="523">
        <v>0</v>
      </c>
      <c r="BZ283" s="523">
        <v>0</v>
      </c>
      <c r="CA283" s="523"/>
      <c r="CB283" s="523"/>
      <c r="CC283" s="523"/>
      <c r="CD283" s="523"/>
      <c r="CE283" s="523"/>
      <c r="CF283" s="523"/>
      <c r="CG283" s="523"/>
      <c r="CH283" s="523"/>
      <c r="CI283" s="523">
        <f t="shared" si="61"/>
        <v>0</v>
      </c>
    </row>
    <row r="284" spans="1:87" ht="15" x14ac:dyDescent="0.2">
      <c r="A284" s="680" t="s">
        <v>743</v>
      </c>
      <c r="B284" s="569">
        <v>84122</v>
      </c>
      <c r="C284" s="569" t="s">
        <v>1324</v>
      </c>
      <c r="D284" s="569" t="s">
        <v>1800</v>
      </c>
      <c r="E284" s="681" t="s">
        <v>102</v>
      </c>
      <c r="F284" s="644">
        <v>61.1</v>
      </c>
      <c r="G284" s="682">
        <v>1317.85</v>
      </c>
      <c r="H284" s="681">
        <v>1</v>
      </c>
      <c r="I284" s="685">
        <f t="shared" si="62"/>
        <v>0</v>
      </c>
      <c r="J284" s="573">
        <f t="shared" si="63"/>
        <v>0</v>
      </c>
      <c r="K284" s="644">
        <f t="shared" si="57"/>
        <v>1</v>
      </c>
      <c r="L284" s="708">
        <f t="shared" si="65"/>
        <v>1317.85</v>
      </c>
      <c r="M284" s="708">
        <f t="shared" si="65"/>
        <v>0</v>
      </c>
      <c r="N284" s="708">
        <f t="shared" si="65"/>
        <v>0</v>
      </c>
      <c r="O284" s="718">
        <f t="shared" si="65"/>
        <v>1317.85</v>
      </c>
      <c r="P284" s="617">
        <f t="shared" si="59"/>
        <v>0</v>
      </c>
      <c r="Q284" s="525"/>
      <c r="S284" s="189">
        <v>0</v>
      </c>
      <c r="T284" s="189">
        <v>0</v>
      </c>
      <c r="AE284" s="393"/>
      <c r="BT284" s="525"/>
      <c r="BU284" s="523"/>
      <c r="BV284" s="523"/>
      <c r="BW284" s="523">
        <v>0</v>
      </c>
      <c r="BX284" s="523">
        <v>0</v>
      </c>
      <c r="BY284" s="523">
        <v>0</v>
      </c>
      <c r="BZ284" s="523">
        <v>0</v>
      </c>
      <c r="CA284" s="523"/>
      <c r="CB284" s="523"/>
      <c r="CC284" s="523"/>
      <c r="CD284" s="523"/>
      <c r="CE284" s="523"/>
      <c r="CF284" s="523"/>
      <c r="CG284" s="523"/>
      <c r="CH284" s="523"/>
      <c r="CI284" s="523">
        <f t="shared" si="61"/>
        <v>0</v>
      </c>
    </row>
    <row r="285" spans="1:87" s="67" customFormat="1" ht="16.5" thickBot="1" x14ac:dyDescent="0.25">
      <c r="A285" s="645"/>
      <c r="B285" s="646"/>
      <c r="C285" s="647"/>
      <c r="D285" s="647"/>
      <c r="E285" s="647"/>
      <c r="F285" s="647"/>
      <c r="G285" s="648" t="s">
        <v>1281</v>
      </c>
      <c r="H285" s="697"/>
      <c r="I285" s="650">
        <f t="shared" si="62"/>
        <v>0</v>
      </c>
      <c r="J285" s="651">
        <f t="shared" si="63"/>
        <v>0</v>
      </c>
      <c r="K285" s="647"/>
      <c r="L285" s="736">
        <f>L15+L27+L33+L46+L70+L78+L93+L96+L99+L110+L121+L130+L169+L191+L195+L209+L215+L260+L269+L279</f>
        <v>664297.16</v>
      </c>
      <c r="M285" s="713">
        <f>SUM(M279,M269,M260,M215,M209,M195,M191,M169,M130,M121,M110,M99,M96,M93,M78,M70,M46,M33,M27,M15)</f>
        <v>99904.09</v>
      </c>
      <c r="N285" s="713">
        <f>SUM(N279,N269,N260,N215,N209,N195,N191,N169,N130,N121,N110,N99,N96,N93,N78,N70,N46,N33,N27,N15)</f>
        <v>348014.98</v>
      </c>
      <c r="O285" s="725">
        <f>SUM(O279,O269,O260,O215,O209,O195,O191,O169,O130,O121,O110,O99,O96,O93,O78,O70,O46,O33,O27,O15)</f>
        <v>316282.15999999997</v>
      </c>
      <c r="P285" s="698">
        <f>N285/O285</f>
        <v>1.1003307300038674</v>
      </c>
      <c r="Q285" s="525"/>
      <c r="S285" s="193"/>
      <c r="T285" s="193"/>
      <c r="BT285" s="525"/>
      <c r="BU285" s="523"/>
      <c r="BV285" s="523"/>
      <c r="BW285" s="523">
        <v>0</v>
      </c>
      <c r="BX285" s="523">
        <v>0</v>
      </c>
      <c r="BY285" s="523"/>
      <c r="BZ285" s="523"/>
      <c r="CA285" s="523"/>
      <c r="CB285" s="523"/>
      <c r="CC285" s="523"/>
      <c r="CD285" s="523"/>
      <c r="CE285" s="523"/>
      <c r="CF285" s="523"/>
      <c r="CG285" s="523"/>
      <c r="CH285" s="523"/>
      <c r="CI285" s="523">
        <f t="shared" si="61"/>
        <v>0</v>
      </c>
    </row>
    <row r="286" spans="1:87" x14ac:dyDescent="0.2">
      <c r="A286" s="69"/>
      <c r="B286" s="69"/>
      <c r="C286" s="59"/>
      <c r="D286" s="111"/>
      <c r="E286" s="59"/>
      <c r="F286" s="59"/>
      <c r="G286" s="82"/>
      <c r="H286" s="699"/>
      <c r="I286" s="70"/>
      <c r="J286" s="70"/>
      <c r="K286" s="59"/>
      <c r="L286" s="700"/>
      <c r="M286" s="700"/>
      <c r="N286" s="700"/>
      <c r="O286" s="726"/>
      <c r="P286" s="701"/>
      <c r="BW286" s="66">
        <v>0</v>
      </c>
    </row>
    <row r="287" spans="1:87" x14ac:dyDescent="0.2">
      <c r="P287" s="704"/>
    </row>
    <row r="288" spans="1:87" x14ac:dyDescent="0.2">
      <c r="B288" s="702"/>
      <c r="C288" s="110"/>
      <c r="P288" s="704"/>
    </row>
    <row r="289" spans="2:15" x14ac:dyDescent="0.2">
      <c r="B289" s="702"/>
      <c r="C289" s="110"/>
    </row>
    <row r="290" spans="2:15" x14ac:dyDescent="0.2">
      <c r="B290" s="702"/>
      <c r="C290" s="110"/>
      <c r="I290" s="937"/>
      <c r="J290" s="937"/>
      <c r="K290" s="937"/>
    </row>
    <row r="291" spans="2:15" x14ac:dyDescent="0.2">
      <c r="B291" s="702"/>
      <c r="C291" s="110"/>
      <c r="I291" s="944"/>
      <c r="J291" s="944"/>
      <c r="K291" s="944"/>
      <c r="M291" s="937"/>
      <c r="N291" s="937"/>
      <c r="O291" s="937"/>
    </row>
    <row r="292" spans="2:15" x14ac:dyDescent="0.2">
      <c r="B292" s="702"/>
      <c r="C292" s="110"/>
      <c r="I292" s="937"/>
      <c r="J292" s="937"/>
      <c r="K292" s="937"/>
      <c r="M292" s="937"/>
      <c r="N292" s="937"/>
      <c r="O292" s="937"/>
    </row>
    <row r="293" spans="2:15" x14ac:dyDescent="0.2">
      <c r="B293" s="702"/>
      <c r="C293" s="110"/>
      <c r="I293" s="937"/>
      <c r="J293" s="937"/>
      <c r="K293" s="937"/>
    </row>
  </sheetData>
  <mergeCells count="20">
    <mergeCell ref="A8:D8"/>
    <mergeCell ref="E8:G8"/>
    <mergeCell ref="J8:K8"/>
    <mergeCell ref="A1:D5"/>
    <mergeCell ref="E1:P5"/>
    <mergeCell ref="A7:D7"/>
    <mergeCell ref="E7:G7"/>
    <mergeCell ref="J7:K7"/>
    <mergeCell ref="I293:K293"/>
    <mergeCell ref="A9:D9"/>
    <mergeCell ref="E9:G9"/>
    <mergeCell ref="J9:K9"/>
    <mergeCell ref="N9:O9"/>
    <mergeCell ref="H11:K11"/>
    <mergeCell ref="L11:O11"/>
    <mergeCell ref="I290:K290"/>
    <mergeCell ref="I291:K291"/>
    <mergeCell ref="M291:O291"/>
    <mergeCell ref="I292:K292"/>
    <mergeCell ref="M292:O292"/>
  </mergeCells>
  <conditionalFormatting sqref="A15:E15 F47:G47 H90 O96 F52:G52 I52 K133:K152 H227:H247 H217:H225 F226:H226 A90:E90 L96:M96 A17:E17 H15:H17 H28:H32 A28:E32 A27:D27 A34:E45 A33:D33 H35:H45 H47:H57 A47:E57 A46:D46 A72:E72 H72 H80:H83 A80:E83 A94:E95 A93:D93 H94:H95 H97:H98 A97:E98 A96:D96 A100:E109 A99:D99 H100:H109 H112:H116 A112:E116 A122:E129 A121:D121 H122:H129 H132:H152 A132:E152 A170:E181 A169:D169 H171:H181 K171:K181 A192:E194 A191:D191 H192:I194 A196:E208 A195:D195 H196:I208 A210:E214 A209:D209 H210:I214 I217:I247 A216:E259 A215:D215 A261:E268 A260:D260 H261:I268 H271:I275 A270:E278 A269:D269 A280:E284 A279:D279 I280:I284 H280:H286 A59:E62 A58:D58 H59:H62 H64:H67 A64:E67 A63:D63 A69:E69 A68:D68 H69 A70:D71 H74:H75 A74:E75 A73:D73 A77:E77 A76:D76 H77 A78:D79 A85:E87 A84:D84 H85:H87 A88:D88 A92:E92 A91:D91 H92 A110:D111 A118:E120 A117:D117 H118:H120 A130:D131 A154:E168 A153:D153 H154:H168 K154:K168 H183:I190 A183:E190 A182:D182 H23:H26 A23:E26 L46:O46 L52:O52 L58:O58 L63:O63 L68:O68 L71:O71 L73:O73 L76:O76 L78:O79 L84:O84 L93:O93 L99:O99 L110:O111 L117:O117 L121:O121 L130:O131 L153:O153 L169:O170 L182:O182 L191:O191 L195:O195 L209:O209 K226:O226 L215:O216 L260:O260 L269:O270 L279:O279 H249:I252 F248:O248 H277:I278 F276:O276 F270:K270 H254:I259 F253:O253 F216:K216 F170:K170">
    <cfRule type="expression" dxfId="343" priority="75">
      <formula>$D15&lt;&gt;0</formula>
    </cfRule>
    <cfRule type="expression" dxfId="342" priority="76">
      <formula>$O15=1</formula>
    </cfRule>
  </conditionalFormatting>
  <conditionalFormatting sqref="G15 G40 L40:O40 G34:K34">
    <cfRule type="expression" dxfId="341" priority="77">
      <formula>$D15&lt;&gt;0</formula>
    </cfRule>
    <cfRule type="expression" dxfId="340" priority="78">
      <formula>$O15=1</formula>
    </cfRule>
  </conditionalFormatting>
  <conditionalFormatting sqref="E27">
    <cfRule type="expression" dxfId="339" priority="71">
      <formula>$D27&lt;&gt;0</formula>
    </cfRule>
    <cfRule type="expression" dxfId="338" priority="72">
      <formula>$O27=1</formula>
    </cfRule>
  </conditionalFormatting>
  <conditionalFormatting sqref="G27:J27">
    <cfRule type="expression" dxfId="337" priority="73">
      <formula>$D27&lt;&gt;0</formula>
    </cfRule>
    <cfRule type="expression" dxfId="336" priority="74">
      <formula>$O27=1</formula>
    </cfRule>
  </conditionalFormatting>
  <conditionalFormatting sqref="E33">
    <cfRule type="expression" dxfId="335" priority="67">
      <formula>$D33&lt;&gt;0</formula>
    </cfRule>
    <cfRule type="expression" dxfId="334" priority="68">
      <formula>$O33=1</formula>
    </cfRule>
  </conditionalFormatting>
  <conditionalFormatting sqref="G33:K33">
    <cfRule type="expression" dxfId="333" priority="69">
      <formula>$D33&lt;&gt;0</formula>
    </cfRule>
    <cfRule type="expression" dxfId="332" priority="70">
      <formula>$O33=1</formula>
    </cfRule>
  </conditionalFormatting>
  <conditionalFormatting sqref="E46 H46">
    <cfRule type="expression" dxfId="331" priority="63">
      <formula>$D46&lt;&gt;0</formula>
    </cfRule>
    <cfRule type="expression" dxfId="330" priority="64">
      <formula>$O46=1</formula>
    </cfRule>
  </conditionalFormatting>
  <conditionalFormatting sqref="G46">
    <cfRule type="expression" dxfId="329" priority="65">
      <formula>$D46&lt;&gt;0</formula>
    </cfRule>
    <cfRule type="expression" dxfId="328" priority="66">
      <formula>$O46=1</formula>
    </cfRule>
  </conditionalFormatting>
  <conditionalFormatting sqref="E70:K70">
    <cfRule type="expression" dxfId="327" priority="61">
      <formula>$D70&lt;&gt;0</formula>
    </cfRule>
    <cfRule type="expression" dxfId="326" priority="62">
      <formula>$O70=1</formula>
    </cfRule>
  </conditionalFormatting>
  <conditionalFormatting sqref="E78:K78">
    <cfRule type="expression" dxfId="325" priority="59">
      <formula>$D78&lt;&gt;0</formula>
    </cfRule>
    <cfRule type="expression" dxfId="324" priority="60">
      <formula>$O78=1</formula>
    </cfRule>
  </conditionalFormatting>
  <conditionalFormatting sqref="E93:K93">
    <cfRule type="expression" dxfId="323" priority="57">
      <formula>$D93&lt;&gt;0</formula>
    </cfRule>
    <cfRule type="expression" dxfId="322" priority="58">
      <formula>$O93=1</formula>
    </cfRule>
  </conditionalFormatting>
  <conditionalFormatting sqref="E96:K96">
    <cfRule type="expression" dxfId="321" priority="55">
      <formula>$D96&lt;&gt;0</formula>
    </cfRule>
    <cfRule type="expression" dxfId="320" priority="56">
      <formula>$O96=1</formula>
    </cfRule>
  </conditionalFormatting>
  <conditionalFormatting sqref="E99:K99">
    <cfRule type="expression" dxfId="319" priority="53">
      <formula>$D99&lt;&gt;0</formula>
    </cfRule>
    <cfRule type="expression" dxfId="318" priority="54">
      <formula>$O99=1</formula>
    </cfRule>
  </conditionalFormatting>
  <conditionalFormatting sqref="E110:K110">
    <cfRule type="expression" dxfId="317" priority="51">
      <formula>$D110&lt;&gt;0</formula>
    </cfRule>
    <cfRule type="expression" dxfId="316" priority="52">
      <formula>$O110=1</formula>
    </cfRule>
  </conditionalFormatting>
  <conditionalFormatting sqref="E121:K121">
    <cfRule type="expression" dxfId="315" priority="49">
      <formula>$D121&lt;&gt;0</formula>
    </cfRule>
    <cfRule type="expression" dxfId="314" priority="50">
      <formula>$O121=1</formula>
    </cfRule>
  </conditionalFormatting>
  <conditionalFormatting sqref="E130:K130">
    <cfRule type="expression" dxfId="313" priority="47">
      <formula>$D130&lt;&gt;0</formula>
    </cfRule>
    <cfRule type="expression" dxfId="312" priority="48">
      <formula>$O130=1</formula>
    </cfRule>
  </conditionalFormatting>
  <conditionalFormatting sqref="E169:K169">
    <cfRule type="expression" dxfId="311" priority="45">
      <formula>$D169&lt;&gt;0</formula>
    </cfRule>
    <cfRule type="expression" dxfId="310" priority="46">
      <formula>$O169=1</formula>
    </cfRule>
  </conditionalFormatting>
  <conditionalFormatting sqref="E191:K191">
    <cfRule type="expression" dxfId="309" priority="43">
      <formula>$D191&lt;&gt;0</formula>
    </cfRule>
    <cfRule type="expression" dxfId="308" priority="44">
      <formula>$O191=1</formula>
    </cfRule>
  </conditionalFormatting>
  <conditionalFormatting sqref="E195:K195">
    <cfRule type="expression" dxfId="307" priority="41">
      <formula>$D195&lt;&gt;0</formula>
    </cfRule>
    <cfRule type="expression" dxfId="306" priority="42">
      <formula>$O195=1</formula>
    </cfRule>
  </conditionalFormatting>
  <conditionalFormatting sqref="E209:K209">
    <cfRule type="expression" dxfId="305" priority="39">
      <formula>$D209&lt;&gt;0</formula>
    </cfRule>
    <cfRule type="expression" dxfId="304" priority="40">
      <formula>$O209=1</formula>
    </cfRule>
  </conditionalFormatting>
  <conditionalFormatting sqref="E215:K215">
    <cfRule type="expression" dxfId="303" priority="37">
      <formula>$D215&lt;&gt;0</formula>
    </cfRule>
    <cfRule type="expression" dxfId="302" priority="38">
      <formula>$O215=1</formula>
    </cfRule>
  </conditionalFormatting>
  <conditionalFormatting sqref="E260:K260">
    <cfRule type="expression" dxfId="301" priority="35">
      <formula>$D260&lt;&gt;0</formula>
    </cfRule>
    <cfRule type="expression" dxfId="300" priority="36">
      <formula>$O260=1</formula>
    </cfRule>
  </conditionalFormatting>
  <conditionalFormatting sqref="E269:K269">
    <cfRule type="expression" dxfId="299" priority="33">
      <formula>$D269&lt;&gt;0</formula>
    </cfRule>
    <cfRule type="expression" dxfId="298" priority="34">
      <formula>$O269=1</formula>
    </cfRule>
  </conditionalFormatting>
  <conditionalFormatting sqref="E279:K279">
    <cfRule type="expression" dxfId="297" priority="31">
      <formula>$D279&lt;&gt;0</formula>
    </cfRule>
    <cfRule type="expression" dxfId="296" priority="32">
      <formula>$O279=1</formula>
    </cfRule>
  </conditionalFormatting>
  <conditionalFormatting sqref="E58:I58">
    <cfRule type="expression" dxfId="295" priority="29">
      <formula>$D58&lt;&gt;0</formula>
    </cfRule>
    <cfRule type="expression" dxfId="294" priority="30">
      <formula>$O58=1</formula>
    </cfRule>
  </conditionalFormatting>
  <conditionalFormatting sqref="E63:K63">
    <cfRule type="expression" dxfId="293" priority="27">
      <formula>$D63&lt;&gt;0</formula>
    </cfRule>
    <cfRule type="expression" dxfId="292" priority="28">
      <formula>$O63=1</formula>
    </cfRule>
  </conditionalFormatting>
  <conditionalFormatting sqref="E68:K68">
    <cfRule type="expression" dxfId="291" priority="25">
      <formula>$D68&lt;&gt;0</formula>
    </cfRule>
    <cfRule type="expression" dxfId="290" priority="26">
      <formula>$O68=1</formula>
    </cfRule>
  </conditionalFormatting>
  <conditionalFormatting sqref="E71:K71">
    <cfRule type="expression" dxfId="289" priority="23">
      <formula>$D71&lt;&gt;0</formula>
    </cfRule>
    <cfRule type="expression" dxfId="288" priority="24">
      <formula>$O71=1</formula>
    </cfRule>
  </conditionalFormatting>
  <conditionalFormatting sqref="E73:K73">
    <cfRule type="expression" dxfId="287" priority="21">
      <formula>$D73&lt;&gt;0</formula>
    </cfRule>
    <cfRule type="expression" dxfId="286" priority="22">
      <formula>$O73=1</formula>
    </cfRule>
  </conditionalFormatting>
  <conditionalFormatting sqref="E76:K76">
    <cfRule type="expression" dxfId="285" priority="19">
      <formula>$D76&lt;&gt;0</formula>
    </cfRule>
    <cfRule type="expression" dxfId="284" priority="20">
      <formula>$O76=1</formula>
    </cfRule>
  </conditionalFormatting>
  <conditionalFormatting sqref="E79:K79">
    <cfRule type="expression" dxfId="283" priority="17">
      <formula>$D79&lt;&gt;0</formula>
    </cfRule>
    <cfRule type="expression" dxfId="282" priority="18">
      <formula>$O79=1</formula>
    </cfRule>
  </conditionalFormatting>
  <conditionalFormatting sqref="E84:K84">
    <cfRule type="expression" dxfId="281" priority="15">
      <formula>$D84&lt;&gt;0</formula>
    </cfRule>
    <cfRule type="expression" dxfId="280" priority="16">
      <formula>$O84=1</formula>
    </cfRule>
  </conditionalFormatting>
  <conditionalFormatting sqref="E88:K88">
    <cfRule type="expression" dxfId="279" priority="13">
      <formula>$D88&lt;&gt;0</formula>
    </cfRule>
    <cfRule type="expression" dxfId="278" priority="14">
      <formula>$O88=1</formula>
    </cfRule>
  </conditionalFormatting>
  <conditionalFormatting sqref="E91:K91">
    <cfRule type="expression" dxfId="277" priority="11">
      <formula>$D91&lt;&gt;0</formula>
    </cfRule>
    <cfRule type="expression" dxfId="276" priority="12">
      <formula>$O91=1</formula>
    </cfRule>
  </conditionalFormatting>
  <conditionalFormatting sqref="E111:K111">
    <cfRule type="expression" dxfId="275" priority="9">
      <formula>$D111&lt;&gt;0</formula>
    </cfRule>
    <cfRule type="expression" dxfId="274" priority="10">
      <formula>$O111=1</formula>
    </cfRule>
  </conditionalFormatting>
  <conditionalFormatting sqref="E117:K117">
    <cfRule type="expression" dxfId="273" priority="7">
      <formula>$D117&lt;&gt;0</formula>
    </cfRule>
    <cfRule type="expression" dxfId="272" priority="8">
      <formula>$O117=1</formula>
    </cfRule>
  </conditionalFormatting>
  <conditionalFormatting sqref="E131:K131">
    <cfRule type="expression" dxfId="271" priority="5">
      <formula>$D131&lt;&gt;0</formula>
    </cfRule>
    <cfRule type="expression" dxfId="270" priority="6">
      <formula>$O131=1</formula>
    </cfRule>
  </conditionalFormatting>
  <conditionalFormatting sqref="E153:K153">
    <cfRule type="expression" dxfId="269" priority="3">
      <formula>$D153&lt;&gt;0</formula>
    </cfRule>
    <cfRule type="expression" dxfId="268" priority="4">
      <formula>$O153=1</formula>
    </cfRule>
  </conditionalFormatting>
  <conditionalFormatting sqref="E182:K182">
    <cfRule type="expression" dxfId="267" priority="1">
      <formula>$D182&lt;&gt;0</formula>
    </cfRule>
    <cfRule type="expression" dxfId="266" priority="2">
      <formula>$O182=1</formula>
    </cfRule>
  </conditionalFormatting>
  <printOptions horizontalCentered="1"/>
  <pageMargins left="0.31496062992125984" right="0.31496062992125984" top="0.39370078740157483" bottom="1.1417322834645669" header="0.31496062992125984" footer="0.31496062992125984"/>
  <pageSetup paperSize="9" scale="43" fitToHeight="0" orientation="landscape" r:id="rId1"/>
  <headerFooter>
    <oddHeader>&amp;R&amp;P</oddHeader>
    <oddFooter>&amp;LResp. Técnico Fiscalização: Nei Frederico
CREA: 101562139-2
&amp;RResp. Engenharia Civil: Humberto Soares da Rocha Neto
CREA: 64467-D BA
&amp;P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CQ293"/>
  <sheetViews>
    <sheetView showGridLines="0" view="pageBreakPreview" topLeftCell="E1" zoomScale="55" zoomScaleNormal="70" zoomScaleSheetLayoutView="55" zoomScalePageLayoutView="55" workbookViewId="0">
      <selection activeCell="CB15" sqref="CB15:CB285"/>
    </sheetView>
  </sheetViews>
  <sheetFormatPr defaultColWidth="9.33203125" defaultRowHeight="12.75" x14ac:dyDescent="0.2"/>
  <cols>
    <col min="1" max="1" width="12.5" style="110" customWidth="1"/>
    <col min="2" max="2" width="11.33203125" style="110" customWidth="1"/>
    <col min="3" max="3" width="11.5" style="702" customWidth="1"/>
    <col min="4" max="4" width="114.33203125" style="110" bestFit="1" customWidth="1"/>
    <col min="5" max="5" width="11.5" style="110" customWidth="1"/>
    <col min="6" max="6" width="12.6640625" style="110" hidden="1" customWidth="1"/>
    <col min="7" max="7" width="24.6640625" style="757" customWidth="1"/>
    <col min="8" max="8" width="19.6640625" style="110" bestFit="1" customWidth="1"/>
    <col min="9" max="9" width="23.5" style="192" customWidth="1"/>
    <col min="10" max="10" width="22.83203125" style="192" customWidth="1"/>
    <col min="11" max="11" width="14.83203125" style="110" customWidth="1"/>
    <col min="12" max="12" width="21.1640625" style="757" customWidth="1"/>
    <col min="13" max="13" width="18.6640625" style="757" customWidth="1"/>
    <col min="14" max="14" width="23.1640625" style="757" bestFit="1" customWidth="1"/>
    <col min="15" max="15" width="22.6640625" style="727" customWidth="1"/>
    <col min="16" max="16" width="12.5" style="110" customWidth="1"/>
    <col min="17" max="17" width="13.5" style="66" customWidth="1"/>
    <col min="18" max="18" width="0" style="66" hidden="1" customWidth="1"/>
    <col min="19" max="19" width="13.83203125" style="189" hidden="1" customWidth="1"/>
    <col min="20" max="20" width="11.1640625" style="189" hidden="1" customWidth="1"/>
    <col min="21" max="25" width="0" style="66" hidden="1" customWidth="1"/>
    <col min="26" max="26" width="12.33203125" style="66" hidden="1" customWidth="1"/>
    <col min="27" max="27" width="0" style="66" hidden="1" customWidth="1"/>
    <col min="28" max="28" width="13.5" style="66" hidden="1" customWidth="1"/>
    <col min="29" max="30" width="0" style="66" hidden="1" customWidth="1"/>
    <col min="31" max="31" width="15.6640625" style="66" hidden="1" customWidth="1"/>
    <col min="32" max="33" width="11.5" style="66" hidden="1" customWidth="1"/>
    <col min="34" max="71" width="0" style="66" hidden="1" customWidth="1"/>
    <col min="72" max="72" width="19.6640625" style="66" hidden="1" customWidth="1"/>
    <col min="73" max="73" width="9.33203125" style="66"/>
    <col min="74" max="74" width="17" style="66" bestFit="1" customWidth="1"/>
    <col min="75" max="79" width="9.33203125" style="66" customWidth="1"/>
    <col min="80" max="80" width="9.33203125" style="66"/>
    <col min="81" max="81" width="20.1640625" style="66" bestFit="1" customWidth="1"/>
    <col min="82" max="82" width="20" style="66" bestFit="1" customWidth="1"/>
    <col min="83" max="86" width="9.33203125" style="66"/>
    <col min="87" max="87" width="11.1640625" style="66" bestFit="1" customWidth="1"/>
    <col min="88" max="93" width="9.33203125" style="66"/>
    <col min="94" max="94" width="20.1640625" style="66" hidden="1" customWidth="1"/>
    <col min="95" max="95" width="19" style="66" hidden="1" customWidth="1"/>
    <col min="96" max="16384" width="9.33203125" style="66"/>
  </cols>
  <sheetData>
    <row r="1" spans="1:95" s="51" customFormat="1" ht="12" x14ac:dyDescent="0.2">
      <c r="A1" s="923"/>
      <c r="B1" s="924"/>
      <c r="C1" s="924"/>
      <c r="D1" s="924"/>
      <c r="E1" s="929" t="s">
        <v>2047</v>
      </c>
      <c r="F1" s="929"/>
      <c r="G1" s="929"/>
      <c r="H1" s="929"/>
      <c r="I1" s="929"/>
      <c r="J1" s="929"/>
      <c r="K1" s="929"/>
      <c r="L1" s="929"/>
      <c r="M1" s="929"/>
      <c r="N1" s="929"/>
      <c r="O1" s="929"/>
      <c r="P1" s="930"/>
      <c r="S1" s="188"/>
      <c r="T1" s="188"/>
    </row>
    <row r="2" spans="1:95" s="51" customFormat="1" ht="12" x14ac:dyDescent="0.2">
      <c r="A2" s="925"/>
      <c r="B2" s="926"/>
      <c r="C2" s="926"/>
      <c r="D2" s="926"/>
      <c r="E2" s="931"/>
      <c r="F2" s="931"/>
      <c r="G2" s="931"/>
      <c r="H2" s="931"/>
      <c r="I2" s="931"/>
      <c r="J2" s="931"/>
      <c r="K2" s="931"/>
      <c r="L2" s="931"/>
      <c r="M2" s="931"/>
      <c r="N2" s="931"/>
      <c r="O2" s="931"/>
      <c r="P2" s="932"/>
      <c r="S2" s="188"/>
      <c r="T2" s="188"/>
    </row>
    <row r="3" spans="1:95" s="51" customFormat="1" ht="12" x14ac:dyDescent="0.2">
      <c r="A3" s="925"/>
      <c r="B3" s="926"/>
      <c r="C3" s="926"/>
      <c r="D3" s="926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2"/>
      <c r="S3" s="188"/>
      <c r="T3" s="188"/>
    </row>
    <row r="4" spans="1:95" s="51" customFormat="1" ht="12" x14ac:dyDescent="0.2">
      <c r="A4" s="925"/>
      <c r="B4" s="926"/>
      <c r="C4" s="926"/>
      <c r="D4" s="926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2"/>
      <c r="S4" s="188"/>
      <c r="T4" s="188"/>
    </row>
    <row r="5" spans="1:95" s="51" customFormat="1" ht="35.25" customHeight="1" thickBot="1" x14ac:dyDescent="0.25">
      <c r="A5" s="927"/>
      <c r="B5" s="928"/>
      <c r="C5" s="928"/>
      <c r="D5" s="928"/>
      <c r="E5" s="933"/>
      <c r="F5" s="933"/>
      <c r="G5" s="933"/>
      <c r="H5" s="933"/>
      <c r="I5" s="933"/>
      <c r="J5" s="933"/>
      <c r="K5" s="933"/>
      <c r="L5" s="933"/>
      <c r="M5" s="933"/>
      <c r="N5" s="933"/>
      <c r="O5" s="933"/>
      <c r="P5" s="934"/>
      <c r="S5" s="188"/>
      <c r="T5" s="188"/>
      <c r="BV5" s="372"/>
      <c r="BW5" s="372"/>
    </row>
    <row r="6" spans="1:95" s="51" customFormat="1" ht="23.25" x14ac:dyDescent="0.2">
      <c r="A6" s="764"/>
      <c r="B6" s="764"/>
      <c r="C6" s="764"/>
      <c r="D6" s="764"/>
      <c r="E6" s="765"/>
      <c r="F6" s="765"/>
      <c r="G6" s="765"/>
      <c r="H6" s="765"/>
      <c r="I6" s="765"/>
      <c r="J6" s="765"/>
      <c r="K6" s="765"/>
      <c r="L6" s="765"/>
      <c r="M6" s="765"/>
      <c r="N6" s="765"/>
      <c r="O6" s="773"/>
      <c r="P6" s="765"/>
      <c r="S6" s="188">
        <v>30999.574999999997</v>
      </c>
      <c r="T6" s="188" t="s">
        <v>1288</v>
      </c>
      <c r="Z6" s="64">
        <v>30999.574999999997</v>
      </c>
      <c r="AB6" s="64">
        <v>44898.842499999999</v>
      </c>
      <c r="AE6" s="756">
        <v>38575.583824999994</v>
      </c>
      <c r="AF6" s="372">
        <f>AE6-I7</f>
        <v>38575.583824999994</v>
      </c>
      <c r="BV6" s="372"/>
    </row>
    <row r="7" spans="1:95" s="51" customFormat="1" ht="23.25" x14ac:dyDescent="0.2">
      <c r="A7" s="945" t="s">
        <v>1320</v>
      </c>
      <c r="B7" s="945"/>
      <c r="C7" s="945"/>
      <c r="D7" s="945"/>
      <c r="E7" s="955" t="s">
        <v>2019</v>
      </c>
      <c r="F7" s="955"/>
      <c r="G7" s="955"/>
      <c r="H7" s="786" t="s">
        <v>1323</v>
      </c>
      <c r="I7" s="774"/>
      <c r="J7" s="954" t="s">
        <v>2029</v>
      </c>
      <c r="K7" s="954"/>
      <c r="L7" s="776">
        <f>M13/L13</f>
        <v>0.10788311965687163</v>
      </c>
      <c r="M7" s="765"/>
      <c r="N7" s="781" t="s">
        <v>2051</v>
      </c>
      <c r="O7" s="787">
        <v>43658</v>
      </c>
      <c r="P7" s="778"/>
      <c r="S7" s="188">
        <v>203365.995</v>
      </c>
      <c r="T7" s="188" t="s">
        <v>1309</v>
      </c>
      <c r="AB7" s="64">
        <v>152813.08250000002</v>
      </c>
    </row>
    <row r="8" spans="1:95" s="51" customFormat="1" ht="23.25" x14ac:dyDescent="0.2">
      <c r="A8" s="945" t="s">
        <v>2014</v>
      </c>
      <c r="B8" s="945"/>
      <c r="C8" s="945"/>
      <c r="D8" s="945"/>
      <c r="E8" s="946" t="s">
        <v>2020</v>
      </c>
      <c r="F8" s="946"/>
      <c r="G8" s="946"/>
      <c r="H8" s="779">
        <f>664297.16</f>
        <v>664297.16</v>
      </c>
      <c r="I8" s="774"/>
      <c r="J8" s="954" t="s">
        <v>2028</v>
      </c>
      <c r="K8" s="954"/>
      <c r="L8" s="776">
        <f>P13</f>
        <v>0.631767626403822</v>
      </c>
      <c r="M8" s="765"/>
      <c r="N8" s="788" t="s">
        <v>3</v>
      </c>
      <c r="O8" s="775">
        <v>0.27139999999999997</v>
      </c>
      <c r="P8" s="778"/>
      <c r="Q8" s="534"/>
      <c r="R8" s="534"/>
      <c r="S8" s="535">
        <v>485968.91500000004</v>
      </c>
      <c r="T8" s="535" t="s">
        <v>1294</v>
      </c>
      <c r="U8" s="534"/>
      <c r="V8" s="534"/>
      <c r="W8" s="534"/>
      <c r="X8" s="534"/>
      <c r="Y8" s="534"/>
      <c r="Z8" s="534"/>
      <c r="AA8" s="534"/>
      <c r="AB8" s="64">
        <v>511484.07750000001</v>
      </c>
      <c r="AC8" s="534"/>
      <c r="AD8" s="534"/>
      <c r="AE8" s="536" t="e">
        <f>H8/I9</f>
        <v>#DIV/0!</v>
      </c>
      <c r="AF8" s="534"/>
      <c r="AG8" s="534"/>
      <c r="AH8" s="534"/>
      <c r="AI8" s="534"/>
      <c r="AJ8" s="534"/>
      <c r="AK8" s="534"/>
      <c r="AL8" s="534"/>
      <c r="AM8" s="534"/>
      <c r="AN8" s="534"/>
      <c r="AO8" s="534"/>
      <c r="AP8" s="534"/>
      <c r="AQ8" s="534"/>
      <c r="AR8" s="534"/>
      <c r="AS8" s="534"/>
      <c r="AT8" s="534"/>
      <c r="AU8" s="534"/>
      <c r="AV8" s="534"/>
      <c r="AW8" s="534"/>
      <c r="AX8" s="534"/>
      <c r="AY8" s="534"/>
      <c r="AZ8" s="534"/>
      <c r="BA8" s="534"/>
      <c r="BB8" s="534"/>
      <c r="BC8" s="534"/>
      <c r="BD8" s="534"/>
      <c r="BE8" s="534"/>
      <c r="BF8" s="534"/>
      <c r="BG8" s="534"/>
      <c r="BH8" s="534"/>
      <c r="BI8" s="534"/>
      <c r="BJ8" s="534"/>
      <c r="BK8" s="534"/>
      <c r="BL8" s="534"/>
      <c r="BM8" s="534"/>
      <c r="BN8" s="534"/>
      <c r="BO8" s="534"/>
      <c r="BP8" s="534"/>
      <c r="BQ8" s="534"/>
      <c r="BR8" s="534"/>
      <c r="BS8" s="534"/>
      <c r="BT8" s="534"/>
      <c r="CP8" s="490">
        <v>102520.2</v>
      </c>
      <c r="CQ8" s="753">
        <f>CP8-M13</f>
        <v>30853.75</v>
      </c>
    </row>
    <row r="9" spans="1:95" s="51" customFormat="1" ht="23.25" x14ac:dyDescent="0.2">
      <c r="A9" s="945" t="s">
        <v>2017</v>
      </c>
      <c r="B9" s="945"/>
      <c r="C9" s="945"/>
      <c r="D9" s="945"/>
      <c r="E9" s="946" t="s">
        <v>2027</v>
      </c>
      <c r="F9" s="946"/>
      <c r="G9" s="946"/>
      <c r="H9" s="780">
        <v>44041</v>
      </c>
      <c r="I9" s="780"/>
      <c r="J9" s="947" t="s">
        <v>2030</v>
      </c>
      <c r="K9" s="947"/>
      <c r="L9" s="782">
        <v>44196</v>
      </c>
      <c r="M9" s="765"/>
      <c r="N9" s="766" t="s">
        <v>2016</v>
      </c>
      <c r="O9" s="766" t="s">
        <v>2048</v>
      </c>
      <c r="P9" s="767"/>
      <c r="Q9" s="534"/>
      <c r="R9" s="534"/>
      <c r="S9" s="535"/>
      <c r="T9" s="535"/>
      <c r="U9" s="534"/>
      <c r="V9" s="534"/>
      <c r="W9" s="534"/>
      <c r="X9" s="534"/>
      <c r="Y9" s="534"/>
      <c r="Z9" s="534"/>
      <c r="AA9" s="534"/>
      <c r="AB9" s="485"/>
      <c r="AC9" s="534"/>
      <c r="AD9" s="534"/>
      <c r="AE9" s="537"/>
      <c r="AF9" s="534"/>
      <c r="AG9" s="534"/>
      <c r="AH9" s="534"/>
      <c r="AI9" s="534"/>
      <c r="AJ9" s="534"/>
      <c r="AK9" s="534"/>
      <c r="AL9" s="534"/>
      <c r="AM9" s="534"/>
      <c r="AN9" s="534"/>
      <c r="AO9" s="534"/>
      <c r="AP9" s="534"/>
      <c r="AQ9" s="534"/>
      <c r="AR9" s="534"/>
      <c r="AS9" s="534"/>
      <c r="AT9" s="534"/>
      <c r="AU9" s="534"/>
      <c r="AV9" s="534"/>
      <c r="AW9" s="534"/>
      <c r="AX9" s="534"/>
      <c r="AY9" s="534"/>
      <c r="AZ9" s="534"/>
      <c r="BA9" s="534"/>
      <c r="BB9" s="534"/>
      <c r="BC9" s="534"/>
      <c r="BD9" s="534"/>
      <c r="BE9" s="534"/>
      <c r="BF9" s="534"/>
      <c r="BG9" s="534"/>
      <c r="BH9" s="534"/>
      <c r="BI9" s="534"/>
      <c r="BJ9" s="534"/>
      <c r="BK9" s="534"/>
      <c r="BL9" s="534"/>
      <c r="BM9" s="534"/>
      <c r="BN9" s="534"/>
      <c r="BO9" s="534"/>
      <c r="BP9" s="534"/>
      <c r="BQ9" s="534"/>
      <c r="BR9" s="534"/>
      <c r="BS9" s="534"/>
      <c r="BT9" s="538"/>
    </row>
    <row r="10" spans="1:95" s="51" customFormat="1" ht="13.5" thickBot="1" x14ac:dyDescent="0.25">
      <c r="A10" s="767"/>
      <c r="B10" s="767"/>
      <c r="C10" s="767"/>
      <c r="D10" s="767"/>
      <c r="E10" s="767"/>
      <c r="F10" s="768"/>
      <c r="G10" s="769"/>
      <c r="H10" s="777"/>
      <c r="I10" s="774"/>
      <c r="J10" s="783"/>
      <c r="K10" s="784"/>
      <c r="L10" s="777"/>
      <c r="M10" s="767"/>
      <c r="N10" s="767"/>
      <c r="O10" s="778"/>
      <c r="P10" s="784"/>
      <c r="S10" s="188"/>
      <c r="T10" s="188"/>
      <c r="BT10" s="372"/>
    </row>
    <row r="11" spans="1:95" ht="29.25" customHeight="1" thickBot="1" x14ac:dyDescent="0.25">
      <c r="A11" s="770"/>
      <c r="B11" s="770"/>
      <c r="C11" s="770"/>
      <c r="D11" s="770"/>
      <c r="E11" s="771"/>
      <c r="F11" s="771"/>
      <c r="G11" s="772"/>
      <c r="H11" s="948" t="s">
        <v>2008</v>
      </c>
      <c r="I11" s="949"/>
      <c r="J11" s="949"/>
      <c r="K11" s="950"/>
      <c r="L11" s="951" t="s">
        <v>2009</v>
      </c>
      <c r="M11" s="952"/>
      <c r="N11" s="952"/>
      <c r="O11" s="952"/>
      <c r="P11" s="953"/>
      <c r="Q11" s="71"/>
      <c r="R11" s="71"/>
      <c r="S11" s="533"/>
      <c r="T11" s="533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66" t="s">
        <v>2033</v>
      </c>
      <c r="CD11" s="393">
        <f>N13-M13</f>
        <v>348014.99</v>
      </c>
    </row>
    <row r="12" spans="1:95" ht="36.75" customHeight="1" thickBot="1" x14ac:dyDescent="0.25">
      <c r="A12" s="758" t="s">
        <v>1325</v>
      </c>
      <c r="B12" s="758" t="s">
        <v>1326</v>
      </c>
      <c r="C12" s="758" t="s">
        <v>1327</v>
      </c>
      <c r="D12" s="758" t="s">
        <v>5</v>
      </c>
      <c r="E12" s="758" t="s">
        <v>6</v>
      </c>
      <c r="F12" s="763" t="s">
        <v>2050</v>
      </c>
      <c r="G12" s="760" t="s">
        <v>2049</v>
      </c>
      <c r="H12" s="758" t="s">
        <v>2018</v>
      </c>
      <c r="I12" s="759" t="s">
        <v>2013</v>
      </c>
      <c r="J12" s="759" t="s">
        <v>1819</v>
      </c>
      <c r="K12" s="758" t="s">
        <v>1295</v>
      </c>
      <c r="L12" s="760" t="s">
        <v>2018</v>
      </c>
      <c r="M12" s="761" t="s">
        <v>2013</v>
      </c>
      <c r="N12" s="761" t="s">
        <v>1819</v>
      </c>
      <c r="O12" s="762" t="s">
        <v>1295</v>
      </c>
      <c r="P12" s="758" t="s">
        <v>1296</v>
      </c>
      <c r="Q12" s="71"/>
      <c r="R12" s="71"/>
      <c r="S12" s="533"/>
      <c r="T12" s="533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</row>
    <row r="13" spans="1:95" s="539" customFormat="1" ht="33" customHeight="1" x14ac:dyDescent="0.2">
      <c r="A13" s="546"/>
      <c r="B13" s="548"/>
      <c r="C13" s="548"/>
      <c r="D13" s="548" t="s">
        <v>2010</v>
      </c>
      <c r="E13" s="549"/>
      <c r="F13" s="550"/>
      <c r="G13" s="551"/>
      <c r="H13" s="552"/>
      <c r="I13" s="553"/>
      <c r="J13" s="553"/>
      <c r="K13" s="553"/>
      <c r="L13" s="706">
        <f>ROUND(L15+L27+L33+L46+L70+L78+L93+L96+L99+L110+L121+L130+L169+L191+L195+L209+L215+L260+L269+L279,2)</f>
        <v>664297.16</v>
      </c>
      <c r="M13" s="706">
        <f>ROUND(M15+M27+M33+M46+M70+M78+M93+M96+M99+M110+M121+M130+M169+M191+M195+M209+M215+M260+M269+M279,2)</f>
        <v>71666.45</v>
      </c>
      <c r="N13" s="706">
        <f>ROUND(N15+N27+N33+N46+N70+N78+N93+N96+N99+N110+N121+N130+N169+N191+N195+N209+N215+N260+N269+N279,2)-0.01</f>
        <v>419681.44</v>
      </c>
      <c r="O13" s="706">
        <f>ROUND(O15+O27+O33+O46+O70+O78+O93+O96+O99+O110+O121+O130+O169+O191+O195+O209+O215+O260+O269+O279,2)+0.02</f>
        <v>244615.72</v>
      </c>
      <c r="P13" s="785">
        <f>N13/L13</f>
        <v>0.631767626403822</v>
      </c>
      <c r="Q13" s="660"/>
      <c r="R13" s="490"/>
      <c r="S13" s="490"/>
      <c r="T13" s="490"/>
      <c r="U13" s="490"/>
      <c r="V13" s="490"/>
      <c r="W13" s="490"/>
      <c r="X13" s="490"/>
      <c r="Y13" s="490"/>
      <c r="Z13" s="490"/>
      <c r="AA13" s="490"/>
      <c r="AB13" s="490"/>
      <c r="AC13" s="490"/>
      <c r="AD13" s="490"/>
      <c r="AE13" s="490"/>
      <c r="AF13" s="490"/>
      <c r="AG13" s="490"/>
      <c r="AH13" s="490"/>
      <c r="AI13" s="490"/>
      <c r="AJ13" s="490"/>
      <c r="AK13" s="490"/>
      <c r="AL13" s="490"/>
      <c r="AM13" s="490"/>
      <c r="AN13" s="490"/>
      <c r="AO13" s="490"/>
      <c r="AP13" s="490"/>
      <c r="AQ13" s="490"/>
      <c r="AR13" s="490"/>
      <c r="AS13" s="490"/>
      <c r="AT13" s="490"/>
      <c r="AU13" s="490"/>
      <c r="AV13" s="490"/>
      <c r="AW13" s="490"/>
      <c r="AX13" s="490"/>
      <c r="AY13" s="490"/>
      <c r="AZ13" s="490"/>
      <c r="BA13" s="490"/>
      <c r="BB13" s="490"/>
      <c r="BC13" s="490"/>
      <c r="BD13" s="490"/>
      <c r="BE13" s="490"/>
      <c r="BF13" s="490"/>
      <c r="BG13" s="490"/>
      <c r="BH13" s="490"/>
      <c r="BI13" s="490"/>
      <c r="BJ13" s="490"/>
      <c r="BK13" s="490"/>
      <c r="BL13" s="490"/>
      <c r="BM13" s="490"/>
      <c r="BN13" s="490"/>
      <c r="BO13" s="490"/>
      <c r="BP13" s="490"/>
      <c r="BQ13" s="490"/>
      <c r="BR13" s="490"/>
      <c r="BS13" s="490"/>
      <c r="BT13" s="490"/>
      <c r="BU13" s="539">
        <v>8</v>
      </c>
      <c r="BV13" s="539">
        <v>7</v>
      </c>
      <c r="BW13" s="539">
        <v>6</v>
      </c>
      <c r="BX13" s="539">
        <v>5</v>
      </c>
      <c r="BY13" s="539">
        <v>4</v>
      </c>
      <c r="BZ13" s="539">
        <v>3</v>
      </c>
      <c r="CA13" s="539">
        <v>2</v>
      </c>
      <c r="CB13" s="539">
        <v>1</v>
      </c>
      <c r="CI13" s="539" t="s">
        <v>2023</v>
      </c>
    </row>
    <row r="14" spans="1:95" s="539" customFormat="1" ht="33" customHeight="1" x14ac:dyDescent="0.2">
      <c r="A14" s="546"/>
      <c r="B14" s="548"/>
      <c r="C14" s="548"/>
      <c r="D14" s="548"/>
      <c r="E14" s="549"/>
      <c r="F14" s="550"/>
      <c r="G14" s="551"/>
      <c r="H14" s="552"/>
      <c r="I14" s="553"/>
      <c r="J14" s="553"/>
      <c r="K14" s="553"/>
      <c r="L14" s="706"/>
      <c r="M14" s="706"/>
      <c r="N14" s="706"/>
      <c r="O14" s="716"/>
      <c r="P14" s="752"/>
      <c r="Q14" s="660"/>
      <c r="R14" s="490"/>
      <c r="S14" s="490"/>
      <c r="T14" s="490"/>
      <c r="U14" s="490"/>
      <c r="V14" s="490"/>
      <c r="W14" s="490"/>
      <c r="X14" s="490"/>
      <c r="Y14" s="490"/>
      <c r="Z14" s="490"/>
      <c r="AA14" s="490"/>
      <c r="AB14" s="490"/>
      <c r="AC14" s="490"/>
      <c r="AD14" s="490"/>
      <c r="AE14" s="490"/>
      <c r="AF14" s="490"/>
      <c r="AG14" s="490"/>
      <c r="AH14" s="490"/>
      <c r="AI14" s="490"/>
      <c r="AJ14" s="490"/>
      <c r="AK14" s="490"/>
      <c r="AL14" s="490"/>
      <c r="AM14" s="490"/>
      <c r="AN14" s="490"/>
      <c r="AO14" s="490"/>
      <c r="AP14" s="490"/>
      <c r="AQ14" s="490"/>
      <c r="AR14" s="490"/>
      <c r="AS14" s="490"/>
      <c r="AT14" s="490"/>
      <c r="AU14" s="490"/>
      <c r="AV14" s="490"/>
      <c r="AW14" s="490"/>
      <c r="AX14" s="490"/>
      <c r="AY14" s="490"/>
      <c r="AZ14" s="490"/>
      <c r="BA14" s="490"/>
      <c r="BB14" s="490"/>
      <c r="BC14" s="490"/>
      <c r="BD14" s="490"/>
      <c r="BE14" s="490"/>
      <c r="BF14" s="490"/>
      <c r="BG14" s="490"/>
      <c r="BH14" s="490"/>
      <c r="BI14" s="490"/>
      <c r="BJ14" s="490"/>
      <c r="BK14" s="490"/>
      <c r="BL14" s="490"/>
      <c r="BM14" s="490"/>
      <c r="BN14" s="490"/>
      <c r="BO14" s="490"/>
      <c r="BP14" s="490"/>
      <c r="BQ14" s="490"/>
      <c r="BR14" s="490"/>
      <c r="BS14" s="490"/>
      <c r="BT14" s="490"/>
    </row>
    <row r="15" spans="1:95" ht="15.75" x14ac:dyDescent="0.2">
      <c r="A15" s="600">
        <v>1</v>
      </c>
      <c r="B15" s="558"/>
      <c r="C15" s="558"/>
      <c r="D15" s="558" t="s">
        <v>9</v>
      </c>
      <c r="E15" s="626"/>
      <c r="F15" s="560"/>
      <c r="G15" s="565"/>
      <c r="H15" s="641"/>
      <c r="I15" s="563">
        <v>0</v>
      </c>
      <c r="J15" s="564"/>
      <c r="K15" s="563"/>
      <c r="L15" s="707">
        <f>SUM(L16:L26)</f>
        <v>32660.889999999992</v>
      </c>
      <c r="M15" s="707">
        <f>SUM(M16:M26)</f>
        <v>0</v>
      </c>
      <c r="N15" s="707">
        <f>SUM(N16:N26)</f>
        <v>32660.889999999992</v>
      </c>
      <c r="O15" s="717">
        <f>SUM(O16:O26)</f>
        <v>0</v>
      </c>
      <c r="P15" s="604">
        <f t="shared" ref="P15:P78" si="0">N15/L15</f>
        <v>1</v>
      </c>
      <c r="Q15" s="525">
        <f>I15-'[9]8'!I14</f>
        <v>0</v>
      </c>
      <c r="BT15" s="525"/>
      <c r="BU15" s="523"/>
      <c r="BV15" s="523"/>
      <c r="BW15" s="523"/>
      <c r="BX15" s="523">
        <v>0</v>
      </c>
      <c r="BY15" s="523">
        <v>0</v>
      </c>
      <c r="BZ15" s="523">
        <v>0</v>
      </c>
      <c r="CA15" s="523"/>
      <c r="CB15" s="523"/>
      <c r="CC15" s="523"/>
      <c r="CD15" s="523"/>
      <c r="CE15" s="523"/>
      <c r="CF15" s="523"/>
      <c r="CG15" s="523"/>
      <c r="CH15" s="523"/>
      <c r="CI15" s="523">
        <f>SUM(BU15:CH15)</f>
        <v>0</v>
      </c>
    </row>
    <row r="16" spans="1:95" ht="15" x14ac:dyDescent="0.2">
      <c r="A16" s="680" t="s">
        <v>10</v>
      </c>
      <c r="B16" s="569" t="s">
        <v>1328</v>
      </c>
      <c r="C16" s="569" t="s">
        <v>1324</v>
      </c>
      <c r="D16" s="569" t="s">
        <v>1329</v>
      </c>
      <c r="E16" s="681" t="s">
        <v>14</v>
      </c>
      <c r="F16" s="571"/>
      <c r="G16" s="682">
        <v>232.25</v>
      </c>
      <c r="H16" s="681">
        <v>10</v>
      </c>
      <c r="I16" s="573">
        <f>BU16</f>
        <v>0</v>
      </c>
      <c r="J16" s="574">
        <f>CI16</f>
        <v>10</v>
      </c>
      <c r="K16" s="573">
        <f>H16-J16</f>
        <v>0</v>
      </c>
      <c r="L16" s="708">
        <f>ROUND(H16*$G16,2)</f>
        <v>2322.5</v>
      </c>
      <c r="M16" s="708">
        <f t="shared" ref="M16:O26" si="1">ROUND(I16*$G16,2)</f>
        <v>0</v>
      </c>
      <c r="N16" s="708">
        <f t="shared" si="1"/>
        <v>2322.5</v>
      </c>
      <c r="O16" s="718">
        <f t="shared" si="1"/>
        <v>0</v>
      </c>
      <c r="P16" s="617">
        <f t="shared" si="0"/>
        <v>1</v>
      </c>
      <c r="Q16" s="525">
        <f>I16-'[9]8'!I15</f>
        <v>0</v>
      </c>
      <c r="BT16" s="525"/>
      <c r="BU16" s="523"/>
      <c r="BV16" s="523"/>
      <c r="BW16" s="523"/>
      <c r="BX16" s="523">
        <v>0</v>
      </c>
      <c r="BY16" s="523">
        <v>0</v>
      </c>
      <c r="BZ16" s="523">
        <v>0</v>
      </c>
      <c r="CA16" s="523">
        <v>0</v>
      </c>
      <c r="CB16" s="523">
        <v>10</v>
      </c>
      <c r="CC16" s="523"/>
      <c r="CD16" s="523"/>
      <c r="CE16" s="523"/>
      <c r="CF16" s="523"/>
      <c r="CG16" s="523"/>
      <c r="CH16" s="523"/>
      <c r="CI16" s="523">
        <f t="shared" ref="CI16:CI79" si="2">SUM(BU16:CH16)</f>
        <v>10</v>
      </c>
    </row>
    <row r="17" spans="1:87" ht="15" x14ac:dyDescent="0.2">
      <c r="A17" s="680" t="s">
        <v>1330</v>
      </c>
      <c r="B17" s="569" t="s">
        <v>1331</v>
      </c>
      <c r="C17" s="569" t="s">
        <v>1324</v>
      </c>
      <c r="D17" s="569" t="s">
        <v>1332</v>
      </c>
      <c r="E17" s="681" t="s">
        <v>14</v>
      </c>
      <c r="F17" s="644">
        <v>595.62</v>
      </c>
      <c r="G17" s="682">
        <v>39.78</v>
      </c>
      <c r="H17" s="681">
        <v>312.39999999999998</v>
      </c>
      <c r="I17" s="573">
        <f t="shared" ref="I17:I80" si="3">BU17</f>
        <v>0</v>
      </c>
      <c r="J17" s="574">
        <f t="shared" ref="J17:J80" si="4">CI17</f>
        <v>312.39999999999998</v>
      </c>
      <c r="K17" s="573">
        <f t="shared" ref="K17:K32" si="5">H17-J17</f>
        <v>0</v>
      </c>
      <c r="L17" s="708">
        <f t="shared" ref="L17:L26" si="6">ROUND(H17*$G17,2)</f>
        <v>12427.27</v>
      </c>
      <c r="M17" s="708">
        <f t="shared" si="1"/>
        <v>0</v>
      </c>
      <c r="N17" s="708">
        <f t="shared" si="1"/>
        <v>12427.27</v>
      </c>
      <c r="O17" s="718">
        <f t="shared" si="1"/>
        <v>0</v>
      </c>
      <c r="P17" s="617">
        <f t="shared" si="0"/>
        <v>1</v>
      </c>
      <c r="Q17" s="525">
        <f>I17-'[9]8'!I16</f>
        <v>0</v>
      </c>
      <c r="BT17" s="525"/>
      <c r="BU17" s="523"/>
      <c r="BV17" s="523"/>
      <c r="BW17" s="523"/>
      <c r="BX17" s="523">
        <v>0</v>
      </c>
      <c r="BY17" s="523">
        <v>0</v>
      </c>
      <c r="BZ17" s="523">
        <v>0</v>
      </c>
      <c r="CA17" s="523">
        <v>203.49999999999997</v>
      </c>
      <c r="CB17" s="523">
        <v>108.9</v>
      </c>
      <c r="CC17" s="523"/>
      <c r="CD17" s="523"/>
      <c r="CE17" s="523"/>
      <c r="CF17" s="523"/>
      <c r="CG17" s="523"/>
      <c r="CH17" s="523"/>
      <c r="CI17" s="523">
        <f t="shared" si="2"/>
        <v>312.39999999999998</v>
      </c>
    </row>
    <row r="18" spans="1:87" ht="30" x14ac:dyDescent="0.2">
      <c r="A18" s="680" t="s">
        <v>1333</v>
      </c>
      <c r="B18" s="569">
        <v>9540</v>
      </c>
      <c r="C18" s="569" t="s">
        <v>1324</v>
      </c>
      <c r="D18" s="569" t="s">
        <v>1334</v>
      </c>
      <c r="E18" s="681" t="s">
        <v>102</v>
      </c>
      <c r="F18" s="644">
        <v>256.73</v>
      </c>
      <c r="G18" s="682">
        <v>783.05</v>
      </c>
      <c r="H18" s="681">
        <v>1</v>
      </c>
      <c r="I18" s="573">
        <f t="shared" si="3"/>
        <v>0</v>
      </c>
      <c r="J18" s="574">
        <f t="shared" si="4"/>
        <v>1</v>
      </c>
      <c r="K18" s="573">
        <f t="shared" si="5"/>
        <v>0</v>
      </c>
      <c r="L18" s="708">
        <f t="shared" si="6"/>
        <v>783.05</v>
      </c>
      <c r="M18" s="708">
        <f t="shared" si="1"/>
        <v>0</v>
      </c>
      <c r="N18" s="708">
        <f t="shared" si="1"/>
        <v>783.05</v>
      </c>
      <c r="O18" s="718">
        <f t="shared" si="1"/>
        <v>0</v>
      </c>
      <c r="P18" s="617">
        <f t="shared" si="0"/>
        <v>1</v>
      </c>
      <c r="Q18" s="525">
        <f>I18-'[9]8'!I17</f>
        <v>0</v>
      </c>
      <c r="BT18" s="525"/>
      <c r="BU18" s="523"/>
      <c r="BV18" s="523"/>
      <c r="BW18" s="523"/>
      <c r="BX18" s="523">
        <v>0</v>
      </c>
      <c r="BY18" s="523">
        <v>0</v>
      </c>
      <c r="BZ18" s="523">
        <v>0</v>
      </c>
      <c r="CA18" s="523">
        <v>1</v>
      </c>
      <c r="CB18" s="523">
        <v>0</v>
      </c>
      <c r="CC18" s="523"/>
      <c r="CD18" s="523"/>
      <c r="CE18" s="523"/>
      <c r="CF18" s="523"/>
      <c r="CG18" s="523"/>
      <c r="CH18" s="523"/>
      <c r="CI18" s="523">
        <f t="shared" si="2"/>
        <v>1</v>
      </c>
    </row>
    <row r="19" spans="1:87" ht="15" x14ac:dyDescent="0.2">
      <c r="A19" s="680" t="s">
        <v>1335</v>
      </c>
      <c r="B19" s="569" t="s">
        <v>1336</v>
      </c>
      <c r="C19" s="569" t="s">
        <v>1324</v>
      </c>
      <c r="D19" s="569" t="s">
        <v>1337</v>
      </c>
      <c r="E19" s="681" t="s">
        <v>102</v>
      </c>
      <c r="F19" s="644">
        <v>49.62</v>
      </c>
      <c r="G19" s="682">
        <v>1344.39</v>
      </c>
      <c r="H19" s="681">
        <v>1</v>
      </c>
      <c r="I19" s="573">
        <f t="shared" si="3"/>
        <v>0</v>
      </c>
      <c r="J19" s="574">
        <f t="shared" si="4"/>
        <v>1</v>
      </c>
      <c r="K19" s="573">
        <f t="shared" si="5"/>
        <v>0</v>
      </c>
      <c r="L19" s="708">
        <f t="shared" si="6"/>
        <v>1344.39</v>
      </c>
      <c r="M19" s="708">
        <f t="shared" si="1"/>
        <v>0</v>
      </c>
      <c r="N19" s="708">
        <f t="shared" si="1"/>
        <v>1344.39</v>
      </c>
      <c r="O19" s="718">
        <f t="shared" si="1"/>
        <v>0</v>
      </c>
      <c r="P19" s="617">
        <f t="shared" si="0"/>
        <v>1</v>
      </c>
      <c r="Q19" s="525">
        <f>I19-'[9]8'!I18</f>
        <v>0</v>
      </c>
      <c r="BT19" s="525"/>
      <c r="BU19" s="523"/>
      <c r="BV19" s="523"/>
      <c r="BW19" s="523"/>
      <c r="BX19" s="523">
        <v>0</v>
      </c>
      <c r="BY19" s="523">
        <v>0</v>
      </c>
      <c r="BZ19" s="523">
        <v>0</v>
      </c>
      <c r="CA19" s="523">
        <v>1</v>
      </c>
      <c r="CB19" s="523">
        <v>0</v>
      </c>
      <c r="CC19" s="523"/>
      <c r="CD19" s="523"/>
      <c r="CE19" s="523"/>
      <c r="CF19" s="523"/>
      <c r="CG19" s="523"/>
      <c r="CH19" s="523"/>
      <c r="CI19" s="523">
        <f t="shared" si="2"/>
        <v>1</v>
      </c>
    </row>
    <row r="20" spans="1:87" ht="15" x14ac:dyDescent="0.2">
      <c r="A20" s="680" t="s">
        <v>1338</v>
      </c>
      <c r="B20" s="569" t="s">
        <v>2007</v>
      </c>
      <c r="C20" s="569" t="s">
        <v>1339</v>
      </c>
      <c r="D20" s="569" t="s">
        <v>1340</v>
      </c>
      <c r="E20" s="681" t="s">
        <v>102</v>
      </c>
      <c r="F20" s="644">
        <v>5.2</v>
      </c>
      <c r="G20" s="682">
        <v>823.61</v>
      </c>
      <c r="H20" s="681">
        <v>1</v>
      </c>
      <c r="I20" s="573">
        <f t="shared" si="3"/>
        <v>0</v>
      </c>
      <c r="J20" s="574">
        <f t="shared" si="4"/>
        <v>1</v>
      </c>
      <c r="K20" s="573">
        <f t="shared" si="5"/>
        <v>0</v>
      </c>
      <c r="L20" s="708">
        <f t="shared" si="6"/>
        <v>823.61</v>
      </c>
      <c r="M20" s="708">
        <f t="shared" si="1"/>
        <v>0</v>
      </c>
      <c r="N20" s="708">
        <f t="shared" si="1"/>
        <v>823.61</v>
      </c>
      <c r="O20" s="718">
        <f t="shared" si="1"/>
        <v>0</v>
      </c>
      <c r="P20" s="617">
        <f t="shared" si="0"/>
        <v>1</v>
      </c>
      <c r="Q20" s="525">
        <f>I20-'[9]8'!I19</f>
        <v>0</v>
      </c>
      <c r="BT20" s="525"/>
      <c r="BU20" s="523"/>
      <c r="BV20" s="523"/>
      <c r="BW20" s="523"/>
      <c r="BX20" s="523">
        <v>0</v>
      </c>
      <c r="BY20" s="523">
        <v>0</v>
      </c>
      <c r="BZ20" s="523">
        <v>0</v>
      </c>
      <c r="CA20" s="523">
        <v>1</v>
      </c>
      <c r="CB20" s="523">
        <v>0</v>
      </c>
      <c r="CC20" s="523"/>
      <c r="CD20" s="523"/>
      <c r="CE20" s="523"/>
      <c r="CF20" s="523"/>
      <c r="CG20" s="523"/>
      <c r="CH20" s="523"/>
      <c r="CI20" s="523">
        <f t="shared" si="2"/>
        <v>1</v>
      </c>
    </row>
    <row r="21" spans="1:87" ht="30" x14ac:dyDescent="0.2">
      <c r="A21" s="680" t="s">
        <v>1341</v>
      </c>
      <c r="B21" s="569" t="s">
        <v>1342</v>
      </c>
      <c r="C21" s="569" t="s">
        <v>1343</v>
      </c>
      <c r="D21" s="569" t="s">
        <v>1344</v>
      </c>
      <c r="E21" s="681" t="s">
        <v>102</v>
      </c>
      <c r="F21" s="578"/>
      <c r="G21" s="682">
        <v>174.71</v>
      </c>
      <c r="H21" s="681">
        <v>1</v>
      </c>
      <c r="I21" s="573">
        <f t="shared" si="3"/>
        <v>0</v>
      </c>
      <c r="J21" s="574">
        <f t="shared" si="4"/>
        <v>1</v>
      </c>
      <c r="K21" s="573">
        <f t="shared" si="5"/>
        <v>0</v>
      </c>
      <c r="L21" s="708">
        <f t="shared" si="6"/>
        <v>174.71</v>
      </c>
      <c r="M21" s="708">
        <f t="shared" si="1"/>
        <v>0</v>
      </c>
      <c r="N21" s="708">
        <f t="shared" si="1"/>
        <v>174.71</v>
      </c>
      <c r="O21" s="718">
        <f t="shared" si="1"/>
        <v>0</v>
      </c>
      <c r="P21" s="617">
        <f t="shared" si="0"/>
        <v>1</v>
      </c>
      <c r="Q21" s="525">
        <f>I21-'[9]8'!I20</f>
        <v>0</v>
      </c>
      <c r="R21" s="525"/>
      <c r="S21" s="525"/>
      <c r="T21" s="525"/>
      <c r="U21" s="525"/>
      <c r="V21" s="525"/>
      <c r="W21" s="525"/>
      <c r="X21" s="525"/>
      <c r="Y21" s="525"/>
      <c r="Z21" s="525"/>
      <c r="AA21" s="525"/>
      <c r="AB21" s="525"/>
      <c r="AC21" s="525"/>
      <c r="AD21" s="525"/>
      <c r="AE21" s="525"/>
      <c r="AF21" s="525"/>
      <c r="AG21" s="525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  <c r="AR21" s="525"/>
      <c r="AS21" s="525"/>
      <c r="AT21" s="525"/>
      <c r="AU21" s="525"/>
      <c r="AV21" s="525"/>
      <c r="AW21" s="525"/>
      <c r="AX21" s="525"/>
      <c r="AY21" s="525"/>
      <c r="AZ21" s="525"/>
      <c r="BA21" s="525"/>
      <c r="BB21" s="525"/>
      <c r="BC21" s="525"/>
      <c r="BD21" s="525"/>
      <c r="BE21" s="525"/>
      <c r="BF21" s="525"/>
      <c r="BG21" s="525"/>
      <c r="BH21" s="525"/>
      <c r="BI21" s="525"/>
      <c r="BJ21" s="525"/>
      <c r="BK21" s="525"/>
      <c r="BL21" s="525"/>
      <c r="BM21" s="525"/>
      <c r="BN21" s="525"/>
      <c r="BO21" s="525"/>
      <c r="BP21" s="525"/>
      <c r="BQ21" s="525"/>
      <c r="BR21" s="525"/>
      <c r="BS21" s="525"/>
      <c r="BT21" s="525"/>
      <c r="BU21" s="523"/>
      <c r="BV21" s="523"/>
      <c r="BW21" s="523"/>
      <c r="BX21" s="523">
        <v>0</v>
      </c>
      <c r="BY21" s="523">
        <v>0</v>
      </c>
      <c r="BZ21" s="523">
        <v>0</v>
      </c>
      <c r="CA21" s="523">
        <v>1</v>
      </c>
      <c r="CB21" s="523">
        <v>0</v>
      </c>
      <c r="CC21" s="523"/>
      <c r="CD21" s="523"/>
      <c r="CE21" s="523"/>
      <c r="CF21" s="523"/>
      <c r="CG21" s="523"/>
      <c r="CH21" s="523"/>
      <c r="CI21" s="523">
        <f t="shared" si="2"/>
        <v>1</v>
      </c>
    </row>
    <row r="22" spans="1:87" ht="30" x14ac:dyDescent="0.2">
      <c r="A22" s="680" t="s">
        <v>1345</v>
      </c>
      <c r="B22" s="569" t="s">
        <v>1346</v>
      </c>
      <c r="C22" s="569" t="s">
        <v>1324</v>
      </c>
      <c r="D22" s="569" t="s">
        <v>1347</v>
      </c>
      <c r="E22" s="681" t="s">
        <v>102</v>
      </c>
      <c r="F22" s="571"/>
      <c r="G22" s="682">
        <v>1343.12</v>
      </c>
      <c r="H22" s="681">
        <v>1</v>
      </c>
      <c r="I22" s="573">
        <f t="shared" si="3"/>
        <v>0</v>
      </c>
      <c r="J22" s="574">
        <f t="shared" si="4"/>
        <v>1</v>
      </c>
      <c r="K22" s="573">
        <f t="shared" si="5"/>
        <v>0</v>
      </c>
      <c r="L22" s="708">
        <f t="shared" si="6"/>
        <v>1343.12</v>
      </c>
      <c r="M22" s="708">
        <f t="shared" si="1"/>
        <v>0</v>
      </c>
      <c r="N22" s="708">
        <f t="shared" si="1"/>
        <v>1343.12</v>
      </c>
      <c r="O22" s="718">
        <f t="shared" si="1"/>
        <v>0</v>
      </c>
      <c r="P22" s="617">
        <f t="shared" si="0"/>
        <v>1</v>
      </c>
      <c r="Q22" s="525">
        <f>I22-'[9]8'!I21</f>
        <v>0</v>
      </c>
      <c r="BT22" s="525"/>
      <c r="BU22" s="523"/>
      <c r="BV22" s="523"/>
      <c r="BW22" s="523"/>
      <c r="BX22" s="523">
        <v>0</v>
      </c>
      <c r="BY22" s="523">
        <v>0</v>
      </c>
      <c r="BZ22" s="523">
        <v>0</v>
      </c>
      <c r="CA22" s="523">
        <v>1</v>
      </c>
      <c r="CB22" s="523">
        <v>0</v>
      </c>
      <c r="CC22" s="523"/>
      <c r="CD22" s="523"/>
      <c r="CE22" s="523"/>
      <c r="CF22" s="523"/>
      <c r="CG22" s="523"/>
      <c r="CH22" s="523"/>
      <c r="CI22" s="523">
        <f t="shared" si="2"/>
        <v>1</v>
      </c>
    </row>
    <row r="23" spans="1:87" ht="15" x14ac:dyDescent="0.2">
      <c r="A23" s="680" t="s">
        <v>1348</v>
      </c>
      <c r="B23" s="569" t="s">
        <v>1349</v>
      </c>
      <c r="C23" s="569" t="s">
        <v>1324</v>
      </c>
      <c r="D23" s="569" t="s">
        <v>1350</v>
      </c>
      <c r="E23" s="681" t="s">
        <v>14</v>
      </c>
      <c r="F23" s="571"/>
      <c r="G23" s="682">
        <v>390.47</v>
      </c>
      <c r="H23" s="681">
        <v>20</v>
      </c>
      <c r="I23" s="573">
        <f t="shared" si="3"/>
        <v>0</v>
      </c>
      <c r="J23" s="574">
        <f t="shared" si="4"/>
        <v>20</v>
      </c>
      <c r="K23" s="573">
        <f t="shared" si="5"/>
        <v>0</v>
      </c>
      <c r="L23" s="708">
        <f t="shared" si="6"/>
        <v>7809.4</v>
      </c>
      <c r="M23" s="708">
        <f t="shared" si="1"/>
        <v>0</v>
      </c>
      <c r="N23" s="708">
        <f>ROUND(J23*$G23,2)</f>
        <v>7809.4</v>
      </c>
      <c r="O23" s="718">
        <f t="shared" si="1"/>
        <v>0</v>
      </c>
      <c r="P23" s="617">
        <f t="shared" si="0"/>
        <v>1</v>
      </c>
      <c r="Q23" s="525">
        <f>I23-'[9]8'!I22</f>
        <v>0</v>
      </c>
      <c r="BT23" s="525"/>
      <c r="BU23" s="523"/>
      <c r="BV23" s="523"/>
      <c r="BW23" s="523"/>
      <c r="BX23" s="523">
        <v>0</v>
      </c>
      <c r="BY23" s="523">
        <v>0</v>
      </c>
      <c r="BZ23" s="523">
        <v>0</v>
      </c>
      <c r="CA23" s="523">
        <v>10</v>
      </c>
      <c r="CB23" s="523">
        <v>10</v>
      </c>
      <c r="CC23" s="523"/>
      <c r="CD23" s="523"/>
      <c r="CE23" s="523"/>
      <c r="CF23" s="523"/>
      <c r="CG23" s="523"/>
      <c r="CH23" s="523"/>
      <c r="CI23" s="523">
        <f t="shared" si="2"/>
        <v>20</v>
      </c>
    </row>
    <row r="24" spans="1:87" ht="15" x14ac:dyDescent="0.2">
      <c r="A24" s="680" t="s">
        <v>1351</v>
      </c>
      <c r="B24" s="569" t="s">
        <v>1352</v>
      </c>
      <c r="C24" s="569" t="s">
        <v>1324</v>
      </c>
      <c r="D24" s="569" t="s">
        <v>1353</v>
      </c>
      <c r="E24" s="681" t="s">
        <v>14</v>
      </c>
      <c r="F24" s="644">
        <v>302.64</v>
      </c>
      <c r="G24" s="682">
        <v>4.0999999999999996</v>
      </c>
      <c r="H24" s="681">
        <v>785</v>
      </c>
      <c r="I24" s="573">
        <f t="shared" si="3"/>
        <v>0</v>
      </c>
      <c r="J24" s="574">
        <f t="shared" si="4"/>
        <v>785</v>
      </c>
      <c r="K24" s="573">
        <f t="shared" si="5"/>
        <v>0</v>
      </c>
      <c r="L24" s="708">
        <f t="shared" si="6"/>
        <v>3218.5</v>
      </c>
      <c r="M24" s="708">
        <f t="shared" si="1"/>
        <v>0</v>
      </c>
      <c r="N24" s="708">
        <f t="shared" si="1"/>
        <v>3218.5</v>
      </c>
      <c r="O24" s="718">
        <f t="shared" si="1"/>
        <v>0</v>
      </c>
      <c r="P24" s="617">
        <f t="shared" si="0"/>
        <v>1</v>
      </c>
      <c r="Q24" s="525">
        <f>I24-'[9]8'!I23</f>
        <v>0</v>
      </c>
      <c r="BT24" s="525"/>
      <c r="BU24" s="523"/>
      <c r="BV24" s="523"/>
      <c r="BW24" s="523"/>
      <c r="BX24" s="523">
        <v>0</v>
      </c>
      <c r="BY24" s="523">
        <v>0</v>
      </c>
      <c r="BZ24" s="523">
        <v>0</v>
      </c>
      <c r="CA24" s="523">
        <v>0</v>
      </c>
      <c r="CB24" s="523">
        <v>785</v>
      </c>
      <c r="CC24" s="523"/>
      <c r="CD24" s="523"/>
      <c r="CE24" s="523"/>
      <c r="CF24" s="523"/>
      <c r="CG24" s="523"/>
      <c r="CH24" s="523"/>
      <c r="CI24" s="523">
        <f t="shared" si="2"/>
        <v>785</v>
      </c>
    </row>
    <row r="25" spans="1:87" ht="31.5" customHeight="1" x14ac:dyDescent="0.2">
      <c r="A25" s="680" t="s">
        <v>1354</v>
      </c>
      <c r="B25" s="569" t="s">
        <v>1355</v>
      </c>
      <c r="C25" s="569" t="s">
        <v>1343</v>
      </c>
      <c r="D25" s="569" t="s">
        <v>1356</v>
      </c>
      <c r="E25" s="681" t="s">
        <v>81</v>
      </c>
      <c r="F25" s="644">
        <v>135.94</v>
      </c>
      <c r="G25" s="682">
        <v>46.26</v>
      </c>
      <c r="H25" s="681">
        <v>49</v>
      </c>
      <c r="I25" s="573">
        <f t="shared" si="3"/>
        <v>0</v>
      </c>
      <c r="J25" s="574">
        <f t="shared" si="4"/>
        <v>49</v>
      </c>
      <c r="K25" s="573">
        <f t="shared" si="5"/>
        <v>0</v>
      </c>
      <c r="L25" s="708">
        <f t="shared" si="6"/>
        <v>2266.7399999999998</v>
      </c>
      <c r="M25" s="708">
        <f t="shared" si="1"/>
        <v>0</v>
      </c>
      <c r="N25" s="708">
        <f t="shared" si="1"/>
        <v>2266.7399999999998</v>
      </c>
      <c r="O25" s="718">
        <f t="shared" si="1"/>
        <v>0</v>
      </c>
      <c r="P25" s="617">
        <f t="shared" si="0"/>
        <v>1</v>
      </c>
      <c r="Q25" s="525">
        <f>I25-'[9]8'!I24</f>
        <v>0</v>
      </c>
      <c r="BT25" s="525"/>
      <c r="BU25" s="523"/>
      <c r="BV25" s="523"/>
      <c r="BW25" s="523"/>
      <c r="BX25" s="523">
        <v>0</v>
      </c>
      <c r="BY25" s="523">
        <v>0</v>
      </c>
      <c r="BZ25" s="523">
        <v>0</v>
      </c>
      <c r="CA25" s="523">
        <v>0</v>
      </c>
      <c r="CB25" s="523">
        <v>49</v>
      </c>
      <c r="CC25" s="523"/>
      <c r="CD25" s="523"/>
      <c r="CE25" s="523"/>
      <c r="CF25" s="523"/>
      <c r="CG25" s="523"/>
      <c r="CH25" s="523"/>
      <c r="CI25" s="523">
        <f t="shared" si="2"/>
        <v>49</v>
      </c>
    </row>
    <row r="26" spans="1:87" s="754" customFormat="1" ht="15" x14ac:dyDescent="0.2">
      <c r="A26" s="680" t="s">
        <v>1357</v>
      </c>
      <c r="B26" s="569">
        <v>72213</v>
      </c>
      <c r="C26" s="569" t="s">
        <v>1324</v>
      </c>
      <c r="D26" s="569" t="s">
        <v>1358</v>
      </c>
      <c r="E26" s="681" t="s">
        <v>14</v>
      </c>
      <c r="F26" s="644">
        <v>5.86</v>
      </c>
      <c r="G26" s="682">
        <v>0.12</v>
      </c>
      <c r="H26" s="681">
        <v>1230</v>
      </c>
      <c r="I26" s="573">
        <f t="shared" si="3"/>
        <v>0</v>
      </c>
      <c r="J26" s="574">
        <f t="shared" si="4"/>
        <v>1230</v>
      </c>
      <c r="K26" s="573">
        <f t="shared" si="5"/>
        <v>0</v>
      </c>
      <c r="L26" s="708">
        <f t="shared" si="6"/>
        <v>147.6</v>
      </c>
      <c r="M26" s="708">
        <f t="shared" si="1"/>
        <v>0</v>
      </c>
      <c r="N26" s="708">
        <f t="shared" si="1"/>
        <v>147.6</v>
      </c>
      <c r="O26" s="718">
        <f t="shared" si="1"/>
        <v>0</v>
      </c>
      <c r="P26" s="617">
        <f t="shared" si="0"/>
        <v>1</v>
      </c>
      <c r="Q26" s="525">
        <f>I26-'[9]8'!I25</f>
        <v>0</v>
      </c>
      <c r="S26" s="190"/>
      <c r="T26" s="190"/>
      <c r="BT26" s="525"/>
      <c r="BU26" s="523"/>
      <c r="BV26" s="523"/>
      <c r="BW26" s="523"/>
      <c r="BX26" s="523">
        <v>0</v>
      </c>
      <c r="BY26" s="523">
        <v>0</v>
      </c>
      <c r="BZ26" s="523">
        <v>0</v>
      </c>
      <c r="CA26" s="523">
        <v>0</v>
      </c>
      <c r="CB26" s="523">
        <v>1230</v>
      </c>
      <c r="CC26" s="523"/>
      <c r="CD26" s="523"/>
      <c r="CE26" s="523"/>
      <c r="CF26" s="523"/>
      <c r="CG26" s="523"/>
      <c r="CH26" s="523"/>
      <c r="CI26" s="523">
        <f t="shared" si="2"/>
        <v>1230</v>
      </c>
    </row>
    <row r="27" spans="1:87" ht="15.75" x14ac:dyDescent="0.2">
      <c r="A27" s="600">
        <v>2</v>
      </c>
      <c r="B27" s="558"/>
      <c r="C27" s="558"/>
      <c r="D27" s="558" t="s">
        <v>1359</v>
      </c>
      <c r="E27" s="626"/>
      <c r="F27" s="560"/>
      <c r="G27" s="565"/>
      <c r="H27" s="565"/>
      <c r="I27" s="565"/>
      <c r="J27" s="565"/>
      <c r="K27" s="563"/>
      <c r="L27" s="709">
        <f>SUM(L28:L32)</f>
        <v>11015.16</v>
      </c>
      <c r="M27" s="728">
        <f>SUM(M28:M32)</f>
        <v>164.64</v>
      </c>
      <c r="N27" s="709">
        <f>SUM(N28:N32)</f>
        <v>11015.16</v>
      </c>
      <c r="O27" s="719">
        <f>SUM(O28:O32)</f>
        <v>0</v>
      </c>
      <c r="P27" s="604">
        <f t="shared" si="0"/>
        <v>1</v>
      </c>
      <c r="Q27" s="525">
        <f>I27-'[9]8'!I26</f>
        <v>0</v>
      </c>
      <c r="BT27" s="525"/>
      <c r="BU27" s="523"/>
      <c r="BV27" s="523"/>
      <c r="BW27" s="523"/>
      <c r="BX27" s="523">
        <v>0</v>
      </c>
      <c r="BY27" s="523">
        <v>0</v>
      </c>
      <c r="BZ27" s="523">
        <v>62.89</v>
      </c>
      <c r="CA27" s="523">
        <v>194.56</v>
      </c>
      <c r="CB27" s="523">
        <v>158.464</v>
      </c>
      <c r="CC27" s="523"/>
      <c r="CD27" s="523"/>
      <c r="CE27" s="523"/>
      <c r="CF27" s="523"/>
      <c r="CG27" s="523"/>
      <c r="CH27" s="523"/>
      <c r="CI27" s="523">
        <f t="shared" si="2"/>
        <v>415.91399999999999</v>
      </c>
    </row>
    <row r="28" spans="1:87" ht="15" x14ac:dyDescent="0.2">
      <c r="A28" s="680" t="s">
        <v>27</v>
      </c>
      <c r="B28" s="569">
        <v>55835</v>
      </c>
      <c r="C28" s="569" t="s">
        <v>1324</v>
      </c>
      <c r="D28" s="569" t="s">
        <v>1360</v>
      </c>
      <c r="E28" s="681" t="s">
        <v>48</v>
      </c>
      <c r="F28" s="571"/>
      <c r="G28" s="682">
        <v>29.27</v>
      </c>
      <c r="H28" s="681">
        <v>154.94</v>
      </c>
      <c r="I28" s="573">
        <f t="shared" si="3"/>
        <v>0</v>
      </c>
      <c r="J28" s="574">
        <f t="shared" si="4"/>
        <v>154.94</v>
      </c>
      <c r="K28" s="573">
        <f t="shared" si="5"/>
        <v>0</v>
      </c>
      <c r="L28" s="708">
        <f t="shared" ref="L28:O32" si="7">ROUND(H28*$G28,2)</f>
        <v>4535.09</v>
      </c>
      <c r="M28" s="708">
        <f t="shared" si="7"/>
        <v>0</v>
      </c>
      <c r="N28" s="708">
        <f t="shared" si="7"/>
        <v>4535.09</v>
      </c>
      <c r="O28" s="718">
        <f t="shared" si="7"/>
        <v>0</v>
      </c>
      <c r="P28" s="617">
        <f t="shared" si="0"/>
        <v>1</v>
      </c>
      <c r="Q28" s="525">
        <f>I28-'[9]8'!I27</f>
        <v>0</v>
      </c>
      <c r="BT28" s="525"/>
      <c r="BU28" s="523"/>
      <c r="BV28" s="523"/>
      <c r="BW28" s="523"/>
      <c r="BX28" s="523">
        <v>0</v>
      </c>
      <c r="BY28" s="523">
        <v>0</v>
      </c>
      <c r="BZ28" s="523">
        <v>0</v>
      </c>
      <c r="CA28" s="523">
        <v>154.94</v>
      </c>
      <c r="CB28" s="523">
        <v>0</v>
      </c>
      <c r="CC28" s="523"/>
      <c r="CD28" s="523"/>
      <c r="CE28" s="523"/>
      <c r="CF28" s="523"/>
      <c r="CG28" s="523"/>
      <c r="CH28" s="523"/>
      <c r="CI28" s="523">
        <f t="shared" si="2"/>
        <v>154.94</v>
      </c>
    </row>
    <row r="29" spans="1:87" ht="15" x14ac:dyDescent="0.2">
      <c r="A29" s="680" t="s">
        <v>1263</v>
      </c>
      <c r="B29" s="569">
        <v>79478</v>
      </c>
      <c r="C29" s="569" t="s">
        <v>1324</v>
      </c>
      <c r="D29" s="569" t="s">
        <v>1361</v>
      </c>
      <c r="E29" s="681" t="s">
        <v>48</v>
      </c>
      <c r="F29" s="644">
        <v>302.64</v>
      </c>
      <c r="G29" s="682">
        <v>46.94</v>
      </c>
      <c r="H29" s="681">
        <v>83.25</v>
      </c>
      <c r="I29" s="573">
        <f t="shared" si="3"/>
        <v>0</v>
      </c>
      <c r="J29" s="574">
        <f t="shared" si="4"/>
        <v>83.250000000000014</v>
      </c>
      <c r="K29" s="573">
        <f t="shared" si="5"/>
        <v>0</v>
      </c>
      <c r="L29" s="708">
        <f t="shared" si="7"/>
        <v>3907.76</v>
      </c>
      <c r="M29" s="708">
        <f t="shared" si="7"/>
        <v>0</v>
      </c>
      <c r="N29" s="708">
        <f t="shared" si="7"/>
        <v>3907.76</v>
      </c>
      <c r="O29" s="718">
        <f t="shared" si="7"/>
        <v>0</v>
      </c>
      <c r="P29" s="617">
        <f t="shared" si="0"/>
        <v>1</v>
      </c>
      <c r="Q29" s="525">
        <f>I29-'[9]8'!I28</f>
        <v>0</v>
      </c>
      <c r="BT29" s="525"/>
      <c r="BU29" s="523"/>
      <c r="BV29" s="523"/>
      <c r="BW29" s="523"/>
      <c r="BX29" s="523">
        <v>0</v>
      </c>
      <c r="BY29" s="523">
        <v>0</v>
      </c>
      <c r="BZ29" s="523">
        <v>0</v>
      </c>
      <c r="CA29" s="523">
        <v>16.650000000000006</v>
      </c>
      <c r="CB29" s="523">
        <v>66.600000000000009</v>
      </c>
      <c r="CC29" s="523"/>
      <c r="CD29" s="523"/>
      <c r="CE29" s="523"/>
      <c r="CF29" s="523"/>
      <c r="CG29" s="523"/>
      <c r="CH29" s="523"/>
      <c r="CI29" s="523">
        <f t="shared" si="2"/>
        <v>83.250000000000014</v>
      </c>
    </row>
    <row r="30" spans="1:87" ht="15" x14ac:dyDescent="0.2">
      <c r="A30" s="680" t="s">
        <v>1362</v>
      </c>
      <c r="B30" s="569">
        <v>79483</v>
      </c>
      <c r="C30" s="569" t="s">
        <v>1324</v>
      </c>
      <c r="D30" s="569" t="s">
        <v>1363</v>
      </c>
      <c r="E30" s="681" t="s">
        <v>14</v>
      </c>
      <c r="F30" s="644">
        <v>135.94</v>
      </c>
      <c r="G30" s="682">
        <v>5.4</v>
      </c>
      <c r="H30" s="681">
        <v>114.83</v>
      </c>
      <c r="I30" s="573">
        <f t="shared" si="3"/>
        <v>0</v>
      </c>
      <c r="J30" s="574">
        <f t="shared" si="4"/>
        <v>114.83</v>
      </c>
      <c r="K30" s="581">
        <f t="shared" si="5"/>
        <v>0</v>
      </c>
      <c r="L30" s="708">
        <f t="shared" si="7"/>
        <v>620.08000000000004</v>
      </c>
      <c r="M30" s="729">
        <f t="shared" si="7"/>
        <v>0</v>
      </c>
      <c r="N30" s="708">
        <f t="shared" si="7"/>
        <v>620.08000000000004</v>
      </c>
      <c r="O30" s="718">
        <f t="shared" si="7"/>
        <v>0</v>
      </c>
      <c r="P30" s="617">
        <f t="shared" si="0"/>
        <v>1</v>
      </c>
      <c r="Q30" s="525">
        <f>I30-'[9]8'!I29</f>
        <v>0</v>
      </c>
      <c r="BT30" s="525"/>
      <c r="BU30" s="523"/>
      <c r="BV30" s="523"/>
      <c r="BW30" s="523"/>
      <c r="BX30" s="523">
        <v>-4.0000000000000001E-3</v>
      </c>
      <c r="BY30" s="523">
        <v>0</v>
      </c>
      <c r="BZ30" s="523">
        <v>0</v>
      </c>
      <c r="CA30" s="523">
        <v>22.97</v>
      </c>
      <c r="CB30" s="523">
        <v>91.864000000000004</v>
      </c>
      <c r="CC30" s="523"/>
      <c r="CD30" s="523"/>
      <c r="CE30" s="523"/>
      <c r="CF30" s="523"/>
      <c r="CG30" s="523"/>
      <c r="CH30" s="523"/>
      <c r="CI30" s="523">
        <f t="shared" si="2"/>
        <v>114.83</v>
      </c>
    </row>
    <row r="31" spans="1:87" ht="15" x14ac:dyDescent="0.2">
      <c r="A31" s="680" t="s">
        <v>1364</v>
      </c>
      <c r="B31" s="569">
        <v>53527</v>
      </c>
      <c r="C31" s="569" t="s">
        <v>1324</v>
      </c>
      <c r="D31" s="569" t="s">
        <v>1365</v>
      </c>
      <c r="E31" s="681" t="s">
        <v>48</v>
      </c>
      <c r="F31" s="644">
        <v>5.86</v>
      </c>
      <c r="G31" s="682">
        <v>20.57</v>
      </c>
      <c r="H31" s="681">
        <v>62.89</v>
      </c>
      <c r="I31" s="573">
        <f t="shared" si="3"/>
        <v>0</v>
      </c>
      <c r="J31" s="574">
        <f t="shared" si="4"/>
        <v>62.89</v>
      </c>
      <c r="K31" s="573">
        <f t="shared" si="5"/>
        <v>0</v>
      </c>
      <c r="L31" s="708">
        <f t="shared" si="7"/>
        <v>1293.6500000000001</v>
      </c>
      <c r="M31" s="708">
        <f t="shared" si="7"/>
        <v>0</v>
      </c>
      <c r="N31" s="708">
        <f t="shared" si="7"/>
        <v>1293.6500000000001</v>
      </c>
      <c r="O31" s="718">
        <f t="shared" si="7"/>
        <v>0</v>
      </c>
      <c r="P31" s="617">
        <f t="shared" si="0"/>
        <v>1</v>
      </c>
      <c r="Q31" s="525">
        <f>I31-'[9]8'!I30</f>
        <v>0</v>
      </c>
      <c r="BT31" s="525"/>
      <c r="BU31" s="523"/>
      <c r="BV31" s="523"/>
      <c r="BW31" s="523"/>
      <c r="BX31" s="523">
        <v>0</v>
      </c>
      <c r="BY31" s="523">
        <v>0</v>
      </c>
      <c r="BZ31" s="523">
        <v>62.89</v>
      </c>
      <c r="CA31" s="523"/>
      <c r="CB31" s="523">
        <v>0</v>
      </c>
      <c r="CC31" s="523"/>
      <c r="CD31" s="523"/>
      <c r="CE31" s="523"/>
      <c r="CF31" s="523"/>
      <c r="CG31" s="523"/>
      <c r="CH31" s="523"/>
      <c r="CI31" s="523">
        <f t="shared" si="2"/>
        <v>62.89</v>
      </c>
    </row>
    <row r="32" spans="1:87" s="754" customFormat="1" ht="15" x14ac:dyDescent="0.2">
      <c r="A32" s="680" t="s">
        <v>1366</v>
      </c>
      <c r="B32" s="569">
        <v>55835</v>
      </c>
      <c r="C32" s="569" t="s">
        <v>1324</v>
      </c>
      <c r="D32" s="569" t="s">
        <v>1367</v>
      </c>
      <c r="E32" s="681" t="s">
        <v>48</v>
      </c>
      <c r="F32" s="644">
        <v>59.37</v>
      </c>
      <c r="G32" s="682">
        <v>29.27</v>
      </c>
      <c r="H32" s="681">
        <v>22.5</v>
      </c>
      <c r="I32" s="573">
        <f t="shared" si="3"/>
        <v>5.625</v>
      </c>
      <c r="J32" s="574">
        <f t="shared" si="4"/>
        <v>22.5</v>
      </c>
      <c r="K32" s="573">
        <f t="shared" si="5"/>
        <v>0</v>
      </c>
      <c r="L32" s="708">
        <f t="shared" si="7"/>
        <v>658.58</v>
      </c>
      <c r="M32" s="708">
        <f t="shared" si="7"/>
        <v>164.64</v>
      </c>
      <c r="N32" s="708">
        <f t="shared" si="7"/>
        <v>658.58</v>
      </c>
      <c r="O32" s="718">
        <f t="shared" si="7"/>
        <v>0</v>
      </c>
      <c r="P32" s="617">
        <f t="shared" si="0"/>
        <v>1</v>
      </c>
      <c r="Q32" s="525">
        <f>I32-'[9]8'!I31</f>
        <v>0</v>
      </c>
      <c r="S32" s="190"/>
      <c r="T32" s="190"/>
      <c r="BT32" s="525"/>
      <c r="BU32" s="659">
        <v>5.625</v>
      </c>
      <c r="BV32" s="523">
        <v>16.875</v>
      </c>
      <c r="BW32" s="523"/>
      <c r="BX32" s="523">
        <v>0</v>
      </c>
      <c r="BY32" s="523">
        <v>0</v>
      </c>
      <c r="BZ32" s="523">
        <v>0</v>
      </c>
      <c r="CA32" s="523">
        <v>0</v>
      </c>
      <c r="CB32" s="523">
        <v>0</v>
      </c>
      <c r="CC32" s="523"/>
      <c r="CD32" s="523"/>
      <c r="CE32" s="523"/>
      <c r="CF32" s="523"/>
      <c r="CG32" s="523"/>
      <c r="CH32" s="523"/>
      <c r="CI32" s="523">
        <f t="shared" si="2"/>
        <v>22.5</v>
      </c>
    </row>
    <row r="33" spans="1:87" s="754" customFormat="1" ht="15.75" x14ac:dyDescent="0.2">
      <c r="A33" s="600">
        <v>3</v>
      </c>
      <c r="B33" s="558"/>
      <c r="C33" s="558"/>
      <c r="D33" s="558" t="s">
        <v>1368</v>
      </c>
      <c r="E33" s="626"/>
      <c r="F33" s="560"/>
      <c r="G33" s="565"/>
      <c r="H33" s="565"/>
      <c r="I33" s="565"/>
      <c r="J33" s="565"/>
      <c r="K33" s="565"/>
      <c r="L33" s="709">
        <f>SUM(L34,L40)</f>
        <v>35418.720000000001</v>
      </c>
      <c r="M33" s="730">
        <f>SUM(M34,M40)</f>
        <v>0</v>
      </c>
      <c r="N33" s="709">
        <f>SUM(N34,N40)</f>
        <v>35418.720000000001</v>
      </c>
      <c r="O33" s="719">
        <f>SUM(O34,O40)</f>
        <v>0</v>
      </c>
      <c r="P33" s="604">
        <f t="shared" si="0"/>
        <v>1</v>
      </c>
      <c r="Q33" s="525">
        <f>I33-'[9]8'!I32</f>
        <v>0</v>
      </c>
      <c r="S33" s="190"/>
      <c r="T33" s="190"/>
      <c r="BT33" s="525"/>
      <c r="BU33" s="523"/>
      <c r="BV33" s="523"/>
      <c r="BW33" s="523"/>
      <c r="BX33" s="523">
        <v>0</v>
      </c>
      <c r="BY33" s="523">
        <v>0</v>
      </c>
      <c r="BZ33" s="523">
        <v>679.56999999999994</v>
      </c>
      <c r="CA33" s="523">
        <v>504.28000000000003</v>
      </c>
      <c r="CB33" s="523">
        <v>727.32</v>
      </c>
      <c r="CC33" s="523"/>
      <c r="CD33" s="523"/>
      <c r="CE33" s="523"/>
      <c r="CF33" s="523"/>
      <c r="CG33" s="523"/>
      <c r="CH33" s="523"/>
      <c r="CI33" s="523">
        <f t="shared" si="2"/>
        <v>1911.17</v>
      </c>
    </row>
    <row r="34" spans="1:87" ht="15.75" x14ac:dyDescent="0.2">
      <c r="A34" s="605" t="s">
        <v>41</v>
      </c>
      <c r="B34" s="586"/>
      <c r="C34" s="586"/>
      <c r="D34" s="586" t="s">
        <v>1369</v>
      </c>
      <c r="E34" s="683"/>
      <c r="F34" s="588"/>
      <c r="G34" s="590"/>
      <c r="H34" s="590"/>
      <c r="I34" s="590"/>
      <c r="J34" s="590"/>
      <c r="K34" s="590"/>
      <c r="L34" s="710">
        <f>SUM(L35:L39)</f>
        <v>16448.150000000001</v>
      </c>
      <c r="M34" s="731">
        <f>SUM(M35:M39)</f>
        <v>0</v>
      </c>
      <c r="N34" s="710">
        <f>SUM(N35:N39)</f>
        <v>16448.150000000001</v>
      </c>
      <c r="O34" s="720">
        <f>SUM(O35:O39)</f>
        <v>0</v>
      </c>
      <c r="P34" s="611">
        <f t="shared" si="0"/>
        <v>1</v>
      </c>
      <c r="Q34" s="525">
        <f>I34-'[9]8'!I33</f>
        <v>0</v>
      </c>
      <c r="BT34" s="525"/>
      <c r="BU34" s="523"/>
      <c r="BV34" s="523"/>
      <c r="BW34" s="523"/>
      <c r="BX34" s="523">
        <v>0</v>
      </c>
      <c r="BY34" s="523">
        <v>0</v>
      </c>
      <c r="BZ34" s="523">
        <v>0</v>
      </c>
      <c r="CA34" s="523">
        <v>504.28000000000003</v>
      </c>
      <c r="CB34" s="523">
        <v>727.32</v>
      </c>
      <c r="CC34" s="523"/>
      <c r="CD34" s="523"/>
      <c r="CE34" s="523"/>
      <c r="CF34" s="523"/>
      <c r="CG34" s="523"/>
      <c r="CH34" s="523"/>
      <c r="CI34" s="523">
        <f t="shared" si="2"/>
        <v>1231.6000000000001</v>
      </c>
    </row>
    <row r="35" spans="1:87" ht="15.75" x14ac:dyDescent="0.2">
      <c r="A35" s="684" t="s">
        <v>43</v>
      </c>
      <c r="B35" s="569">
        <v>83532</v>
      </c>
      <c r="C35" s="569" t="s">
        <v>1324</v>
      </c>
      <c r="D35" s="569" t="s">
        <v>1370</v>
      </c>
      <c r="E35" s="681" t="s">
        <v>48</v>
      </c>
      <c r="F35" s="571"/>
      <c r="G35" s="682">
        <v>19.86</v>
      </c>
      <c r="H35" s="685">
        <v>3.77</v>
      </c>
      <c r="I35" s="573">
        <f t="shared" si="3"/>
        <v>0</v>
      </c>
      <c r="J35" s="574">
        <f t="shared" si="4"/>
        <v>3.77</v>
      </c>
      <c r="K35" s="573">
        <f t="shared" ref="K35:K45" si="8">H35-J35</f>
        <v>0</v>
      </c>
      <c r="L35" s="708">
        <f t="shared" ref="L35:O39" si="9">ROUND(H35*$G35,2)</f>
        <v>74.87</v>
      </c>
      <c r="M35" s="708">
        <f t="shared" si="9"/>
        <v>0</v>
      </c>
      <c r="N35" s="708">
        <f t="shared" si="9"/>
        <v>74.87</v>
      </c>
      <c r="O35" s="718">
        <f t="shared" si="9"/>
        <v>0</v>
      </c>
      <c r="P35" s="617">
        <f t="shared" si="0"/>
        <v>1</v>
      </c>
      <c r="Q35" s="525">
        <f>I35-'[9]8'!I34</f>
        <v>0</v>
      </c>
      <c r="BT35" s="525"/>
      <c r="BU35" s="523"/>
      <c r="BV35" s="523"/>
      <c r="BW35" s="523"/>
      <c r="BX35" s="523">
        <v>0</v>
      </c>
      <c r="BY35" s="523">
        <v>0</v>
      </c>
      <c r="BZ35" s="523">
        <v>0</v>
      </c>
      <c r="CA35" s="523">
        <v>3.77</v>
      </c>
      <c r="CB35" s="523">
        <v>0</v>
      </c>
      <c r="CC35" s="523"/>
      <c r="CD35" s="523"/>
      <c r="CE35" s="523"/>
      <c r="CF35" s="523"/>
      <c r="CG35" s="523"/>
      <c r="CH35" s="523"/>
      <c r="CI35" s="523">
        <f t="shared" si="2"/>
        <v>3.77</v>
      </c>
    </row>
    <row r="36" spans="1:87" ht="15.75" x14ac:dyDescent="0.2">
      <c r="A36" s="684" t="s">
        <v>45</v>
      </c>
      <c r="B36" s="569">
        <v>5970</v>
      </c>
      <c r="C36" s="569" t="s">
        <v>1324</v>
      </c>
      <c r="D36" s="569" t="s">
        <v>1371</v>
      </c>
      <c r="E36" s="681" t="s">
        <v>14</v>
      </c>
      <c r="F36" s="644">
        <v>60.66</v>
      </c>
      <c r="G36" s="682">
        <v>93.42</v>
      </c>
      <c r="H36" s="685">
        <v>63.02</v>
      </c>
      <c r="I36" s="573">
        <f t="shared" si="3"/>
        <v>0</v>
      </c>
      <c r="J36" s="574">
        <f t="shared" si="4"/>
        <v>63.019999999999996</v>
      </c>
      <c r="K36" s="581">
        <f t="shared" si="8"/>
        <v>0</v>
      </c>
      <c r="L36" s="708">
        <f t="shared" si="9"/>
        <v>5887.33</v>
      </c>
      <c r="M36" s="732">
        <f t="shared" si="9"/>
        <v>0</v>
      </c>
      <c r="N36" s="708">
        <f t="shared" si="9"/>
        <v>5887.33</v>
      </c>
      <c r="O36" s="718">
        <f t="shared" si="9"/>
        <v>0</v>
      </c>
      <c r="P36" s="617">
        <f t="shared" si="0"/>
        <v>1</v>
      </c>
      <c r="Q36" s="525">
        <f>I36-'[9]8'!I35</f>
        <v>0</v>
      </c>
      <c r="BT36" s="525"/>
      <c r="BU36" s="523"/>
      <c r="BV36" s="523"/>
      <c r="BW36" s="523"/>
      <c r="BX36" s="523">
        <v>-2E-3</v>
      </c>
      <c r="BY36" s="523">
        <v>0</v>
      </c>
      <c r="BZ36" s="523">
        <v>0</v>
      </c>
      <c r="CA36" s="523">
        <v>25.21</v>
      </c>
      <c r="CB36" s="523">
        <v>37.811999999999998</v>
      </c>
      <c r="CC36" s="523"/>
      <c r="CD36" s="523"/>
      <c r="CE36" s="523"/>
      <c r="CF36" s="523"/>
      <c r="CG36" s="523"/>
      <c r="CH36" s="523"/>
      <c r="CI36" s="523">
        <f t="shared" si="2"/>
        <v>63.019999999999996</v>
      </c>
    </row>
    <row r="37" spans="1:87" ht="15.75" x14ac:dyDescent="0.2">
      <c r="A37" s="684" t="s">
        <v>47</v>
      </c>
      <c r="B37" s="569">
        <v>92793</v>
      </c>
      <c r="C37" s="569" t="s">
        <v>1324</v>
      </c>
      <c r="D37" s="569" t="s">
        <v>1372</v>
      </c>
      <c r="E37" s="681" t="s">
        <v>35</v>
      </c>
      <c r="F37" s="644">
        <v>5.86</v>
      </c>
      <c r="G37" s="682">
        <v>4.6500000000000004</v>
      </c>
      <c r="H37" s="685">
        <v>1094.27</v>
      </c>
      <c r="I37" s="573">
        <f t="shared" si="3"/>
        <v>0</v>
      </c>
      <c r="J37" s="574">
        <f t="shared" si="4"/>
        <v>1094.27</v>
      </c>
      <c r="K37" s="581">
        <f t="shared" si="8"/>
        <v>0</v>
      </c>
      <c r="L37" s="708">
        <f t="shared" si="9"/>
        <v>5088.3599999999997</v>
      </c>
      <c r="M37" s="729">
        <f t="shared" si="9"/>
        <v>0</v>
      </c>
      <c r="N37" s="708">
        <f t="shared" si="9"/>
        <v>5088.3599999999997</v>
      </c>
      <c r="O37" s="718">
        <f t="shared" si="9"/>
        <v>0</v>
      </c>
      <c r="P37" s="617">
        <f t="shared" si="0"/>
        <v>1</v>
      </c>
      <c r="Q37" s="525">
        <f>I37-'[9]8'!I36</f>
        <v>0</v>
      </c>
      <c r="BT37" s="525"/>
      <c r="BU37" s="523"/>
      <c r="BV37" s="523"/>
      <c r="BW37" s="523"/>
      <c r="BX37" s="523">
        <v>-2E-3</v>
      </c>
      <c r="BY37" s="523">
        <v>0</v>
      </c>
      <c r="BZ37" s="532">
        <v>0</v>
      </c>
      <c r="CA37" s="532">
        <v>437.71000000000004</v>
      </c>
      <c r="CB37" s="523">
        <v>656.56200000000001</v>
      </c>
      <c r="CC37" s="523"/>
      <c r="CD37" s="523"/>
      <c r="CE37" s="523"/>
      <c r="CF37" s="523"/>
      <c r="CG37" s="523"/>
      <c r="CH37" s="523"/>
      <c r="CI37" s="523">
        <f t="shared" si="2"/>
        <v>1094.27</v>
      </c>
    </row>
    <row r="38" spans="1:87" ht="15.75" x14ac:dyDescent="0.2">
      <c r="A38" s="684" t="s">
        <v>49</v>
      </c>
      <c r="B38" s="569">
        <v>92791</v>
      </c>
      <c r="C38" s="569" t="s">
        <v>1324</v>
      </c>
      <c r="D38" s="569" t="s">
        <v>1373</v>
      </c>
      <c r="E38" s="681" t="s">
        <v>35</v>
      </c>
      <c r="F38" s="644">
        <v>302.64</v>
      </c>
      <c r="G38" s="682">
        <v>6.11</v>
      </c>
      <c r="H38" s="685">
        <v>54.91</v>
      </c>
      <c r="I38" s="573">
        <f t="shared" si="3"/>
        <v>0</v>
      </c>
      <c r="J38" s="574">
        <f t="shared" si="4"/>
        <v>54.91</v>
      </c>
      <c r="K38" s="596">
        <f t="shared" si="8"/>
        <v>0</v>
      </c>
      <c r="L38" s="708">
        <f t="shared" si="9"/>
        <v>335.5</v>
      </c>
      <c r="M38" s="729">
        <f t="shared" si="9"/>
        <v>0</v>
      </c>
      <c r="N38" s="708">
        <f t="shared" si="9"/>
        <v>335.5</v>
      </c>
      <c r="O38" s="718">
        <f t="shared" si="9"/>
        <v>0</v>
      </c>
      <c r="P38" s="617">
        <f t="shared" si="0"/>
        <v>1</v>
      </c>
      <c r="Q38" s="525">
        <f>I38-'[9]8'!I37</f>
        <v>0</v>
      </c>
      <c r="BT38" s="525"/>
      <c r="BU38" s="523"/>
      <c r="BV38" s="523"/>
      <c r="BW38" s="523"/>
      <c r="BX38" s="523">
        <v>4.0000000000000001E-3</v>
      </c>
      <c r="BY38" s="523">
        <v>0</v>
      </c>
      <c r="BZ38" s="532">
        <v>0</v>
      </c>
      <c r="CA38" s="532">
        <v>21.959999999999994</v>
      </c>
      <c r="CB38" s="523">
        <v>32.945999999999998</v>
      </c>
      <c r="CC38" s="523"/>
      <c r="CD38" s="523"/>
      <c r="CE38" s="523"/>
      <c r="CF38" s="523"/>
      <c r="CG38" s="523"/>
      <c r="CH38" s="523"/>
      <c r="CI38" s="523">
        <f t="shared" si="2"/>
        <v>54.91</v>
      </c>
    </row>
    <row r="39" spans="1:87" s="754" customFormat="1" ht="15.75" x14ac:dyDescent="0.2">
      <c r="A39" s="684" t="s">
        <v>1374</v>
      </c>
      <c r="B39" s="569">
        <v>92720</v>
      </c>
      <c r="C39" s="569" t="s">
        <v>1324</v>
      </c>
      <c r="D39" s="569" t="s">
        <v>1375</v>
      </c>
      <c r="E39" s="681" t="s">
        <v>48</v>
      </c>
      <c r="F39" s="644">
        <v>135.94</v>
      </c>
      <c r="G39" s="682">
        <v>323.87</v>
      </c>
      <c r="H39" s="685">
        <v>15.63</v>
      </c>
      <c r="I39" s="573">
        <f t="shared" si="3"/>
        <v>0</v>
      </c>
      <c r="J39" s="574">
        <f t="shared" si="4"/>
        <v>15.63</v>
      </c>
      <c r="K39" s="573">
        <f t="shared" si="8"/>
        <v>0</v>
      </c>
      <c r="L39" s="708">
        <f t="shared" si="9"/>
        <v>5062.09</v>
      </c>
      <c r="M39" s="708">
        <f t="shared" si="9"/>
        <v>0</v>
      </c>
      <c r="N39" s="708">
        <f t="shared" si="9"/>
        <v>5062.09</v>
      </c>
      <c r="O39" s="718">
        <f t="shared" si="9"/>
        <v>0</v>
      </c>
      <c r="P39" s="617">
        <f t="shared" si="0"/>
        <v>1</v>
      </c>
      <c r="Q39" s="525">
        <f>I39-'[9]8'!I38</f>
        <v>0</v>
      </c>
      <c r="S39" s="190"/>
      <c r="T39" s="190"/>
      <c r="BT39" s="525"/>
      <c r="BU39" s="523"/>
      <c r="BV39" s="523"/>
      <c r="BW39" s="523"/>
      <c r="BX39" s="523">
        <v>0</v>
      </c>
      <c r="BY39" s="523">
        <v>0</v>
      </c>
      <c r="BZ39" s="523">
        <v>0</v>
      </c>
      <c r="CA39" s="523">
        <v>15.63</v>
      </c>
      <c r="CB39" s="523">
        <v>0</v>
      </c>
      <c r="CC39" s="523"/>
      <c r="CD39" s="523"/>
      <c r="CE39" s="523"/>
      <c r="CF39" s="523"/>
      <c r="CG39" s="523"/>
      <c r="CH39" s="523"/>
      <c r="CI39" s="523">
        <f t="shared" si="2"/>
        <v>15.63</v>
      </c>
    </row>
    <row r="40" spans="1:87" ht="15.75" x14ac:dyDescent="0.2">
      <c r="A40" s="605" t="s">
        <v>50</v>
      </c>
      <c r="B40" s="586"/>
      <c r="C40" s="586"/>
      <c r="D40" s="586" t="s">
        <v>1376</v>
      </c>
      <c r="E40" s="683"/>
      <c r="F40" s="588"/>
      <c r="G40" s="590"/>
      <c r="H40" s="686"/>
      <c r="I40" s="598">
        <f t="shared" si="3"/>
        <v>0</v>
      </c>
      <c r="J40" s="599"/>
      <c r="K40" s="598">
        <v>0</v>
      </c>
      <c r="L40" s="710">
        <f>SUM(L41:L45)</f>
        <v>18970.57</v>
      </c>
      <c r="M40" s="710">
        <f>SUM(M41:M45)</f>
        <v>0</v>
      </c>
      <c r="N40" s="710">
        <f>SUM(N41:N45)</f>
        <v>18970.57</v>
      </c>
      <c r="O40" s="720">
        <f>SUM(O41:O45)</f>
        <v>0</v>
      </c>
      <c r="P40" s="611">
        <f t="shared" si="0"/>
        <v>1</v>
      </c>
      <c r="Q40" s="525">
        <f>I40-'[9]8'!I39</f>
        <v>0</v>
      </c>
      <c r="BT40" s="525"/>
      <c r="BU40" s="523"/>
      <c r="BV40" s="523"/>
      <c r="BW40" s="523"/>
      <c r="BX40" s="523">
        <v>0</v>
      </c>
      <c r="BY40" s="523">
        <v>0</v>
      </c>
      <c r="BZ40" s="523">
        <v>679.56999999999994</v>
      </c>
      <c r="CA40" s="523">
        <v>0</v>
      </c>
      <c r="CB40" s="523">
        <v>0</v>
      </c>
      <c r="CC40" s="523"/>
      <c r="CD40" s="523"/>
      <c r="CE40" s="523"/>
      <c r="CF40" s="523"/>
      <c r="CG40" s="523"/>
      <c r="CH40" s="523"/>
      <c r="CI40" s="523">
        <f t="shared" si="2"/>
        <v>679.56999999999994</v>
      </c>
    </row>
    <row r="41" spans="1:87" ht="15" x14ac:dyDescent="0.2">
      <c r="A41" s="680" t="s">
        <v>52</v>
      </c>
      <c r="B41" s="569">
        <v>83532</v>
      </c>
      <c r="C41" s="569" t="s">
        <v>1324</v>
      </c>
      <c r="D41" s="569" t="s">
        <v>1370</v>
      </c>
      <c r="E41" s="681" t="s">
        <v>48</v>
      </c>
      <c r="F41" s="644">
        <v>60.66</v>
      </c>
      <c r="G41" s="682">
        <v>19.86</v>
      </c>
      <c r="H41" s="685">
        <v>2.58</v>
      </c>
      <c r="I41" s="573">
        <f t="shared" si="3"/>
        <v>0</v>
      </c>
      <c r="J41" s="574">
        <f t="shared" si="4"/>
        <v>2.58</v>
      </c>
      <c r="K41" s="573">
        <f t="shared" si="8"/>
        <v>0</v>
      </c>
      <c r="L41" s="708">
        <f t="shared" ref="L41:O45" si="10">ROUND(H41*$G41,2)</f>
        <v>51.24</v>
      </c>
      <c r="M41" s="708">
        <f t="shared" si="10"/>
        <v>0</v>
      </c>
      <c r="N41" s="708">
        <f t="shared" si="10"/>
        <v>51.24</v>
      </c>
      <c r="O41" s="718">
        <f t="shared" si="10"/>
        <v>0</v>
      </c>
      <c r="P41" s="617">
        <f t="shared" si="0"/>
        <v>1</v>
      </c>
      <c r="Q41" s="525">
        <f>I41-'[9]8'!I40</f>
        <v>0</v>
      </c>
      <c r="BT41" s="525"/>
      <c r="BU41" s="523"/>
      <c r="BV41" s="523"/>
      <c r="BW41" s="523"/>
      <c r="BX41" s="523">
        <v>0</v>
      </c>
      <c r="BY41" s="523">
        <v>0</v>
      </c>
      <c r="BZ41" s="523">
        <v>2.58</v>
      </c>
      <c r="CA41" s="523">
        <v>0</v>
      </c>
      <c r="CB41" s="523">
        <v>0</v>
      </c>
      <c r="CC41" s="523"/>
      <c r="CD41" s="523"/>
      <c r="CE41" s="523"/>
      <c r="CF41" s="523"/>
      <c r="CG41" s="523"/>
      <c r="CH41" s="523"/>
      <c r="CI41" s="523">
        <f t="shared" si="2"/>
        <v>2.58</v>
      </c>
    </row>
    <row r="42" spans="1:87" ht="15" x14ac:dyDescent="0.2">
      <c r="A42" s="680" t="s">
        <v>53</v>
      </c>
      <c r="B42" s="569">
        <v>5970</v>
      </c>
      <c r="C42" s="569" t="s">
        <v>1324</v>
      </c>
      <c r="D42" s="569" t="s">
        <v>1371</v>
      </c>
      <c r="E42" s="681" t="s">
        <v>14</v>
      </c>
      <c r="F42" s="644">
        <v>5.86</v>
      </c>
      <c r="G42" s="682">
        <v>93.42</v>
      </c>
      <c r="H42" s="685">
        <v>139.57</v>
      </c>
      <c r="I42" s="573">
        <f t="shared" si="3"/>
        <v>0</v>
      </c>
      <c r="J42" s="574">
        <f t="shared" si="4"/>
        <v>139.57</v>
      </c>
      <c r="K42" s="573">
        <f t="shared" si="8"/>
        <v>0</v>
      </c>
      <c r="L42" s="708">
        <f t="shared" si="10"/>
        <v>13038.63</v>
      </c>
      <c r="M42" s="708">
        <f t="shared" si="10"/>
        <v>0</v>
      </c>
      <c r="N42" s="708">
        <f t="shared" si="10"/>
        <v>13038.63</v>
      </c>
      <c r="O42" s="718">
        <f t="shared" si="10"/>
        <v>0</v>
      </c>
      <c r="P42" s="617">
        <f t="shared" si="0"/>
        <v>1</v>
      </c>
      <c r="Q42" s="525">
        <f>I42-'[9]8'!I41</f>
        <v>0</v>
      </c>
      <c r="BT42" s="525"/>
      <c r="BU42" s="523"/>
      <c r="BV42" s="523"/>
      <c r="BW42" s="523"/>
      <c r="BX42" s="523">
        <v>0</v>
      </c>
      <c r="BY42" s="523">
        <v>0</v>
      </c>
      <c r="BZ42" s="523">
        <v>139.57</v>
      </c>
      <c r="CA42" s="523">
        <v>0</v>
      </c>
      <c r="CB42" s="523">
        <v>0</v>
      </c>
      <c r="CC42" s="523"/>
      <c r="CD42" s="523"/>
      <c r="CE42" s="523"/>
      <c r="CF42" s="523"/>
      <c r="CG42" s="523"/>
      <c r="CH42" s="523"/>
      <c r="CI42" s="523">
        <f t="shared" si="2"/>
        <v>139.57</v>
      </c>
    </row>
    <row r="43" spans="1:87" ht="15" x14ac:dyDescent="0.2">
      <c r="A43" s="680" t="s">
        <v>54</v>
      </c>
      <c r="B43" s="569">
        <v>92793</v>
      </c>
      <c r="C43" s="569" t="s">
        <v>1324</v>
      </c>
      <c r="D43" s="569" t="s">
        <v>1372</v>
      </c>
      <c r="E43" s="681" t="s">
        <v>35</v>
      </c>
      <c r="F43" s="644">
        <v>302.64</v>
      </c>
      <c r="G43" s="682">
        <v>4.6500000000000004</v>
      </c>
      <c r="H43" s="685">
        <v>389.64</v>
      </c>
      <c r="I43" s="573">
        <f t="shared" si="3"/>
        <v>0</v>
      </c>
      <c r="J43" s="574">
        <f t="shared" si="4"/>
        <v>389.64</v>
      </c>
      <c r="K43" s="573">
        <f t="shared" si="8"/>
        <v>0</v>
      </c>
      <c r="L43" s="708">
        <f t="shared" si="10"/>
        <v>1811.83</v>
      </c>
      <c r="M43" s="708">
        <f t="shared" si="10"/>
        <v>0</v>
      </c>
      <c r="N43" s="708">
        <f t="shared" si="10"/>
        <v>1811.83</v>
      </c>
      <c r="O43" s="718">
        <f t="shared" si="10"/>
        <v>0</v>
      </c>
      <c r="P43" s="617">
        <f t="shared" si="0"/>
        <v>1</v>
      </c>
      <c r="Q43" s="525">
        <f>I43-'[9]8'!I42</f>
        <v>0</v>
      </c>
      <c r="S43" s="189">
        <v>0</v>
      </c>
      <c r="T43" s="189">
        <v>137.72999999999999</v>
      </c>
      <c r="BT43" s="525"/>
      <c r="BU43" s="523"/>
      <c r="BV43" s="523"/>
      <c r="BW43" s="523"/>
      <c r="BX43" s="523">
        <v>0</v>
      </c>
      <c r="BY43" s="523">
        <v>0</v>
      </c>
      <c r="BZ43" s="523">
        <v>389.64</v>
      </c>
      <c r="CA43" s="523">
        <v>0</v>
      </c>
      <c r="CB43" s="523">
        <v>0</v>
      </c>
      <c r="CC43" s="523"/>
      <c r="CD43" s="523"/>
      <c r="CE43" s="523"/>
      <c r="CF43" s="523"/>
      <c r="CG43" s="523"/>
      <c r="CH43" s="523"/>
      <c r="CI43" s="523">
        <f t="shared" si="2"/>
        <v>389.64</v>
      </c>
    </row>
    <row r="44" spans="1:87" ht="15" x14ac:dyDescent="0.2">
      <c r="A44" s="680" t="s">
        <v>55</v>
      </c>
      <c r="B44" s="569">
        <v>92791</v>
      </c>
      <c r="C44" s="569" t="s">
        <v>1324</v>
      </c>
      <c r="D44" s="569" t="s">
        <v>1373</v>
      </c>
      <c r="E44" s="681" t="s">
        <v>35</v>
      </c>
      <c r="F44" s="644">
        <v>135.94</v>
      </c>
      <c r="G44" s="682">
        <v>5.91</v>
      </c>
      <c r="H44" s="685">
        <v>137.72999999999999</v>
      </c>
      <c r="I44" s="573">
        <f t="shared" si="3"/>
        <v>0</v>
      </c>
      <c r="J44" s="574">
        <f t="shared" si="4"/>
        <v>137.72999999999999</v>
      </c>
      <c r="K44" s="573">
        <f t="shared" si="8"/>
        <v>0</v>
      </c>
      <c r="L44" s="708">
        <f t="shared" si="10"/>
        <v>813.98</v>
      </c>
      <c r="M44" s="708">
        <f t="shared" si="10"/>
        <v>0</v>
      </c>
      <c r="N44" s="708">
        <f t="shared" si="10"/>
        <v>813.98</v>
      </c>
      <c r="O44" s="718">
        <f t="shared" si="10"/>
        <v>0</v>
      </c>
      <c r="P44" s="617">
        <f t="shared" si="0"/>
        <v>1</v>
      </c>
      <c r="Q44" s="525">
        <f>I44-'[9]8'!I43</f>
        <v>0</v>
      </c>
      <c r="S44" s="189">
        <v>0</v>
      </c>
      <c r="T44" s="189">
        <v>10.050000000000001</v>
      </c>
      <c r="BT44" s="525"/>
      <c r="BU44" s="523"/>
      <c r="BV44" s="523"/>
      <c r="BW44" s="523"/>
      <c r="BX44" s="523">
        <v>0</v>
      </c>
      <c r="BY44" s="523">
        <v>0</v>
      </c>
      <c r="BZ44" s="523">
        <v>137.72999999999999</v>
      </c>
      <c r="CA44" s="523">
        <v>0</v>
      </c>
      <c r="CB44" s="523">
        <v>0</v>
      </c>
      <c r="CC44" s="523"/>
      <c r="CD44" s="523"/>
      <c r="CE44" s="523"/>
      <c r="CF44" s="523"/>
      <c r="CG44" s="523"/>
      <c r="CH44" s="523"/>
      <c r="CI44" s="523">
        <f t="shared" si="2"/>
        <v>137.72999999999999</v>
      </c>
    </row>
    <row r="45" spans="1:87" s="755" customFormat="1" ht="15" x14ac:dyDescent="0.2">
      <c r="A45" s="680" t="s">
        <v>1377</v>
      </c>
      <c r="B45" s="569">
        <v>92720</v>
      </c>
      <c r="C45" s="569" t="s">
        <v>1324</v>
      </c>
      <c r="D45" s="569" t="s">
        <v>1375</v>
      </c>
      <c r="E45" s="681" t="s">
        <v>48</v>
      </c>
      <c r="F45" s="571"/>
      <c r="G45" s="682">
        <v>323.87</v>
      </c>
      <c r="H45" s="685">
        <v>10.050000000000001</v>
      </c>
      <c r="I45" s="573">
        <f t="shared" si="3"/>
        <v>0</v>
      </c>
      <c r="J45" s="574">
        <f t="shared" si="4"/>
        <v>10.050000000000001</v>
      </c>
      <c r="K45" s="573">
        <f t="shared" si="8"/>
        <v>0</v>
      </c>
      <c r="L45" s="708">
        <f t="shared" si="10"/>
        <v>3254.89</v>
      </c>
      <c r="M45" s="708">
        <f t="shared" si="10"/>
        <v>0</v>
      </c>
      <c r="N45" s="708">
        <f t="shared" si="10"/>
        <v>3254.89</v>
      </c>
      <c r="O45" s="718">
        <f t="shared" si="10"/>
        <v>0</v>
      </c>
      <c r="P45" s="617">
        <f t="shared" si="0"/>
        <v>1</v>
      </c>
      <c r="Q45" s="525">
        <f>I45-'[9]8'!I44</f>
        <v>0</v>
      </c>
      <c r="S45" s="191">
        <v>0</v>
      </c>
      <c r="T45" s="191">
        <v>0</v>
      </c>
      <c r="BT45" s="525"/>
      <c r="BU45" s="523"/>
      <c r="BV45" s="523"/>
      <c r="BW45" s="523"/>
      <c r="BX45" s="523">
        <v>0</v>
      </c>
      <c r="BY45" s="523">
        <v>0</v>
      </c>
      <c r="BZ45" s="523">
        <v>10.050000000000001</v>
      </c>
      <c r="CA45" s="523">
        <v>0</v>
      </c>
      <c r="CB45" s="523">
        <v>0</v>
      </c>
      <c r="CC45" s="523"/>
      <c r="CD45" s="523"/>
      <c r="CE45" s="523"/>
      <c r="CF45" s="523"/>
      <c r="CG45" s="523"/>
      <c r="CH45" s="523"/>
      <c r="CI45" s="523">
        <f t="shared" si="2"/>
        <v>10.050000000000001</v>
      </c>
    </row>
    <row r="46" spans="1:87" s="755" customFormat="1" ht="15.75" x14ac:dyDescent="0.2">
      <c r="A46" s="600">
        <v>4</v>
      </c>
      <c r="B46" s="601"/>
      <c r="C46" s="601"/>
      <c r="D46" s="602" t="s">
        <v>1378</v>
      </c>
      <c r="E46" s="626"/>
      <c r="F46" s="560"/>
      <c r="G46" s="565"/>
      <c r="H46" s="641"/>
      <c r="I46" s="563">
        <f t="shared" si="3"/>
        <v>0</v>
      </c>
      <c r="J46" s="564"/>
      <c r="K46" s="563"/>
      <c r="L46" s="628">
        <f>SUM(L47,L52,L58,L63,L68)</f>
        <v>88897.260000000009</v>
      </c>
      <c r="M46" s="628">
        <f>SUM(M47,M52,M58,M63,M68)</f>
        <v>3448.59</v>
      </c>
      <c r="N46" s="628">
        <f>SUM(N47,N52,N58,N63,N68)</f>
        <v>65432.01</v>
      </c>
      <c r="O46" s="721">
        <f>SUM(O47,O52,O58,O63,O68)</f>
        <v>23465.25</v>
      </c>
      <c r="P46" s="604">
        <f t="shared" si="0"/>
        <v>0.73604079585805005</v>
      </c>
      <c r="Q46" s="525">
        <f>I46-'[9]8'!I45</f>
        <v>0</v>
      </c>
      <c r="S46" s="191">
        <v>0</v>
      </c>
      <c r="T46" s="191">
        <v>0</v>
      </c>
      <c r="BT46" s="525"/>
      <c r="BU46" s="523"/>
      <c r="BV46" s="523"/>
      <c r="BW46" s="523"/>
      <c r="BX46" s="523">
        <v>0</v>
      </c>
      <c r="BY46" s="523">
        <v>354.95380799999998</v>
      </c>
      <c r="BZ46" s="523"/>
      <c r="CA46" s="523"/>
      <c r="CB46" s="523"/>
      <c r="CC46" s="523"/>
      <c r="CD46" s="523"/>
      <c r="CE46" s="523"/>
      <c r="CF46" s="523"/>
      <c r="CG46" s="523"/>
      <c r="CH46" s="523"/>
      <c r="CI46" s="523">
        <f t="shared" si="2"/>
        <v>354.95380799999998</v>
      </c>
    </row>
    <row r="47" spans="1:87" s="110" customFormat="1" ht="15.75" x14ac:dyDescent="0.2">
      <c r="A47" s="605" t="s">
        <v>74</v>
      </c>
      <c r="B47" s="606"/>
      <c r="C47" s="606"/>
      <c r="D47" s="607" t="s">
        <v>1379</v>
      </c>
      <c r="E47" s="608"/>
      <c r="F47" s="683">
        <f>SUM(F48:F51)</f>
        <v>499.24</v>
      </c>
      <c r="G47" s="609"/>
      <c r="H47" s="608"/>
      <c r="I47" s="599">
        <f t="shared" si="3"/>
        <v>0</v>
      </c>
      <c r="J47" s="599"/>
      <c r="K47" s="599">
        <v>0</v>
      </c>
      <c r="L47" s="710">
        <f>SUM(L48:L51)</f>
        <v>17368.48</v>
      </c>
      <c r="M47" s="710">
        <f>SUM(M48:M51)</f>
        <v>0</v>
      </c>
      <c r="N47" s="710">
        <f>SUM(N48:N51)</f>
        <v>17368.48</v>
      </c>
      <c r="O47" s="720">
        <f>SUM(O48:O51)</f>
        <v>0</v>
      </c>
      <c r="P47" s="611">
        <f t="shared" si="0"/>
        <v>1</v>
      </c>
      <c r="Q47" s="525">
        <f>I47-'[9]8'!I46</f>
        <v>0</v>
      </c>
      <c r="S47" s="192">
        <v>22.81</v>
      </c>
      <c r="T47" s="192">
        <v>126.72</v>
      </c>
      <c r="BT47" s="525"/>
      <c r="BU47" s="523"/>
      <c r="BV47" s="523"/>
      <c r="BW47" s="523"/>
      <c r="BX47" s="523">
        <v>0</v>
      </c>
      <c r="BY47" s="523">
        <v>132.10999999999999</v>
      </c>
      <c r="BZ47" s="523"/>
      <c r="CA47" s="523"/>
      <c r="CB47" s="523"/>
      <c r="CC47" s="523"/>
      <c r="CD47" s="523"/>
      <c r="CE47" s="523"/>
      <c r="CF47" s="523"/>
      <c r="CG47" s="523"/>
      <c r="CH47" s="523"/>
      <c r="CI47" s="523">
        <f t="shared" si="2"/>
        <v>132.10999999999999</v>
      </c>
    </row>
    <row r="48" spans="1:87" s="110" customFormat="1" ht="15" x14ac:dyDescent="0.2">
      <c r="A48" s="745" t="s">
        <v>76</v>
      </c>
      <c r="B48" s="613">
        <v>92448</v>
      </c>
      <c r="C48" s="613" t="s">
        <v>1324</v>
      </c>
      <c r="D48" s="614" t="s">
        <v>1380</v>
      </c>
      <c r="E48" s="615" t="s">
        <v>14</v>
      </c>
      <c r="F48" s="644">
        <v>302.64</v>
      </c>
      <c r="G48" s="616">
        <v>93.42</v>
      </c>
      <c r="H48" s="615">
        <v>126.72</v>
      </c>
      <c r="I48" s="573">
        <f t="shared" si="3"/>
        <v>0</v>
      </c>
      <c r="J48" s="574">
        <f t="shared" si="4"/>
        <v>126.72</v>
      </c>
      <c r="K48" s="573">
        <f t="shared" ref="K48:K69" si="11">H48-J48</f>
        <v>0</v>
      </c>
      <c r="L48" s="708">
        <f t="shared" ref="L48:O51" si="12">ROUND(H48*$G48,2)</f>
        <v>11838.18</v>
      </c>
      <c r="M48" s="708">
        <f t="shared" si="12"/>
        <v>0</v>
      </c>
      <c r="N48" s="708">
        <f t="shared" si="12"/>
        <v>11838.18</v>
      </c>
      <c r="O48" s="718">
        <f t="shared" si="12"/>
        <v>0</v>
      </c>
      <c r="P48" s="617">
        <f t="shared" si="0"/>
        <v>1</v>
      </c>
      <c r="Q48" s="525">
        <f>I48-'[9]8'!I47</f>
        <v>0</v>
      </c>
      <c r="S48" s="192">
        <v>78.55</v>
      </c>
      <c r="T48" s="192">
        <v>428.55</v>
      </c>
      <c r="BT48" s="525"/>
      <c r="BU48" s="523"/>
      <c r="BV48" s="523"/>
      <c r="BW48" s="523"/>
      <c r="BX48" s="523">
        <v>22.809799999999996</v>
      </c>
      <c r="BY48" s="523">
        <v>103.9102</v>
      </c>
      <c r="BZ48" s="523">
        <v>0</v>
      </c>
      <c r="CA48" s="523">
        <v>0</v>
      </c>
      <c r="CB48" s="523"/>
      <c r="CC48" s="523"/>
      <c r="CD48" s="523"/>
      <c r="CE48" s="523"/>
      <c r="CF48" s="523"/>
      <c r="CG48" s="523"/>
      <c r="CH48" s="523"/>
      <c r="CI48" s="523">
        <f t="shared" si="2"/>
        <v>126.72</v>
      </c>
    </row>
    <row r="49" spans="1:87" s="110" customFormat="1" ht="15" x14ac:dyDescent="0.2">
      <c r="A49" s="745" t="s">
        <v>79</v>
      </c>
      <c r="B49" s="613">
        <v>92793</v>
      </c>
      <c r="C49" s="613" t="s">
        <v>1324</v>
      </c>
      <c r="D49" s="614" t="s">
        <v>1372</v>
      </c>
      <c r="E49" s="615" t="s">
        <v>35</v>
      </c>
      <c r="F49" s="644">
        <v>135.94</v>
      </c>
      <c r="G49" s="616">
        <v>4.6500000000000004</v>
      </c>
      <c r="H49" s="615">
        <v>428.55</v>
      </c>
      <c r="I49" s="573">
        <f t="shared" si="3"/>
        <v>0</v>
      </c>
      <c r="J49" s="574">
        <f t="shared" si="4"/>
        <v>428.55</v>
      </c>
      <c r="K49" s="573">
        <f t="shared" si="11"/>
        <v>0</v>
      </c>
      <c r="L49" s="708">
        <f t="shared" si="12"/>
        <v>1992.76</v>
      </c>
      <c r="M49" s="708">
        <f t="shared" si="12"/>
        <v>0</v>
      </c>
      <c r="N49" s="708">
        <f t="shared" si="12"/>
        <v>1992.76</v>
      </c>
      <c r="O49" s="718">
        <f t="shared" si="12"/>
        <v>0</v>
      </c>
      <c r="P49" s="617">
        <f t="shared" si="0"/>
        <v>1</v>
      </c>
      <c r="Q49" s="525">
        <f>I49-'[9]8'!I48</f>
        <v>0</v>
      </c>
      <c r="S49" s="192">
        <v>23.16</v>
      </c>
      <c r="T49" s="192">
        <v>127.36</v>
      </c>
      <c r="BT49" s="525"/>
      <c r="BU49" s="523"/>
      <c r="BV49" s="523"/>
      <c r="BW49" s="523">
        <v>21.35</v>
      </c>
      <c r="BX49" s="523">
        <v>57.2</v>
      </c>
      <c r="BY49" s="523">
        <v>0</v>
      </c>
      <c r="BZ49" s="523">
        <v>350</v>
      </c>
      <c r="CA49" s="523">
        <v>0</v>
      </c>
      <c r="CB49" s="523"/>
      <c r="CC49" s="523"/>
      <c r="CD49" s="523"/>
      <c r="CE49" s="523"/>
      <c r="CF49" s="523"/>
      <c r="CG49" s="523"/>
      <c r="CH49" s="523"/>
      <c r="CI49" s="523">
        <f t="shared" si="2"/>
        <v>428.55</v>
      </c>
    </row>
    <row r="50" spans="1:87" s="110" customFormat="1" ht="15" x14ac:dyDescent="0.2">
      <c r="A50" s="745" t="s">
        <v>83</v>
      </c>
      <c r="B50" s="613">
        <v>92791</v>
      </c>
      <c r="C50" s="613" t="s">
        <v>1324</v>
      </c>
      <c r="D50" s="614" t="s">
        <v>1373</v>
      </c>
      <c r="E50" s="615" t="s">
        <v>35</v>
      </c>
      <c r="F50" s="571"/>
      <c r="G50" s="616">
        <v>6.11</v>
      </c>
      <c r="H50" s="615">
        <v>127.36</v>
      </c>
      <c r="I50" s="573">
        <f t="shared" si="3"/>
        <v>0</v>
      </c>
      <c r="J50" s="574">
        <f t="shared" si="4"/>
        <v>127.36</v>
      </c>
      <c r="K50" s="573">
        <f t="shared" si="11"/>
        <v>0</v>
      </c>
      <c r="L50" s="708">
        <f t="shared" si="12"/>
        <v>778.17</v>
      </c>
      <c r="M50" s="708">
        <f t="shared" si="12"/>
        <v>0</v>
      </c>
      <c r="N50" s="708">
        <f t="shared" si="12"/>
        <v>778.17</v>
      </c>
      <c r="O50" s="718">
        <f t="shared" si="12"/>
        <v>0</v>
      </c>
      <c r="P50" s="617">
        <f t="shared" si="0"/>
        <v>1</v>
      </c>
      <c r="Q50" s="525">
        <f>I50-'[9]8'!I49</f>
        <v>0</v>
      </c>
      <c r="S50" s="192">
        <v>4.5199999999999996</v>
      </c>
      <c r="T50" s="192">
        <v>8.52</v>
      </c>
      <c r="BT50" s="525"/>
      <c r="BU50" s="523"/>
      <c r="BV50" s="523"/>
      <c r="BW50" s="523">
        <v>6.31</v>
      </c>
      <c r="BX50" s="523">
        <v>16.850000000000001</v>
      </c>
      <c r="BY50" s="523">
        <v>24.2</v>
      </c>
      <c r="BZ50" s="523">
        <v>80</v>
      </c>
      <c r="CA50" s="523">
        <v>0</v>
      </c>
      <c r="CB50" s="523"/>
      <c r="CC50" s="523"/>
      <c r="CD50" s="523"/>
      <c r="CE50" s="523"/>
      <c r="CF50" s="523"/>
      <c r="CG50" s="523"/>
      <c r="CH50" s="523"/>
      <c r="CI50" s="523">
        <f t="shared" si="2"/>
        <v>127.36</v>
      </c>
    </row>
    <row r="51" spans="1:87" s="755" customFormat="1" ht="15" x14ac:dyDescent="0.2">
      <c r="A51" s="745" t="s">
        <v>86</v>
      </c>
      <c r="B51" s="613">
        <v>92720</v>
      </c>
      <c r="C51" s="613" t="s">
        <v>1324</v>
      </c>
      <c r="D51" s="614" t="s">
        <v>1375</v>
      </c>
      <c r="E51" s="615" t="s">
        <v>48</v>
      </c>
      <c r="F51" s="644">
        <v>60.66</v>
      </c>
      <c r="G51" s="616">
        <v>323.87</v>
      </c>
      <c r="H51" s="615">
        <v>8.52</v>
      </c>
      <c r="I51" s="573">
        <f t="shared" si="3"/>
        <v>0</v>
      </c>
      <c r="J51" s="574">
        <f t="shared" si="4"/>
        <v>8.52</v>
      </c>
      <c r="K51" s="573">
        <f t="shared" si="11"/>
        <v>0</v>
      </c>
      <c r="L51" s="708">
        <f t="shared" si="12"/>
        <v>2759.37</v>
      </c>
      <c r="M51" s="708">
        <f t="shared" si="12"/>
        <v>0</v>
      </c>
      <c r="N51" s="708">
        <f t="shared" si="12"/>
        <v>2759.37</v>
      </c>
      <c r="O51" s="718">
        <f t="shared" si="12"/>
        <v>0</v>
      </c>
      <c r="P51" s="617">
        <f t="shared" si="0"/>
        <v>1</v>
      </c>
      <c r="Q51" s="525">
        <f>I51-'[9]8'!I50</f>
        <v>0</v>
      </c>
      <c r="S51" s="191">
        <v>0</v>
      </c>
      <c r="T51" s="191">
        <v>0</v>
      </c>
      <c r="BT51" s="525"/>
      <c r="BU51" s="523"/>
      <c r="BV51" s="523"/>
      <c r="BW51" s="523">
        <v>1.7</v>
      </c>
      <c r="BX51" s="523">
        <v>2.82</v>
      </c>
      <c r="BY51" s="523">
        <v>4</v>
      </c>
      <c r="BZ51" s="523">
        <v>0</v>
      </c>
      <c r="CA51" s="523">
        <v>0</v>
      </c>
      <c r="CB51" s="523"/>
      <c r="CC51" s="523"/>
      <c r="CD51" s="523"/>
      <c r="CE51" s="523"/>
      <c r="CF51" s="523"/>
      <c r="CG51" s="523"/>
      <c r="CH51" s="523"/>
      <c r="CI51" s="523">
        <f t="shared" si="2"/>
        <v>8.52</v>
      </c>
    </row>
    <row r="52" spans="1:87" s="110" customFormat="1" ht="15.75" x14ac:dyDescent="0.2">
      <c r="A52" s="605" t="s">
        <v>1381</v>
      </c>
      <c r="B52" s="606"/>
      <c r="C52" s="606"/>
      <c r="D52" s="607" t="s">
        <v>1382</v>
      </c>
      <c r="E52" s="609"/>
      <c r="F52" s="687"/>
      <c r="G52" s="609"/>
      <c r="H52" s="609"/>
      <c r="I52" s="609"/>
      <c r="J52" s="610"/>
      <c r="K52" s="610"/>
      <c r="L52" s="711">
        <f>SUM(L53:L57)</f>
        <v>33356.590000000004</v>
      </c>
      <c r="M52" s="711">
        <f>SUM(M53:M57)</f>
        <v>0</v>
      </c>
      <c r="N52" s="711">
        <f>SUM(N53:N57)</f>
        <v>33356.590000000004</v>
      </c>
      <c r="O52" s="722">
        <f>SUM(O53:O57)</f>
        <v>0</v>
      </c>
      <c r="P52" s="619">
        <f t="shared" si="0"/>
        <v>1</v>
      </c>
      <c r="Q52" s="525">
        <f>I52-'[9]8'!I51</f>
        <v>0</v>
      </c>
      <c r="S52" s="192">
        <v>30.35</v>
      </c>
      <c r="T52" s="192">
        <v>0</v>
      </c>
      <c r="BT52" s="525"/>
      <c r="BU52" s="523"/>
      <c r="BV52" s="523"/>
      <c r="BW52" s="523"/>
      <c r="BX52" s="523">
        <v>0</v>
      </c>
      <c r="BY52" s="523">
        <v>188.94380799999999</v>
      </c>
      <c r="BZ52" s="523"/>
      <c r="CA52" s="523"/>
      <c r="CB52" s="523"/>
      <c r="CC52" s="523"/>
      <c r="CD52" s="523"/>
      <c r="CE52" s="523"/>
      <c r="CF52" s="523"/>
      <c r="CG52" s="523"/>
      <c r="CH52" s="523"/>
      <c r="CI52" s="523">
        <f t="shared" si="2"/>
        <v>188.94380799999999</v>
      </c>
    </row>
    <row r="53" spans="1:87" s="110" customFormat="1" ht="15" x14ac:dyDescent="0.2">
      <c r="A53" s="745" t="s">
        <v>1383</v>
      </c>
      <c r="B53" s="613">
        <v>92510</v>
      </c>
      <c r="C53" s="613" t="s">
        <v>1324</v>
      </c>
      <c r="D53" s="614" t="s">
        <v>1384</v>
      </c>
      <c r="E53" s="615" t="s">
        <v>14</v>
      </c>
      <c r="F53" s="644">
        <v>302.64</v>
      </c>
      <c r="G53" s="616">
        <v>93.42</v>
      </c>
      <c r="H53" s="615">
        <v>155.72999999999999</v>
      </c>
      <c r="I53" s="573">
        <f t="shared" si="3"/>
        <v>0</v>
      </c>
      <c r="J53" s="574">
        <f t="shared" si="4"/>
        <v>155.72999999999999</v>
      </c>
      <c r="K53" s="573">
        <f t="shared" si="11"/>
        <v>0</v>
      </c>
      <c r="L53" s="708">
        <f t="shared" ref="L53:O57" si="13">ROUND(H53*$G53,2)</f>
        <v>14548.3</v>
      </c>
      <c r="M53" s="708">
        <f t="shared" si="13"/>
        <v>0</v>
      </c>
      <c r="N53" s="708">
        <f t="shared" si="13"/>
        <v>14548.3</v>
      </c>
      <c r="O53" s="718">
        <f t="shared" si="13"/>
        <v>0</v>
      </c>
      <c r="P53" s="617">
        <f t="shared" si="0"/>
        <v>1</v>
      </c>
      <c r="Q53" s="525">
        <f>I53-'[9]8'!I52</f>
        <v>0</v>
      </c>
      <c r="S53" s="192">
        <v>95.84</v>
      </c>
      <c r="T53" s="192">
        <v>0</v>
      </c>
      <c r="BT53" s="525"/>
      <c r="BU53" s="523"/>
      <c r="BV53" s="523"/>
      <c r="BW53" s="523">
        <v>28.846009999999993</v>
      </c>
      <c r="BX53" s="523">
        <v>1.5</v>
      </c>
      <c r="BY53" s="523">
        <v>25.383990000000001</v>
      </c>
      <c r="BZ53" s="523">
        <v>100</v>
      </c>
      <c r="CA53" s="523">
        <v>0</v>
      </c>
      <c r="CB53" s="523"/>
      <c r="CC53" s="523"/>
      <c r="CD53" s="523"/>
      <c r="CE53" s="523"/>
      <c r="CF53" s="523"/>
      <c r="CG53" s="523"/>
      <c r="CH53" s="523"/>
      <c r="CI53" s="523">
        <f t="shared" si="2"/>
        <v>155.72999999999999</v>
      </c>
    </row>
    <row r="54" spans="1:87" s="110" customFormat="1" ht="15" x14ac:dyDescent="0.2">
      <c r="A54" s="745" t="s">
        <v>1385</v>
      </c>
      <c r="B54" s="613">
        <v>92793</v>
      </c>
      <c r="C54" s="613" t="s">
        <v>1324</v>
      </c>
      <c r="D54" s="614" t="s">
        <v>1372</v>
      </c>
      <c r="E54" s="615" t="s">
        <v>35</v>
      </c>
      <c r="F54" s="644">
        <v>135.94</v>
      </c>
      <c r="G54" s="616">
        <v>4.6500000000000004</v>
      </c>
      <c r="H54" s="615">
        <v>1946.45</v>
      </c>
      <c r="I54" s="573">
        <f t="shared" si="3"/>
        <v>0</v>
      </c>
      <c r="J54" s="574">
        <f t="shared" si="4"/>
        <v>1946.45</v>
      </c>
      <c r="K54" s="573">
        <f t="shared" si="11"/>
        <v>0</v>
      </c>
      <c r="L54" s="708">
        <f t="shared" si="13"/>
        <v>9050.99</v>
      </c>
      <c r="M54" s="708">
        <f t="shared" si="13"/>
        <v>0</v>
      </c>
      <c r="N54" s="708">
        <f t="shared" si="13"/>
        <v>9050.99</v>
      </c>
      <c r="O54" s="718">
        <f t="shared" si="13"/>
        <v>0</v>
      </c>
      <c r="P54" s="617">
        <f t="shared" si="0"/>
        <v>1</v>
      </c>
      <c r="Q54" s="525">
        <f>I54-'[9]8'!I53</f>
        <v>0</v>
      </c>
      <c r="S54" s="192">
        <v>11.599999999999994</v>
      </c>
      <c r="T54" s="192">
        <v>0</v>
      </c>
      <c r="BT54" s="525"/>
      <c r="BU54" s="523"/>
      <c r="BV54" s="523"/>
      <c r="BW54" s="523">
        <v>77.842300000000023</v>
      </c>
      <c r="BX54" s="523">
        <v>18</v>
      </c>
      <c r="BY54" s="523">
        <v>50.607700000000001</v>
      </c>
      <c r="BZ54" s="523">
        <v>1800</v>
      </c>
      <c r="CA54" s="523">
        <v>0</v>
      </c>
      <c r="CB54" s="523"/>
      <c r="CC54" s="523"/>
      <c r="CD54" s="523"/>
      <c r="CE54" s="523"/>
      <c r="CF54" s="523"/>
      <c r="CG54" s="523"/>
      <c r="CH54" s="523"/>
      <c r="CI54" s="523">
        <f t="shared" si="2"/>
        <v>1946.45</v>
      </c>
    </row>
    <row r="55" spans="1:87" s="110" customFormat="1" ht="15.75" x14ac:dyDescent="0.2">
      <c r="A55" s="745" t="s">
        <v>1386</v>
      </c>
      <c r="B55" s="613">
        <v>92791</v>
      </c>
      <c r="C55" s="613" t="s">
        <v>1324</v>
      </c>
      <c r="D55" s="614" t="s">
        <v>1373</v>
      </c>
      <c r="E55" s="615" t="s">
        <v>35</v>
      </c>
      <c r="F55" s="578"/>
      <c r="G55" s="616">
        <v>6.11</v>
      </c>
      <c r="H55" s="615">
        <v>240.18</v>
      </c>
      <c r="I55" s="573">
        <f t="shared" si="3"/>
        <v>0</v>
      </c>
      <c r="J55" s="574">
        <f t="shared" si="4"/>
        <v>240.18</v>
      </c>
      <c r="K55" s="573">
        <f t="shared" si="11"/>
        <v>0</v>
      </c>
      <c r="L55" s="708">
        <f t="shared" si="13"/>
        <v>1467.5</v>
      </c>
      <c r="M55" s="708">
        <f t="shared" si="13"/>
        <v>0</v>
      </c>
      <c r="N55" s="708">
        <f t="shared" si="13"/>
        <v>1467.5</v>
      </c>
      <c r="O55" s="718">
        <f t="shared" si="13"/>
        <v>0</v>
      </c>
      <c r="P55" s="617">
        <f t="shared" si="0"/>
        <v>1</v>
      </c>
      <c r="Q55" s="525">
        <f>I55-'[9]8'!I54</f>
        <v>0</v>
      </c>
      <c r="S55" s="192">
        <v>2.6700000000000017</v>
      </c>
      <c r="T55" s="192">
        <v>10.71</v>
      </c>
      <c r="BT55" s="525"/>
      <c r="BU55" s="523"/>
      <c r="BV55" s="523"/>
      <c r="BW55" s="523">
        <v>9.5985799999999983</v>
      </c>
      <c r="BX55" s="523">
        <v>2</v>
      </c>
      <c r="BY55" s="523">
        <v>28.581419999999998</v>
      </c>
      <c r="BZ55" s="523">
        <v>200</v>
      </c>
      <c r="CA55" s="523">
        <v>0</v>
      </c>
      <c r="CB55" s="523"/>
      <c r="CC55" s="523"/>
      <c r="CD55" s="523"/>
      <c r="CE55" s="523"/>
      <c r="CF55" s="523"/>
      <c r="CG55" s="523"/>
      <c r="CH55" s="523"/>
      <c r="CI55" s="523">
        <f t="shared" si="2"/>
        <v>240.18</v>
      </c>
    </row>
    <row r="56" spans="1:87" ht="15" x14ac:dyDescent="0.2">
      <c r="A56" s="745" t="s">
        <v>1387</v>
      </c>
      <c r="B56" s="613">
        <v>92720</v>
      </c>
      <c r="C56" s="613" t="s">
        <v>1324</v>
      </c>
      <c r="D56" s="614" t="s">
        <v>1375</v>
      </c>
      <c r="E56" s="615" t="s">
        <v>48</v>
      </c>
      <c r="F56" s="571"/>
      <c r="G56" s="616">
        <v>323.87</v>
      </c>
      <c r="H56" s="615">
        <v>10.71</v>
      </c>
      <c r="I56" s="573">
        <f t="shared" si="3"/>
        <v>0</v>
      </c>
      <c r="J56" s="574">
        <f t="shared" si="4"/>
        <v>10.71</v>
      </c>
      <c r="K56" s="573">
        <f t="shared" si="11"/>
        <v>0</v>
      </c>
      <c r="L56" s="708">
        <f t="shared" si="13"/>
        <v>3468.65</v>
      </c>
      <c r="M56" s="708">
        <f t="shared" si="13"/>
        <v>0</v>
      </c>
      <c r="N56" s="708">
        <f t="shared" si="13"/>
        <v>3468.65</v>
      </c>
      <c r="O56" s="718">
        <f t="shared" si="13"/>
        <v>0</v>
      </c>
      <c r="P56" s="617">
        <f t="shared" si="0"/>
        <v>1</v>
      </c>
      <c r="Q56" s="525">
        <f>I56-'[9]8'!I55</f>
        <v>0</v>
      </c>
      <c r="S56" s="189">
        <v>0</v>
      </c>
      <c r="T56" s="189">
        <v>84.33</v>
      </c>
      <c r="BT56" s="525"/>
      <c r="BU56" s="523"/>
      <c r="BV56" s="523"/>
      <c r="BW56" s="523">
        <v>2.1423020000000008</v>
      </c>
      <c r="BX56" s="523">
        <v>0.52700000000000002</v>
      </c>
      <c r="BY56" s="523">
        <v>4.0698000000000005E-2</v>
      </c>
      <c r="BZ56" s="523">
        <v>8</v>
      </c>
      <c r="CA56" s="523">
        <v>0</v>
      </c>
      <c r="CB56" s="523"/>
      <c r="CC56" s="523"/>
      <c r="CD56" s="523"/>
      <c r="CE56" s="523"/>
      <c r="CF56" s="523"/>
      <c r="CG56" s="523"/>
      <c r="CH56" s="523"/>
      <c r="CI56" s="523">
        <f t="shared" si="2"/>
        <v>10.71</v>
      </c>
    </row>
    <row r="57" spans="1:87" s="754" customFormat="1" ht="15" x14ac:dyDescent="0.2">
      <c r="A57" s="680" t="s">
        <v>1388</v>
      </c>
      <c r="B57" s="569" t="s">
        <v>1389</v>
      </c>
      <c r="C57" s="569" t="s">
        <v>1324</v>
      </c>
      <c r="D57" s="569" t="s">
        <v>1390</v>
      </c>
      <c r="E57" s="681" t="s">
        <v>14</v>
      </c>
      <c r="F57" s="571"/>
      <c r="G57" s="682">
        <v>57.17</v>
      </c>
      <c r="H57" s="681">
        <v>84.33</v>
      </c>
      <c r="I57" s="573">
        <f t="shared" si="3"/>
        <v>0</v>
      </c>
      <c r="J57" s="574">
        <f t="shared" si="4"/>
        <v>84.33</v>
      </c>
      <c r="K57" s="573">
        <f t="shared" si="11"/>
        <v>0</v>
      </c>
      <c r="L57" s="708">
        <f t="shared" si="13"/>
        <v>4821.1499999999996</v>
      </c>
      <c r="M57" s="708">
        <f t="shared" si="13"/>
        <v>0</v>
      </c>
      <c r="N57" s="708">
        <f t="shared" si="13"/>
        <v>4821.1499999999996</v>
      </c>
      <c r="O57" s="718">
        <f t="shared" si="13"/>
        <v>0</v>
      </c>
      <c r="P57" s="617">
        <f t="shared" si="0"/>
        <v>1</v>
      </c>
      <c r="Q57" s="525">
        <f>I57-'[9]8'!I56</f>
        <v>0</v>
      </c>
      <c r="S57" s="190">
        <v>0</v>
      </c>
      <c r="T57" s="190">
        <v>0</v>
      </c>
      <c r="BT57" s="525"/>
      <c r="BU57" s="523"/>
      <c r="BV57" s="523"/>
      <c r="BW57" s="523"/>
      <c r="BX57" s="523">
        <v>0</v>
      </c>
      <c r="BY57" s="523">
        <v>84.33</v>
      </c>
      <c r="BZ57" s="523">
        <v>0</v>
      </c>
      <c r="CA57" s="523">
        <v>0</v>
      </c>
      <c r="CB57" s="523"/>
      <c r="CC57" s="523"/>
      <c r="CD57" s="523"/>
      <c r="CE57" s="523"/>
      <c r="CF57" s="523"/>
      <c r="CG57" s="523"/>
      <c r="CH57" s="523"/>
      <c r="CI57" s="523">
        <f t="shared" si="2"/>
        <v>84.33</v>
      </c>
    </row>
    <row r="58" spans="1:87" ht="15.75" x14ac:dyDescent="0.2">
      <c r="A58" s="605" t="s">
        <v>1391</v>
      </c>
      <c r="B58" s="586"/>
      <c r="C58" s="586"/>
      <c r="D58" s="586" t="s">
        <v>1392</v>
      </c>
      <c r="E58" s="609"/>
      <c r="F58" s="687"/>
      <c r="G58" s="609"/>
      <c r="H58" s="609"/>
      <c r="I58" s="609"/>
      <c r="J58" s="610"/>
      <c r="K58" s="620"/>
      <c r="L58" s="711">
        <f>SUM(L59:L62)</f>
        <v>13794.349999999999</v>
      </c>
      <c r="M58" s="711">
        <f>SUM(M59:M62)</f>
        <v>3448.59</v>
      </c>
      <c r="N58" s="711">
        <f>SUM(N59:N62)</f>
        <v>13794.349999999999</v>
      </c>
      <c r="O58" s="722">
        <f>SUM(O59:O62)</f>
        <v>0</v>
      </c>
      <c r="P58" s="611">
        <f t="shared" si="0"/>
        <v>1</v>
      </c>
      <c r="Q58" s="525">
        <f>I58-'[9]8'!I57</f>
        <v>0</v>
      </c>
      <c r="S58" s="189">
        <v>0</v>
      </c>
      <c r="T58" s="189">
        <v>0</v>
      </c>
      <c r="BT58" s="525"/>
      <c r="BU58" s="523"/>
      <c r="BV58" s="523"/>
      <c r="BW58" s="523"/>
      <c r="BX58" s="523">
        <v>0</v>
      </c>
      <c r="BY58" s="523">
        <v>0</v>
      </c>
      <c r="BZ58" s="523"/>
      <c r="CA58" s="523"/>
      <c r="CB58" s="523"/>
      <c r="CC58" s="523"/>
      <c r="CD58" s="523"/>
      <c r="CE58" s="523"/>
      <c r="CF58" s="523"/>
      <c r="CG58" s="523"/>
      <c r="CH58" s="523"/>
      <c r="CI58" s="523">
        <f t="shared" si="2"/>
        <v>0</v>
      </c>
    </row>
    <row r="59" spans="1:87" ht="15" x14ac:dyDescent="0.2">
      <c r="A59" s="680" t="s">
        <v>1393</v>
      </c>
      <c r="B59" s="569">
        <v>92510</v>
      </c>
      <c r="C59" s="569" t="s">
        <v>1324</v>
      </c>
      <c r="D59" s="569" t="s">
        <v>1384</v>
      </c>
      <c r="E59" s="681" t="s">
        <v>14</v>
      </c>
      <c r="F59" s="644">
        <v>41.64</v>
      </c>
      <c r="G59" s="682">
        <v>93.42</v>
      </c>
      <c r="H59" s="681">
        <v>111.8</v>
      </c>
      <c r="I59" s="573">
        <f t="shared" si="3"/>
        <v>27.950000000000003</v>
      </c>
      <c r="J59" s="574">
        <f t="shared" si="4"/>
        <v>111.8</v>
      </c>
      <c r="K59" s="573">
        <f t="shared" si="11"/>
        <v>0</v>
      </c>
      <c r="L59" s="708">
        <f t="shared" ref="L59:O62" si="14">ROUND(H59*$G59,2)</f>
        <v>10444.36</v>
      </c>
      <c r="M59" s="708">
        <f t="shared" si="14"/>
        <v>2611.09</v>
      </c>
      <c r="N59" s="708">
        <f t="shared" si="14"/>
        <v>10444.36</v>
      </c>
      <c r="O59" s="718">
        <f t="shared" si="14"/>
        <v>0</v>
      </c>
      <c r="P59" s="617">
        <f t="shared" si="0"/>
        <v>1</v>
      </c>
      <c r="Q59" s="525">
        <f>I59-'[9]8'!I58</f>
        <v>0</v>
      </c>
      <c r="S59" s="189">
        <v>0</v>
      </c>
      <c r="T59" s="189">
        <v>0</v>
      </c>
      <c r="BT59" s="525"/>
      <c r="BU59" s="659">
        <v>27.950000000000003</v>
      </c>
      <c r="BV59" s="523">
        <v>83.85</v>
      </c>
      <c r="BW59" s="523"/>
      <c r="BX59" s="523">
        <v>0</v>
      </c>
      <c r="BY59" s="523">
        <v>0</v>
      </c>
      <c r="BZ59" s="523">
        <v>0</v>
      </c>
      <c r="CA59" s="523">
        <v>0</v>
      </c>
      <c r="CB59" s="523"/>
      <c r="CC59" s="523"/>
      <c r="CD59" s="523"/>
      <c r="CE59" s="523"/>
      <c r="CF59" s="523"/>
      <c r="CG59" s="523"/>
      <c r="CH59" s="523"/>
      <c r="CI59" s="523">
        <f t="shared" si="2"/>
        <v>111.8</v>
      </c>
    </row>
    <row r="60" spans="1:87" ht="15" x14ac:dyDescent="0.2">
      <c r="A60" s="680" t="s">
        <v>1394</v>
      </c>
      <c r="B60" s="569">
        <v>92793</v>
      </c>
      <c r="C60" s="569" t="s">
        <v>1324</v>
      </c>
      <c r="D60" s="569" t="s">
        <v>1372</v>
      </c>
      <c r="E60" s="681" t="s">
        <v>35</v>
      </c>
      <c r="F60" s="644">
        <v>7.91</v>
      </c>
      <c r="G60" s="682">
        <v>4.6500000000000004</v>
      </c>
      <c r="H60" s="681">
        <v>135.38999999999999</v>
      </c>
      <c r="I60" s="573">
        <f t="shared" si="3"/>
        <v>33.847499999999997</v>
      </c>
      <c r="J60" s="574">
        <f t="shared" si="4"/>
        <v>135.38999999999999</v>
      </c>
      <c r="K60" s="573">
        <f t="shared" si="11"/>
        <v>0</v>
      </c>
      <c r="L60" s="708">
        <f t="shared" si="14"/>
        <v>629.55999999999995</v>
      </c>
      <c r="M60" s="708">
        <f t="shared" si="14"/>
        <v>157.38999999999999</v>
      </c>
      <c r="N60" s="708">
        <f t="shared" si="14"/>
        <v>629.55999999999995</v>
      </c>
      <c r="O60" s="718">
        <f t="shared" si="14"/>
        <v>0</v>
      </c>
      <c r="P60" s="617">
        <f t="shared" si="0"/>
        <v>1</v>
      </c>
      <c r="Q60" s="525">
        <f>I60-'[9]8'!I59</f>
        <v>0</v>
      </c>
      <c r="S60" s="189">
        <v>0</v>
      </c>
      <c r="T60" s="189">
        <v>0</v>
      </c>
      <c r="BT60" s="525"/>
      <c r="BU60" s="659">
        <v>33.847499999999997</v>
      </c>
      <c r="BV60" s="523">
        <v>101.54249999999999</v>
      </c>
      <c r="BW60" s="523"/>
      <c r="BX60" s="523">
        <v>0</v>
      </c>
      <c r="BY60" s="523">
        <v>0</v>
      </c>
      <c r="BZ60" s="523">
        <v>0</v>
      </c>
      <c r="CA60" s="523">
        <v>0</v>
      </c>
      <c r="CB60" s="523"/>
      <c r="CC60" s="523"/>
      <c r="CD60" s="523"/>
      <c r="CE60" s="523"/>
      <c r="CF60" s="523"/>
      <c r="CG60" s="523"/>
      <c r="CH60" s="523"/>
      <c r="CI60" s="523">
        <f t="shared" si="2"/>
        <v>135.38999999999999</v>
      </c>
    </row>
    <row r="61" spans="1:87" ht="15" x14ac:dyDescent="0.2">
      <c r="A61" s="680" t="s">
        <v>1395</v>
      </c>
      <c r="B61" s="569">
        <v>92791</v>
      </c>
      <c r="C61" s="569" t="s">
        <v>1324</v>
      </c>
      <c r="D61" s="569" t="s">
        <v>1373</v>
      </c>
      <c r="E61" s="681" t="s">
        <v>35</v>
      </c>
      <c r="F61" s="644">
        <v>53.52</v>
      </c>
      <c r="G61" s="682">
        <v>6.11</v>
      </c>
      <c r="H61" s="681">
        <v>95.93</v>
      </c>
      <c r="I61" s="573">
        <f t="shared" si="3"/>
        <v>23.982500000000002</v>
      </c>
      <c r="J61" s="574">
        <f t="shared" si="4"/>
        <v>95.93</v>
      </c>
      <c r="K61" s="573">
        <f t="shared" si="11"/>
        <v>0</v>
      </c>
      <c r="L61" s="708">
        <f t="shared" si="14"/>
        <v>586.13</v>
      </c>
      <c r="M61" s="708">
        <f t="shared" si="14"/>
        <v>146.53</v>
      </c>
      <c r="N61" s="708">
        <f t="shared" si="14"/>
        <v>586.13</v>
      </c>
      <c r="O61" s="718">
        <f t="shared" si="14"/>
        <v>0</v>
      </c>
      <c r="P61" s="617">
        <f t="shared" si="0"/>
        <v>1</v>
      </c>
      <c r="Q61" s="525">
        <f>I61-'[9]8'!I60</f>
        <v>0</v>
      </c>
      <c r="S61" s="189">
        <v>0</v>
      </c>
      <c r="T61" s="189">
        <v>0</v>
      </c>
      <c r="BT61" s="525"/>
      <c r="BU61" s="659">
        <v>23.982500000000002</v>
      </c>
      <c r="BV61" s="523">
        <v>71.947500000000005</v>
      </c>
      <c r="BW61" s="523"/>
      <c r="BX61" s="523">
        <v>0</v>
      </c>
      <c r="BY61" s="523">
        <v>0</v>
      </c>
      <c r="BZ61" s="523">
        <v>0</v>
      </c>
      <c r="CA61" s="523">
        <v>0</v>
      </c>
      <c r="CB61" s="523"/>
      <c r="CC61" s="523"/>
      <c r="CD61" s="523"/>
      <c r="CE61" s="523"/>
      <c r="CF61" s="523"/>
      <c r="CG61" s="523"/>
      <c r="CH61" s="523"/>
      <c r="CI61" s="523">
        <f t="shared" si="2"/>
        <v>95.93</v>
      </c>
    </row>
    <row r="62" spans="1:87" s="754" customFormat="1" ht="15" x14ac:dyDescent="0.2">
      <c r="A62" s="680" t="s">
        <v>1396</v>
      </c>
      <c r="B62" s="569">
        <v>92720</v>
      </c>
      <c r="C62" s="569" t="s">
        <v>1324</v>
      </c>
      <c r="D62" s="569" t="s">
        <v>1375</v>
      </c>
      <c r="E62" s="681" t="s">
        <v>48</v>
      </c>
      <c r="F62" s="644">
        <v>203.72</v>
      </c>
      <c r="G62" s="682">
        <v>323.87</v>
      </c>
      <c r="H62" s="681">
        <v>6.59</v>
      </c>
      <c r="I62" s="573">
        <f t="shared" si="3"/>
        <v>1.6475</v>
      </c>
      <c r="J62" s="574">
        <f t="shared" si="4"/>
        <v>6.59</v>
      </c>
      <c r="K62" s="573">
        <f t="shared" si="11"/>
        <v>0</v>
      </c>
      <c r="L62" s="708">
        <f t="shared" si="14"/>
        <v>2134.3000000000002</v>
      </c>
      <c r="M62" s="708">
        <f t="shared" si="14"/>
        <v>533.58000000000004</v>
      </c>
      <c r="N62" s="708">
        <f t="shared" si="14"/>
        <v>2134.3000000000002</v>
      </c>
      <c r="O62" s="718">
        <f t="shared" si="14"/>
        <v>0</v>
      </c>
      <c r="P62" s="617">
        <f t="shared" si="0"/>
        <v>1</v>
      </c>
      <c r="Q62" s="525">
        <f>I62-'[9]8'!I61</f>
        <v>0</v>
      </c>
      <c r="S62" s="190">
        <v>0</v>
      </c>
      <c r="T62" s="190">
        <v>0</v>
      </c>
      <c r="BT62" s="525"/>
      <c r="BU62" s="659">
        <v>1.6475</v>
      </c>
      <c r="BV62" s="523">
        <v>4.9424999999999999</v>
      </c>
      <c r="BW62" s="523"/>
      <c r="BX62" s="523">
        <v>0</v>
      </c>
      <c r="BY62" s="523">
        <v>0</v>
      </c>
      <c r="BZ62" s="523">
        <v>0</v>
      </c>
      <c r="CA62" s="523">
        <v>0</v>
      </c>
      <c r="CB62" s="523"/>
      <c r="CC62" s="523"/>
      <c r="CD62" s="523"/>
      <c r="CE62" s="523"/>
      <c r="CF62" s="523"/>
      <c r="CG62" s="523"/>
      <c r="CH62" s="523"/>
      <c r="CI62" s="523">
        <f t="shared" si="2"/>
        <v>6.59</v>
      </c>
    </row>
    <row r="63" spans="1:87" ht="15.75" x14ac:dyDescent="0.2">
      <c r="A63" s="605" t="s">
        <v>1397</v>
      </c>
      <c r="B63" s="586"/>
      <c r="C63" s="586"/>
      <c r="D63" s="586" t="s">
        <v>1398</v>
      </c>
      <c r="E63" s="609"/>
      <c r="F63" s="609"/>
      <c r="G63" s="609"/>
      <c r="H63" s="609"/>
      <c r="I63" s="609"/>
      <c r="J63" s="609"/>
      <c r="K63" s="609"/>
      <c r="L63" s="733">
        <f>SUM(L64:L67)</f>
        <v>23465.25</v>
      </c>
      <c r="M63" s="733">
        <f>SUM(M64:M67)</f>
        <v>0</v>
      </c>
      <c r="N63" s="733">
        <f>SUM(N64:N67)</f>
        <v>0</v>
      </c>
      <c r="O63" s="722">
        <f>SUM(O64:O67)</f>
        <v>23465.25</v>
      </c>
      <c r="P63" s="611">
        <f t="shared" si="0"/>
        <v>0</v>
      </c>
      <c r="Q63" s="525">
        <f>I63-'[9]8'!I62</f>
        <v>0</v>
      </c>
      <c r="S63" s="189">
        <v>0</v>
      </c>
      <c r="T63" s="189">
        <v>0</v>
      </c>
      <c r="BT63" s="525"/>
      <c r="BU63" s="523"/>
      <c r="BV63" s="523"/>
      <c r="BW63" s="523"/>
      <c r="BX63" s="523">
        <v>0</v>
      </c>
      <c r="BY63" s="523">
        <v>0</v>
      </c>
      <c r="BZ63" s="523"/>
      <c r="CA63" s="523"/>
      <c r="CB63" s="523"/>
      <c r="CC63" s="523"/>
      <c r="CD63" s="523"/>
      <c r="CE63" s="523"/>
      <c r="CF63" s="523"/>
      <c r="CG63" s="523"/>
      <c r="CH63" s="523"/>
      <c r="CI63" s="523">
        <f t="shared" si="2"/>
        <v>0</v>
      </c>
    </row>
    <row r="64" spans="1:87" ht="15" x14ac:dyDescent="0.2">
      <c r="A64" s="680" t="s">
        <v>1399</v>
      </c>
      <c r="B64" s="569">
        <v>92422</v>
      </c>
      <c r="C64" s="569" t="s">
        <v>1324</v>
      </c>
      <c r="D64" s="569" t="s">
        <v>1384</v>
      </c>
      <c r="E64" s="681" t="s">
        <v>14</v>
      </c>
      <c r="F64" s="644">
        <v>52.6</v>
      </c>
      <c r="G64" s="682">
        <v>93.42</v>
      </c>
      <c r="H64" s="681">
        <v>10.8</v>
      </c>
      <c r="I64" s="573">
        <f t="shared" si="3"/>
        <v>0</v>
      </c>
      <c r="J64" s="574">
        <f t="shared" si="4"/>
        <v>0</v>
      </c>
      <c r="K64" s="573">
        <f t="shared" si="11"/>
        <v>10.8</v>
      </c>
      <c r="L64" s="708">
        <f t="shared" ref="L64:O67" si="15">ROUND(H64*$G64,2)</f>
        <v>1008.94</v>
      </c>
      <c r="M64" s="708">
        <f t="shared" si="15"/>
        <v>0</v>
      </c>
      <c r="N64" s="708">
        <f t="shared" si="15"/>
        <v>0</v>
      </c>
      <c r="O64" s="718">
        <f t="shared" si="15"/>
        <v>1008.94</v>
      </c>
      <c r="P64" s="617">
        <f t="shared" si="0"/>
        <v>0</v>
      </c>
      <c r="Q64" s="525">
        <f>I64-'[9]8'!I63</f>
        <v>0</v>
      </c>
      <c r="S64" s="189">
        <v>0</v>
      </c>
      <c r="T64" s="189">
        <v>0</v>
      </c>
      <c r="BT64" s="525"/>
      <c r="BU64" s="659"/>
      <c r="BV64" s="523"/>
      <c r="BW64" s="523"/>
      <c r="BX64" s="523">
        <v>0</v>
      </c>
      <c r="BY64" s="523">
        <v>0</v>
      </c>
      <c r="BZ64" s="523">
        <v>0</v>
      </c>
      <c r="CA64" s="523">
        <v>0</v>
      </c>
      <c r="CB64" s="523"/>
      <c r="CC64" s="523"/>
      <c r="CD64" s="523"/>
      <c r="CE64" s="523"/>
      <c r="CF64" s="523"/>
      <c r="CG64" s="523"/>
      <c r="CH64" s="523"/>
      <c r="CI64" s="523">
        <f t="shared" si="2"/>
        <v>0</v>
      </c>
    </row>
    <row r="65" spans="1:87" ht="15" x14ac:dyDescent="0.2">
      <c r="A65" s="680" t="s">
        <v>1400</v>
      </c>
      <c r="B65" s="569" t="s">
        <v>1401</v>
      </c>
      <c r="C65" s="569" t="s">
        <v>1324</v>
      </c>
      <c r="D65" s="569" t="s">
        <v>1402</v>
      </c>
      <c r="E65" s="681" t="s">
        <v>48</v>
      </c>
      <c r="F65" s="644">
        <v>49.48</v>
      </c>
      <c r="G65" s="682">
        <v>98.55</v>
      </c>
      <c r="H65" s="681">
        <v>33.83</v>
      </c>
      <c r="I65" s="573">
        <f t="shared" si="3"/>
        <v>0</v>
      </c>
      <c r="J65" s="574">
        <f t="shared" si="4"/>
        <v>0</v>
      </c>
      <c r="K65" s="573">
        <f t="shared" si="11"/>
        <v>33.83</v>
      </c>
      <c r="L65" s="708">
        <f t="shared" si="15"/>
        <v>3333.95</v>
      </c>
      <c r="M65" s="708">
        <f t="shared" si="15"/>
        <v>0</v>
      </c>
      <c r="N65" s="708">
        <f t="shared" si="15"/>
        <v>0</v>
      </c>
      <c r="O65" s="718">
        <f t="shared" si="15"/>
        <v>3333.95</v>
      </c>
      <c r="P65" s="617">
        <f t="shared" si="0"/>
        <v>0</v>
      </c>
      <c r="Q65" s="525">
        <f>I65-'[9]8'!I64</f>
        <v>0</v>
      </c>
      <c r="S65" s="189">
        <v>0</v>
      </c>
      <c r="T65" s="189">
        <v>0</v>
      </c>
      <c r="BT65" s="525"/>
      <c r="BU65" s="523"/>
      <c r="BV65" s="523"/>
      <c r="BW65" s="523"/>
      <c r="BX65" s="523">
        <v>0</v>
      </c>
      <c r="BY65" s="523">
        <v>0</v>
      </c>
      <c r="BZ65" s="523">
        <v>0</v>
      </c>
      <c r="CA65" s="523">
        <v>0</v>
      </c>
      <c r="CB65" s="523"/>
      <c r="CC65" s="523"/>
      <c r="CD65" s="523"/>
      <c r="CE65" s="523"/>
      <c r="CF65" s="523"/>
      <c r="CG65" s="523"/>
      <c r="CH65" s="523"/>
      <c r="CI65" s="523">
        <f t="shared" si="2"/>
        <v>0</v>
      </c>
    </row>
    <row r="66" spans="1:87" ht="15.75" x14ac:dyDescent="0.2">
      <c r="A66" s="680" t="s">
        <v>1403</v>
      </c>
      <c r="B66" s="569">
        <v>85662</v>
      </c>
      <c r="C66" s="569" t="s">
        <v>1324</v>
      </c>
      <c r="D66" s="569" t="s">
        <v>1404</v>
      </c>
      <c r="E66" s="681" t="s">
        <v>14</v>
      </c>
      <c r="F66" s="578"/>
      <c r="G66" s="682">
        <v>10.34</v>
      </c>
      <c r="H66" s="681">
        <v>1001.47</v>
      </c>
      <c r="I66" s="573">
        <f t="shared" si="3"/>
        <v>0</v>
      </c>
      <c r="J66" s="574">
        <f t="shared" si="4"/>
        <v>0</v>
      </c>
      <c r="K66" s="573">
        <f t="shared" si="11"/>
        <v>1001.47</v>
      </c>
      <c r="L66" s="708">
        <f t="shared" si="15"/>
        <v>10355.200000000001</v>
      </c>
      <c r="M66" s="708">
        <f t="shared" si="15"/>
        <v>0</v>
      </c>
      <c r="N66" s="708">
        <f t="shared" si="15"/>
        <v>0</v>
      </c>
      <c r="O66" s="718">
        <f t="shared" si="15"/>
        <v>10355.200000000001</v>
      </c>
      <c r="P66" s="617">
        <f t="shared" si="0"/>
        <v>0</v>
      </c>
      <c r="Q66" s="525">
        <f>I66-'[9]8'!I65</f>
        <v>0</v>
      </c>
      <c r="S66" s="189">
        <v>0</v>
      </c>
      <c r="T66" s="189">
        <v>0</v>
      </c>
      <c r="BT66" s="525"/>
      <c r="BU66" s="523"/>
      <c r="BV66" s="523"/>
      <c r="BW66" s="523"/>
      <c r="BX66" s="523">
        <v>0</v>
      </c>
      <c r="BY66" s="523">
        <v>0</v>
      </c>
      <c r="BZ66" s="523">
        <v>0</v>
      </c>
      <c r="CA66" s="523">
        <v>0</v>
      </c>
      <c r="CB66" s="523"/>
      <c r="CC66" s="523"/>
      <c r="CD66" s="523"/>
      <c r="CE66" s="523"/>
      <c r="CF66" s="523"/>
      <c r="CG66" s="523"/>
      <c r="CH66" s="523"/>
      <c r="CI66" s="523">
        <f t="shared" si="2"/>
        <v>0</v>
      </c>
    </row>
    <row r="67" spans="1:87" s="754" customFormat="1" ht="15" x14ac:dyDescent="0.2">
      <c r="A67" s="680" t="s">
        <v>1405</v>
      </c>
      <c r="B67" s="569">
        <v>92720</v>
      </c>
      <c r="C67" s="569" t="s">
        <v>1324</v>
      </c>
      <c r="D67" s="569" t="s">
        <v>1375</v>
      </c>
      <c r="E67" s="681" t="s">
        <v>48</v>
      </c>
      <c r="F67" s="571"/>
      <c r="G67" s="682">
        <v>323.87</v>
      </c>
      <c r="H67" s="681">
        <v>27.07</v>
      </c>
      <c r="I67" s="573">
        <f t="shared" si="3"/>
        <v>0</v>
      </c>
      <c r="J67" s="574">
        <f t="shared" si="4"/>
        <v>0</v>
      </c>
      <c r="K67" s="573">
        <f t="shared" si="11"/>
        <v>27.07</v>
      </c>
      <c r="L67" s="708">
        <f t="shared" si="15"/>
        <v>8767.16</v>
      </c>
      <c r="M67" s="708">
        <f t="shared" si="15"/>
        <v>0</v>
      </c>
      <c r="N67" s="708">
        <f t="shared" si="15"/>
        <v>0</v>
      </c>
      <c r="O67" s="718">
        <f t="shared" si="15"/>
        <v>8767.16</v>
      </c>
      <c r="P67" s="617">
        <f t="shared" si="0"/>
        <v>0</v>
      </c>
      <c r="Q67" s="525">
        <f>I67-'[9]8'!I66</f>
        <v>0</v>
      </c>
      <c r="S67" s="190">
        <v>0</v>
      </c>
      <c r="T67" s="190">
        <v>33.9</v>
      </c>
      <c r="BT67" s="525"/>
      <c r="BU67" s="523"/>
      <c r="BV67" s="523"/>
      <c r="BW67" s="523"/>
      <c r="BX67" s="523">
        <v>0</v>
      </c>
      <c r="BY67" s="523">
        <v>0</v>
      </c>
      <c r="BZ67" s="523">
        <v>0</v>
      </c>
      <c r="CA67" s="523">
        <v>0</v>
      </c>
      <c r="CB67" s="523"/>
      <c r="CC67" s="523"/>
      <c r="CD67" s="523"/>
      <c r="CE67" s="523"/>
      <c r="CF67" s="523"/>
      <c r="CG67" s="523"/>
      <c r="CH67" s="523"/>
      <c r="CI67" s="523">
        <f t="shared" si="2"/>
        <v>0</v>
      </c>
    </row>
    <row r="68" spans="1:87" ht="15.75" x14ac:dyDescent="0.2">
      <c r="A68" s="605" t="s">
        <v>1406</v>
      </c>
      <c r="B68" s="586"/>
      <c r="C68" s="586"/>
      <c r="D68" s="586" t="s">
        <v>1407</v>
      </c>
      <c r="E68" s="609"/>
      <c r="F68" s="609"/>
      <c r="G68" s="609"/>
      <c r="H68" s="609"/>
      <c r="I68" s="609"/>
      <c r="J68" s="609"/>
      <c r="K68" s="609"/>
      <c r="L68" s="733">
        <f>L69</f>
        <v>912.59</v>
      </c>
      <c r="M68" s="733">
        <f>M69</f>
        <v>0</v>
      </c>
      <c r="N68" s="733">
        <f>N69</f>
        <v>912.59</v>
      </c>
      <c r="O68" s="722">
        <f>O69</f>
        <v>0</v>
      </c>
      <c r="P68" s="611">
        <f t="shared" si="0"/>
        <v>1</v>
      </c>
      <c r="Q68" s="525">
        <f>I68-'[9]8'!I67</f>
        <v>0</v>
      </c>
      <c r="S68" s="189">
        <v>0</v>
      </c>
      <c r="T68" s="189">
        <v>33.9</v>
      </c>
      <c r="BT68" s="525"/>
      <c r="BU68" s="523"/>
      <c r="BV68" s="523"/>
      <c r="BW68" s="523"/>
      <c r="BX68" s="523">
        <v>0</v>
      </c>
      <c r="BY68" s="523">
        <v>33.9</v>
      </c>
      <c r="BZ68" s="523"/>
      <c r="CA68" s="523"/>
      <c r="CB68" s="523"/>
      <c r="CC68" s="523"/>
      <c r="CD68" s="523"/>
      <c r="CE68" s="523"/>
      <c r="CF68" s="523"/>
      <c r="CG68" s="523"/>
      <c r="CH68" s="523"/>
      <c r="CI68" s="523">
        <f t="shared" si="2"/>
        <v>33.9</v>
      </c>
    </row>
    <row r="69" spans="1:87" s="754" customFormat="1" ht="15" x14ac:dyDescent="0.2">
      <c r="A69" s="680" t="s">
        <v>1408</v>
      </c>
      <c r="B69" s="569" t="s">
        <v>1409</v>
      </c>
      <c r="C69" s="569" t="s">
        <v>1324</v>
      </c>
      <c r="D69" s="569" t="s">
        <v>1410</v>
      </c>
      <c r="E69" s="681" t="s">
        <v>81</v>
      </c>
      <c r="F69" s="644">
        <v>329.55</v>
      </c>
      <c r="G69" s="682">
        <v>26.92</v>
      </c>
      <c r="H69" s="681">
        <v>33.9</v>
      </c>
      <c r="I69" s="573">
        <f t="shared" si="3"/>
        <v>0</v>
      </c>
      <c r="J69" s="574">
        <f t="shared" si="4"/>
        <v>33.9</v>
      </c>
      <c r="K69" s="573">
        <f t="shared" si="11"/>
        <v>0</v>
      </c>
      <c r="L69" s="708">
        <f>ROUND(H69*$G69,2)</f>
        <v>912.59</v>
      </c>
      <c r="M69" s="708">
        <f>ROUND(I69*$G69,2)</f>
        <v>0</v>
      </c>
      <c r="N69" s="708">
        <f>ROUND(J69*$G69,2)</f>
        <v>912.59</v>
      </c>
      <c r="O69" s="718">
        <f>ROUND(K69*$G69,2)</f>
        <v>0</v>
      </c>
      <c r="P69" s="617">
        <f t="shared" si="0"/>
        <v>1</v>
      </c>
      <c r="Q69" s="525">
        <f>I69-'[9]8'!I68</f>
        <v>0</v>
      </c>
      <c r="S69" s="190">
        <v>0</v>
      </c>
      <c r="T69" s="190">
        <v>0</v>
      </c>
      <c r="BT69" s="525"/>
      <c r="BU69" s="659"/>
      <c r="BV69" s="523"/>
      <c r="BW69" s="523"/>
      <c r="BX69" s="523">
        <v>0</v>
      </c>
      <c r="BY69" s="523">
        <v>33.9</v>
      </c>
      <c r="BZ69" s="523">
        <v>0</v>
      </c>
      <c r="CA69" s="523">
        <v>0</v>
      </c>
      <c r="CB69" s="523"/>
      <c r="CC69" s="523"/>
      <c r="CD69" s="523"/>
      <c r="CE69" s="523"/>
      <c r="CF69" s="523"/>
      <c r="CG69" s="523"/>
      <c r="CH69" s="523"/>
      <c r="CI69" s="523">
        <f t="shared" si="2"/>
        <v>33.9</v>
      </c>
    </row>
    <row r="70" spans="1:87" s="754" customFormat="1" ht="15.75" x14ac:dyDescent="0.2">
      <c r="A70" s="600">
        <v>5</v>
      </c>
      <c r="B70" s="558"/>
      <c r="C70" s="558"/>
      <c r="D70" s="558" t="s">
        <v>1411</v>
      </c>
      <c r="E70" s="626"/>
      <c r="F70" s="626"/>
      <c r="G70" s="626"/>
      <c r="H70" s="626"/>
      <c r="I70" s="626"/>
      <c r="J70" s="626"/>
      <c r="K70" s="626"/>
      <c r="L70" s="709">
        <f>SUM(L71,L73,L76)</f>
        <v>31428.92</v>
      </c>
      <c r="M70" s="709">
        <f>SUM(M71,M73,M76)</f>
        <v>4285.5599999999995</v>
      </c>
      <c r="N70" s="709">
        <f>SUM(N71,N73,N76)</f>
        <v>31428.92</v>
      </c>
      <c r="O70" s="719">
        <f>SUM(O71,O73,O76)</f>
        <v>0</v>
      </c>
      <c r="P70" s="604">
        <f>N70/L70</f>
        <v>1</v>
      </c>
      <c r="Q70" s="525">
        <f>I70-'[9]8'!I69</f>
        <v>0</v>
      </c>
      <c r="S70" s="190">
        <v>0</v>
      </c>
      <c r="T70" s="190">
        <v>0</v>
      </c>
      <c r="BT70" s="525"/>
      <c r="BU70" s="523"/>
      <c r="BV70" s="523"/>
      <c r="BW70" s="523"/>
      <c r="BX70" s="523">
        <v>0</v>
      </c>
      <c r="BY70" s="523">
        <v>0</v>
      </c>
      <c r="BZ70" s="523"/>
      <c r="CA70" s="523"/>
      <c r="CB70" s="523"/>
      <c r="CC70" s="523"/>
      <c r="CD70" s="523"/>
      <c r="CE70" s="523"/>
      <c r="CF70" s="523"/>
      <c r="CG70" s="523"/>
      <c r="CH70" s="523"/>
      <c r="CI70" s="523">
        <f t="shared" si="2"/>
        <v>0</v>
      </c>
    </row>
    <row r="71" spans="1:87" ht="15.75" x14ac:dyDescent="0.2">
      <c r="A71" s="605" t="s">
        <v>98</v>
      </c>
      <c r="B71" s="586"/>
      <c r="C71" s="586"/>
      <c r="D71" s="586" t="s">
        <v>1412</v>
      </c>
      <c r="E71" s="609"/>
      <c r="F71" s="609"/>
      <c r="G71" s="609"/>
      <c r="H71" s="609"/>
      <c r="I71" s="609"/>
      <c r="J71" s="609"/>
      <c r="K71" s="609"/>
      <c r="L71" s="733">
        <f>L72</f>
        <v>7200.78</v>
      </c>
      <c r="M71" s="733">
        <f>M72</f>
        <v>2160.2399999999998</v>
      </c>
      <c r="N71" s="733">
        <f>N72</f>
        <v>7200.78</v>
      </c>
      <c r="O71" s="722">
        <f>O72</f>
        <v>0</v>
      </c>
      <c r="P71" s="611">
        <f t="shared" si="0"/>
        <v>1</v>
      </c>
      <c r="Q71" s="525">
        <f>I71-'[9]8'!I70</f>
        <v>0</v>
      </c>
      <c r="S71" s="189">
        <v>0</v>
      </c>
      <c r="T71" s="189">
        <v>0</v>
      </c>
      <c r="BT71" s="525"/>
      <c r="BU71" s="523"/>
      <c r="BV71" s="523"/>
      <c r="BW71" s="523"/>
      <c r="BX71" s="523">
        <v>0</v>
      </c>
      <c r="BY71" s="523">
        <v>0</v>
      </c>
      <c r="BZ71" s="523"/>
      <c r="CA71" s="523"/>
      <c r="CB71" s="523"/>
      <c r="CC71" s="523"/>
      <c r="CD71" s="523"/>
      <c r="CE71" s="523"/>
      <c r="CF71" s="523"/>
      <c r="CG71" s="523"/>
      <c r="CH71" s="523"/>
      <c r="CI71" s="523">
        <f t="shared" si="2"/>
        <v>0</v>
      </c>
    </row>
    <row r="72" spans="1:87" s="754" customFormat="1" ht="15" x14ac:dyDescent="0.2">
      <c r="A72" s="680" t="s">
        <v>100</v>
      </c>
      <c r="B72" s="569" t="s">
        <v>1413</v>
      </c>
      <c r="C72" s="569" t="s">
        <v>1324</v>
      </c>
      <c r="D72" s="569" t="s">
        <v>1414</v>
      </c>
      <c r="E72" s="681" t="s">
        <v>14</v>
      </c>
      <c r="F72" s="644">
        <v>222.6</v>
      </c>
      <c r="G72" s="682">
        <v>53.45</v>
      </c>
      <c r="H72" s="681">
        <v>134.72</v>
      </c>
      <c r="I72" s="573">
        <f t="shared" si="3"/>
        <v>40.416000000000011</v>
      </c>
      <c r="J72" s="574">
        <f t="shared" si="4"/>
        <v>134.72</v>
      </c>
      <c r="K72" s="644">
        <f>H72-J72</f>
        <v>0</v>
      </c>
      <c r="L72" s="708">
        <f>ROUND(H72*$G72,2)</f>
        <v>7200.78</v>
      </c>
      <c r="M72" s="708">
        <f>ROUND(I72*$G72,2)</f>
        <v>2160.2399999999998</v>
      </c>
      <c r="N72" s="708">
        <f>ROUND(J72*$G72,2)</f>
        <v>7200.78</v>
      </c>
      <c r="O72" s="718">
        <f>ROUND(K72*$G72,2)</f>
        <v>0</v>
      </c>
      <c r="P72" s="617">
        <f t="shared" si="0"/>
        <v>1</v>
      </c>
      <c r="Q72" s="525">
        <f>I72-'[9]8'!I71</f>
        <v>0</v>
      </c>
      <c r="S72" s="190">
        <v>0</v>
      </c>
      <c r="T72" s="190">
        <v>328.62</v>
      </c>
      <c r="BT72" s="525"/>
      <c r="BU72" s="659">
        <v>40.416000000000011</v>
      </c>
      <c r="BV72" s="523">
        <v>94.303999999999988</v>
      </c>
      <c r="BW72" s="523"/>
      <c r="BX72" s="523">
        <v>0</v>
      </c>
      <c r="BY72" s="523">
        <v>0</v>
      </c>
      <c r="BZ72" s="523">
        <v>0</v>
      </c>
      <c r="CA72" s="523">
        <v>0</v>
      </c>
      <c r="CB72" s="523"/>
      <c r="CC72" s="523"/>
      <c r="CD72" s="523"/>
      <c r="CE72" s="523"/>
      <c r="CF72" s="523"/>
      <c r="CG72" s="523"/>
      <c r="CH72" s="523"/>
      <c r="CI72" s="523">
        <f t="shared" si="2"/>
        <v>134.72</v>
      </c>
    </row>
    <row r="73" spans="1:87" ht="15.75" x14ac:dyDescent="0.2">
      <c r="A73" s="605" t="s">
        <v>116</v>
      </c>
      <c r="B73" s="586"/>
      <c r="C73" s="586"/>
      <c r="D73" s="586" t="s">
        <v>1415</v>
      </c>
      <c r="E73" s="609"/>
      <c r="F73" s="609"/>
      <c r="G73" s="609"/>
      <c r="H73" s="609"/>
      <c r="I73" s="609"/>
      <c r="J73" s="609"/>
      <c r="K73" s="609"/>
      <c r="L73" s="711">
        <f>SUM(L74:L75)</f>
        <v>15726.869999999999</v>
      </c>
      <c r="M73" s="711">
        <f>SUM(M74:M75)</f>
        <v>0</v>
      </c>
      <c r="N73" s="711">
        <f>SUM(N74:N75)</f>
        <v>15726.869999999999</v>
      </c>
      <c r="O73" s="722">
        <f>SUM(O74:O75)</f>
        <v>0</v>
      </c>
      <c r="P73" s="611">
        <f t="shared" si="0"/>
        <v>1</v>
      </c>
      <c r="Q73" s="525">
        <f>I73-'[9]8'!I72</f>
        <v>0</v>
      </c>
      <c r="S73" s="189">
        <v>0</v>
      </c>
      <c r="T73" s="189">
        <v>259.22000000000003</v>
      </c>
      <c r="BT73" s="525"/>
      <c r="BU73" s="523"/>
      <c r="BV73" s="523"/>
      <c r="BW73" s="523"/>
      <c r="BX73" s="523">
        <v>0</v>
      </c>
      <c r="BY73" s="523">
        <v>224.93</v>
      </c>
      <c r="BZ73" s="523"/>
      <c r="CA73" s="523"/>
      <c r="CB73" s="523"/>
      <c r="CC73" s="523"/>
      <c r="CD73" s="523"/>
      <c r="CE73" s="523"/>
      <c r="CF73" s="523"/>
      <c r="CG73" s="523"/>
      <c r="CH73" s="523"/>
      <c r="CI73" s="523">
        <f t="shared" si="2"/>
        <v>224.93</v>
      </c>
    </row>
    <row r="74" spans="1:87" ht="27.75" customHeight="1" x14ac:dyDescent="0.2">
      <c r="A74" s="680" t="s">
        <v>118</v>
      </c>
      <c r="B74" s="569">
        <v>87519</v>
      </c>
      <c r="C74" s="569" t="s">
        <v>1324</v>
      </c>
      <c r="D74" s="569" t="s">
        <v>1416</v>
      </c>
      <c r="E74" s="681" t="s">
        <v>14</v>
      </c>
      <c r="F74" s="644">
        <v>378.98</v>
      </c>
      <c r="G74" s="682">
        <v>56.29</v>
      </c>
      <c r="H74" s="681">
        <v>259.22000000000003</v>
      </c>
      <c r="I74" s="573">
        <f t="shared" si="3"/>
        <v>0</v>
      </c>
      <c r="J74" s="574">
        <f t="shared" si="4"/>
        <v>259.22000000000003</v>
      </c>
      <c r="K74" s="573">
        <f t="shared" ref="K74:K75" si="16">H74-J74</f>
        <v>0</v>
      </c>
      <c r="L74" s="708">
        <f t="shared" ref="L74:O75" si="17">ROUND(H74*$G74,2)</f>
        <v>14591.49</v>
      </c>
      <c r="M74" s="708">
        <f t="shared" si="17"/>
        <v>0</v>
      </c>
      <c r="N74" s="708">
        <f t="shared" si="17"/>
        <v>14591.49</v>
      </c>
      <c r="O74" s="718">
        <f t="shared" si="17"/>
        <v>0</v>
      </c>
      <c r="P74" s="617">
        <f t="shared" si="0"/>
        <v>1</v>
      </c>
      <c r="Q74" s="525">
        <f>I74-'[9]8'!I73</f>
        <v>0</v>
      </c>
      <c r="S74" s="189">
        <v>0</v>
      </c>
      <c r="T74" s="189">
        <v>69.400000000000006</v>
      </c>
      <c r="BT74" s="525"/>
      <c r="BU74" s="659"/>
      <c r="BV74" s="523"/>
      <c r="BW74" s="523">
        <v>2.0000000000095497E-3</v>
      </c>
      <c r="BX74" s="523">
        <v>0</v>
      </c>
      <c r="BY74" s="523">
        <v>155.53</v>
      </c>
      <c r="BZ74" s="523">
        <v>103.68800000000002</v>
      </c>
      <c r="CA74" s="523">
        <v>0</v>
      </c>
      <c r="CB74" s="523"/>
      <c r="CC74" s="523"/>
      <c r="CD74" s="523"/>
      <c r="CE74" s="523"/>
      <c r="CF74" s="523"/>
      <c r="CG74" s="523"/>
      <c r="CH74" s="523"/>
      <c r="CI74" s="523">
        <f t="shared" si="2"/>
        <v>259.22000000000003</v>
      </c>
    </row>
    <row r="75" spans="1:87" s="754" customFormat="1" ht="30" x14ac:dyDescent="0.2">
      <c r="A75" s="680" t="s">
        <v>123</v>
      </c>
      <c r="B75" s="569" t="s">
        <v>1417</v>
      </c>
      <c r="C75" s="569" t="s">
        <v>1324</v>
      </c>
      <c r="D75" s="569" t="s">
        <v>1418</v>
      </c>
      <c r="E75" s="681" t="s">
        <v>81</v>
      </c>
      <c r="F75" s="644">
        <v>421.82</v>
      </c>
      <c r="G75" s="682">
        <v>16.36</v>
      </c>
      <c r="H75" s="681">
        <v>69.400000000000006</v>
      </c>
      <c r="I75" s="573">
        <f t="shared" si="3"/>
        <v>0</v>
      </c>
      <c r="J75" s="574">
        <f t="shared" si="4"/>
        <v>69.400000000000006</v>
      </c>
      <c r="K75" s="573">
        <f t="shared" si="16"/>
        <v>0</v>
      </c>
      <c r="L75" s="708">
        <f t="shared" si="17"/>
        <v>1135.3800000000001</v>
      </c>
      <c r="M75" s="708">
        <f t="shared" si="17"/>
        <v>0</v>
      </c>
      <c r="N75" s="708">
        <f t="shared" si="17"/>
        <v>1135.3800000000001</v>
      </c>
      <c r="O75" s="718">
        <f t="shared" si="17"/>
        <v>0</v>
      </c>
      <c r="P75" s="617">
        <f t="shared" si="0"/>
        <v>1</v>
      </c>
      <c r="Q75" s="525">
        <f>I75-'[9]8'!I74</f>
        <v>0</v>
      </c>
      <c r="S75" s="190">
        <v>0</v>
      </c>
      <c r="T75" s="190">
        <v>0</v>
      </c>
      <c r="BT75" s="525"/>
      <c r="BU75" s="523"/>
      <c r="BV75" s="523"/>
      <c r="BW75" s="523"/>
      <c r="BX75" s="523">
        <v>0</v>
      </c>
      <c r="BY75" s="523">
        <v>69.400000000000006</v>
      </c>
      <c r="BZ75" s="523">
        <v>0</v>
      </c>
      <c r="CA75" s="523">
        <v>0</v>
      </c>
      <c r="CB75" s="523"/>
      <c r="CC75" s="523"/>
      <c r="CD75" s="523"/>
      <c r="CE75" s="523"/>
      <c r="CF75" s="523"/>
      <c r="CG75" s="523"/>
      <c r="CH75" s="523"/>
      <c r="CI75" s="523">
        <f t="shared" si="2"/>
        <v>69.400000000000006</v>
      </c>
    </row>
    <row r="76" spans="1:87" ht="15.75" x14ac:dyDescent="0.2">
      <c r="A76" s="605" t="s">
        <v>1419</v>
      </c>
      <c r="B76" s="586"/>
      <c r="C76" s="586"/>
      <c r="D76" s="586" t="s">
        <v>1420</v>
      </c>
      <c r="E76" s="609"/>
      <c r="F76" s="609"/>
      <c r="G76" s="609"/>
      <c r="H76" s="609"/>
      <c r="I76" s="609"/>
      <c r="J76" s="609"/>
      <c r="K76" s="609"/>
      <c r="L76" s="711">
        <f>L77</f>
        <v>8501.27</v>
      </c>
      <c r="M76" s="711">
        <f>M77</f>
        <v>2125.3200000000002</v>
      </c>
      <c r="N76" s="711">
        <f>N77</f>
        <v>8501.27</v>
      </c>
      <c r="O76" s="722">
        <f>O77</f>
        <v>0</v>
      </c>
      <c r="P76" s="611">
        <f t="shared" si="0"/>
        <v>1</v>
      </c>
      <c r="Q76" s="525">
        <f>I76-'[9]8'!I75</f>
        <v>0</v>
      </c>
      <c r="S76" s="189">
        <v>0</v>
      </c>
      <c r="T76" s="189">
        <v>0</v>
      </c>
      <c r="BT76" s="525"/>
      <c r="BU76" s="523"/>
      <c r="BV76" s="523"/>
      <c r="BW76" s="523"/>
      <c r="BX76" s="523">
        <v>0</v>
      </c>
      <c r="BY76" s="523">
        <v>0</v>
      </c>
      <c r="BZ76" s="523"/>
      <c r="CA76" s="523"/>
      <c r="CB76" s="523"/>
      <c r="CC76" s="523"/>
      <c r="CD76" s="523"/>
      <c r="CE76" s="523"/>
      <c r="CF76" s="523"/>
      <c r="CG76" s="523"/>
      <c r="CH76" s="523"/>
      <c r="CI76" s="523">
        <f t="shared" si="2"/>
        <v>0</v>
      </c>
    </row>
    <row r="77" spans="1:87" ht="27.75" customHeight="1" x14ac:dyDescent="0.2">
      <c r="A77" s="680" t="s">
        <v>1421</v>
      </c>
      <c r="B77" s="569" t="s">
        <v>1422</v>
      </c>
      <c r="C77" s="569" t="s">
        <v>1324</v>
      </c>
      <c r="D77" s="569" t="s">
        <v>1423</v>
      </c>
      <c r="E77" s="681" t="s">
        <v>14</v>
      </c>
      <c r="F77" s="578"/>
      <c r="G77" s="682">
        <v>57.41</v>
      </c>
      <c r="H77" s="681">
        <v>148.08000000000001</v>
      </c>
      <c r="I77" s="573">
        <f t="shared" si="3"/>
        <v>37.019999999999996</v>
      </c>
      <c r="J77" s="574">
        <f t="shared" si="4"/>
        <v>148.08000000000001</v>
      </c>
      <c r="K77" s="644">
        <f>H77-J77</f>
        <v>0</v>
      </c>
      <c r="L77" s="708">
        <f>ROUND(H77*$G77,2)</f>
        <v>8501.27</v>
      </c>
      <c r="M77" s="708">
        <f>ROUND(I77*$G77,2)</f>
        <v>2125.3200000000002</v>
      </c>
      <c r="N77" s="708">
        <f>ROUND(J77*$G77,2)</f>
        <v>8501.27</v>
      </c>
      <c r="O77" s="718">
        <f>ROUND(K77*$G77,2)</f>
        <v>0</v>
      </c>
      <c r="P77" s="617">
        <f t="shared" si="0"/>
        <v>1</v>
      </c>
      <c r="Q77" s="525">
        <f>I77-'[9]8'!I76</f>
        <v>0</v>
      </c>
      <c r="S77" s="189">
        <v>0</v>
      </c>
      <c r="T77" s="189">
        <v>0</v>
      </c>
      <c r="BT77" s="525"/>
      <c r="BU77" s="659">
        <v>37.019999999999996</v>
      </c>
      <c r="BV77" s="659">
        <v>81.444000000000017</v>
      </c>
      <c r="BW77" s="523">
        <v>29.616000000000003</v>
      </c>
      <c r="BX77" s="523">
        <v>0</v>
      </c>
      <c r="BY77" s="523">
        <v>0</v>
      </c>
      <c r="BZ77" s="523">
        <v>0</v>
      </c>
      <c r="CA77" s="523">
        <v>0</v>
      </c>
      <c r="CB77" s="523"/>
      <c r="CC77" s="523"/>
      <c r="CD77" s="523"/>
      <c r="CE77" s="523"/>
      <c r="CF77" s="523"/>
      <c r="CG77" s="523"/>
      <c r="CH77" s="523"/>
      <c r="CI77" s="523">
        <f t="shared" si="2"/>
        <v>148.08000000000001</v>
      </c>
    </row>
    <row r="78" spans="1:87" s="754" customFormat="1" ht="15.75" x14ac:dyDescent="0.2">
      <c r="A78" s="600">
        <v>6</v>
      </c>
      <c r="B78" s="558"/>
      <c r="C78" s="558"/>
      <c r="D78" s="558" t="s">
        <v>97</v>
      </c>
      <c r="E78" s="626"/>
      <c r="F78" s="626"/>
      <c r="G78" s="626"/>
      <c r="H78" s="626"/>
      <c r="I78" s="626"/>
      <c r="J78" s="626"/>
      <c r="K78" s="626"/>
      <c r="L78" s="628">
        <f>SUM(L79,L84,L88,L91)</f>
        <v>10373.979999999998</v>
      </c>
      <c r="M78" s="628">
        <f>SUM(M79,M84,M88,M91)</f>
        <v>0</v>
      </c>
      <c r="N78" s="628">
        <f>SUM(N79,N84,N88,N91)</f>
        <v>0</v>
      </c>
      <c r="O78" s="721">
        <f>SUM(O79,O84,O88,O91)</f>
        <v>10373.979999999998</v>
      </c>
      <c r="P78" s="604">
        <f t="shared" si="0"/>
        <v>0</v>
      </c>
      <c r="Q78" s="525">
        <f>I78-'[9]8'!I77</f>
        <v>0</v>
      </c>
      <c r="S78" s="190">
        <v>0</v>
      </c>
      <c r="T78" s="190">
        <v>0</v>
      </c>
      <c r="BT78" s="525"/>
      <c r="BU78" s="523"/>
      <c r="BV78" s="523"/>
      <c r="BW78" s="523"/>
      <c r="BX78" s="523">
        <v>0</v>
      </c>
      <c r="BY78" s="523">
        <v>0</v>
      </c>
      <c r="BZ78" s="523"/>
      <c r="CA78" s="523"/>
      <c r="CB78" s="523"/>
      <c r="CC78" s="523"/>
      <c r="CD78" s="523"/>
      <c r="CE78" s="523"/>
      <c r="CF78" s="523"/>
      <c r="CG78" s="523"/>
      <c r="CH78" s="523"/>
      <c r="CI78" s="523">
        <f t="shared" si="2"/>
        <v>0</v>
      </c>
    </row>
    <row r="79" spans="1:87" ht="15.75" x14ac:dyDescent="0.2">
      <c r="A79" s="605" t="s">
        <v>186</v>
      </c>
      <c r="B79" s="586"/>
      <c r="C79" s="586"/>
      <c r="D79" s="586" t="s">
        <v>1424</v>
      </c>
      <c r="E79" s="609"/>
      <c r="F79" s="609"/>
      <c r="G79" s="609"/>
      <c r="H79" s="609"/>
      <c r="I79" s="609"/>
      <c r="J79" s="609"/>
      <c r="K79" s="609"/>
      <c r="L79" s="711">
        <f>SUM(L80:L83)</f>
        <v>7440.7899999999991</v>
      </c>
      <c r="M79" s="711">
        <f>SUM(M80:M83)</f>
        <v>0</v>
      </c>
      <c r="N79" s="711">
        <f>SUM(N80:N83)</f>
        <v>0</v>
      </c>
      <c r="O79" s="722">
        <f>SUM(O80:O83)</f>
        <v>7440.7899999999991</v>
      </c>
      <c r="P79" s="611">
        <f t="shared" ref="P79:P88" si="18">N79/L79</f>
        <v>0</v>
      </c>
      <c r="Q79" s="525">
        <f>I79-'[9]8'!I78</f>
        <v>0</v>
      </c>
      <c r="S79" s="189">
        <v>0</v>
      </c>
      <c r="T79" s="189">
        <v>0</v>
      </c>
      <c r="BT79" s="525"/>
      <c r="BU79" s="523"/>
      <c r="BV79" s="523"/>
      <c r="BW79" s="523"/>
      <c r="BX79" s="523">
        <v>0</v>
      </c>
      <c r="BY79" s="523">
        <v>0</v>
      </c>
      <c r="BZ79" s="523"/>
      <c r="CA79" s="523"/>
      <c r="CB79" s="523"/>
      <c r="CC79" s="523"/>
      <c r="CD79" s="523"/>
      <c r="CE79" s="523"/>
      <c r="CF79" s="523"/>
      <c r="CG79" s="523"/>
      <c r="CH79" s="523"/>
      <c r="CI79" s="523">
        <f t="shared" si="2"/>
        <v>0</v>
      </c>
    </row>
    <row r="80" spans="1:87" ht="30" x14ac:dyDescent="0.2">
      <c r="A80" s="680" t="s">
        <v>1425</v>
      </c>
      <c r="B80" s="569">
        <v>90843</v>
      </c>
      <c r="C80" s="569" t="s">
        <v>1324</v>
      </c>
      <c r="D80" s="569" t="s">
        <v>1426</v>
      </c>
      <c r="E80" s="681" t="s">
        <v>102</v>
      </c>
      <c r="F80" s="571"/>
      <c r="G80" s="682">
        <v>688.65</v>
      </c>
      <c r="H80" s="681">
        <v>2</v>
      </c>
      <c r="I80" s="573">
        <f t="shared" si="3"/>
        <v>0</v>
      </c>
      <c r="J80" s="574">
        <f t="shared" si="4"/>
        <v>0</v>
      </c>
      <c r="K80" s="644">
        <f>H80-J80</f>
        <v>2</v>
      </c>
      <c r="L80" s="708">
        <f t="shared" ref="L80:O83" si="19">ROUND(H80*$G80,2)</f>
        <v>1377.3</v>
      </c>
      <c r="M80" s="708">
        <f t="shared" si="19"/>
        <v>0</v>
      </c>
      <c r="N80" s="708">
        <f t="shared" si="19"/>
        <v>0</v>
      </c>
      <c r="O80" s="718">
        <f t="shared" si="19"/>
        <v>1377.3</v>
      </c>
      <c r="P80" s="617">
        <f t="shared" si="18"/>
        <v>0</v>
      </c>
      <c r="Q80" s="525">
        <f>I80-'[9]8'!I79</f>
        <v>0</v>
      </c>
      <c r="S80" s="189">
        <v>0</v>
      </c>
      <c r="T80" s="189">
        <v>0</v>
      </c>
      <c r="BT80" s="525"/>
      <c r="BU80" s="523"/>
      <c r="BV80" s="523"/>
      <c r="BW80" s="523"/>
      <c r="BX80" s="523">
        <v>0</v>
      </c>
      <c r="BY80" s="523">
        <v>0</v>
      </c>
      <c r="BZ80" s="523">
        <v>0</v>
      </c>
      <c r="CA80" s="523">
        <v>0</v>
      </c>
      <c r="CB80" s="523"/>
      <c r="CC80" s="523"/>
      <c r="CD80" s="523"/>
      <c r="CE80" s="523"/>
      <c r="CF80" s="523"/>
      <c r="CG80" s="523"/>
      <c r="CH80" s="523"/>
      <c r="CI80" s="523">
        <f t="shared" ref="CI80:CI143" si="20">SUM(BU80:CH80)</f>
        <v>0</v>
      </c>
    </row>
    <row r="81" spans="1:87" ht="30" x14ac:dyDescent="0.2">
      <c r="A81" s="680" t="s">
        <v>1427</v>
      </c>
      <c r="B81" s="569">
        <v>90844</v>
      </c>
      <c r="C81" s="569" t="s">
        <v>1324</v>
      </c>
      <c r="D81" s="569" t="s">
        <v>1428</v>
      </c>
      <c r="E81" s="681" t="s">
        <v>102</v>
      </c>
      <c r="F81" s="644">
        <v>179.33</v>
      </c>
      <c r="G81" s="682">
        <v>926.13</v>
      </c>
      <c r="H81" s="681">
        <v>1</v>
      </c>
      <c r="I81" s="622">
        <f t="shared" ref="I81:I144" si="21">BU81</f>
        <v>0</v>
      </c>
      <c r="J81" s="574">
        <f t="shared" ref="J81:J144" si="22">CI81</f>
        <v>0</v>
      </c>
      <c r="K81" s="644">
        <f>H81-J81</f>
        <v>1</v>
      </c>
      <c r="L81" s="708">
        <f t="shared" si="19"/>
        <v>926.13</v>
      </c>
      <c r="M81" s="708">
        <f t="shared" si="19"/>
        <v>0</v>
      </c>
      <c r="N81" s="708">
        <f t="shared" si="19"/>
        <v>0</v>
      </c>
      <c r="O81" s="718">
        <f t="shared" si="19"/>
        <v>926.13</v>
      </c>
      <c r="P81" s="617">
        <f t="shared" si="18"/>
        <v>0</v>
      </c>
      <c r="Q81" s="525">
        <f>I81-'[9]8'!I80</f>
        <v>0</v>
      </c>
      <c r="S81" s="189">
        <v>0</v>
      </c>
      <c r="T81" s="189">
        <v>0</v>
      </c>
      <c r="BT81" s="525"/>
      <c r="BU81" s="523"/>
      <c r="BV81" s="523"/>
      <c r="BW81" s="523"/>
      <c r="BX81" s="523">
        <v>0</v>
      </c>
      <c r="BY81" s="523">
        <v>0</v>
      </c>
      <c r="BZ81" s="523">
        <v>0</v>
      </c>
      <c r="CA81" s="523">
        <v>0</v>
      </c>
      <c r="CB81" s="523"/>
      <c r="CC81" s="523"/>
      <c r="CD81" s="523"/>
      <c r="CE81" s="523"/>
      <c r="CF81" s="523"/>
      <c r="CG81" s="523"/>
      <c r="CH81" s="523"/>
      <c r="CI81" s="523">
        <f t="shared" si="20"/>
        <v>0</v>
      </c>
    </row>
    <row r="82" spans="1:87" ht="30" x14ac:dyDescent="0.2">
      <c r="A82" s="680" t="s">
        <v>1429</v>
      </c>
      <c r="B82" s="569" t="s">
        <v>1430</v>
      </c>
      <c r="C82" s="569" t="s">
        <v>1324</v>
      </c>
      <c r="D82" s="569" t="s">
        <v>1431</v>
      </c>
      <c r="E82" s="681" t="s">
        <v>102</v>
      </c>
      <c r="F82" s="644">
        <v>268.98</v>
      </c>
      <c r="G82" s="682">
        <v>825.22</v>
      </c>
      <c r="H82" s="681">
        <v>4</v>
      </c>
      <c r="I82" s="622">
        <f t="shared" si="21"/>
        <v>0</v>
      </c>
      <c r="J82" s="574">
        <f t="shared" si="22"/>
        <v>0</v>
      </c>
      <c r="K82" s="644">
        <f>H82-J82</f>
        <v>4</v>
      </c>
      <c r="L82" s="708">
        <f t="shared" si="19"/>
        <v>3300.88</v>
      </c>
      <c r="M82" s="708">
        <f t="shared" si="19"/>
        <v>0</v>
      </c>
      <c r="N82" s="708">
        <f t="shared" si="19"/>
        <v>0</v>
      </c>
      <c r="O82" s="718">
        <f t="shared" si="19"/>
        <v>3300.88</v>
      </c>
      <c r="P82" s="617">
        <f t="shared" si="18"/>
        <v>0</v>
      </c>
      <c r="Q82" s="525">
        <f>I82-'[9]8'!I81</f>
        <v>0</v>
      </c>
      <c r="S82" s="189">
        <v>0</v>
      </c>
      <c r="T82" s="189">
        <v>0</v>
      </c>
      <c r="BT82" s="525"/>
      <c r="BU82" s="523"/>
      <c r="BV82" s="523"/>
      <c r="BW82" s="523"/>
      <c r="BX82" s="523">
        <v>0</v>
      </c>
      <c r="BY82" s="523">
        <v>0</v>
      </c>
      <c r="BZ82" s="523">
        <v>0</v>
      </c>
      <c r="CA82" s="523">
        <v>0</v>
      </c>
      <c r="CB82" s="523"/>
      <c r="CC82" s="523"/>
      <c r="CD82" s="523"/>
      <c r="CE82" s="523"/>
      <c r="CF82" s="523"/>
      <c r="CG82" s="523"/>
      <c r="CH82" s="523"/>
      <c r="CI82" s="523">
        <f t="shared" si="20"/>
        <v>0</v>
      </c>
    </row>
    <row r="83" spans="1:87" s="754" customFormat="1" ht="30" x14ac:dyDescent="0.2">
      <c r="A83" s="680" t="s">
        <v>1432</v>
      </c>
      <c r="B83" s="569" t="s">
        <v>1433</v>
      </c>
      <c r="C83" s="569" t="s">
        <v>1324</v>
      </c>
      <c r="D83" s="569" t="s">
        <v>1434</v>
      </c>
      <c r="E83" s="681" t="s">
        <v>102</v>
      </c>
      <c r="F83" s="644">
        <v>134.49</v>
      </c>
      <c r="G83" s="682">
        <v>918.24</v>
      </c>
      <c r="H83" s="681">
        <v>2</v>
      </c>
      <c r="I83" s="622">
        <f t="shared" si="21"/>
        <v>0</v>
      </c>
      <c r="J83" s="574">
        <f t="shared" si="22"/>
        <v>0</v>
      </c>
      <c r="K83" s="644">
        <f>H83-J83</f>
        <v>2</v>
      </c>
      <c r="L83" s="708">
        <f t="shared" si="19"/>
        <v>1836.48</v>
      </c>
      <c r="M83" s="708">
        <f t="shared" si="19"/>
        <v>0</v>
      </c>
      <c r="N83" s="708">
        <f t="shared" si="19"/>
        <v>0</v>
      </c>
      <c r="O83" s="718">
        <f t="shared" si="19"/>
        <v>1836.48</v>
      </c>
      <c r="P83" s="617">
        <f t="shared" si="18"/>
        <v>0</v>
      </c>
      <c r="Q83" s="525">
        <f>I83-'[9]8'!I82</f>
        <v>0</v>
      </c>
      <c r="S83" s="190">
        <v>0</v>
      </c>
      <c r="T83" s="190">
        <v>0</v>
      </c>
      <c r="BT83" s="525"/>
      <c r="BU83" s="523"/>
      <c r="BV83" s="523"/>
      <c r="BW83" s="523"/>
      <c r="BX83" s="523">
        <v>0</v>
      </c>
      <c r="BY83" s="523">
        <v>0</v>
      </c>
      <c r="BZ83" s="523">
        <v>0</v>
      </c>
      <c r="CA83" s="523">
        <v>0</v>
      </c>
      <c r="CB83" s="523"/>
      <c r="CC83" s="523"/>
      <c r="CD83" s="523"/>
      <c r="CE83" s="523"/>
      <c r="CF83" s="523"/>
      <c r="CG83" s="523"/>
      <c r="CH83" s="523"/>
      <c r="CI83" s="523">
        <f t="shared" si="20"/>
        <v>0</v>
      </c>
    </row>
    <row r="84" spans="1:87" ht="15.75" x14ac:dyDescent="0.2">
      <c r="A84" s="605" t="s">
        <v>188</v>
      </c>
      <c r="B84" s="586"/>
      <c r="C84" s="586"/>
      <c r="D84" s="586" t="s">
        <v>1435</v>
      </c>
      <c r="E84" s="609"/>
      <c r="F84" s="609"/>
      <c r="G84" s="609"/>
      <c r="H84" s="609"/>
      <c r="I84" s="609"/>
      <c r="J84" s="609"/>
      <c r="K84" s="609"/>
      <c r="L84" s="733">
        <f>SUM(L85:L87)</f>
        <v>773.29</v>
      </c>
      <c r="M84" s="733">
        <f>SUM(M85:M87)</f>
        <v>0</v>
      </c>
      <c r="N84" s="733">
        <f>SUM(N85:N87)</f>
        <v>0</v>
      </c>
      <c r="O84" s="722">
        <f>SUM(O85:O87)</f>
        <v>773.29</v>
      </c>
      <c r="P84" s="611">
        <f t="shared" si="18"/>
        <v>0</v>
      </c>
      <c r="Q84" s="525">
        <f>I84-'[9]8'!I83</f>
        <v>0</v>
      </c>
      <c r="S84" s="189">
        <v>0</v>
      </c>
      <c r="T84" s="189">
        <v>0</v>
      </c>
      <c r="BT84" s="525"/>
      <c r="BU84" s="523"/>
      <c r="BV84" s="523"/>
      <c r="BW84" s="523"/>
      <c r="BX84" s="523">
        <v>0</v>
      </c>
      <c r="BY84" s="523">
        <v>0</v>
      </c>
      <c r="BZ84" s="523"/>
      <c r="CA84" s="523"/>
      <c r="CB84" s="523"/>
      <c r="CC84" s="523"/>
      <c r="CD84" s="523"/>
      <c r="CE84" s="523"/>
      <c r="CF84" s="523"/>
      <c r="CG84" s="523"/>
      <c r="CH84" s="523"/>
      <c r="CI84" s="523">
        <f t="shared" si="20"/>
        <v>0</v>
      </c>
    </row>
    <row r="85" spans="1:87" ht="15" x14ac:dyDescent="0.2">
      <c r="A85" s="680" t="s">
        <v>1436</v>
      </c>
      <c r="B85" s="569" t="s">
        <v>2007</v>
      </c>
      <c r="C85" s="569" t="s">
        <v>1339</v>
      </c>
      <c r="D85" s="569" t="s">
        <v>1437</v>
      </c>
      <c r="E85" s="681" t="s">
        <v>81</v>
      </c>
      <c r="F85" s="644">
        <v>627.62</v>
      </c>
      <c r="G85" s="682">
        <v>48.24</v>
      </c>
      <c r="H85" s="681">
        <v>11.6</v>
      </c>
      <c r="I85" s="622">
        <f t="shared" si="21"/>
        <v>0</v>
      </c>
      <c r="J85" s="574">
        <f t="shared" si="22"/>
        <v>0</v>
      </c>
      <c r="K85" s="644">
        <f t="shared" ref="K85:K92" si="23">H85-J85</f>
        <v>11.6</v>
      </c>
      <c r="L85" s="708">
        <f t="shared" ref="L85:O87" si="24">ROUND(H85*$G85,2)</f>
        <v>559.58000000000004</v>
      </c>
      <c r="M85" s="708">
        <f t="shared" si="24"/>
        <v>0</v>
      </c>
      <c r="N85" s="708">
        <f t="shared" si="24"/>
        <v>0</v>
      </c>
      <c r="O85" s="718">
        <f t="shared" si="24"/>
        <v>559.58000000000004</v>
      </c>
      <c r="P85" s="617">
        <f t="shared" si="18"/>
        <v>0</v>
      </c>
      <c r="Q85" s="525">
        <f>I85-'[9]8'!I84</f>
        <v>0</v>
      </c>
      <c r="S85" s="189">
        <v>0</v>
      </c>
      <c r="T85" s="189">
        <v>0</v>
      </c>
      <c r="BT85" s="525"/>
      <c r="BU85" s="523"/>
      <c r="BV85" s="523"/>
      <c r="BW85" s="523"/>
      <c r="BX85" s="523">
        <v>0</v>
      </c>
      <c r="BY85" s="523">
        <v>0</v>
      </c>
      <c r="BZ85" s="523">
        <v>0</v>
      </c>
      <c r="CA85" s="523">
        <v>0</v>
      </c>
      <c r="CB85" s="523"/>
      <c r="CC85" s="523"/>
      <c r="CD85" s="523"/>
      <c r="CE85" s="523"/>
      <c r="CF85" s="523"/>
      <c r="CG85" s="523"/>
      <c r="CH85" s="523"/>
      <c r="CI85" s="523">
        <f t="shared" si="20"/>
        <v>0</v>
      </c>
    </row>
    <row r="86" spans="1:87" ht="15" x14ac:dyDescent="0.2">
      <c r="A86" s="680" t="s">
        <v>1438</v>
      </c>
      <c r="B86" s="569" t="s">
        <v>2007</v>
      </c>
      <c r="C86" s="569" t="s">
        <v>1339</v>
      </c>
      <c r="D86" s="569" t="s">
        <v>1439</v>
      </c>
      <c r="E86" s="681" t="s">
        <v>14</v>
      </c>
      <c r="F86" s="644">
        <v>358.64</v>
      </c>
      <c r="G86" s="682">
        <v>5.44</v>
      </c>
      <c r="H86" s="681">
        <v>4.3</v>
      </c>
      <c r="I86" s="622">
        <f t="shared" si="21"/>
        <v>0</v>
      </c>
      <c r="J86" s="574">
        <f t="shared" si="22"/>
        <v>0</v>
      </c>
      <c r="K86" s="644">
        <f t="shared" si="23"/>
        <v>4.3</v>
      </c>
      <c r="L86" s="708">
        <f t="shared" si="24"/>
        <v>23.39</v>
      </c>
      <c r="M86" s="708">
        <f t="shared" si="24"/>
        <v>0</v>
      </c>
      <c r="N86" s="708">
        <f t="shared" si="24"/>
        <v>0</v>
      </c>
      <c r="O86" s="718">
        <f t="shared" si="24"/>
        <v>23.39</v>
      </c>
      <c r="P86" s="617">
        <f t="shared" si="18"/>
        <v>0</v>
      </c>
      <c r="Q86" s="525">
        <f>I86-'[9]8'!I85</f>
        <v>0</v>
      </c>
      <c r="S86" s="189">
        <v>0</v>
      </c>
      <c r="T86" s="189">
        <v>0</v>
      </c>
      <c r="BT86" s="525"/>
      <c r="BU86" s="523"/>
      <c r="BV86" s="523"/>
      <c r="BW86" s="523"/>
      <c r="BX86" s="523">
        <v>0</v>
      </c>
      <c r="BY86" s="523">
        <v>0</v>
      </c>
      <c r="BZ86" s="523">
        <v>0</v>
      </c>
      <c r="CA86" s="523">
        <v>0</v>
      </c>
      <c r="CB86" s="523"/>
      <c r="CC86" s="523"/>
      <c r="CD86" s="523"/>
      <c r="CE86" s="523"/>
      <c r="CF86" s="523"/>
      <c r="CG86" s="523"/>
      <c r="CH86" s="523"/>
      <c r="CI86" s="523">
        <f t="shared" si="20"/>
        <v>0</v>
      </c>
    </row>
    <row r="87" spans="1:87" s="754" customFormat="1" ht="15" x14ac:dyDescent="0.2">
      <c r="A87" s="680" t="s">
        <v>1440</v>
      </c>
      <c r="B87" s="569" t="s">
        <v>1441</v>
      </c>
      <c r="C87" s="569" t="s">
        <v>1324</v>
      </c>
      <c r="D87" s="569" t="s">
        <v>1442</v>
      </c>
      <c r="E87" s="681" t="s">
        <v>102</v>
      </c>
      <c r="F87" s="644">
        <v>448.3</v>
      </c>
      <c r="G87" s="682">
        <v>31.72</v>
      </c>
      <c r="H87" s="681">
        <v>6</v>
      </c>
      <c r="I87" s="622">
        <f t="shared" si="21"/>
        <v>0</v>
      </c>
      <c r="J87" s="574">
        <f t="shared" si="22"/>
        <v>0</v>
      </c>
      <c r="K87" s="644">
        <f t="shared" si="23"/>
        <v>6</v>
      </c>
      <c r="L87" s="708">
        <f t="shared" si="24"/>
        <v>190.32</v>
      </c>
      <c r="M87" s="708">
        <f t="shared" si="24"/>
        <v>0</v>
      </c>
      <c r="N87" s="708">
        <f t="shared" si="24"/>
        <v>0</v>
      </c>
      <c r="O87" s="718">
        <f t="shared" si="24"/>
        <v>190.32</v>
      </c>
      <c r="P87" s="617">
        <f t="shared" si="18"/>
        <v>0</v>
      </c>
      <c r="Q87" s="525">
        <f>I87-'[9]8'!I86</f>
        <v>0</v>
      </c>
      <c r="S87" s="190">
        <v>0</v>
      </c>
      <c r="T87" s="190">
        <v>0</v>
      </c>
      <c r="BT87" s="525"/>
      <c r="BU87" s="523"/>
      <c r="BV87" s="523"/>
      <c r="BW87" s="523"/>
      <c r="BX87" s="523">
        <v>0</v>
      </c>
      <c r="BY87" s="523">
        <v>0</v>
      </c>
      <c r="BZ87" s="523">
        <v>0</v>
      </c>
      <c r="CA87" s="523">
        <v>0</v>
      </c>
      <c r="CB87" s="523"/>
      <c r="CC87" s="523"/>
      <c r="CD87" s="523"/>
      <c r="CE87" s="523"/>
      <c r="CF87" s="523"/>
      <c r="CG87" s="523"/>
      <c r="CH87" s="523"/>
      <c r="CI87" s="523">
        <f t="shared" si="20"/>
        <v>0</v>
      </c>
    </row>
    <row r="88" spans="1:87" ht="15.75" x14ac:dyDescent="0.2">
      <c r="A88" s="605" t="s">
        <v>1443</v>
      </c>
      <c r="B88" s="586"/>
      <c r="C88" s="586"/>
      <c r="D88" s="586" t="s">
        <v>1444</v>
      </c>
      <c r="E88" s="609"/>
      <c r="F88" s="609"/>
      <c r="G88" s="609"/>
      <c r="H88" s="609"/>
      <c r="I88" s="609"/>
      <c r="J88" s="609"/>
      <c r="K88" s="609"/>
      <c r="L88" s="712">
        <f>L90</f>
        <v>331.68</v>
      </c>
      <c r="M88" s="712">
        <f>M90</f>
        <v>0</v>
      </c>
      <c r="N88" s="712">
        <f>N90</f>
        <v>0</v>
      </c>
      <c r="O88" s="723">
        <f>O90</f>
        <v>331.68</v>
      </c>
      <c r="P88" s="611">
        <f t="shared" si="18"/>
        <v>0</v>
      </c>
      <c r="Q88" s="525">
        <f>I88-'[9]8'!I87</f>
        <v>0</v>
      </c>
      <c r="S88" s="189">
        <v>0</v>
      </c>
      <c r="T88" s="189">
        <v>0</v>
      </c>
      <c r="BT88" s="525"/>
      <c r="BU88" s="523"/>
      <c r="BV88" s="523"/>
      <c r="BW88" s="523"/>
      <c r="BX88" s="523">
        <v>0</v>
      </c>
      <c r="BY88" s="523">
        <v>0</v>
      </c>
      <c r="BZ88" s="523"/>
      <c r="CA88" s="523"/>
      <c r="CB88" s="523"/>
      <c r="CC88" s="523"/>
      <c r="CD88" s="523"/>
      <c r="CE88" s="523"/>
      <c r="CF88" s="523"/>
      <c r="CG88" s="523"/>
      <c r="CH88" s="523"/>
      <c r="CI88" s="523">
        <f t="shared" si="20"/>
        <v>0</v>
      </c>
    </row>
    <row r="89" spans="1:87" ht="15" x14ac:dyDescent="0.2">
      <c r="A89" s="680" t="s">
        <v>1445</v>
      </c>
      <c r="B89" s="569">
        <v>68052</v>
      </c>
      <c r="C89" s="569" t="s">
        <v>1324</v>
      </c>
      <c r="D89" s="624" t="s">
        <v>1446</v>
      </c>
      <c r="E89" s="681" t="s">
        <v>14</v>
      </c>
      <c r="F89" s="644">
        <v>390.13</v>
      </c>
      <c r="G89" s="682">
        <v>0</v>
      </c>
      <c r="H89" s="681">
        <v>10.8</v>
      </c>
      <c r="I89" s="622">
        <f t="shared" si="21"/>
        <v>0</v>
      </c>
      <c r="J89" s="574">
        <f t="shared" si="22"/>
        <v>0</v>
      </c>
      <c r="K89" s="644">
        <f t="shared" si="23"/>
        <v>10.8</v>
      </c>
      <c r="L89" s="708">
        <f t="shared" ref="L89:O90" si="25">ROUND(H89*$G89,2)</f>
        <v>0</v>
      </c>
      <c r="M89" s="708">
        <f t="shared" si="25"/>
        <v>0</v>
      </c>
      <c r="N89" s="708">
        <f t="shared" si="25"/>
        <v>0</v>
      </c>
      <c r="O89" s="718">
        <f t="shared" si="25"/>
        <v>0</v>
      </c>
      <c r="P89" s="617">
        <v>1</v>
      </c>
      <c r="Q89" s="525">
        <f>I89-'[9]8'!I88</f>
        <v>0</v>
      </c>
      <c r="S89" s="189">
        <v>0</v>
      </c>
      <c r="T89" s="189">
        <v>0</v>
      </c>
      <c r="BT89" s="525"/>
      <c r="BU89" s="523"/>
      <c r="BV89" s="523"/>
      <c r="BW89" s="523"/>
      <c r="BX89" s="523">
        <v>0</v>
      </c>
      <c r="BY89" s="523">
        <v>0</v>
      </c>
      <c r="BZ89" s="523">
        <v>0</v>
      </c>
      <c r="CA89" s="523">
        <v>0</v>
      </c>
      <c r="CB89" s="523"/>
      <c r="CC89" s="523"/>
      <c r="CD89" s="523"/>
      <c r="CE89" s="523"/>
      <c r="CF89" s="523"/>
      <c r="CG89" s="523"/>
      <c r="CH89" s="523"/>
      <c r="CI89" s="523">
        <f t="shared" si="20"/>
        <v>0</v>
      </c>
    </row>
    <row r="90" spans="1:87" s="754" customFormat="1" ht="15" x14ac:dyDescent="0.2">
      <c r="A90" s="680" t="s">
        <v>1447</v>
      </c>
      <c r="B90" s="569">
        <v>85010</v>
      </c>
      <c r="C90" s="569" t="s">
        <v>1324</v>
      </c>
      <c r="D90" s="569" t="s">
        <v>1448</v>
      </c>
      <c r="E90" s="681" t="s">
        <v>14</v>
      </c>
      <c r="F90" s="644">
        <v>975.33</v>
      </c>
      <c r="G90" s="682">
        <v>159.46</v>
      </c>
      <c r="H90" s="681">
        <v>2.08</v>
      </c>
      <c r="I90" s="622">
        <f t="shared" si="21"/>
        <v>0</v>
      </c>
      <c r="J90" s="574">
        <f t="shared" si="22"/>
        <v>0</v>
      </c>
      <c r="K90" s="644">
        <f t="shared" si="23"/>
        <v>2.08</v>
      </c>
      <c r="L90" s="708">
        <f t="shared" si="25"/>
        <v>331.68</v>
      </c>
      <c r="M90" s="708">
        <f t="shared" si="25"/>
        <v>0</v>
      </c>
      <c r="N90" s="708">
        <f t="shared" si="25"/>
        <v>0</v>
      </c>
      <c r="O90" s="718">
        <f t="shared" si="25"/>
        <v>331.68</v>
      </c>
      <c r="P90" s="617">
        <f t="shared" ref="P90:P140" si="26">N90/L90</f>
        <v>0</v>
      </c>
      <c r="Q90" s="525">
        <f>I90-'[9]8'!I89</f>
        <v>0</v>
      </c>
      <c r="S90" s="190">
        <v>0</v>
      </c>
      <c r="T90" s="190">
        <v>0</v>
      </c>
      <c r="BT90" s="525"/>
      <c r="BU90" s="523"/>
      <c r="BV90" s="523"/>
      <c r="BW90" s="523"/>
      <c r="BX90" s="523">
        <v>0</v>
      </c>
      <c r="BY90" s="523">
        <v>0</v>
      </c>
      <c r="BZ90" s="523">
        <v>0</v>
      </c>
      <c r="CA90" s="523">
        <v>0</v>
      </c>
      <c r="CB90" s="523"/>
      <c r="CC90" s="523"/>
      <c r="CD90" s="523"/>
      <c r="CE90" s="523"/>
      <c r="CF90" s="523"/>
      <c r="CG90" s="523"/>
      <c r="CH90" s="523"/>
      <c r="CI90" s="523">
        <f t="shared" si="20"/>
        <v>0</v>
      </c>
    </row>
    <row r="91" spans="1:87" ht="15.75" x14ac:dyDescent="0.2">
      <c r="A91" s="605" t="s">
        <v>1449</v>
      </c>
      <c r="B91" s="586"/>
      <c r="C91" s="586"/>
      <c r="D91" s="586" t="s">
        <v>184</v>
      </c>
      <c r="E91" s="609"/>
      <c r="F91" s="609"/>
      <c r="G91" s="609"/>
      <c r="H91" s="609"/>
      <c r="I91" s="609"/>
      <c r="J91" s="609"/>
      <c r="K91" s="609"/>
      <c r="L91" s="712">
        <f>L92</f>
        <v>1828.22</v>
      </c>
      <c r="M91" s="712">
        <f>M92</f>
        <v>0</v>
      </c>
      <c r="N91" s="712">
        <f>N92</f>
        <v>0</v>
      </c>
      <c r="O91" s="723">
        <f>O92</f>
        <v>1828.22</v>
      </c>
      <c r="P91" s="611">
        <f t="shared" si="26"/>
        <v>0</v>
      </c>
      <c r="Q91" s="525">
        <f>I91-'[9]8'!I90</f>
        <v>0</v>
      </c>
      <c r="S91" s="189">
        <v>0</v>
      </c>
      <c r="T91" s="189">
        <v>0</v>
      </c>
      <c r="BT91" s="525"/>
      <c r="BU91" s="523"/>
      <c r="BV91" s="523"/>
      <c r="BW91" s="523"/>
      <c r="BX91" s="523">
        <v>0</v>
      </c>
      <c r="BY91" s="523">
        <v>0</v>
      </c>
      <c r="BZ91" s="523"/>
      <c r="CA91" s="523"/>
      <c r="CB91" s="523"/>
      <c r="CC91" s="523"/>
      <c r="CD91" s="523"/>
      <c r="CE91" s="523"/>
      <c r="CF91" s="523"/>
      <c r="CG91" s="523"/>
      <c r="CH91" s="523"/>
      <c r="CI91" s="523">
        <f t="shared" si="20"/>
        <v>0</v>
      </c>
    </row>
    <row r="92" spans="1:87" ht="15" x14ac:dyDescent="0.2">
      <c r="A92" s="680" t="s">
        <v>1450</v>
      </c>
      <c r="B92" s="569" t="s">
        <v>1451</v>
      </c>
      <c r="C92" s="569" t="s">
        <v>1324</v>
      </c>
      <c r="D92" s="569" t="s">
        <v>1452</v>
      </c>
      <c r="E92" s="681" t="s">
        <v>14</v>
      </c>
      <c r="F92" s="644">
        <v>877.8</v>
      </c>
      <c r="G92" s="682">
        <v>423.2</v>
      </c>
      <c r="H92" s="681">
        <v>4.32</v>
      </c>
      <c r="I92" s="622">
        <f t="shared" si="21"/>
        <v>0</v>
      </c>
      <c r="J92" s="574">
        <f t="shared" si="22"/>
        <v>0</v>
      </c>
      <c r="K92" s="644">
        <f t="shared" si="23"/>
        <v>4.32</v>
      </c>
      <c r="L92" s="708">
        <f>ROUND(H92*$G92,2)</f>
        <v>1828.22</v>
      </c>
      <c r="M92" s="708">
        <f>ROUND(I92*$G92,2)</f>
        <v>0</v>
      </c>
      <c r="N92" s="708">
        <f>ROUND(J92*$G92,2)</f>
        <v>0</v>
      </c>
      <c r="O92" s="718">
        <f>ROUND(K92*$G92,2)</f>
        <v>1828.22</v>
      </c>
      <c r="P92" s="617">
        <f t="shared" si="26"/>
        <v>0</v>
      </c>
      <c r="Q92" s="525">
        <f>I92-'[9]8'!I91</f>
        <v>0</v>
      </c>
      <c r="S92" s="189">
        <v>0</v>
      </c>
      <c r="T92" s="189">
        <v>0</v>
      </c>
      <c r="BT92" s="525"/>
      <c r="BU92" s="523"/>
      <c r="BV92" s="523"/>
      <c r="BW92" s="523"/>
      <c r="BX92" s="523">
        <v>0</v>
      </c>
      <c r="BY92" s="523">
        <v>0</v>
      </c>
      <c r="BZ92" s="523">
        <v>0</v>
      </c>
      <c r="CA92" s="523">
        <v>0</v>
      </c>
      <c r="CB92" s="523"/>
      <c r="CC92" s="523"/>
      <c r="CD92" s="523"/>
      <c r="CE92" s="523"/>
      <c r="CF92" s="523"/>
      <c r="CG92" s="523"/>
      <c r="CH92" s="523"/>
      <c r="CI92" s="523">
        <f t="shared" si="20"/>
        <v>0</v>
      </c>
    </row>
    <row r="93" spans="1:87" ht="15.75" x14ac:dyDescent="0.2">
      <c r="A93" s="600">
        <v>7</v>
      </c>
      <c r="B93" s="558"/>
      <c r="C93" s="558"/>
      <c r="D93" s="558" t="s">
        <v>1453</v>
      </c>
      <c r="E93" s="626"/>
      <c r="F93" s="626"/>
      <c r="G93" s="626"/>
      <c r="H93" s="626"/>
      <c r="I93" s="626"/>
      <c r="J93" s="626"/>
      <c r="K93" s="626"/>
      <c r="L93" s="628">
        <f>SUM(L94:L95)</f>
        <v>173274.06</v>
      </c>
      <c r="M93" s="628">
        <f>SUM(M94:M95)</f>
        <v>51548.97</v>
      </c>
      <c r="N93" s="628">
        <f>SUM(N94:N95)</f>
        <v>169456.93</v>
      </c>
      <c r="O93" s="721">
        <f>SUM(O94:O95)</f>
        <v>3817.13</v>
      </c>
      <c r="P93" s="604">
        <f t="shared" si="26"/>
        <v>0.97797056293365547</v>
      </c>
      <c r="Q93" s="525">
        <f>I93-'[9]8'!I92</f>
        <v>0</v>
      </c>
      <c r="S93" s="189">
        <v>0</v>
      </c>
      <c r="T93" s="189">
        <v>0</v>
      </c>
      <c r="BT93" s="525"/>
      <c r="BU93" s="523"/>
      <c r="BV93" s="523"/>
      <c r="BW93" s="523"/>
      <c r="BX93" s="523">
        <v>0</v>
      </c>
      <c r="BY93" s="523">
        <v>0</v>
      </c>
      <c r="BZ93" s="523"/>
      <c r="CA93" s="523"/>
      <c r="CB93" s="523"/>
      <c r="CC93" s="523"/>
      <c r="CD93" s="523"/>
      <c r="CE93" s="523"/>
      <c r="CF93" s="523"/>
      <c r="CG93" s="523"/>
      <c r="CH93" s="523"/>
      <c r="CI93" s="523">
        <f t="shared" si="20"/>
        <v>0</v>
      </c>
    </row>
    <row r="94" spans="1:87" ht="15" x14ac:dyDescent="0.2">
      <c r="A94" s="680" t="s">
        <v>193</v>
      </c>
      <c r="B94" s="569" t="s">
        <v>1454</v>
      </c>
      <c r="C94" s="569" t="s">
        <v>1324</v>
      </c>
      <c r="D94" s="569" t="s">
        <v>1455</v>
      </c>
      <c r="E94" s="681" t="s">
        <v>14</v>
      </c>
      <c r="F94" s="688">
        <v>1560.54</v>
      </c>
      <c r="G94" s="682">
        <v>51.14</v>
      </c>
      <c r="H94" s="681">
        <v>1030.4000000000001</v>
      </c>
      <c r="I94" s="622">
        <f t="shared" si="21"/>
        <v>654.55930000000001</v>
      </c>
      <c r="J94" s="574">
        <f t="shared" si="22"/>
        <v>955.75929999999994</v>
      </c>
      <c r="K94" s="644">
        <f>H94-J94</f>
        <v>74.640700000000152</v>
      </c>
      <c r="L94" s="708">
        <f t="shared" ref="L94:O95" si="27">ROUND(H94*$G94,2)</f>
        <v>52694.66</v>
      </c>
      <c r="M94" s="708">
        <f t="shared" si="27"/>
        <v>33474.160000000003</v>
      </c>
      <c r="N94" s="708">
        <f t="shared" si="27"/>
        <v>48877.53</v>
      </c>
      <c r="O94" s="718">
        <f t="shared" si="27"/>
        <v>3817.13</v>
      </c>
      <c r="P94" s="617">
        <f t="shared" si="26"/>
        <v>0.92756135061882927</v>
      </c>
      <c r="Q94" s="525">
        <f>I94-'[9]8'!I93</f>
        <v>-74.640700000000038</v>
      </c>
      <c r="S94" s="189">
        <v>0</v>
      </c>
      <c r="T94" s="189">
        <v>0</v>
      </c>
      <c r="BT94" s="525"/>
      <c r="BU94" s="659">
        <v>654.55930000000001</v>
      </c>
      <c r="BV94" s="659">
        <v>301.2</v>
      </c>
      <c r="BW94" s="523"/>
      <c r="BX94" s="523">
        <v>0</v>
      </c>
      <c r="BY94" s="523">
        <v>0</v>
      </c>
      <c r="BZ94" s="523">
        <v>0</v>
      </c>
      <c r="CA94" s="523">
        <v>0</v>
      </c>
      <c r="CB94" s="523"/>
      <c r="CC94" s="523"/>
      <c r="CD94" s="523"/>
      <c r="CE94" s="523"/>
      <c r="CF94" s="523"/>
      <c r="CG94" s="523"/>
      <c r="CH94" s="523"/>
      <c r="CI94" s="523">
        <f t="shared" si="20"/>
        <v>955.75929999999994</v>
      </c>
    </row>
    <row r="95" spans="1:87" s="110" customFormat="1" ht="15" x14ac:dyDescent="0.2">
      <c r="A95" s="680" t="s">
        <v>195</v>
      </c>
      <c r="B95" s="569">
        <v>72112</v>
      </c>
      <c r="C95" s="569" t="s">
        <v>1324</v>
      </c>
      <c r="D95" s="569" t="s">
        <v>1456</v>
      </c>
      <c r="E95" s="681" t="s">
        <v>14</v>
      </c>
      <c r="F95" s="688">
        <v>1950.67</v>
      </c>
      <c r="G95" s="682">
        <v>122.99</v>
      </c>
      <c r="H95" s="681">
        <v>980.4</v>
      </c>
      <c r="I95" s="622">
        <f t="shared" si="21"/>
        <v>146.96163999999999</v>
      </c>
      <c r="J95" s="574">
        <f t="shared" si="22"/>
        <v>980.40000000000009</v>
      </c>
      <c r="K95" s="644">
        <f>H95-J95</f>
        <v>0</v>
      </c>
      <c r="L95" s="708">
        <f t="shared" si="27"/>
        <v>120579.4</v>
      </c>
      <c r="M95" s="708">
        <f t="shared" si="27"/>
        <v>18074.810000000001</v>
      </c>
      <c r="N95" s="708">
        <f t="shared" si="27"/>
        <v>120579.4</v>
      </c>
      <c r="O95" s="718">
        <f t="shared" si="27"/>
        <v>0</v>
      </c>
      <c r="P95" s="617">
        <f t="shared" si="26"/>
        <v>1</v>
      </c>
      <c r="Q95" s="525">
        <f>I95-'[9]8'!I94</f>
        <v>0</v>
      </c>
      <c r="S95" s="192">
        <v>0</v>
      </c>
      <c r="T95" s="192">
        <v>0</v>
      </c>
      <c r="BT95" s="525"/>
      <c r="BU95" s="659">
        <v>146.96163999999999</v>
      </c>
      <c r="BV95" s="659">
        <v>383.23836</v>
      </c>
      <c r="BW95" s="523">
        <v>450.2</v>
      </c>
      <c r="BX95" s="523">
        <v>0</v>
      </c>
      <c r="BY95" s="523">
        <v>0</v>
      </c>
      <c r="BZ95" s="523">
        <v>0</v>
      </c>
      <c r="CA95" s="523">
        <v>0</v>
      </c>
      <c r="CB95" s="523"/>
      <c r="CC95" s="523"/>
      <c r="CD95" s="523"/>
      <c r="CE95" s="523"/>
      <c r="CF95" s="523"/>
      <c r="CG95" s="523"/>
      <c r="CH95" s="523"/>
      <c r="CI95" s="523">
        <f t="shared" si="20"/>
        <v>980.40000000000009</v>
      </c>
    </row>
    <row r="96" spans="1:87" s="110" customFormat="1" ht="15.75" x14ac:dyDescent="0.2">
      <c r="A96" s="600">
        <v>8</v>
      </c>
      <c r="B96" s="601"/>
      <c r="C96" s="601"/>
      <c r="D96" s="602" t="s">
        <v>208</v>
      </c>
      <c r="E96" s="626"/>
      <c r="F96" s="626"/>
      <c r="G96" s="626"/>
      <c r="H96" s="626"/>
      <c r="I96" s="626"/>
      <c r="J96" s="626"/>
      <c r="K96" s="626"/>
      <c r="L96" s="734">
        <f>SUM(L97:L98)</f>
        <v>5634.27</v>
      </c>
      <c r="M96" s="628">
        <f>SUM(M97:M98)</f>
        <v>0</v>
      </c>
      <c r="N96" s="707">
        <f>SUM(N97:N98)</f>
        <v>2257.69</v>
      </c>
      <c r="O96" s="721">
        <f>SUM(O97:O98)</f>
        <v>3376.58</v>
      </c>
      <c r="P96" s="604">
        <f t="shared" si="26"/>
        <v>0.40070674639305531</v>
      </c>
      <c r="Q96" s="525">
        <f>I96-'[9]8'!I95</f>
        <v>0</v>
      </c>
      <c r="S96" s="192">
        <v>265.61</v>
      </c>
      <c r="T96" s="192">
        <v>265.61</v>
      </c>
      <c r="BT96" s="525"/>
      <c r="BU96" s="523"/>
      <c r="BV96" s="523"/>
      <c r="BW96" s="523"/>
      <c r="BX96" s="523">
        <v>241</v>
      </c>
      <c r="BY96" s="523">
        <v>0</v>
      </c>
      <c r="BZ96" s="523"/>
      <c r="CA96" s="523"/>
      <c r="CB96" s="523"/>
      <c r="CC96" s="523"/>
      <c r="CD96" s="523"/>
      <c r="CE96" s="523"/>
      <c r="CF96" s="523"/>
      <c r="CG96" s="523"/>
      <c r="CH96" s="523"/>
      <c r="CI96" s="523">
        <f t="shared" si="20"/>
        <v>241</v>
      </c>
    </row>
    <row r="97" spans="1:87" ht="15" x14ac:dyDescent="0.2">
      <c r="A97" s="612" t="s">
        <v>210</v>
      </c>
      <c r="B97" s="613" t="s">
        <v>1457</v>
      </c>
      <c r="C97" s="613" t="s">
        <v>1324</v>
      </c>
      <c r="D97" s="614" t="s">
        <v>1458</v>
      </c>
      <c r="E97" s="615" t="s">
        <v>14</v>
      </c>
      <c r="F97" s="688">
        <v>3121.08</v>
      </c>
      <c r="G97" s="616">
        <v>8.5</v>
      </c>
      <c r="H97" s="615">
        <v>265.61</v>
      </c>
      <c r="I97" s="574">
        <f t="shared" si="21"/>
        <v>0</v>
      </c>
      <c r="J97" s="574">
        <f t="shared" si="22"/>
        <v>265.61</v>
      </c>
      <c r="K97" s="644">
        <f>H97-J97</f>
        <v>0</v>
      </c>
      <c r="L97" s="708">
        <f t="shared" ref="L97:O98" si="28">ROUND(H97*$G97,2)</f>
        <v>2257.69</v>
      </c>
      <c r="M97" s="708">
        <f t="shared" si="28"/>
        <v>0</v>
      </c>
      <c r="N97" s="708">
        <f t="shared" si="28"/>
        <v>2257.69</v>
      </c>
      <c r="O97" s="718">
        <f t="shared" si="28"/>
        <v>0</v>
      </c>
      <c r="P97" s="617">
        <f t="shared" si="26"/>
        <v>1</v>
      </c>
      <c r="Q97" s="525">
        <f>I97-'[9]8'!I96</f>
        <v>0</v>
      </c>
      <c r="S97" s="189">
        <v>0</v>
      </c>
      <c r="T97" s="189">
        <v>0</v>
      </c>
      <c r="BT97" s="525"/>
      <c r="BU97" s="746">
        <v>0</v>
      </c>
      <c r="BV97" s="523">
        <v>24.61</v>
      </c>
      <c r="BW97" s="523"/>
      <c r="BX97" s="523">
        <v>241</v>
      </c>
      <c r="BY97" s="523">
        <v>0</v>
      </c>
      <c r="BZ97" s="523">
        <v>0</v>
      </c>
      <c r="CA97" s="523">
        <v>0</v>
      </c>
      <c r="CB97" s="523"/>
      <c r="CC97" s="523"/>
      <c r="CD97" s="523"/>
      <c r="CE97" s="523"/>
      <c r="CF97" s="523"/>
      <c r="CG97" s="523"/>
      <c r="CH97" s="523"/>
      <c r="CI97" s="523">
        <f t="shared" si="20"/>
        <v>265.61</v>
      </c>
    </row>
    <row r="98" spans="1:87" s="755" customFormat="1" ht="30" x14ac:dyDescent="0.2">
      <c r="A98" s="680" t="s">
        <v>213</v>
      </c>
      <c r="B98" s="569">
        <v>68053</v>
      </c>
      <c r="C98" s="569" t="s">
        <v>1324</v>
      </c>
      <c r="D98" s="569" t="s">
        <v>1459</v>
      </c>
      <c r="E98" s="681" t="s">
        <v>14</v>
      </c>
      <c r="F98" s="688">
        <v>1137.9000000000001</v>
      </c>
      <c r="G98" s="682">
        <v>4.99</v>
      </c>
      <c r="H98" s="681">
        <v>676.67</v>
      </c>
      <c r="I98" s="622">
        <f t="shared" si="21"/>
        <v>0</v>
      </c>
      <c r="J98" s="574">
        <f t="shared" si="22"/>
        <v>0</v>
      </c>
      <c r="K98" s="644">
        <f>H98-J98</f>
        <v>676.67</v>
      </c>
      <c r="L98" s="708">
        <f t="shared" si="28"/>
        <v>3376.58</v>
      </c>
      <c r="M98" s="708">
        <f t="shared" si="28"/>
        <v>0</v>
      </c>
      <c r="N98" s="708">
        <f t="shared" si="28"/>
        <v>0</v>
      </c>
      <c r="O98" s="718">
        <f t="shared" si="28"/>
        <v>3376.58</v>
      </c>
      <c r="P98" s="617">
        <f t="shared" si="26"/>
        <v>0</v>
      </c>
      <c r="Q98" s="525">
        <f>I98-'[9]8'!I97</f>
        <v>0</v>
      </c>
      <c r="S98" s="191">
        <v>0</v>
      </c>
      <c r="T98" s="191">
        <v>0</v>
      </c>
      <c r="BT98" s="525"/>
      <c r="BU98" s="523"/>
      <c r="BV98" s="523"/>
      <c r="BW98" s="523"/>
      <c r="BX98" s="523">
        <v>0</v>
      </c>
      <c r="BY98" s="523">
        <v>0</v>
      </c>
      <c r="BZ98" s="523">
        <v>0</v>
      </c>
      <c r="CA98" s="523">
        <v>0</v>
      </c>
      <c r="CB98" s="523"/>
      <c r="CC98" s="523"/>
      <c r="CD98" s="523"/>
      <c r="CE98" s="523"/>
      <c r="CF98" s="523"/>
      <c r="CG98" s="523"/>
      <c r="CH98" s="523"/>
      <c r="CI98" s="523">
        <f t="shared" si="20"/>
        <v>0</v>
      </c>
    </row>
    <row r="99" spans="1:87" ht="15.75" x14ac:dyDescent="0.2">
      <c r="A99" s="600">
        <v>9</v>
      </c>
      <c r="B99" s="601"/>
      <c r="C99" s="601"/>
      <c r="D99" s="602" t="s">
        <v>1460</v>
      </c>
      <c r="E99" s="626"/>
      <c r="F99" s="626"/>
      <c r="G99" s="626"/>
      <c r="H99" s="626"/>
      <c r="I99" s="626"/>
      <c r="J99" s="626"/>
      <c r="K99" s="626"/>
      <c r="L99" s="734">
        <f>SUM(L100:L109)</f>
        <v>51794.2</v>
      </c>
      <c r="M99" s="734">
        <f>SUM(M100:M109)</f>
        <v>7508.41</v>
      </c>
      <c r="N99" s="734">
        <f>SUM(N100:N109)</f>
        <v>50801.710000000006</v>
      </c>
      <c r="O99" s="721">
        <f>SUM(O100:O109)</f>
        <v>992.48</v>
      </c>
      <c r="P99" s="604">
        <f t="shared" si="26"/>
        <v>0.98083781581721519</v>
      </c>
      <c r="Q99" s="525">
        <f>I99-'[9]8'!I98</f>
        <v>0</v>
      </c>
      <c r="S99" s="189">
        <v>0</v>
      </c>
      <c r="T99" s="189">
        <v>803.09</v>
      </c>
      <c r="BT99" s="525"/>
      <c r="BU99" s="523"/>
      <c r="BV99" s="523"/>
      <c r="BW99" s="523"/>
      <c r="BX99" s="523">
        <v>0</v>
      </c>
      <c r="BY99" s="523">
        <v>803.09</v>
      </c>
      <c r="BZ99" s="523"/>
      <c r="CA99" s="523"/>
      <c r="CB99" s="523"/>
      <c r="CC99" s="523"/>
      <c r="CD99" s="523"/>
      <c r="CE99" s="523"/>
      <c r="CF99" s="523"/>
      <c r="CG99" s="523"/>
      <c r="CH99" s="523"/>
      <c r="CI99" s="523">
        <f t="shared" si="20"/>
        <v>803.09</v>
      </c>
    </row>
    <row r="100" spans="1:87" ht="15" x14ac:dyDescent="0.2">
      <c r="A100" s="680" t="s">
        <v>223</v>
      </c>
      <c r="B100" s="569">
        <v>87905</v>
      </c>
      <c r="C100" s="569" t="s">
        <v>1324</v>
      </c>
      <c r="D100" s="569" t="s">
        <v>1461</v>
      </c>
      <c r="E100" s="681" t="s">
        <v>14</v>
      </c>
      <c r="F100" s="644">
        <v>582.46</v>
      </c>
      <c r="G100" s="682">
        <v>6.11</v>
      </c>
      <c r="H100" s="681">
        <v>803.09</v>
      </c>
      <c r="I100" s="622">
        <f t="shared" si="21"/>
        <v>0</v>
      </c>
      <c r="J100" s="574">
        <f t="shared" si="22"/>
        <v>803.09</v>
      </c>
      <c r="K100" s="644">
        <f>H100-J100</f>
        <v>0</v>
      </c>
      <c r="L100" s="708">
        <f t="shared" ref="L100:O109" si="29">ROUND(H100*$G100,2)</f>
        <v>4906.88</v>
      </c>
      <c r="M100" s="708">
        <f t="shared" si="29"/>
        <v>0</v>
      </c>
      <c r="N100" s="708">
        <f t="shared" si="29"/>
        <v>4906.88</v>
      </c>
      <c r="O100" s="718">
        <f t="shared" si="29"/>
        <v>0</v>
      </c>
      <c r="P100" s="617">
        <f t="shared" si="26"/>
        <v>1</v>
      </c>
      <c r="Q100" s="525">
        <f>I100-'[9]8'!I99</f>
        <v>0</v>
      </c>
      <c r="S100" s="189">
        <v>0</v>
      </c>
      <c r="T100" s="189">
        <v>0</v>
      </c>
      <c r="BT100" s="525"/>
      <c r="BU100" s="523"/>
      <c r="BV100" s="523"/>
      <c r="BW100" s="523"/>
      <c r="BX100" s="523">
        <v>0</v>
      </c>
      <c r="BY100" s="523">
        <v>803.09</v>
      </c>
      <c r="BZ100" s="523">
        <v>0</v>
      </c>
      <c r="CA100" s="523">
        <v>0</v>
      </c>
      <c r="CB100" s="523"/>
      <c r="CC100" s="523"/>
      <c r="CD100" s="523"/>
      <c r="CE100" s="523"/>
      <c r="CF100" s="523"/>
      <c r="CG100" s="523"/>
      <c r="CH100" s="523"/>
      <c r="CI100" s="523">
        <f t="shared" si="20"/>
        <v>803.09</v>
      </c>
    </row>
    <row r="101" spans="1:87" s="110" customFormat="1" ht="15" x14ac:dyDescent="0.2">
      <c r="A101" s="680" t="s">
        <v>239</v>
      </c>
      <c r="B101" s="569">
        <v>87882</v>
      </c>
      <c r="C101" s="569" t="s">
        <v>1324</v>
      </c>
      <c r="D101" s="569" t="s">
        <v>1462</v>
      </c>
      <c r="E101" s="681" t="s">
        <v>14</v>
      </c>
      <c r="F101" s="571"/>
      <c r="G101" s="682">
        <v>4.03</v>
      </c>
      <c r="H101" s="681">
        <v>84.33</v>
      </c>
      <c r="I101" s="622">
        <f t="shared" si="21"/>
        <v>0</v>
      </c>
      <c r="J101" s="574">
        <f t="shared" si="22"/>
        <v>84.33</v>
      </c>
      <c r="K101" s="644">
        <f t="shared" ref="K101:K109" si="30">H101-J101</f>
        <v>0</v>
      </c>
      <c r="L101" s="708">
        <f t="shared" si="29"/>
        <v>339.85</v>
      </c>
      <c r="M101" s="708">
        <f t="shared" si="29"/>
        <v>0</v>
      </c>
      <c r="N101" s="708">
        <f t="shared" si="29"/>
        <v>339.85</v>
      </c>
      <c r="O101" s="718">
        <f t="shared" si="29"/>
        <v>0</v>
      </c>
      <c r="P101" s="617">
        <f t="shared" si="26"/>
        <v>1</v>
      </c>
      <c r="Q101" s="525">
        <f>I101-'[9]8'!I100</f>
        <v>0</v>
      </c>
      <c r="S101" s="192">
        <v>600</v>
      </c>
      <c r="T101" s="192">
        <v>600</v>
      </c>
      <c r="BT101" s="659"/>
      <c r="BU101" s="659"/>
      <c r="BV101" s="659">
        <v>42.33</v>
      </c>
      <c r="BW101" s="523">
        <v>42</v>
      </c>
      <c r="BX101" s="523">
        <v>0</v>
      </c>
      <c r="BY101" s="523">
        <v>0</v>
      </c>
      <c r="BZ101" s="523">
        <v>0</v>
      </c>
      <c r="CA101" s="523">
        <v>0</v>
      </c>
      <c r="CB101" s="523"/>
      <c r="CC101" s="523"/>
      <c r="CD101" s="523"/>
      <c r="CE101" s="523"/>
      <c r="CF101" s="523"/>
      <c r="CG101" s="523"/>
      <c r="CH101" s="523"/>
      <c r="CI101" s="523">
        <f t="shared" si="20"/>
        <v>84.33</v>
      </c>
    </row>
    <row r="102" spans="1:87" s="110" customFormat="1" ht="15" x14ac:dyDescent="0.2">
      <c r="A102" s="612" t="s">
        <v>1463</v>
      </c>
      <c r="B102" s="613">
        <v>87531</v>
      </c>
      <c r="C102" s="613" t="s">
        <v>1324</v>
      </c>
      <c r="D102" s="614" t="s">
        <v>1464</v>
      </c>
      <c r="E102" s="615" t="s">
        <v>14</v>
      </c>
      <c r="F102" s="644">
        <v>180.11</v>
      </c>
      <c r="G102" s="616">
        <v>26.27</v>
      </c>
      <c r="H102" s="615">
        <v>743.93</v>
      </c>
      <c r="I102" s="574">
        <f t="shared" si="21"/>
        <v>0</v>
      </c>
      <c r="J102" s="574">
        <f t="shared" si="22"/>
        <v>743.93</v>
      </c>
      <c r="K102" s="644">
        <f t="shared" si="30"/>
        <v>0</v>
      </c>
      <c r="L102" s="708">
        <f t="shared" si="29"/>
        <v>19543.04</v>
      </c>
      <c r="M102" s="708">
        <f t="shared" si="29"/>
        <v>0</v>
      </c>
      <c r="N102" s="708">
        <f t="shared" si="29"/>
        <v>19543.04</v>
      </c>
      <c r="O102" s="718">
        <f t="shared" si="29"/>
        <v>0</v>
      </c>
      <c r="P102" s="617">
        <f t="shared" si="26"/>
        <v>1</v>
      </c>
      <c r="Q102" s="525">
        <f>I102-'[9]8'!I101</f>
        <v>0</v>
      </c>
      <c r="S102" s="192">
        <v>358.92</v>
      </c>
      <c r="T102" s="192">
        <v>358.92</v>
      </c>
      <c r="BT102" s="659"/>
      <c r="BU102" s="659"/>
      <c r="BV102" s="659">
        <v>37.92999999999995</v>
      </c>
      <c r="BW102" s="523">
        <v>36</v>
      </c>
      <c r="BX102" s="523">
        <v>670</v>
      </c>
      <c r="BY102" s="523">
        <v>0</v>
      </c>
      <c r="BZ102" s="523">
        <v>0</v>
      </c>
      <c r="CA102" s="523">
        <v>0</v>
      </c>
      <c r="CB102" s="523"/>
      <c r="CC102" s="523"/>
      <c r="CD102" s="523"/>
      <c r="CE102" s="523"/>
      <c r="CF102" s="523"/>
      <c r="CG102" s="523"/>
      <c r="CH102" s="523"/>
      <c r="CI102" s="523">
        <f t="shared" si="20"/>
        <v>743.93</v>
      </c>
    </row>
    <row r="103" spans="1:87" ht="15" x14ac:dyDescent="0.2">
      <c r="A103" s="612" t="s">
        <v>1465</v>
      </c>
      <c r="B103" s="613" t="s">
        <v>1466</v>
      </c>
      <c r="C103" s="613" t="s">
        <v>1324</v>
      </c>
      <c r="D103" s="614" t="s">
        <v>1467</v>
      </c>
      <c r="E103" s="615" t="s">
        <v>14</v>
      </c>
      <c r="F103" s="644">
        <v>327.47000000000003</v>
      </c>
      <c r="G103" s="616">
        <v>12.12</v>
      </c>
      <c r="H103" s="615">
        <v>445.04</v>
      </c>
      <c r="I103" s="574">
        <f t="shared" si="21"/>
        <v>0</v>
      </c>
      <c r="J103" s="574">
        <f t="shared" si="22"/>
        <v>445.04</v>
      </c>
      <c r="K103" s="644">
        <f t="shared" si="30"/>
        <v>0</v>
      </c>
      <c r="L103" s="708">
        <f t="shared" si="29"/>
        <v>5393.88</v>
      </c>
      <c r="M103" s="708">
        <f t="shared" si="29"/>
        <v>0</v>
      </c>
      <c r="N103" s="708">
        <f t="shared" si="29"/>
        <v>5393.88</v>
      </c>
      <c r="O103" s="718">
        <f t="shared" si="29"/>
        <v>0</v>
      </c>
      <c r="P103" s="617">
        <f t="shared" si="26"/>
        <v>1</v>
      </c>
      <c r="Q103" s="525">
        <f>I103-'[9]8'!I102</f>
        <v>0</v>
      </c>
      <c r="S103" s="189">
        <v>0</v>
      </c>
      <c r="T103" s="189">
        <v>0</v>
      </c>
      <c r="BT103" s="659"/>
      <c r="BU103" s="659"/>
      <c r="BV103" s="659">
        <v>44.04000000000002</v>
      </c>
      <c r="BW103" s="523">
        <v>21</v>
      </c>
      <c r="BX103" s="523">
        <v>380</v>
      </c>
      <c r="BY103" s="523">
        <v>0</v>
      </c>
      <c r="BZ103" s="523">
        <v>0</v>
      </c>
      <c r="CA103" s="523">
        <v>0</v>
      </c>
      <c r="CB103" s="523"/>
      <c r="CC103" s="523"/>
      <c r="CD103" s="523"/>
      <c r="CE103" s="523"/>
      <c r="CF103" s="523"/>
      <c r="CG103" s="523"/>
      <c r="CH103" s="523"/>
      <c r="CI103" s="523">
        <f t="shared" si="20"/>
        <v>445.04</v>
      </c>
    </row>
    <row r="104" spans="1:87" ht="15" x14ac:dyDescent="0.2">
      <c r="A104" s="680" t="s">
        <v>1468</v>
      </c>
      <c r="B104" s="569" t="s">
        <v>1466</v>
      </c>
      <c r="C104" s="569" t="s">
        <v>1324</v>
      </c>
      <c r="D104" s="569" t="s">
        <v>1469</v>
      </c>
      <c r="E104" s="681" t="s">
        <v>14</v>
      </c>
      <c r="F104" s="644">
        <v>381.87</v>
      </c>
      <c r="G104" s="682">
        <v>14.08</v>
      </c>
      <c r="H104" s="681">
        <v>84.33</v>
      </c>
      <c r="I104" s="622">
        <f t="shared" si="21"/>
        <v>0</v>
      </c>
      <c r="J104" s="574">
        <f t="shared" si="22"/>
        <v>84.33</v>
      </c>
      <c r="K104" s="644">
        <f t="shared" si="30"/>
        <v>0</v>
      </c>
      <c r="L104" s="708">
        <f t="shared" si="29"/>
        <v>1187.3699999999999</v>
      </c>
      <c r="M104" s="708">
        <f t="shared" si="29"/>
        <v>0</v>
      </c>
      <c r="N104" s="708">
        <f t="shared" si="29"/>
        <v>1187.3699999999999</v>
      </c>
      <c r="O104" s="718">
        <f t="shared" si="29"/>
        <v>0</v>
      </c>
      <c r="P104" s="617">
        <f t="shared" si="26"/>
        <v>1</v>
      </c>
      <c r="Q104" s="525">
        <f>I104-'[9]8'!I103</f>
        <v>0</v>
      </c>
      <c r="S104" s="189">
        <v>0</v>
      </c>
      <c r="T104" s="189">
        <v>0</v>
      </c>
      <c r="BT104" s="659"/>
      <c r="BU104" s="659"/>
      <c r="BV104" s="659">
        <v>4.3299999999999983</v>
      </c>
      <c r="BW104" s="523">
        <v>80</v>
      </c>
      <c r="BX104" s="523">
        <v>0</v>
      </c>
      <c r="BY104" s="523">
        <v>0</v>
      </c>
      <c r="BZ104" s="523">
        <v>0</v>
      </c>
      <c r="CA104" s="523">
        <v>0</v>
      </c>
      <c r="CB104" s="523"/>
      <c r="CC104" s="523"/>
      <c r="CD104" s="523"/>
      <c r="CE104" s="523"/>
      <c r="CF104" s="523"/>
      <c r="CG104" s="523"/>
      <c r="CH104" s="523"/>
      <c r="CI104" s="523">
        <f t="shared" si="20"/>
        <v>84.33</v>
      </c>
    </row>
    <row r="105" spans="1:87" ht="15.75" x14ac:dyDescent="0.2">
      <c r="A105" s="680" t="s">
        <v>1470</v>
      </c>
      <c r="B105" s="569">
        <v>87905</v>
      </c>
      <c r="C105" s="569" t="s">
        <v>1324</v>
      </c>
      <c r="D105" s="569" t="s">
        <v>1471</v>
      </c>
      <c r="E105" s="681" t="s">
        <v>14</v>
      </c>
      <c r="F105" s="578"/>
      <c r="G105" s="682">
        <v>6.11</v>
      </c>
      <c r="H105" s="681">
        <v>140.33000000000001</v>
      </c>
      <c r="I105" s="622">
        <f t="shared" si="21"/>
        <v>34.979999999999997</v>
      </c>
      <c r="J105" s="574">
        <f t="shared" si="22"/>
        <v>140.33483000000001</v>
      </c>
      <c r="K105" s="644">
        <f t="shared" si="30"/>
        <v>-4.8299999999983356E-3</v>
      </c>
      <c r="L105" s="708">
        <f t="shared" si="29"/>
        <v>857.42</v>
      </c>
      <c r="M105" s="708">
        <f t="shared" si="29"/>
        <v>213.73</v>
      </c>
      <c r="N105" s="708">
        <f t="shared" si="29"/>
        <v>857.45</v>
      </c>
      <c r="O105" s="718">
        <f t="shared" si="29"/>
        <v>-0.03</v>
      </c>
      <c r="P105" s="617">
        <f t="shared" si="26"/>
        <v>1.0000349886869913</v>
      </c>
      <c r="Q105" s="525">
        <f>I105-'[9]8'!I104</f>
        <v>0</v>
      </c>
      <c r="S105" s="189">
        <v>0</v>
      </c>
      <c r="T105" s="189">
        <v>0</v>
      </c>
      <c r="BT105" s="659"/>
      <c r="BU105" s="659">
        <v>34.979999999999997</v>
      </c>
      <c r="BV105" s="659">
        <v>91.354830000000007</v>
      </c>
      <c r="BW105" s="523">
        <v>14</v>
      </c>
      <c r="BX105" s="523">
        <v>0</v>
      </c>
      <c r="BY105" s="523">
        <v>0</v>
      </c>
      <c r="BZ105" s="523">
        <v>0</v>
      </c>
      <c r="CA105" s="523">
        <v>0</v>
      </c>
      <c r="CB105" s="523"/>
      <c r="CC105" s="523"/>
      <c r="CD105" s="523"/>
      <c r="CE105" s="523"/>
      <c r="CF105" s="523"/>
      <c r="CG105" s="523"/>
      <c r="CH105" s="523"/>
      <c r="CI105" s="523">
        <f t="shared" si="20"/>
        <v>140.33483000000001</v>
      </c>
    </row>
    <row r="106" spans="1:87" ht="15.75" x14ac:dyDescent="0.2">
      <c r="A106" s="680" t="s">
        <v>1472</v>
      </c>
      <c r="B106" s="569">
        <v>87531</v>
      </c>
      <c r="C106" s="569" t="s">
        <v>1324</v>
      </c>
      <c r="D106" s="569" t="s">
        <v>1473</v>
      </c>
      <c r="E106" s="681" t="s">
        <v>14</v>
      </c>
      <c r="F106" s="578"/>
      <c r="G106" s="682">
        <v>26.27</v>
      </c>
      <c r="H106" s="681">
        <v>140.33000000000001</v>
      </c>
      <c r="I106" s="622">
        <f>BU106</f>
        <v>34.97</v>
      </c>
      <c r="J106" s="574">
        <f t="shared" si="22"/>
        <v>140.32976400000001</v>
      </c>
      <c r="K106" s="644">
        <f t="shared" si="30"/>
        <v>2.3600000000101318E-4</v>
      </c>
      <c r="L106" s="708">
        <f t="shared" si="29"/>
        <v>3686.47</v>
      </c>
      <c r="M106" s="708">
        <f>ROUND(I106*$G106,2)</f>
        <v>918.66</v>
      </c>
      <c r="N106" s="708">
        <f t="shared" si="29"/>
        <v>3686.46</v>
      </c>
      <c r="O106" s="718">
        <f t="shared" si="29"/>
        <v>0.01</v>
      </c>
      <c r="P106" s="617">
        <f t="shared" si="26"/>
        <v>0.99999728737789817</v>
      </c>
      <c r="Q106" s="525">
        <f>I106-'[9]8'!I105</f>
        <v>0</v>
      </c>
      <c r="S106" s="189">
        <v>0</v>
      </c>
      <c r="T106" s="189">
        <v>0</v>
      </c>
      <c r="BT106" s="525"/>
      <c r="BU106" s="659">
        <v>34.97</v>
      </c>
      <c r="BV106" s="523">
        <v>105.35976400000001</v>
      </c>
      <c r="BW106" s="523"/>
      <c r="BX106" s="523">
        <v>0</v>
      </c>
      <c r="BY106" s="523">
        <v>0</v>
      </c>
      <c r="BZ106" s="523">
        <v>0</v>
      </c>
      <c r="CA106" s="523">
        <v>0</v>
      </c>
      <c r="CB106" s="523"/>
      <c r="CC106" s="523"/>
      <c r="CD106" s="523"/>
      <c r="CE106" s="523"/>
      <c r="CF106" s="523"/>
      <c r="CG106" s="523"/>
      <c r="CH106" s="523"/>
      <c r="CI106" s="523">
        <f t="shared" si="20"/>
        <v>140.32976400000001</v>
      </c>
    </row>
    <row r="107" spans="1:87" ht="15.75" x14ac:dyDescent="0.2">
      <c r="A107" s="680" t="s">
        <v>1474</v>
      </c>
      <c r="B107" s="569" t="s">
        <v>1466</v>
      </c>
      <c r="C107" s="569" t="s">
        <v>1324</v>
      </c>
      <c r="D107" s="569" t="s">
        <v>1475</v>
      </c>
      <c r="E107" s="681" t="s">
        <v>14</v>
      </c>
      <c r="F107" s="578"/>
      <c r="G107" s="682">
        <v>16.23</v>
      </c>
      <c r="H107" s="681">
        <v>140.33000000000001</v>
      </c>
      <c r="I107" s="622">
        <f t="shared" si="21"/>
        <v>34.97</v>
      </c>
      <c r="J107" s="574">
        <f t="shared" si="22"/>
        <v>140.32976400000001</v>
      </c>
      <c r="K107" s="644">
        <f t="shared" si="30"/>
        <v>2.3600000000101318E-4</v>
      </c>
      <c r="L107" s="708">
        <f t="shared" si="29"/>
        <v>2277.56</v>
      </c>
      <c r="M107" s="708">
        <f t="shared" si="29"/>
        <v>567.55999999999995</v>
      </c>
      <c r="N107" s="708">
        <f t="shared" si="29"/>
        <v>2277.5500000000002</v>
      </c>
      <c r="O107" s="718">
        <f t="shared" si="29"/>
        <v>0</v>
      </c>
      <c r="P107" s="617">
        <f t="shared" si="26"/>
        <v>0.99999560933630738</v>
      </c>
      <c r="Q107" s="525">
        <f>I107-'[9]8'!I106</f>
        <v>0</v>
      </c>
      <c r="S107" s="189">
        <v>0</v>
      </c>
      <c r="T107" s="189">
        <v>0</v>
      </c>
      <c r="BT107" s="525"/>
      <c r="BU107" s="659">
        <v>34.97</v>
      </c>
      <c r="BV107" s="523">
        <v>105.35976400000001</v>
      </c>
      <c r="BW107" s="523"/>
      <c r="BX107" s="523">
        <v>0</v>
      </c>
      <c r="BY107" s="523">
        <v>0</v>
      </c>
      <c r="BZ107" s="523">
        <v>0</v>
      </c>
      <c r="CA107" s="523">
        <v>0</v>
      </c>
      <c r="CB107" s="523"/>
      <c r="CC107" s="523"/>
      <c r="CD107" s="523"/>
      <c r="CE107" s="523"/>
      <c r="CF107" s="523"/>
      <c r="CG107" s="523"/>
      <c r="CH107" s="523"/>
      <c r="CI107" s="523">
        <f t="shared" si="20"/>
        <v>140.32976400000001</v>
      </c>
    </row>
    <row r="108" spans="1:87" ht="30" x14ac:dyDescent="0.2">
      <c r="A108" s="680" t="s">
        <v>1476</v>
      </c>
      <c r="B108" s="569">
        <v>87272</v>
      </c>
      <c r="C108" s="569" t="s">
        <v>1324</v>
      </c>
      <c r="D108" s="569" t="s">
        <v>1477</v>
      </c>
      <c r="E108" s="681" t="s">
        <v>14</v>
      </c>
      <c r="F108" s="644">
        <v>319.5</v>
      </c>
      <c r="G108" s="682">
        <v>45.67</v>
      </c>
      <c r="H108" s="681">
        <v>210.5</v>
      </c>
      <c r="I108" s="622">
        <f t="shared" si="21"/>
        <v>105.38</v>
      </c>
      <c r="J108" s="574">
        <f t="shared" si="22"/>
        <v>210.5</v>
      </c>
      <c r="K108" s="644">
        <f t="shared" si="30"/>
        <v>0</v>
      </c>
      <c r="L108" s="708">
        <f t="shared" si="29"/>
        <v>9613.5400000000009</v>
      </c>
      <c r="M108" s="708">
        <f t="shared" si="29"/>
        <v>4812.7</v>
      </c>
      <c r="N108" s="708">
        <f t="shared" si="29"/>
        <v>9613.5400000000009</v>
      </c>
      <c r="O108" s="718">
        <f t="shared" si="29"/>
        <v>0</v>
      </c>
      <c r="P108" s="617">
        <f t="shared" si="26"/>
        <v>1</v>
      </c>
      <c r="Q108" s="525">
        <f>I108-'[9]8'!I107</f>
        <v>0</v>
      </c>
      <c r="S108" s="189">
        <v>0</v>
      </c>
      <c r="T108" s="189">
        <v>0</v>
      </c>
      <c r="BT108" s="525"/>
      <c r="BU108" s="523">
        <v>105.38</v>
      </c>
      <c r="BV108" s="523">
        <v>105.12</v>
      </c>
      <c r="BW108" s="523"/>
      <c r="BX108" s="523">
        <v>0</v>
      </c>
      <c r="BY108" s="523">
        <v>0</v>
      </c>
      <c r="BZ108" s="523">
        <v>0</v>
      </c>
      <c r="CA108" s="523">
        <v>0</v>
      </c>
      <c r="CB108" s="523"/>
      <c r="CC108" s="523"/>
      <c r="CD108" s="523"/>
      <c r="CE108" s="523"/>
      <c r="CF108" s="523"/>
      <c r="CG108" s="523"/>
      <c r="CH108" s="523"/>
      <c r="CI108" s="523">
        <f t="shared" si="20"/>
        <v>210.5</v>
      </c>
    </row>
    <row r="109" spans="1:87" ht="30" x14ac:dyDescent="0.2">
      <c r="A109" s="680" t="s">
        <v>1478</v>
      </c>
      <c r="B109" s="569">
        <v>87267</v>
      </c>
      <c r="C109" s="569" t="s">
        <v>1324</v>
      </c>
      <c r="D109" s="569" t="s">
        <v>1479</v>
      </c>
      <c r="E109" s="681" t="s">
        <v>14</v>
      </c>
      <c r="F109" s="644">
        <v>347.14</v>
      </c>
      <c r="G109" s="682">
        <v>46.64</v>
      </c>
      <c r="H109" s="681">
        <v>85.51</v>
      </c>
      <c r="I109" s="622">
        <f t="shared" si="21"/>
        <v>21.35</v>
      </c>
      <c r="J109" s="574">
        <f t="shared" si="22"/>
        <v>64.23</v>
      </c>
      <c r="K109" s="644">
        <f t="shared" si="30"/>
        <v>21.28</v>
      </c>
      <c r="L109" s="708">
        <f t="shared" si="29"/>
        <v>3988.19</v>
      </c>
      <c r="M109" s="708">
        <f t="shared" si="29"/>
        <v>995.76</v>
      </c>
      <c r="N109" s="708">
        <f t="shared" si="29"/>
        <v>2995.69</v>
      </c>
      <c r="O109" s="718">
        <f t="shared" si="29"/>
        <v>992.5</v>
      </c>
      <c r="P109" s="617">
        <f t="shared" si="26"/>
        <v>0.75114024156321535</v>
      </c>
      <c r="Q109" s="525">
        <f>I109-'[9]8'!I108</f>
        <v>0</v>
      </c>
      <c r="S109" s="189">
        <v>0</v>
      </c>
      <c r="T109" s="189">
        <v>0</v>
      </c>
      <c r="BT109" s="525"/>
      <c r="BU109" s="523">
        <f>21.35</f>
        <v>21.35</v>
      </c>
      <c r="BV109" s="523">
        <v>42.88</v>
      </c>
      <c r="BW109" s="523"/>
      <c r="BX109" s="523">
        <v>0</v>
      </c>
      <c r="BY109" s="523">
        <v>0</v>
      </c>
      <c r="BZ109" s="523">
        <v>0</v>
      </c>
      <c r="CA109" s="523">
        <v>0</v>
      </c>
      <c r="CB109" s="523"/>
      <c r="CC109" s="523"/>
      <c r="CD109" s="523"/>
      <c r="CE109" s="523"/>
      <c r="CF109" s="523"/>
      <c r="CG109" s="523"/>
      <c r="CH109" s="523"/>
      <c r="CI109" s="523">
        <f t="shared" si="20"/>
        <v>64.23</v>
      </c>
    </row>
    <row r="110" spans="1:87" s="754" customFormat="1" ht="15.75" x14ac:dyDescent="0.2">
      <c r="A110" s="600">
        <v>10</v>
      </c>
      <c r="B110" s="558"/>
      <c r="C110" s="558"/>
      <c r="D110" s="558" t="s">
        <v>1480</v>
      </c>
      <c r="E110" s="626"/>
      <c r="F110" s="626"/>
      <c r="G110" s="626"/>
      <c r="H110" s="626"/>
      <c r="I110" s="626"/>
      <c r="J110" s="626"/>
      <c r="K110" s="626"/>
      <c r="L110" s="734">
        <f>SUM(L111,L117)</f>
        <v>60566.09</v>
      </c>
      <c r="M110" s="734">
        <f>SUM(M111,M117)</f>
        <v>2255.38</v>
      </c>
      <c r="N110" s="734">
        <f>SUM(N111,N117)</f>
        <v>12915.44</v>
      </c>
      <c r="O110" s="721">
        <f>SUM(O111,O117)</f>
        <v>47650.650000000009</v>
      </c>
      <c r="P110" s="604">
        <f t="shared" si="26"/>
        <v>0.21324539853901747</v>
      </c>
      <c r="Q110" s="525">
        <f>I110-'[9]8'!I109</f>
        <v>0</v>
      </c>
      <c r="S110" s="190">
        <v>0</v>
      </c>
      <c r="T110" s="190">
        <v>0</v>
      </c>
      <c r="BT110" s="525"/>
      <c r="BU110" s="523"/>
      <c r="BV110" s="523"/>
      <c r="BW110" s="523"/>
      <c r="BX110" s="523">
        <v>0</v>
      </c>
      <c r="BY110" s="523">
        <v>0</v>
      </c>
      <c r="BZ110" s="523"/>
      <c r="CA110" s="523"/>
      <c r="CB110" s="523"/>
      <c r="CC110" s="523"/>
      <c r="CD110" s="523"/>
      <c r="CE110" s="523"/>
      <c r="CF110" s="523"/>
      <c r="CG110" s="523"/>
      <c r="CH110" s="523"/>
      <c r="CI110" s="523">
        <f t="shared" si="20"/>
        <v>0</v>
      </c>
    </row>
    <row r="111" spans="1:87" ht="15.75" x14ac:dyDescent="0.2">
      <c r="A111" s="605" t="s">
        <v>254</v>
      </c>
      <c r="B111" s="586"/>
      <c r="C111" s="586"/>
      <c r="D111" s="586" t="s">
        <v>1481</v>
      </c>
      <c r="E111" s="609"/>
      <c r="F111" s="609"/>
      <c r="G111" s="609"/>
      <c r="H111" s="609"/>
      <c r="I111" s="609"/>
      <c r="J111" s="609"/>
      <c r="K111" s="609"/>
      <c r="L111" s="733">
        <f>SUM(L112:L116)</f>
        <v>54520.32</v>
      </c>
      <c r="M111" s="733">
        <f>SUM(M112:M116)</f>
        <v>160.58000000000001</v>
      </c>
      <c r="N111" s="733">
        <f>SUM(N112:N116)</f>
        <v>9026.18</v>
      </c>
      <c r="O111" s="722">
        <f>SUM(O112:O116)</f>
        <v>45494.140000000007</v>
      </c>
      <c r="P111" s="611">
        <f t="shared" si="26"/>
        <v>0.16555625498896559</v>
      </c>
      <c r="Q111" s="525">
        <f>I111-'[9]8'!I110</f>
        <v>0</v>
      </c>
      <c r="BT111" s="525"/>
      <c r="BU111" s="523"/>
      <c r="BV111" s="523"/>
      <c r="BW111" s="523"/>
      <c r="BX111" s="523">
        <v>0</v>
      </c>
      <c r="BY111" s="523">
        <v>0</v>
      </c>
      <c r="BZ111" s="523"/>
      <c r="CA111" s="523"/>
      <c r="CB111" s="523"/>
      <c r="CC111" s="523"/>
      <c r="CD111" s="523"/>
      <c r="CE111" s="523"/>
      <c r="CF111" s="523"/>
      <c r="CG111" s="523"/>
      <c r="CH111" s="523"/>
      <c r="CI111" s="523">
        <f t="shared" si="20"/>
        <v>0</v>
      </c>
    </row>
    <row r="112" spans="1:87" ht="15" x14ac:dyDescent="0.2">
      <c r="A112" s="680" t="s">
        <v>1482</v>
      </c>
      <c r="B112" s="569" t="s">
        <v>2007</v>
      </c>
      <c r="C112" s="569" t="s">
        <v>1339</v>
      </c>
      <c r="D112" s="569" t="s">
        <v>1483</v>
      </c>
      <c r="E112" s="681" t="s">
        <v>14</v>
      </c>
      <c r="F112" s="644">
        <v>52.1</v>
      </c>
      <c r="G112" s="682">
        <v>30.94</v>
      </c>
      <c r="H112" s="681">
        <v>64.91</v>
      </c>
      <c r="I112" s="622">
        <f t="shared" si="21"/>
        <v>5.19</v>
      </c>
      <c r="J112" s="574">
        <f t="shared" si="22"/>
        <v>64.907200000000003</v>
      </c>
      <c r="K112" s="644">
        <f>H112-J112</f>
        <v>2.7999999999934744E-3</v>
      </c>
      <c r="L112" s="708">
        <f t="shared" ref="L112:O116" si="31">ROUND(H112*$G112,2)</f>
        <v>2008.32</v>
      </c>
      <c r="M112" s="708">
        <f t="shared" si="31"/>
        <v>160.58000000000001</v>
      </c>
      <c r="N112" s="708">
        <f t="shared" si="31"/>
        <v>2008.23</v>
      </c>
      <c r="O112" s="718">
        <f t="shared" si="31"/>
        <v>0.09</v>
      </c>
      <c r="P112" s="617">
        <f t="shared" si="26"/>
        <v>0.99995518642447423</v>
      </c>
      <c r="Q112" s="525">
        <f>I112-'[9]8'!I111</f>
        <v>0</v>
      </c>
      <c r="BT112" s="525"/>
      <c r="BU112" s="659">
        <v>5.19</v>
      </c>
      <c r="BV112" s="659"/>
      <c r="BW112" s="523">
        <v>59.717199999999998</v>
      </c>
      <c r="BX112" s="523">
        <v>0</v>
      </c>
      <c r="BY112" s="523">
        <v>0</v>
      </c>
      <c r="BZ112" s="523">
        <v>0</v>
      </c>
      <c r="CA112" s="523">
        <v>0</v>
      </c>
      <c r="CB112" s="523"/>
      <c r="CC112" s="523"/>
      <c r="CD112" s="523"/>
      <c r="CE112" s="523"/>
      <c r="CF112" s="523"/>
      <c r="CG112" s="523"/>
      <c r="CH112" s="523"/>
      <c r="CI112" s="523">
        <f t="shared" si="20"/>
        <v>64.907200000000003</v>
      </c>
    </row>
    <row r="113" spans="1:87" ht="15" x14ac:dyDescent="0.2">
      <c r="A113" s="680" t="s">
        <v>1484</v>
      </c>
      <c r="B113" s="569">
        <v>87630</v>
      </c>
      <c r="C113" s="569" t="s">
        <v>1324</v>
      </c>
      <c r="D113" s="569" t="s">
        <v>1485</v>
      </c>
      <c r="E113" s="681" t="s">
        <v>14</v>
      </c>
      <c r="F113" s="644">
        <v>15.24</v>
      </c>
      <c r="G113" s="682">
        <v>30.71</v>
      </c>
      <c r="H113" s="681">
        <v>64.91</v>
      </c>
      <c r="I113" s="622">
        <f t="shared" si="21"/>
        <v>0</v>
      </c>
      <c r="J113" s="574">
        <f t="shared" si="22"/>
        <v>0</v>
      </c>
      <c r="K113" s="644">
        <f>H113-J113</f>
        <v>64.91</v>
      </c>
      <c r="L113" s="708">
        <f t="shared" si="31"/>
        <v>1993.39</v>
      </c>
      <c r="M113" s="708">
        <f t="shared" si="31"/>
        <v>0</v>
      </c>
      <c r="N113" s="708">
        <f t="shared" si="31"/>
        <v>0</v>
      </c>
      <c r="O113" s="718">
        <f t="shared" si="31"/>
        <v>1993.39</v>
      </c>
      <c r="P113" s="617">
        <f t="shared" si="26"/>
        <v>0</v>
      </c>
      <c r="Q113" s="525">
        <f>I113-'[9]8'!I112</f>
        <v>0</v>
      </c>
      <c r="BT113" s="525"/>
      <c r="BU113" s="523"/>
      <c r="BV113" s="523"/>
      <c r="BW113" s="523"/>
      <c r="BX113" s="523">
        <v>0</v>
      </c>
      <c r="BY113" s="523">
        <v>0</v>
      </c>
      <c r="BZ113" s="523">
        <v>0</v>
      </c>
      <c r="CA113" s="523">
        <v>0</v>
      </c>
      <c r="CB113" s="523"/>
      <c r="CC113" s="523"/>
      <c r="CD113" s="523"/>
      <c r="CE113" s="523"/>
      <c r="CF113" s="523"/>
      <c r="CG113" s="523"/>
      <c r="CH113" s="523"/>
      <c r="CI113" s="523">
        <f t="shared" si="20"/>
        <v>0</v>
      </c>
    </row>
    <row r="114" spans="1:87" ht="30" x14ac:dyDescent="0.2">
      <c r="A114" s="680" t="s">
        <v>1486</v>
      </c>
      <c r="B114" s="569">
        <v>72136</v>
      </c>
      <c r="C114" s="569" t="s">
        <v>1324</v>
      </c>
      <c r="D114" s="569" t="s">
        <v>1487</v>
      </c>
      <c r="E114" s="681" t="s">
        <v>14</v>
      </c>
      <c r="F114" s="644">
        <v>584.54999999999995</v>
      </c>
      <c r="G114" s="682">
        <v>71.489999999999995</v>
      </c>
      <c r="H114" s="681">
        <v>676.67</v>
      </c>
      <c r="I114" s="622">
        <f t="shared" si="21"/>
        <v>0</v>
      </c>
      <c r="J114" s="574">
        <f t="shared" si="22"/>
        <v>98.166899999999998</v>
      </c>
      <c r="K114" s="644">
        <f>H114-J114</f>
        <v>578.5030999999999</v>
      </c>
      <c r="L114" s="708">
        <f t="shared" si="31"/>
        <v>48375.14</v>
      </c>
      <c r="M114" s="708">
        <f t="shared" si="31"/>
        <v>0</v>
      </c>
      <c r="N114" s="708">
        <f t="shared" si="31"/>
        <v>7017.95</v>
      </c>
      <c r="O114" s="718">
        <f t="shared" si="31"/>
        <v>41357.19</v>
      </c>
      <c r="P114" s="617">
        <f t="shared" si="26"/>
        <v>0.14507348195788167</v>
      </c>
      <c r="Q114" s="525">
        <f>I114-'[9]8'!I113</f>
        <v>0</v>
      </c>
      <c r="BT114" s="525"/>
      <c r="BU114" s="523"/>
      <c r="BV114" s="523"/>
      <c r="BW114" s="523"/>
      <c r="BX114" s="523">
        <v>98.166899999999998</v>
      </c>
      <c r="BY114" s="523">
        <v>0</v>
      </c>
      <c r="BZ114" s="523">
        <v>0</v>
      </c>
      <c r="CA114" s="523">
        <v>0</v>
      </c>
      <c r="CB114" s="523"/>
      <c r="CC114" s="523"/>
      <c r="CD114" s="523"/>
      <c r="CE114" s="523"/>
      <c r="CF114" s="523"/>
      <c r="CG114" s="523"/>
      <c r="CH114" s="523"/>
      <c r="CI114" s="523">
        <f t="shared" si="20"/>
        <v>98.166899999999998</v>
      </c>
    </row>
    <row r="115" spans="1:87" ht="15" x14ac:dyDescent="0.2">
      <c r="A115" s="680" t="s">
        <v>1488</v>
      </c>
      <c r="B115" s="569">
        <v>87251</v>
      </c>
      <c r="C115" s="569" t="s">
        <v>1324</v>
      </c>
      <c r="D115" s="569" t="s">
        <v>1489</v>
      </c>
      <c r="E115" s="681" t="s">
        <v>14</v>
      </c>
      <c r="F115" s="644">
        <v>18.86</v>
      </c>
      <c r="G115" s="682">
        <v>31.13</v>
      </c>
      <c r="H115" s="681">
        <v>64.91</v>
      </c>
      <c r="I115" s="622">
        <f t="shared" si="21"/>
        <v>0</v>
      </c>
      <c r="J115" s="574">
        <f t="shared" si="22"/>
        <v>0</v>
      </c>
      <c r="K115" s="644">
        <f>H115-J115</f>
        <v>64.91</v>
      </c>
      <c r="L115" s="708">
        <f t="shared" si="31"/>
        <v>2020.65</v>
      </c>
      <c r="M115" s="708">
        <f t="shared" si="31"/>
        <v>0</v>
      </c>
      <c r="N115" s="708">
        <f t="shared" si="31"/>
        <v>0</v>
      </c>
      <c r="O115" s="718">
        <f t="shared" si="31"/>
        <v>2020.65</v>
      </c>
      <c r="P115" s="617">
        <f t="shared" si="26"/>
        <v>0</v>
      </c>
      <c r="Q115" s="525">
        <f>I115-'[9]8'!I114</f>
        <v>0</v>
      </c>
      <c r="BT115" s="525"/>
      <c r="BU115" s="523"/>
      <c r="BV115" s="523"/>
      <c r="BW115" s="523"/>
      <c r="BX115" s="523">
        <v>0</v>
      </c>
      <c r="BY115" s="523">
        <v>0</v>
      </c>
      <c r="BZ115" s="523">
        <v>0</v>
      </c>
      <c r="CA115" s="523">
        <v>0</v>
      </c>
      <c r="CB115" s="523"/>
      <c r="CC115" s="523"/>
      <c r="CD115" s="523"/>
      <c r="CE115" s="523"/>
      <c r="CF115" s="523"/>
      <c r="CG115" s="523"/>
      <c r="CH115" s="523"/>
      <c r="CI115" s="523">
        <f t="shared" si="20"/>
        <v>0</v>
      </c>
    </row>
    <row r="116" spans="1:87" s="754" customFormat="1" ht="15" x14ac:dyDescent="0.2">
      <c r="A116" s="680" t="s">
        <v>1490</v>
      </c>
      <c r="B116" s="569" t="s">
        <v>2007</v>
      </c>
      <c r="C116" s="569" t="s">
        <v>1339</v>
      </c>
      <c r="D116" s="569" t="s">
        <v>1491</v>
      </c>
      <c r="E116" s="681" t="s">
        <v>81</v>
      </c>
      <c r="F116" s="644">
        <v>42.78</v>
      </c>
      <c r="G116" s="682">
        <v>45.49</v>
      </c>
      <c r="H116" s="681">
        <v>2.7</v>
      </c>
      <c r="I116" s="622">
        <f t="shared" si="21"/>
        <v>0</v>
      </c>
      <c r="J116" s="574">
        <f t="shared" si="22"/>
        <v>0</v>
      </c>
      <c r="K116" s="644">
        <f>H116-J116</f>
        <v>2.7</v>
      </c>
      <c r="L116" s="708">
        <f t="shared" si="31"/>
        <v>122.82</v>
      </c>
      <c r="M116" s="708">
        <f t="shared" si="31"/>
        <v>0</v>
      </c>
      <c r="N116" s="708">
        <f t="shared" si="31"/>
        <v>0</v>
      </c>
      <c r="O116" s="718">
        <f t="shared" si="31"/>
        <v>122.82</v>
      </c>
      <c r="P116" s="617">
        <f t="shared" si="26"/>
        <v>0</v>
      </c>
      <c r="Q116" s="525">
        <f>I116-'[9]8'!I115</f>
        <v>0</v>
      </c>
      <c r="S116" s="190">
        <v>0</v>
      </c>
      <c r="T116" s="190">
        <v>0</v>
      </c>
      <c r="BT116" s="525"/>
      <c r="BU116" s="523"/>
      <c r="BV116" s="523"/>
      <c r="BW116" s="523"/>
      <c r="BX116" s="523">
        <v>0</v>
      </c>
      <c r="BY116" s="523">
        <v>0</v>
      </c>
      <c r="BZ116" s="523">
        <v>0</v>
      </c>
      <c r="CA116" s="523">
        <v>0</v>
      </c>
      <c r="CB116" s="523"/>
      <c r="CC116" s="523"/>
      <c r="CD116" s="523"/>
      <c r="CE116" s="523"/>
      <c r="CF116" s="523"/>
      <c r="CG116" s="523"/>
      <c r="CH116" s="523"/>
      <c r="CI116" s="523">
        <f t="shared" si="20"/>
        <v>0</v>
      </c>
    </row>
    <row r="117" spans="1:87" ht="15.75" x14ac:dyDescent="0.2">
      <c r="A117" s="605" t="s">
        <v>256</v>
      </c>
      <c r="B117" s="586"/>
      <c r="C117" s="586"/>
      <c r="D117" s="586" t="s">
        <v>1256</v>
      </c>
      <c r="E117" s="609"/>
      <c r="F117" s="609"/>
      <c r="G117" s="609"/>
      <c r="H117" s="609"/>
      <c r="I117" s="609"/>
      <c r="J117" s="609"/>
      <c r="K117" s="609"/>
      <c r="L117" s="733">
        <f>SUM(L118:L120)</f>
        <v>6045.77</v>
      </c>
      <c r="M117" s="733">
        <f>SUM(M118:M120)</f>
        <v>2094.8000000000002</v>
      </c>
      <c r="N117" s="733">
        <f>SUM(N118:N120)</f>
        <v>3889.26</v>
      </c>
      <c r="O117" s="722">
        <f>SUM(O118:O120)</f>
        <v>2156.5099999999998</v>
      </c>
      <c r="P117" s="611">
        <f t="shared" si="26"/>
        <v>0.64330267277782649</v>
      </c>
      <c r="Q117" s="525">
        <f>I117-'[9]8'!I116</f>
        <v>0</v>
      </c>
      <c r="S117" s="189">
        <v>0</v>
      </c>
      <c r="T117" s="189">
        <v>0</v>
      </c>
      <c r="BT117" s="525"/>
      <c r="BU117" s="523"/>
      <c r="BV117" s="523"/>
      <c r="BW117" s="523"/>
      <c r="BX117" s="523">
        <v>0</v>
      </c>
      <c r="BY117" s="523">
        <v>0</v>
      </c>
      <c r="BZ117" s="523"/>
      <c r="CA117" s="523"/>
      <c r="CB117" s="523"/>
      <c r="CC117" s="523"/>
      <c r="CD117" s="523"/>
      <c r="CE117" s="523"/>
      <c r="CF117" s="523"/>
      <c r="CG117" s="523"/>
      <c r="CH117" s="523"/>
      <c r="CI117" s="523">
        <f t="shared" si="20"/>
        <v>0</v>
      </c>
    </row>
    <row r="118" spans="1:87" ht="15" x14ac:dyDescent="0.2">
      <c r="A118" s="680" t="s">
        <v>1492</v>
      </c>
      <c r="B118" s="569">
        <v>85181</v>
      </c>
      <c r="C118" s="569" t="s">
        <v>1324</v>
      </c>
      <c r="D118" s="569" t="s">
        <v>1493</v>
      </c>
      <c r="E118" s="681" t="s">
        <v>14</v>
      </c>
      <c r="F118" s="630"/>
      <c r="G118" s="682">
        <v>523.70000000000005</v>
      </c>
      <c r="H118" s="681">
        <v>9.7899999999999991</v>
      </c>
      <c r="I118" s="622">
        <f t="shared" si="21"/>
        <v>4</v>
      </c>
      <c r="J118" s="574">
        <f t="shared" si="22"/>
        <v>7.426499999999999</v>
      </c>
      <c r="K118" s="644">
        <f>H118-J118</f>
        <v>2.3635000000000002</v>
      </c>
      <c r="L118" s="708">
        <f t="shared" ref="L118:O120" si="32">ROUND(H118*$G118,2)</f>
        <v>5127.0200000000004</v>
      </c>
      <c r="M118" s="708">
        <f t="shared" si="32"/>
        <v>2094.8000000000002</v>
      </c>
      <c r="N118" s="708">
        <f t="shared" si="32"/>
        <v>3889.26</v>
      </c>
      <c r="O118" s="718">
        <f t="shared" si="32"/>
        <v>1237.76</v>
      </c>
      <c r="P118" s="617">
        <f t="shared" si="26"/>
        <v>0.75858100807096518</v>
      </c>
      <c r="Q118" s="525">
        <f>I118-'[9]8'!I117</f>
        <v>0</v>
      </c>
      <c r="S118" s="189">
        <v>0</v>
      </c>
      <c r="T118" s="189">
        <v>0</v>
      </c>
      <c r="BT118" s="525"/>
      <c r="BU118" s="659">
        <v>4</v>
      </c>
      <c r="BV118" s="523">
        <v>3.4264999999999994</v>
      </c>
      <c r="BW118" s="523"/>
      <c r="BX118" s="523">
        <v>0</v>
      </c>
      <c r="BY118" s="523">
        <v>0</v>
      </c>
      <c r="BZ118" s="523">
        <v>0</v>
      </c>
      <c r="CA118" s="523">
        <v>0</v>
      </c>
      <c r="CB118" s="523"/>
      <c r="CC118" s="523"/>
      <c r="CD118" s="523"/>
      <c r="CE118" s="523"/>
      <c r="CF118" s="523"/>
      <c r="CG118" s="523"/>
      <c r="CH118" s="523"/>
      <c r="CI118" s="523">
        <f t="shared" si="20"/>
        <v>7.426499999999999</v>
      </c>
    </row>
    <row r="119" spans="1:87" ht="15" x14ac:dyDescent="0.2">
      <c r="A119" s="680" t="s">
        <v>1494</v>
      </c>
      <c r="B119" s="569">
        <v>5652</v>
      </c>
      <c r="C119" s="569" t="s">
        <v>1324</v>
      </c>
      <c r="D119" s="569" t="s">
        <v>1495</v>
      </c>
      <c r="E119" s="681" t="s">
        <v>48</v>
      </c>
      <c r="F119" s="630"/>
      <c r="G119" s="682">
        <v>276.27</v>
      </c>
      <c r="H119" s="681">
        <v>1.82</v>
      </c>
      <c r="I119" s="622">
        <f t="shared" si="21"/>
        <v>0</v>
      </c>
      <c r="J119" s="574">
        <f t="shared" si="22"/>
        <v>0</v>
      </c>
      <c r="K119" s="644">
        <f>H119-J119</f>
        <v>1.82</v>
      </c>
      <c r="L119" s="708">
        <f t="shared" si="32"/>
        <v>502.81</v>
      </c>
      <c r="M119" s="708">
        <f t="shared" si="32"/>
        <v>0</v>
      </c>
      <c r="N119" s="708">
        <f t="shared" si="32"/>
        <v>0</v>
      </c>
      <c r="O119" s="718">
        <f t="shared" si="32"/>
        <v>502.81</v>
      </c>
      <c r="P119" s="617">
        <f t="shared" si="26"/>
        <v>0</v>
      </c>
      <c r="Q119" s="525">
        <f>I119-'[9]8'!I118</f>
        <v>0</v>
      </c>
      <c r="S119" s="189">
        <v>0</v>
      </c>
      <c r="T119" s="189">
        <v>0</v>
      </c>
      <c r="BT119" s="525"/>
      <c r="BU119" s="523"/>
      <c r="BV119" s="523"/>
      <c r="BW119" s="523"/>
      <c r="BX119" s="523">
        <v>0</v>
      </c>
      <c r="BY119" s="523">
        <v>0</v>
      </c>
      <c r="BZ119" s="523">
        <v>0</v>
      </c>
      <c r="CA119" s="523">
        <v>0</v>
      </c>
      <c r="CB119" s="523"/>
      <c r="CC119" s="523"/>
      <c r="CD119" s="523"/>
      <c r="CE119" s="523"/>
      <c r="CF119" s="523"/>
      <c r="CG119" s="523"/>
      <c r="CH119" s="523"/>
      <c r="CI119" s="523">
        <f t="shared" si="20"/>
        <v>0</v>
      </c>
    </row>
    <row r="120" spans="1:87" s="754" customFormat="1" ht="30" x14ac:dyDescent="0.2">
      <c r="A120" s="680" t="s">
        <v>1496</v>
      </c>
      <c r="B120" s="569" t="s">
        <v>2007</v>
      </c>
      <c r="C120" s="569" t="s">
        <v>1339</v>
      </c>
      <c r="D120" s="569" t="s">
        <v>1497</v>
      </c>
      <c r="E120" s="681" t="s">
        <v>14</v>
      </c>
      <c r="F120" s="644">
        <v>7.73</v>
      </c>
      <c r="G120" s="682">
        <v>71.099999999999994</v>
      </c>
      <c r="H120" s="681">
        <v>5.85</v>
      </c>
      <c r="I120" s="622">
        <f t="shared" si="21"/>
        <v>0</v>
      </c>
      <c r="J120" s="574">
        <f t="shared" si="22"/>
        <v>0</v>
      </c>
      <c r="K120" s="644">
        <f>H120-J120</f>
        <v>5.85</v>
      </c>
      <c r="L120" s="708">
        <f t="shared" si="32"/>
        <v>415.94</v>
      </c>
      <c r="M120" s="708">
        <f t="shared" si="32"/>
        <v>0</v>
      </c>
      <c r="N120" s="708">
        <f t="shared" si="32"/>
        <v>0</v>
      </c>
      <c r="O120" s="718">
        <f t="shared" si="32"/>
        <v>415.94</v>
      </c>
      <c r="P120" s="617">
        <f t="shared" si="26"/>
        <v>0</v>
      </c>
      <c r="Q120" s="525">
        <f>I120-'[9]8'!I119</f>
        <v>0</v>
      </c>
      <c r="S120" s="190">
        <v>0</v>
      </c>
      <c r="T120" s="190">
        <v>0</v>
      </c>
      <c r="BT120" s="525"/>
      <c r="BU120" s="523"/>
      <c r="BV120" s="523"/>
      <c r="BW120" s="523"/>
      <c r="BX120" s="523">
        <v>0</v>
      </c>
      <c r="BY120" s="523">
        <v>0</v>
      </c>
      <c r="BZ120" s="523">
        <v>0</v>
      </c>
      <c r="CA120" s="523">
        <v>0</v>
      </c>
      <c r="CB120" s="523"/>
      <c r="CC120" s="523"/>
      <c r="CD120" s="523"/>
      <c r="CE120" s="523"/>
      <c r="CF120" s="523"/>
      <c r="CG120" s="523"/>
      <c r="CH120" s="523"/>
      <c r="CI120" s="523">
        <f t="shared" si="20"/>
        <v>0</v>
      </c>
    </row>
    <row r="121" spans="1:87" ht="15.75" x14ac:dyDescent="0.2">
      <c r="A121" s="600">
        <v>11</v>
      </c>
      <c r="B121" s="558"/>
      <c r="C121" s="558"/>
      <c r="D121" s="558" t="s">
        <v>1498</v>
      </c>
      <c r="E121" s="626"/>
      <c r="F121" s="626"/>
      <c r="G121" s="626"/>
      <c r="H121" s="626"/>
      <c r="I121" s="626"/>
      <c r="J121" s="626"/>
      <c r="K121" s="626"/>
      <c r="L121" s="628">
        <f>SUM(L122:L129)</f>
        <v>62088.5</v>
      </c>
      <c r="M121" s="628">
        <f>SUM(M122:M129)</f>
        <v>0</v>
      </c>
      <c r="N121" s="628">
        <f>SUM(N122:N129)</f>
        <v>0</v>
      </c>
      <c r="O121" s="721">
        <f>SUM(O122:O129)</f>
        <v>62088.5</v>
      </c>
      <c r="P121" s="604">
        <f t="shared" si="26"/>
        <v>0</v>
      </c>
      <c r="Q121" s="525">
        <f>I121-'[9]8'!I120</f>
        <v>0</v>
      </c>
      <c r="S121" s="189">
        <v>0</v>
      </c>
      <c r="T121" s="189">
        <v>0</v>
      </c>
      <c r="BT121" s="525"/>
      <c r="BU121" s="523"/>
      <c r="BV121" s="523"/>
      <c r="BW121" s="523"/>
      <c r="BX121" s="523">
        <v>0</v>
      </c>
      <c r="BY121" s="523">
        <v>0</v>
      </c>
      <c r="BZ121" s="523"/>
      <c r="CA121" s="523"/>
      <c r="CB121" s="523"/>
      <c r="CC121" s="523"/>
      <c r="CD121" s="523"/>
      <c r="CE121" s="523"/>
      <c r="CF121" s="523"/>
      <c r="CG121" s="523"/>
      <c r="CH121" s="523"/>
      <c r="CI121" s="523">
        <f t="shared" si="20"/>
        <v>0</v>
      </c>
    </row>
    <row r="122" spans="1:87" ht="15" x14ac:dyDescent="0.2">
      <c r="A122" s="680" t="s">
        <v>274</v>
      </c>
      <c r="B122" s="569" t="s">
        <v>2007</v>
      </c>
      <c r="C122" s="569" t="s">
        <v>1339</v>
      </c>
      <c r="D122" s="569" t="s">
        <v>1499</v>
      </c>
      <c r="E122" s="681" t="s">
        <v>14</v>
      </c>
      <c r="F122" s="644">
        <v>14.07</v>
      </c>
      <c r="G122" s="682">
        <v>7.03</v>
      </c>
      <c r="H122" s="681">
        <v>529.37</v>
      </c>
      <c r="I122" s="622">
        <f t="shared" si="21"/>
        <v>0</v>
      </c>
      <c r="J122" s="574">
        <f t="shared" si="22"/>
        <v>0</v>
      </c>
      <c r="K122" s="644">
        <f t="shared" ref="K122:K129" si="33">H122-J122</f>
        <v>529.37</v>
      </c>
      <c r="L122" s="708">
        <f t="shared" ref="L122:O129" si="34">ROUND(H122*$G122,2)</f>
        <v>3721.47</v>
      </c>
      <c r="M122" s="708">
        <f t="shared" si="34"/>
        <v>0</v>
      </c>
      <c r="N122" s="708">
        <f t="shared" si="34"/>
        <v>0</v>
      </c>
      <c r="O122" s="718">
        <f t="shared" si="34"/>
        <v>3721.47</v>
      </c>
      <c r="P122" s="617">
        <f t="shared" si="26"/>
        <v>0</v>
      </c>
      <c r="Q122" s="525">
        <f>I122-'[9]8'!I121</f>
        <v>0</v>
      </c>
      <c r="S122" s="189">
        <v>0</v>
      </c>
      <c r="T122" s="189">
        <v>0</v>
      </c>
      <c r="BT122" s="525"/>
      <c r="BU122" s="523"/>
      <c r="BV122" s="523"/>
      <c r="BW122" s="523"/>
      <c r="BX122" s="523">
        <v>0</v>
      </c>
      <c r="BY122" s="523">
        <v>0</v>
      </c>
      <c r="BZ122" s="523">
        <v>0</v>
      </c>
      <c r="CA122" s="523">
        <v>0</v>
      </c>
      <c r="CB122" s="523"/>
      <c r="CC122" s="523"/>
      <c r="CD122" s="523"/>
      <c r="CE122" s="523"/>
      <c r="CF122" s="523"/>
      <c r="CG122" s="523"/>
      <c r="CH122" s="523"/>
      <c r="CI122" s="523">
        <f t="shared" si="20"/>
        <v>0</v>
      </c>
    </row>
    <row r="123" spans="1:87" ht="15" x14ac:dyDescent="0.2">
      <c r="A123" s="680" t="s">
        <v>276</v>
      </c>
      <c r="B123" s="569">
        <v>88489</v>
      </c>
      <c r="C123" s="569" t="s">
        <v>1324</v>
      </c>
      <c r="D123" s="569" t="s">
        <v>1500</v>
      </c>
      <c r="E123" s="681" t="s">
        <v>14</v>
      </c>
      <c r="F123" s="644">
        <v>14.07</v>
      </c>
      <c r="G123" s="682">
        <v>9.48</v>
      </c>
      <c r="H123" s="681">
        <v>445.04</v>
      </c>
      <c r="I123" s="622">
        <f t="shared" si="21"/>
        <v>0</v>
      </c>
      <c r="J123" s="574">
        <f t="shared" si="22"/>
        <v>0</v>
      </c>
      <c r="K123" s="644">
        <f t="shared" si="33"/>
        <v>445.04</v>
      </c>
      <c r="L123" s="708">
        <f t="shared" si="34"/>
        <v>4218.9799999999996</v>
      </c>
      <c r="M123" s="708">
        <f t="shared" si="34"/>
        <v>0</v>
      </c>
      <c r="N123" s="708">
        <f t="shared" si="34"/>
        <v>0</v>
      </c>
      <c r="O123" s="718">
        <f t="shared" si="34"/>
        <v>4218.9799999999996</v>
      </c>
      <c r="P123" s="617">
        <f t="shared" si="26"/>
        <v>0</v>
      </c>
      <c r="Q123" s="525">
        <f>I123-'[9]8'!I122</f>
        <v>0</v>
      </c>
      <c r="S123" s="189">
        <v>0</v>
      </c>
      <c r="T123" s="189">
        <v>0</v>
      </c>
      <c r="BT123" s="525"/>
      <c r="BU123" s="523"/>
      <c r="BV123" s="523"/>
      <c r="BW123" s="523"/>
      <c r="BX123" s="523">
        <v>0</v>
      </c>
      <c r="BY123" s="523">
        <v>0</v>
      </c>
      <c r="BZ123" s="523">
        <v>0</v>
      </c>
      <c r="CA123" s="523">
        <v>0</v>
      </c>
      <c r="CB123" s="523"/>
      <c r="CC123" s="523"/>
      <c r="CD123" s="523"/>
      <c r="CE123" s="523"/>
      <c r="CF123" s="523"/>
      <c r="CG123" s="523"/>
      <c r="CH123" s="523"/>
      <c r="CI123" s="523">
        <f t="shared" si="20"/>
        <v>0</v>
      </c>
    </row>
    <row r="124" spans="1:87" ht="15.75" x14ac:dyDescent="0.2">
      <c r="A124" s="680" t="s">
        <v>278</v>
      </c>
      <c r="B124" s="569">
        <v>88486</v>
      </c>
      <c r="C124" s="569" t="s">
        <v>1324</v>
      </c>
      <c r="D124" s="569" t="s">
        <v>1501</v>
      </c>
      <c r="E124" s="681" t="s">
        <v>14</v>
      </c>
      <c r="F124" s="578"/>
      <c r="G124" s="682">
        <v>8.2899999999999991</v>
      </c>
      <c r="H124" s="681">
        <v>84.33</v>
      </c>
      <c r="I124" s="622">
        <f t="shared" si="21"/>
        <v>0</v>
      </c>
      <c r="J124" s="574">
        <f t="shared" si="22"/>
        <v>0</v>
      </c>
      <c r="K124" s="644">
        <f t="shared" si="33"/>
        <v>84.33</v>
      </c>
      <c r="L124" s="708">
        <f t="shared" si="34"/>
        <v>699.1</v>
      </c>
      <c r="M124" s="708">
        <f t="shared" si="34"/>
        <v>0</v>
      </c>
      <c r="N124" s="708">
        <f t="shared" si="34"/>
        <v>0</v>
      </c>
      <c r="O124" s="718">
        <f t="shared" si="34"/>
        <v>699.1</v>
      </c>
      <c r="P124" s="617">
        <f t="shared" si="26"/>
        <v>0</v>
      </c>
      <c r="Q124" s="525">
        <f>I124-'[9]8'!I123</f>
        <v>0</v>
      </c>
      <c r="S124" s="189">
        <v>0</v>
      </c>
      <c r="T124" s="189">
        <v>0</v>
      </c>
      <c r="BT124" s="525"/>
      <c r="BU124" s="523"/>
      <c r="BV124" s="523"/>
      <c r="BW124" s="523"/>
      <c r="BX124" s="523">
        <v>0</v>
      </c>
      <c r="BY124" s="523">
        <v>0</v>
      </c>
      <c r="BZ124" s="523">
        <v>0</v>
      </c>
      <c r="CA124" s="523">
        <v>0</v>
      </c>
      <c r="CB124" s="523"/>
      <c r="CC124" s="523"/>
      <c r="CD124" s="523"/>
      <c r="CE124" s="523"/>
      <c r="CF124" s="523"/>
      <c r="CG124" s="523"/>
      <c r="CH124" s="523"/>
      <c r="CI124" s="523">
        <f t="shared" si="20"/>
        <v>0</v>
      </c>
    </row>
    <row r="125" spans="1:87" ht="15.75" x14ac:dyDescent="0.2">
      <c r="A125" s="680" t="s">
        <v>281</v>
      </c>
      <c r="B125" s="569">
        <v>72815</v>
      </c>
      <c r="C125" s="569" t="s">
        <v>1324</v>
      </c>
      <c r="D125" s="569" t="s">
        <v>1502</v>
      </c>
      <c r="E125" s="681" t="s">
        <v>14</v>
      </c>
      <c r="F125" s="578"/>
      <c r="G125" s="682">
        <v>43.08</v>
      </c>
      <c r="H125" s="681">
        <v>483.8</v>
      </c>
      <c r="I125" s="622">
        <f t="shared" si="21"/>
        <v>0</v>
      </c>
      <c r="J125" s="574">
        <f t="shared" si="22"/>
        <v>0</v>
      </c>
      <c r="K125" s="644">
        <f t="shared" si="33"/>
        <v>483.8</v>
      </c>
      <c r="L125" s="708">
        <f t="shared" si="34"/>
        <v>20842.099999999999</v>
      </c>
      <c r="M125" s="708">
        <f t="shared" si="34"/>
        <v>0</v>
      </c>
      <c r="N125" s="708">
        <f t="shared" si="34"/>
        <v>0</v>
      </c>
      <c r="O125" s="718">
        <f t="shared" si="34"/>
        <v>20842.099999999999</v>
      </c>
      <c r="P125" s="617">
        <f t="shared" si="26"/>
        <v>0</v>
      </c>
      <c r="Q125" s="525">
        <f>I125-'[9]8'!I124</f>
        <v>0</v>
      </c>
      <c r="S125" s="189">
        <v>0</v>
      </c>
      <c r="T125" s="189">
        <v>0</v>
      </c>
      <c r="BT125" s="525"/>
      <c r="BU125" s="523"/>
      <c r="BV125" s="523"/>
      <c r="BW125" s="523"/>
      <c r="BX125" s="523">
        <v>0</v>
      </c>
      <c r="BY125" s="523">
        <v>0</v>
      </c>
      <c r="BZ125" s="523">
        <v>0</v>
      </c>
      <c r="CA125" s="523">
        <v>0</v>
      </c>
      <c r="CB125" s="523"/>
      <c r="CC125" s="523"/>
      <c r="CD125" s="523"/>
      <c r="CE125" s="523"/>
      <c r="CF125" s="523"/>
      <c r="CG125" s="523"/>
      <c r="CH125" s="523"/>
      <c r="CI125" s="523">
        <f t="shared" si="20"/>
        <v>0</v>
      </c>
    </row>
    <row r="126" spans="1:87" ht="15.75" x14ac:dyDescent="0.2">
      <c r="A126" s="680" t="s">
        <v>1503</v>
      </c>
      <c r="B126" s="569">
        <v>41595</v>
      </c>
      <c r="C126" s="569" t="s">
        <v>1324</v>
      </c>
      <c r="D126" s="569" t="s">
        <v>1504</v>
      </c>
      <c r="E126" s="681" t="s">
        <v>81</v>
      </c>
      <c r="F126" s="578"/>
      <c r="G126" s="682">
        <v>8.86</v>
      </c>
      <c r="H126" s="681">
        <v>275.60000000000002</v>
      </c>
      <c r="I126" s="622">
        <f t="shared" si="21"/>
        <v>0</v>
      </c>
      <c r="J126" s="574">
        <f t="shared" si="22"/>
        <v>0</v>
      </c>
      <c r="K126" s="644">
        <f t="shared" si="33"/>
        <v>275.60000000000002</v>
      </c>
      <c r="L126" s="708">
        <f t="shared" si="34"/>
        <v>2441.8200000000002</v>
      </c>
      <c r="M126" s="708">
        <f t="shared" si="34"/>
        <v>0</v>
      </c>
      <c r="N126" s="708">
        <f t="shared" si="34"/>
        <v>0</v>
      </c>
      <c r="O126" s="718">
        <f t="shared" si="34"/>
        <v>2441.8200000000002</v>
      </c>
      <c r="P126" s="617">
        <f t="shared" si="26"/>
        <v>0</v>
      </c>
      <c r="Q126" s="525">
        <f>I126-'[9]8'!I125</f>
        <v>0</v>
      </c>
      <c r="S126" s="189">
        <v>0</v>
      </c>
      <c r="T126" s="189">
        <v>0</v>
      </c>
      <c r="BT126" s="525"/>
      <c r="BU126" s="523"/>
      <c r="BV126" s="523"/>
      <c r="BW126" s="523"/>
      <c r="BX126" s="523">
        <v>0</v>
      </c>
      <c r="BY126" s="523">
        <v>0</v>
      </c>
      <c r="BZ126" s="523">
        <v>0</v>
      </c>
      <c r="CA126" s="523">
        <v>0</v>
      </c>
      <c r="CB126" s="523"/>
      <c r="CC126" s="523"/>
      <c r="CD126" s="523"/>
      <c r="CE126" s="523"/>
      <c r="CF126" s="523"/>
      <c r="CG126" s="523"/>
      <c r="CH126" s="523"/>
      <c r="CI126" s="523">
        <f t="shared" si="20"/>
        <v>0</v>
      </c>
    </row>
    <row r="127" spans="1:87" ht="15" x14ac:dyDescent="0.2">
      <c r="A127" s="680" t="s">
        <v>1505</v>
      </c>
      <c r="B127" s="569" t="s">
        <v>1506</v>
      </c>
      <c r="C127" s="569" t="s">
        <v>1324</v>
      </c>
      <c r="D127" s="569" t="s">
        <v>1507</v>
      </c>
      <c r="E127" s="681" t="s">
        <v>14</v>
      </c>
      <c r="F127" s="571"/>
      <c r="G127" s="682">
        <v>7.25</v>
      </c>
      <c r="H127" s="681">
        <v>366.82</v>
      </c>
      <c r="I127" s="622">
        <f t="shared" si="21"/>
        <v>0</v>
      </c>
      <c r="J127" s="574">
        <f t="shared" si="22"/>
        <v>0</v>
      </c>
      <c r="K127" s="644">
        <f t="shared" si="33"/>
        <v>366.82</v>
      </c>
      <c r="L127" s="708">
        <f t="shared" si="34"/>
        <v>2659.45</v>
      </c>
      <c r="M127" s="708">
        <f t="shared" si="34"/>
        <v>0</v>
      </c>
      <c r="N127" s="708">
        <f t="shared" si="34"/>
        <v>0</v>
      </c>
      <c r="O127" s="718">
        <f t="shared" si="34"/>
        <v>2659.45</v>
      </c>
      <c r="P127" s="617">
        <f t="shared" si="26"/>
        <v>0</v>
      </c>
      <c r="Q127" s="525">
        <f>I127-'[9]8'!I126</f>
        <v>0</v>
      </c>
      <c r="S127" s="189">
        <v>0</v>
      </c>
      <c r="T127" s="189">
        <v>0</v>
      </c>
      <c r="BT127" s="525"/>
      <c r="BU127" s="523"/>
      <c r="BV127" s="523"/>
      <c r="BW127" s="523"/>
      <c r="BX127" s="523">
        <v>0</v>
      </c>
      <c r="BY127" s="523">
        <v>0</v>
      </c>
      <c r="BZ127" s="523">
        <v>0</v>
      </c>
      <c r="CA127" s="523">
        <v>0</v>
      </c>
      <c r="CB127" s="523"/>
      <c r="CC127" s="523"/>
      <c r="CD127" s="523"/>
      <c r="CE127" s="523"/>
      <c r="CF127" s="523"/>
      <c r="CG127" s="523"/>
      <c r="CH127" s="523"/>
      <c r="CI127" s="523">
        <f t="shared" si="20"/>
        <v>0</v>
      </c>
    </row>
    <row r="128" spans="1:87" ht="15" x14ac:dyDescent="0.2">
      <c r="A128" s="680" t="s">
        <v>1508</v>
      </c>
      <c r="B128" s="569" t="s">
        <v>1509</v>
      </c>
      <c r="C128" s="569" t="s">
        <v>1324</v>
      </c>
      <c r="D128" s="569" t="s">
        <v>1510</v>
      </c>
      <c r="E128" s="681" t="s">
        <v>14</v>
      </c>
      <c r="F128" s="644">
        <v>37.78</v>
      </c>
      <c r="G128" s="682">
        <v>21.62</v>
      </c>
      <c r="H128" s="681">
        <v>567.82000000000005</v>
      </c>
      <c r="I128" s="622">
        <f t="shared" si="21"/>
        <v>0</v>
      </c>
      <c r="J128" s="574">
        <f t="shared" si="22"/>
        <v>0</v>
      </c>
      <c r="K128" s="644">
        <f t="shared" si="33"/>
        <v>567.82000000000005</v>
      </c>
      <c r="L128" s="708">
        <f t="shared" si="34"/>
        <v>12276.27</v>
      </c>
      <c r="M128" s="708">
        <f t="shared" si="34"/>
        <v>0</v>
      </c>
      <c r="N128" s="708">
        <f t="shared" si="34"/>
        <v>0</v>
      </c>
      <c r="O128" s="718">
        <f t="shared" si="34"/>
        <v>12276.27</v>
      </c>
      <c r="P128" s="617">
        <f t="shared" si="26"/>
        <v>0</v>
      </c>
      <c r="Q128" s="525">
        <f>I128-'[9]8'!I127</f>
        <v>0</v>
      </c>
      <c r="S128" s="189">
        <v>0</v>
      </c>
      <c r="T128" s="189">
        <v>0</v>
      </c>
      <c r="BT128" s="525"/>
      <c r="BU128" s="523"/>
      <c r="BV128" s="523"/>
      <c r="BW128" s="523"/>
      <c r="BX128" s="523">
        <v>0</v>
      </c>
      <c r="BY128" s="523">
        <v>0</v>
      </c>
      <c r="BZ128" s="523">
        <v>0</v>
      </c>
      <c r="CA128" s="523">
        <v>0</v>
      </c>
      <c r="CB128" s="523"/>
      <c r="CC128" s="523"/>
      <c r="CD128" s="523"/>
      <c r="CE128" s="523"/>
      <c r="CF128" s="523"/>
      <c r="CG128" s="523"/>
      <c r="CH128" s="523"/>
      <c r="CI128" s="523">
        <f t="shared" si="20"/>
        <v>0</v>
      </c>
    </row>
    <row r="129" spans="1:87" ht="15" x14ac:dyDescent="0.2">
      <c r="A129" s="680" t="s">
        <v>1511</v>
      </c>
      <c r="B129" s="569" t="s">
        <v>1512</v>
      </c>
      <c r="C129" s="569" t="s">
        <v>1324</v>
      </c>
      <c r="D129" s="569" t="s">
        <v>1513</v>
      </c>
      <c r="E129" s="681" t="s">
        <v>14</v>
      </c>
      <c r="F129" s="644">
        <v>21.63</v>
      </c>
      <c r="G129" s="682">
        <v>14.78</v>
      </c>
      <c r="H129" s="681">
        <v>1030.4000000000001</v>
      </c>
      <c r="I129" s="622">
        <f t="shared" si="21"/>
        <v>0</v>
      </c>
      <c r="J129" s="574">
        <f t="shared" si="22"/>
        <v>0</v>
      </c>
      <c r="K129" s="644">
        <f t="shared" si="33"/>
        <v>1030.4000000000001</v>
      </c>
      <c r="L129" s="708">
        <f t="shared" si="34"/>
        <v>15229.31</v>
      </c>
      <c r="M129" s="708">
        <f t="shared" si="34"/>
        <v>0</v>
      </c>
      <c r="N129" s="708">
        <f t="shared" si="34"/>
        <v>0</v>
      </c>
      <c r="O129" s="718">
        <f t="shared" si="34"/>
        <v>15229.31</v>
      </c>
      <c r="P129" s="617">
        <f t="shared" si="26"/>
        <v>0</v>
      </c>
      <c r="Q129" s="525">
        <f>I129-'[9]8'!I128</f>
        <v>0</v>
      </c>
      <c r="S129" s="189">
        <v>0</v>
      </c>
      <c r="T129" s="189">
        <v>271</v>
      </c>
      <c r="BT129" s="525"/>
      <c r="BU129" s="523"/>
      <c r="BV129" s="523"/>
      <c r="BW129" s="523"/>
      <c r="BX129" s="523">
        <v>0</v>
      </c>
      <c r="BY129" s="523">
        <v>0</v>
      </c>
      <c r="BZ129" s="523">
        <v>0</v>
      </c>
      <c r="CA129" s="523">
        <v>0</v>
      </c>
      <c r="CB129" s="523"/>
      <c r="CC129" s="523"/>
      <c r="CD129" s="523"/>
      <c r="CE129" s="523"/>
      <c r="CF129" s="523"/>
      <c r="CG129" s="523"/>
      <c r="CH129" s="523"/>
      <c r="CI129" s="523">
        <f t="shared" si="20"/>
        <v>0</v>
      </c>
    </row>
    <row r="130" spans="1:87" s="754" customFormat="1" ht="15.75" x14ac:dyDescent="0.2">
      <c r="A130" s="600">
        <v>12</v>
      </c>
      <c r="B130" s="558"/>
      <c r="C130" s="558"/>
      <c r="D130" s="558" t="s">
        <v>1514</v>
      </c>
      <c r="E130" s="626"/>
      <c r="F130" s="626"/>
      <c r="G130" s="626"/>
      <c r="H130" s="626"/>
      <c r="I130" s="626"/>
      <c r="J130" s="626"/>
      <c r="K130" s="626"/>
      <c r="L130" s="734">
        <f>SUM(L131,L153)</f>
        <v>4556.04</v>
      </c>
      <c r="M130" s="734">
        <f>SUM(M131,M153)</f>
        <v>831.73000000000013</v>
      </c>
      <c r="N130" s="734">
        <f>SUM(N131,N153)</f>
        <v>3269.38</v>
      </c>
      <c r="O130" s="721">
        <f>SUM(O131,O153)</f>
        <v>1286.6600000000001</v>
      </c>
      <c r="P130" s="604">
        <f t="shared" si="26"/>
        <v>0.71759247065434018</v>
      </c>
      <c r="Q130" s="525">
        <f>I130-'[9]8'!I129</f>
        <v>0</v>
      </c>
      <c r="S130" s="190">
        <v>0</v>
      </c>
      <c r="T130" s="190">
        <v>237</v>
      </c>
      <c r="BT130" s="525"/>
      <c r="BU130" s="523"/>
      <c r="BV130" s="523"/>
      <c r="BW130" s="523"/>
      <c r="BX130" s="523">
        <v>0</v>
      </c>
      <c r="BY130" s="523">
        <v>271</v>
      </c>
      <c r="BZ130" s="523"/>
      <c r="CA130" s="523"/>
      <c r="CB130" s="523"/>
      <c r="CC130" s="523"/>
      <c r="CD130" s="523"/>
      <c r="CE130" s="523"/>
      <c r="CF130" s="523"/>
      <c r="CG130" s="523"/>
      <c r="CH130" s="523"/>
      <c r="CI130" s="523">
        <f t="shared" si="20"/>
        <v>271</v>
      </c>
    </row>
    <row r="131" spans="1:87" ht="15.75" x14ac:dyDescent="0.2">
      <c r="A131" s="605" t="s">
        <v>1515</v>
      </c>
      <c r="B131" s="586"/>
      <c r="C131" s="586"/>
      <c r="D131" s="586" t="s">
        <v>1516</v>
      </c>
      <c r="E131" s="609"/>
      <c r="F131" s="609"/>
      <c r="G131" s="609"/>
      <c r="H131" s="609"/>
      <c r="I131" s="609"/>
      <c r="J131" s="609"/>
      <c r="K131" s="609"/>
      <c r="L131" s="733">
        <f>SUM(L132:L152)</f>
        <v>1719.64</v>
      </c>
      <c r="M131" s="733">
        <f>SUM(M132:M152)</f>
        <v>0</v>
      </c>
      <c r="N131" s="733">
        <f>SUM(N132:N152)</f>
        <v>1719.64</v>
      </c>
      <c r="O131" s="722">
        <f>SUM(O132:O152)</f>
        <v>0</v>
      </c>
      <c r="P131" s="611">
        <f t="shared" si="26"/>
        <v>1</v>
      </c>
      <c r="Q131" s="525">
        <f>I131-'[9]8'!I130</f>
        <v>0</v>
      </c>
      <c r="S131" s="189">
        <v>0</v>
      </c>
      <c r="T131" s="189">
        <v>12</v>
      </c>
      <c r="BT131" s="525"/>
      <c r="BU131" s="523"/>
      <c r="BV131" s="523"/>
      <c r="BW131" s="523"/>
      <c r="BX131" s="523">
        <v>0</v>
      </c>
      <c r="BY131" s="523">
        <v>237</v>
      </c>
      <c r="BZ131" s="523"/>
      <c r="CA131" s="523"/>
      <c r="CB131" s="523"/>
      <c r="CC131" s="523"/>
      <c r="CD131" s="523"/>
      <c r="CE131" s="523"/>
      <c r="CF131" s="523"/>
      <c r="CG131" s="523"/>
      <c r="CH131" s="523"/>
      <c r="CI131" s="523">
        <f t="shared" si="20"/>
        <v>237</v>
      </c>
    </row>
    <row r="132" spans="1:87" ht="15" x14ac:dyDescent="0.2">
      <c r="A132" s="680" t="s">
        <v>1517</v>
      </c>
      <c r="B132" s="569">
        <v>89401</v>
      </c>
      <c r="C132" s="569" t="s">
        <v>1324</v>
      </c>
      <c r="D132" s="569" t="s">
        <v>1518</v>
      </c>
      <c r="E132" s="681" t="s">
        <v>81</v>
      </c>
      <c r="F132" s="644">
        <v>22.03</v>
      </c>
      <c r="G132" s="682">
        <v>5.29</v>
      </c>
      <c r="H132" s="681">
        <v>12</v>
      </c>
      <c r="I132" s="622">
        <f t="shared" si="21"/>
        <v>0</v>
      </c>
      <c r="J132" s="574">
        <f t="shared" si="22"/>
        <v>12</v>
      </c>
      <c r="K132" s="689">
        <f t="shared" ref="K132:K194" si="35">H132-J132</f>
        <v>0</v>
      </c>
      <c r="L132" s="708">
        <f t="shared" ref="L132:O152" si="36">ROUND(H132*$G132,2)</f>
        <v>63.48</v>
      </c>
      <c r="M132" s="708">
        <f t="shared" si="36"/>
        <v>0</v>
      </c>
      <c r="N132" s="708">
        <f t="shared" si="36"/>
        <v>63.48</v>
      </c>
      <c r="O132" s="718">
        <f t="shared" si="36"/>
        <v>0</v>
      </c>
      <c r="P132" s="617">
        <f t="shared" si="26"/>
        <v>1</v>
      </c>
      <c r="Q132" s="525">
        <f>I132-'[9]8'!I131</f>
        <v>0</v>
      </c>
      <c r="S132" s="189">
        <v>0</v>
      </c>
      <c r="T132" s="189">
        <v>42</v>
      </c>
      <c r="BT132" s="525"/>
      <c r="BU132" s="523"/>
      <c r="BV132" s="523"/>
      <c r="BW132" s="523"/>
      <c r="BX132" s="523">
        <v>0</v>
      </c>
      <c r="BY132" s="523">
        <v>12</v>
      </c>
      <c r="BZ132" s="523">
        <v>0</v>
      </c>
      <c r="CA132" s="523">
        <v>0</v>
      </c>
      <c r="CB132" s="523"/>
      <c r="CC132" s="523"/>
      <c r="CD132" s="523"/>
      <c r="CE132" s="523"/>
      <c r="CF132" s="523"/>
      <c r="CG132" s="523"/>
      <c r="CH132" s="523"/>
      <c r="CI132" s="523">
        <f t="shared" si="20"/>
        <v>12</v>
      </c>
    </row>
    <row r="133" spans="1:87" ht="15.75" x14ac:dyDescent="0.2">
      <c r="A133" s="680" t="s">
        <v>1519</v>
      </c>
      <c r="B133" s="569">
        <v>89446</v>
      </c>
      <c r="C133" s="569" t="s">
        <v>1324</v>
      </c>
      <c r="D133" s="569" t="s">
        <v>1520</v>
      </c>
      <c r="E133" s="681" t="s">
        <v>81</v>
      </c>
      <c r="F133" s="578"/>
      <c r="G133" s="682">
        <v>3.19</v>
      </c>
      <c r="H133" s="681">
        <v>42</v>
      </c>
      <c r="I133" s="622">
        <f t="shared" si="21"/>
        <v>0</v>
      </c>
      <c r="J133" s="574">
        <f t="shared" si="22"/>
        <v>42</v>
      </c>
      <c r="K133" s="681">
        <f t="shared" si="35"/>
        <v>0</v>
      </c>
      <c r="L133" s="708">
        <f t="shared" si="36"/>
        <v>133.97999999999999</v>
      </c>
      <c r="M133" s="708">
        <f t="shared" si="36"/>
        <v>0</v>
      </c>
      <c r="N133" s="708">
        <f t="shared" si="36"/>
        <v>133.97999999999999</v>
      </c>
      <c r="O133" s="718">
        <f t="shared" si="36"/>
        <v>0</v>
      </c>
      <c r="P133" s="617">
        <f t="shared" si="26"/>
        <v>1</v>
      </c>
      <c r="Q133" s="525">
        <f>I133-'[9]8'!I132</f>
        <v>0</v>
      </c>
      <c r="S133" s="189">
        <v>0</v>
      </c>
      <c r="T133" s="189">
        <v>28</v>
      </c>
      <c r="BT133" s="525"/>
      <c r="BU133" s="523"/>
      <c r="BV133" s="523"/>
      <c r="BW133" s="523"/>
      <c r="BX133" s="523">
        <v>0</v>
      </c>
      <c r="BY133" s="523">
        <v>42</v>
      </c>
      <c r="BZ133" s="523">
        <v>0</v>
      </c>
      <c r="CA133" s="523">
        <v>0</v>
      </c>
      <c r="CB133" s="523"/>
      <c r="CC133" s="523"/>
      <c r="CD133" s="523"/>
      <c r="CE133" s="523"/>
      <c r="CF133" s="523"/>
      <c r="CG133" s="523"/>
      <c r="CH133" s="523"/>
      <c r="CI133" s="523">
        <f t="shared" si="20"/>
        <v>42</v>
      </c>
    </row>
    <row r="134" spans="1:87" ht="15.75" x14ac:dyDescent="0.2">
      <c r="A134" s="680" t="s">
        <v>1521</v>
      </c>
      <c r="B134" s="569">
        <v>89447</v>
      </c>
      <c r="C134" s="569" t="s">
        <v>1324</v>
      </c>
      <c r="D134" s="569" t="s">
        <v>1522</v>
      </c>
      <c r="E134" s="681" t="s">
        <v>81</v>
      </c>
      <c r="F134" s="578"/>
      <c r="G134" s="682">
        <v>6.33</v>
      </c>
      <c r="H134" s="681">
        <v>28</v>
      </c>
      <c r="I134" s="622">
        <f t="shared" si="21"/>
        <v>0</v>
      </c>
      <c r="J134" s="574">
        <f t="shared" si="22"/>
        <v>28</v>
      </c>
      <c r="K134" s="681">
        <f t="shared" si="35"/>
        <v>0</v>
      </c>
      <c r="L134" s="708">
        <f t="shared" si="36"/>
        <v>177.24</v>
      </c>
      <c r="M134" s="708">
        <f t="shared" si="36"/>
        <v>0</v>
      </c>
      <c r="N134" s="708">
        <f t="shared" si="36"/>
        <v>177.24</v>
      </c>
      <c r="O134" s="718">
        <f t="shared" si="36"/>
        <v>0</v>
      </c>
      <c r="P134" s="617">
        <f t="shared" si="26"/>
        <v>1</v>
      </c>
      <c r="Q134" s="525">
        <f>I134-'[9]8'!I133</f>
        <v>0</v>
      </c>
      <c r="S134" s="189">
        <v>0</v>
      </c>
      <c r="T134" s="189">
        <v>30</v>
      </c>
      <c r="BT134" s="525"/>
      <c r="BU134" s="523"/>
      <c r="BV134" s="523"/>
      <c r="BW134" s="523"/>
      <c r="BX134" s="523">
        <v>0</v>
      </c>
      <c r="BY134" s="523">
        <v>28</v>
      </c>
      <c r="BZ134" s="523">
        <v>0</v>
      </c>
      <c r="CA134" s="523">
        <v>0</v>
      </c>
      <c r="CB134" s="523"/>
      <c r="CC134" s="523"/>
      <c r="CD134" s="523"/>
      <c r="CE134" s="523"/>
      <c r="CF134" s="523"/>
      <c r="CG134" s="523"/>
      <c r="CH134" s="523"/>
      <c r="CI134" s="523">
        <f t="shared" si="20"/>
        <v>28</v>
      </c>
    </row>
    <row r="135" spans="1:87" ht="15" x14ac:dyDescent="0.2">
      <c r="A135" s="680" t="s">
        <v>1523</v>
      </c>
      <c r="B135" s="569">
        <v>89448</v>
      </c>
      <c r="C135" s="569" t="s">
        <v>1324</v>
      </c>
      <c r="D135" s="569" t="s">
        <v>1524</v>
      </c>
      <c r="E135" s="681" t="s">
        <v>81</v>
      </c>
      <c r="F135" s="571"/>
      <c r="G135" s="682">
        <v>10.15</v>
      </c>
      <c r="H135" s="681">
        <v>30</v>
      </c>
      <c r="I135" s="622">
        <f t="shared" si="21"/>
        <v>0</v>
      </c>
      <c r="J135" s="574">
        <f t="shared" si="22"/>
        <v>30</v>
      </c>
      <c r="K135" s="681">
        <f t="shared" si="35"/>
        <v>0</v>
      </c>
      <c r="L135" s="708">
        <f t="shared" si="36"/>
        <v>304.5</v>
      </c>
      <c r="M135" s="708">
        <f t="shared" si="36"/>
        <v>0</v>
      </c>
      <c r="N135" s="708">
        <f t="shared" si="36"/>
        <v>304.5</v>
      </c>
      <c r="O135" s="718">
        <f t="shared" si="36"/>
        <v>0</v>
      </c>
      <c r="P135" s="617">
        <f t="shared" si="26"/>
        <v>1</v>
      </c>
      <c r="Q135" s="525">
        <f>I135-'[9]8'!I134</f>
        <v>0</v>
      </c>
      <c r="S135" s="189">
        <v>0</v>
      </c>
      <c r="T135" s="189">
        <v>36</v>
      </c>
      <c r="BT135" s="525"/>
      <c r="BU135" s="523"/>
      <c r="BV135" s="523"/>
      <c r="BW135" s="523"/>
      <c r="BX135" s="523">
        <v>0</v>
      </c>
      <c r="BY135" s="523">
        <v>30</v>
      </c>
      <c r="BZ135" s="523">
        <v>0</v>
      </c>
      <c r="CA135" s="523">
        <v>0</v>
      </c>
      <c r="CB135" s="523"/>
      <c r="CC135" s="523"/>
      <c r="CD135" s="523"/>
      <c r="CE135" s="523"/>
      <c r="CF135" s="523"/>
      <c r="CG135" s="523"/>
      <c r="CH135" s="523"/>
      <c r="CI135" s="523">
        <f t="shared" si="20"/>
        <v>30</v>
      </c>
    </row>
    <row r="136" spans="1:87" ht="15" x14ac:dyDescent="0.2">
      <c r="A136" s="680" t="s">
        <v>1525</v>
      </c>
      <c r="B136" s="569">
        <v>89449</v>
      </c>
      <c r="C136" s="569" t="s">
        <v>1324</v>
      </c>
      <c r="D136" s="569" t="s">
        <v>1526</v>
      </c>
      <c r="E136" s="681" t="s">
        <v>81</v>
      </c>
      <c r="F136" s="644">
        <v>5.81</v>
      </c>
      <c r="G136" s="682">
        <v>11.27</v>
      </c>
      <c r="H136" s="681">
        <v>36</v>
      </c>
      <c r="I136" s="622">
        <f t="shared" si="21"/>
        <v>0</v>
      </c>
      <c r="J136" s="574">
        <f t="shared" si="22"/>
        <v>36</v>
      </c>
      <c r="K136" s="681">
        <f t="shared" si="35"/>
        <v>0</v>
      </c>
      <c r="L136" s="708">
        <f t="shared" si="36"/>
        <v>405.72</v>
      </c>
      <c r="M136" s="708">
        <f t="shared" si="36"/>
        <v>0</v>
      </c>
      <c r="N136" s="708">
        <f t="shared" si="36"/>
        <v>405.72</v>
      </c>
      <c r="O136" s="718">
        <f t="shared" si="36"/>
        <v>0</v>
      </c>
      <c r="P136" s="617">
        <f t="shared" si="26"/>
        <v>1</v>
      </c>
      <c r="Q136" s="525">
        <f>I136-'[9]8'!I135</f>
        <v>0</v>
      </c>
      <c r="S136" s="189">
        <v>0</v>
      </c>
      <c r="T136" s="189">
        <v>15</v>
      </c>
      <c r="BT136" s="525"/>
      <c r="BU136" s="523"/>
      <c r="BV136" s="523"/>
      <c r="BW136" s="523"/>
      <c r="BX136" s="523">
        <v>0</v>
      </c>
      <c r="BY136" s="523">
        <v>36</v>
      </c>
      <c r="BZ136" s="523">
        <v>0</v>
      </c>
      <c r="CA136" s="523">
        <v>0</v>
      </c>
      <c r="CB136" s="523"/>
      <c r="CC136" s="523"/>
      <c r="CD136" s="523"/>
      <c r="CE136" s="523"/>
      <c r="CF136" s="523"/>
      <c r="CG136" s="523"/>
      <c r="CH136" s="523"/>
      <c r="CI136" s="523">
        <f t="shared" si="20"/>
        <v>36</v>
      </c>
    </row>
    <row r="137" spans="1:87" ht="15" x14ac:dyDescent="0.2">
      <c r="A137" s="680" t="s">
        <v>1527</v>
      </c>
      <c r="B137" s="569">
        <v>89408</v>
      </c>
      <c r="C137" s="569" t="s">
        <v>1324</v>
      </c>
      <c r="D137" s="569" t="s">
        <v>1528</v>
      </c>
      <c r="E137" s="681" t="s">
        <v>102</v>
      </c>
      <c r="F137" s="644">
        <v>37.78</v>
      </c>
      <c r="G137" s="682">
        <v>4.28</v>
      </c>
      <c r="H137" s="681">
        <v>15</v>
      </c>
      <c r="I137" s="622">
        <f t="shared" si="21"/>
        <v>0</v>
      </c>
      <c r="J137" s="574">
        <f t="shared" si="22"/>
        <v>15</v>
      </c>
      <c r="K137" s="681">
        <f t="shared" si="35"/>
        <v>0</v>
      </c>
      <c r="L137" s="708">
        <f t="shared" si="36"/>
        <v>64.2</v>
      </c>
      <c r="M137" s="708">
        <f t="shared" si="36"/>
        <v>0</v>
      </c>
      <c r="N137" s="708">
        <f t="shared" si="36"/>
        <v>64.2</v>
      </c>
      <c r="O137" s="718">
        <f t="shared" si="36"/>
        <v>0</v>
      </c>
      <c r="P137" s="617">
        <f t="shared" si="26"/>
        <v>1</v>
      </c>
      <c r="Q137" s="525">
        <f>I137-'[9]8'!I136</f>
        <v>0</v>
      </c>
      <c r="S137" s="189">
        <v>0</v>
      </c>
      <c r="T137" s="189">
        <v>8</v>
      </c>
      <c r="BT137" s="525"/>
      <c r="BU137" s="523"/>
      <c r="BV137" s="523"/>
      <c r="BW137" s="523"/>
      <c r="BX137" s="523">
        <v>0</v>
      </c>
      <c r="BY137" s="523">
        <v>15</v>
      </c>
      <c r="BZ137" s="523">
        <v>0</v>
      </c>
      <c r="CA137" s="523">
        <v>0</v>
      </c>
      <c r="CB137" s="523"/>
      <c r="CC137" s="523"/>
      <c r="CD137" s="523"/>
      <c r="CE137" s="523"/>
      <c r="CF137" s="523"/>
      <c r="CG137" s="523"/>
      <c r="CH137" s="523"/>
      <c r="CI137" s="523">
        <f t="shared" si="20"/>
        <v>15</v>
      </c>
    </row>
    <row r="138" spans="1:87" ht="15" x14ac:dyDescent="0.2">
      <c r="A138" s="690" t="s">
        <v>1529</v>
      </c>
      <c r="B138" s="624">
        <v>89492</v>
      </c>
      <c r="C138" s="624" t="s">
        <v>1324</v>
      </c>
      <c r="D138" s="624" t="s">
        <v>1530</v>
      </c>
      <c r="E138" s="691" t="s">
        <v>102</v>
      </c>
      <c r="F138" s="692">
        <v>21.63</v>
      </c>
      <c r="G138" s="693">
        <v>4.79</v>
      </c>
      <c r="H138" s="691">
        <v>8</v>
      </c>
      <c r="I138" s="636">
        <f t="shared" si="21"/>
        <v>0</v>
      </c>
      <c r="J138" s="637">
        <f t="shared" si="22"/>
        <v>8</v>
      </c>
      <c r="K138" s="691">
        <f t="shared" si="35"/>
        <v>0</v>
      </c>
      <c r="L138" s="708">
        <f t="shared" si="36"/>
        <v>38.32</v>
      </c>
      <c r="M138" s="708">
        <f t="shared" si="36"/>
        <v>0</v>
      </c>
      <c r="N138" s="708">
        <f t="shared" si="36"/>
        <v>38.32</v>
      </c>
      <c r="O138" s="718">
        <f t="shared" si="36"/>
        <v>0</v>
      </c>
      <c r="P138" s="694">
        <f t="shared" si="26"/>
        <v>1</v>
      </c>
      <c r="Q138" s="525">
        <f>I138-'[9]8'!I137</f>
        <v>0</v>
      </c>
      <c r="S138" s="189">
        <v>0</v>
      </c>
      <c r="T138" s="189">
        <v>6</v>
      </c>
      <c r="BT138" s="525"/>
      <c r="BU138" s="523"/>
      <c r="BV138" s="523"/>
      <c r="BW138" s="523"/>
      <c r="BX138" s="523">
        <v>0</v>
      </c>
      <c r="BY138" s="523">
        <v>8</v>
      </c>
      <c r="BZ138" s="523">
        <v>0</v>
      </c>
      <c r="CA138" s="523">
        <v>0</v>
      </c>
      <c r="CB138" s="523"/>
      <c r="CC138" s="523"/>
      <c r="CD138" s="523"/>
      <c r="CE138" s="523"/>
      <c r="CF138" s="523"/>
      <c r="CG138" s="523"/>
      <c r="CH138" s="523"/>
      <c r="CI138" s="523">
        <f t="shared" si="20"/>
        <v>8</v>
      </c>
    </row>
    <row r="139" spans="1:87" ht="15" x14ac:dyDescent="0.2">
      <c r="A139" s="690" t="s">
        <v>1531</v>
      </c>
      <c r="B139" s="624">
        <v>89501</v>
      </c>
      <c r="C139" s="624" t="s">
        <v>1324</v>
      </c>
      <c r="D139" s="624" t="s">
        <v>1532</v>
      </c>
      <c r="E139" s="691" t="s">
        <v>102</v>
      </c>
      <c r="F139" s="692">
        <v>38.770000000000003</v>
      </c>
      <c r="G139" s="693">
        <v>9.3800000000000008</v>
      </c>
      <c r="H139" s="691">
        <v>6</v>
      </c>
      <c r="I139" s="636">
        <f t="shared" si="21"/>
        <v>0</v>
      </c>
      <c r="J139" s="637">
        <f t="shared" si="22"/>
        <v>6</v>
      </c>
      <c r="K139" s="691">
        <f t="shared" si="35"/>
        <v>0</v>
      </c>
      <c r="L139" s="708">
        <f t="shared" si="36"/>
        <v>56.28</v>
      </c>
      <c r="M139" s="708">
        <f t="shared" si="36"/>
        <v>0</v>
      </c>
      <c r="N139" s="708">
        <f t="shared" si="36"/>
        <v>56.28</v>
      </c>
      <c r="O139" s="718">
        <f t="shared" si="36"/>
        <v>0</v>
      </c>
      <c r="P139" s="694">
        <f t="shared" si="26"/>
        <v>1</v>
      </c>
      <c r="Q139" s="525">
        <f>I139-'[9]8'!I138</f>
        <v>0</v>
      </c>
      <c r="S139" s="189">
        <v>0</v>
      </c>
      <c r="T139" s="189">
        <v>2</v>
      </c>
      <c r="BT139" s="525"/>
      <c r="BU139" s="523"/>
      <c r="BV139" s="523"/>
      <c r="BW139" s="523"/>
      <c r="BX139" s="523">
        <v>0</v>
      </c>
      <c r="BY139" s="523">
        <v>6</v>
      </c>
      <c r="BZ139" s="523">
        <v>0</v>
      </c>
      <c r="CA139" s="523">
        <v>0</v>
      </c>
      <c r="CB139" s="523"/>
      <c r="CC139" s="523"/>
      <c r="CD139" s="523"/>
      <c r="CE139" s="523"/>
      <c r="CF139" s="523"/>
      <c r="CG139" s="523"/>
      <c r="CH139" s="523"/>
      <c r="CI139" s="523">
        <f t="shared" si="20"/>
        <v>6</v>
      </c>
    </row>
    <row r="140" spans="1:87" ht="15.75" x14ac:dyDescent="0.2">
      <c r="A140" s="690" t="s">
        <v>1533</v>
      </c>
      <c r="B140" s="624">
        <v>90373</v>
      </c>
      <c r="C140" s="624" t="s">
        <v>1324</v>
      </c>
      <c r="D140" s="624" t="s">
        <v>1534</v>
      </c>
      <c r="E140" s="691" t="s">
        <v>102</v>
      </c>
      <c r="F140" s="578"/>
      <c r="G140" s="693">
        <v>10.06</v>
      </c>
      <c r="H140" s="691">
        <v>2</v>
      </c>
      <c r="I140" s="636">
        <f t="shared" si="21"/>
        <v>0</v>
      </c>
      <c r="J140" s="637">
        <f t="shared" si="22"/>
        <v>2</v>
      </c>
      <c r="K140" s="691">
        <f t="shared" si="35"/>
        <v>0</v>
      </c>
      <c r="L140" s="708">
        <f t="shared" si="36"/>
        <v>20.12</v>
      </c>
      <c r="M140" s="708">
        <f t="shared" si="36"/>
        <v>0</v>
      </c>
      <c r="N140" s="708">
        <f t="shared" si="36"/>
        <v>20.12</v>
      </c>
      <c r="O140" s="718">
        <f t="shared" si="36"/>
        <v>0</v>
      </c>
      <c r="P140" s="694">
        <f t="shared" si="26"/>
        <v>1</v>
      </c>
      <c r="Q140" s="525">
        <f>I140-'[9]8'!I139</f>
        <v>0</v>
      </c>
      <c r="S140" s="189">
        <v>0</v>
      </c>
      <c r="T140" s="189">
        <v>4</v>
      </c>
      <c r="BT140" s="525"/>
      <c r="BU140" s="523"/>
      <c r="BV140" s="523"/>
      <c r="BW140" s="523"/>
      <c r="BX140" s="523">
        <v>0</v>
      </c>
      <c r="BY140" s="523">
        <v>2</v>
      </c>
      <c r="BZ140" s="523">
        <v>0</v>
      </c>
      <c r="CA140" s="523">
        <v>0</v>
      </c>
      <c r="CB140" s="523"/>
      <c r="CC140" s="523"/>
      <c r="CD140" s="523"/>
      <c r="CE140" s="523"/>
      <c r="CF140" s="523"/>
      <c r="CG140" s="523"/>
      <c r="CH140" s="523"/>
      <c r="CI140" s="523">
        <f t="shared" si="20"/>
        <v>2</v>
      </c>
    </row>
    <row r="141" spans="1:87" ht="15.75" x14ac:dyDescent="0.2">
      <c r="A141" s="690" t="s">
        <v>1535</v>
      </c>
      <c r="B141" s="624" t="s">
        <v>2007</v>
      </c>
      <c r="C141" s="624" t="s">
        <v>1339</v>
      </c>
      <c r="D141" s="624" t="s">
        <v>1536</v>
      </c>
      <c r="E141" s="691" t="s">
        <v>102</v>
      </c>
      <c r="F141" s="578"/>
      <c r="G141" s="693">
        <v>0</v>
      </c>
      <c r="H141" s="691">
        <v>4</v>
      </c>
      <c r="I141" s="636">
        <f t="shared" si="21"/>
        <v>0</v>
      </c>
      <c r="J141" s="637">
        <f t="shared" si="22"/>
        <v>4</v>
      </c>
      <c r="K141" s="691">
        <f t="shared" si="35"/>
        <v>0</v>
      </c>
      <c r="L141" s="708">
        <f t="shared" si="36"/>
        <v>0</v>
      </c>
      <c r="M141" s="708">
        <f t="shared" si="36"/>
        <v>0</v>
      </c>
      <c r="N141" s="708">
        <f t="shared" si="36"/>
        <v>0</v>
      </c>
      <c r="O141" s="718">
        <f t="shared" si="36"/>
        <v>0</v>
      </c>
      <c r="P141" s="694">
        <v>1</v>
      </c>
      <c r="Q141" s="525">
        <f>I141-'[9]8'!I140</f>
        <v>0</v>
      </c>
      <c r="S141" s="189">
        <v>0</v>
      </c>
      <c r="T141" s="189">
        <v>16</v>
      </c>
      <c r="BT141" s="525"/>
      <c r="BU141" s="523"/>
      <c r="BV141" s="523"/>
      <c r="BW141" s="523"/>
      <c r="BX141" s="523">
        <v>0</v>
      </c>
      <c r="BY141" s="523">
        <v>4</v>
      </c>
      <c r="BZ141" s="523">
        <v>0</v>
      </c>
      <c r="CA141" s="523">
        <v>0</v>
      </c>
      <c r="CB141" s="523"/>
      <c r="CC141" s="523"/>
      <c r="CD141" s="523"/>
      <c r="CE141" s="523"/>
      <c r="CF141" s="523"/>
      <c r="CG141" s="523"/>
      <c r="CH141" s="523"/>
      <c r="CI141" s="523">
        <f t="shared" si="20"/>
        <v>4</v>
      </c>
    </row>
    <row r="142" spans="1:87" ht="30" x14ac:dyDescent="0.2">
      <c r="A142" s="690" t="s">
        <v>1537</v>
      </c>
      <c r="B142" s="624">
        <v>90373</v>
      </c>
      <c r="C142" s="624" t="s">
        <v>1324</v>
      </c>
      <c r="D142" s="624" t="s">
        <v>1538</v>
      </c>
      <c r="E142" s="691" t="s">
        <v>102</v>
      </c>
      <c r="F142" s="578"/>
      <c r="G142" s="693">
        <v>10.06</v>
      </c>
      <c r="H142" s="691">
        <v>16</v>
      </c>
      <c r="I142" s="636">
        <f t="shared" si="21"/>
        <v>0</v>
      </c>
      <c r="J142" s="637">
        <f t="shared" si="22"/>
        <v>16</v>
      </c>
      <c r="K142" s="691">
        <f t="shared" si="35"/>
        <v>0</v>
      </c>
      <c r="L142" s="708">
        <f t="shared" si="36"/>
        <v>160.96</v>
      </c>
      <c r="M142" s="708">
        <f t="shared" si="36"/>
        <v>0</v>
      </c>
      <c r="N142" s="708">
        <f t="shared" si="36"/>
        <v>160.96</v>
      </c>
      <c r="O142" s="718">
        <f t="shared" si="36"/>
        <v>0</v>
      </c>
      <c r="P142" s="694">
        <f t="shared" ref="P142:P205" si="37">N142/L142</f>
        <v>1</v>
      </c>
      <c r="Q142" s="525">
        <f>I142-'[9]8'!I141</f>
        <v>0</v>
      </c>
      <c r="S142" s="189">
        <v>0</v>
      </c>
      <c r="T142" s="189">
        <v>4</v>
      </c>
      <c r="BT142" s="525"/>
      <c r="BU142" s="523"/>
      <c r="BV142" s="523"/>
      <c r="BW142" s="523"/>
      <c r="BX142" s="523">
        <v>0</v>
      </c>
      <c r="BY142" s="523">
        <v>16</v>
      </c>
      <c r="BZ142" s="523">
        <v>0</v>
      </c>
      <c r="CA142" s="523">
        <v>0</v>
      </c>
      <c r="CB142" s="523"/>
      <c r="CC142" s="523"/>
      <c r="CD142" s="523"/>
      <c r="CE142" s="523"/>
      <c r="CF142" s="523"/>
      <c r="CG142" s="523"/>
      <c r="CH142" s="523"/>
      <c r="CI142" s="523">
        <f t="shared" si="20"/>
        <v>16</v>
      </c>
    </row>
    <row r="143" spans="1:87" ht="15" x14ac:dyDescent="0.2">
      <c r="A143" s="690" t="s">
        <v>1539</v>
      </c>
      <c r="B143" s="624">
        <v>89622</v>
      </c>
      <c r="C143" s="624" t="s">
        <v>1324</v>
      </c>
      <c r="D143" s="624" t="s">
        <v>1540</v>
      </c>
      <c r="E143" s="691" t="s">
        <v>102</v>
      </c>
      <c r="F143" s="692">
        <v>29.86</v>
      </c>
      <c r="G143" s="693">
        <v>9.23</v>
      </c>
      <c r="H143" s="691">
        <v>4</v>
      </c>
      <c r="I143" s="636">
        <f t="shared" si="21"/>
        <v>0</v>
      </c>
      <c r="J143" s="637">
        <f t="shared" si="22"/>
        <v>4</v>
      </c>
      <c r="K143" s="691">
        <f t="shared" si="35"/>
        <v>0</v>
      </c>
      <c r="L143" s="708">
        <f t="shared" si="36"/>
        <v>36.92</v>
      </c>
      <c r="M143" s="708">
        <f t="shared" si="36"/>
        <v>0</v>
      </c>
      <c r="N143" s="708">
        <f t="shared" si="36"/>
        <v>36.92</v>
      </c>
      <c r="O143" s="718">
        <f t="shared" si="36"/>
        <v>0</v>
      </c>
      <c r="P143" s="694">
        <f t="shared" si="37"/>
        <v>1</v>
      </c>
      <c r="Q143" s="525">
        <f>I143-'[9]8'!I142</f>
        <v>0</v>
      </c>
      <c r="S143" s="189">
        <v>0</v>
      </c>
      <c r="T143" s="189">
        <v>2</v>
      </c>
      <c r="BT143" s="525"/>
      <c r="BU143" s="523"/>
      <c r="BV143" s="523"/>
      <c r="BW143" s="523"/>
      <c r="BX143" s="523">
        <v>0</v>
      </c>
      <c r="BY143" s="523">
        <v>4</v>
      </c>
      <c r="BZ143" s="523">
        <v>0</v>
      </c>
      <c r="CA143" s="523">
        <v>0</v>
      </c>
      <c r="CB143" s="523"/>
      <c r="CC143" s="523"/>
      <c r="CD143" s="523"/>
      <c r="CE143" s="523"/>
      <c r="CF143" s="523"/>
      <c r="CG143" s="523"/>
      <c r="CH143" s="523"/>
      <c r="CI143" s="523">
        <f t="shared" si="20"/>
        <v>4</v>
      </c>
    </row>
    <row r="144" spans="1:87" ht="15" x14ac:dyDescent="0.2">
      <c r="A144" s="690" t="s">
        <v>1541</v>
      </c>
      <c r="B144" s="624">
        <v>89626</v>
      </c>
      <c r="C144" s="624" t="s">
        <v>1324</v>
      </c>
      <c r="D144" s="624" t="s">
        <v>1542</v>
      </c>
      <c r="E144" s="691" t="s">
        <v>102</v>
      </c>
      <c r="F144" s="692">
        <v>32.090000000000003</v>
      </c>
      <c r="G144" s="693">
        <v>17.79</v>
      </c>
      <c r="H144" s="691">
        <v>2</v>
      </c>
      <c r="I144" s="636">
        <f t="shared" si="21"/>
        <v>0</v>
      </c>
      <c r="J144" s="637">
        <f t="shared" si="22"/>
        <v>2</v>
      </c>
      <c r="K144" s="691">
        <f t="shared" si="35"/>
        <v>0</v>
      </c>
      <c r="L144" s="708">
        <f t="shared" si="36"/>
        <v>35.58</v>
      </c>
      <c r="M144" s="708">
        <f t="shared" si="36"/>
        <v>0</v>
      </c>
      <c r="N144" s="708">
        <f t="shared" si="36"/>
        <v>35.58</v>
      </c>
      <c r="O144" s="718">
        <f t="shared" si="36"/>
        <v>0</v>
      </c>
      <c r="P144" s="694">
        <f t="shared" si="37"/>
        <v>1</v>
      </c>
      <c r="Q144" s="525">
        <f>I144-'[9]8'!I143</f>
        <v>0</v>
      </c>
      <c r="S144" s="189">
        <v>0</v>
      </c>
      <c r="T144" s="189">
        <v>8</v>
      </c>
      <c r="BT144" s="525"/>
      <c r="BU144" s="523"/>
      <c r="BV144" s="523"/>
      <c r="BW144" s="523"/>
      <c r="BX144" s="523">
        <v>0</v>
      </c>
      <c r="BY144" s="523">
        <v>2</v>
      </c>
      <c r="BZ144" s="523">
        <v>0</v>
      </c>
      <c r="CA144" s="523">
        <v>0</v>
      </c>
      <c r="CB144" s="523"/>
      <c r="CC144" s="523"/>
      <c r="CD144" s="523"/>
      <c r="CE144" s="523"/>
      <c r="CF144" s="523"/>
      <c r="CG144" s="523"/>
      <c r="CH144" s="523"/>
      <c r="CI144" s="523">
        <f t="shared" ref="CI144:CI207" si="38">SUM(BU144:CH144)</f>
        <v>2</v>
      </c>
    </row>
    <row r="145" spans="1:87" ht="15" x14ac:dyDescent="0.2">
      <c r="A145" s="690" t="s">
        <v>1543</v>
      </c>
      <c r="B145" s="624">
        <v>89534</v>
      </c>
      <c r="C145" s="624" t="s">
        <v>1324</v>
      </c>
      <c r="D145" s="624" t="s">
        <v>1544</v>
      </c>
      <c r="E145" s="691" t="s">
        <v>102</v>
      </c>
      <c r="F145" s="692">
        <v>46.88</v>
      </c>
      <c r="G145" s="693">
        <v>2.9</v>
      </c>
      <c r="H145" s="691">
        <v>8</v>
      </c>
      <c r="I145" s="636">
        <f t="shared" ref="I145:I208" si="39">BU145</f>
        <v>0</v>
      </c>
      <c r="J145" s="637">
        <f t="shared" ref="J145:J208" si="40">CI145</f>
        <v>8</v>
      </c>
      <c r="K145" s="691">
        <f t="shared" si="35"/>
        <v>0</v>
      </c>
      <c r="L145" s="708">
        <f t="shared" si="36"/>
        <v>23.2</v>
      </c>
      <c r="M145" s="708">
        <f t="shared" si="36"/>
        <v>0</v>
      </c>
      <c r="N145" s="708">
        <f t="shared" si="36"/>
        <v>23.2</v>
      </c>
      <c r="O145" s="718">
        <f t="shared" si="36"/>
        <v>0</v>
      </c>
      <c r="P145" s="694">
        <f t="shared" si="37"/>
        <v>1</v>
      </c>
      <c r="Q145" s="525">
        <f>I145-'[9]8'!I144</f>
        <v>0</v>
      </c>
      <c r="S145" s="189">
        <v>0</v>
      </c>
      <c r="T145" s="189">
        <v>4</v>
      </c>
      <c r="BT145" s="525"/>
      <c r="BU145" s="523"/>
      <c r="BV145" s="523"/>
      <c r="BW145" s="523"/>
      <c r="BX145" s="523">
        <v>0</v>
      </c>
      <c r="BY145" s="523">
        <v>8</v>
      </c>
      <c r="BZ145" s="523">
        <v>0</v>
      </c>
      <c r="CA145" s="523">
        <v>0</v>
      </c>
      <c r="CB145" s="523"/>
      <c r="CC145" s="523"/>
      <c r="CD145" s="523"/>
      <c r="CE145" s="523"/>
      <c r="CF145" s="523"/>
      <c r="CG145" s="523"/>
      <c r="CH145" s="523"/>
      <c r="CI145" s="523">
        <f t="shared" si="38"/>
        <v>8</v>
      </c>
    </row>
    <row r="146" spans="1:87" ht="15" x14ac:dyDescent="0.2">
      <c r="A146" s="690" t="s">
        <v>1545</v>
      </c>
      <c r="B146" s="624">
        <v>89386</v>
      </c>
      <c r="C146" s="624" t="s">
        <v>1324</v>
      </c>
      <c r="D146" s="624" t="s">
        <v>1546</v>
      </c>
      <c r="E146" s="691" t="s">
        <v>102</v>
      </c>
      <c r="F146" s="692">
        <v>31.2</v>
      </c>
      <c r="G146" s="693">
        <v>6</v>
      </c>
      <c r="H146" s="691">
        <v>4</v>
      </c>
      <c r="I146" s="636">
        <f t="shared" si="39"/>
        <v>0</v>
      </c>
      <c r="J146" s="637">
        <f t="shared" si="40"/>
        <v>4</v>
      </c>
      <c r="K146" s="691">
        <f t="shared" si="35"/>
        <v>0</v>
      </c>
      <c r="L146" s="708">
        <f t="shared" si="36"/>
        <v>24</v>
      </c>
      <c r="M146" s="708">
        <f t="shared" si="36"/>
        <v>0</v>
      </c>
      <c r="N146" s="708">
        <f t="shared" si="36"/>
        <v>24</v>
      </c>
      <c r="O146" s="718">
        <f t="shared" si="36"/>
        <v>0</v>
      </c>
      <c r="P146" s="694">
        <f t="shared" si="37"/>
        <v>1</v>
      </c>
      <c r="Q146" s="525">
        <f>I146-'[9]8'!I145</f>
        <v>0</v>
      </c>
      <c r="S146" s="189">
        <v>0</v>
      </c>
      <c r="T146" s="189">
        <v>4</v>
      </c>
      <c r="BT146" s="525"/>
      <c r="BU146" s="523"/>
      <c r="BV146" s="523"/>
      <c r="BW146" s="523"/>
      <c r="BX146" s="523">
        <v>0</v>
      </c>
      <c r="BY146" s="523">
        <v>4</v>
      </c>
      <c r="BZ146" s="523">
        <v>0</v>
      </c>
      <c r="CA146" s="523">
        <v>0</v>
      </c>
      <c r="CB146" s="523"/>
      <c r="CC146" s="523"/>
      <c r="CD146" s="523"/>
      <c r="CE146" s="523"/>
      <c r="CF146" s="523"/>
      <c r="CG146" s="523"/>
      <c r="CH146" s="523"/>
      <c r="CI146" s="523">
        <f t="shared" si="38"/>
        <v>4</v>
      </c>
    </row>
    <row r="147" spans="1:87" ht="15" x14ac:dyDescent="0.2">
      <c r="A147" s="690" t="s">
        <v>1547</v>
      </c>
      <c r="B147" s="624">
        <v>89433</v>
      </c>
      <c r="C147" s="624" t="s">
        <v>1324</v>
      </c>
      <c r="D147" s="624" t="s">
        <v>1548</v>
      </c>
      <c r="E147" s="691" t="s">
        <v>102</v>
      </c>
      <c r="F147" s="692">
        <v>19.170000000000002</v>
      </c>
      <c r="G147" s="693">
        <v>5.63</v>
      </c>
      <c r="H147" s="691">
        <v>4</v>
      </c>
      <c r="I147" s="636">
        <f t="shared" si="39"/>
        <v>0</v>
      </c>
      <c r="J147" s="637">
        <f t="shared" si="40"/>
        <v>4</v>
      </c>
      <c r="K147" s="691">
        <f t="shared" si="35"/>
        <v>0</v>
      </c>
      <c r="L147" s="708">
        <f t="shared" si="36"/>
        <v>22.52</v>
      </c>
      <c r="M147" s="708">
        <f t="shared" si="36"/>
        <v>0</v>
      </c>
      <c r="N147" s="708">
        <f t="shared" si="36"/>
        <v>22.52</v>
      </c>
      <c r="O147" s="718">
        <f t="shared" si="36"/>
        <v>0</v>
      </c>
      <c r="P147" s="694">
        <f t="shared" si="37"/>
        <v>1</v>
      </c>
      <c r="Q147" s="525">
        <f>I147-'[9]8'!I146</f>
        <v>0</v>
      </c>
      <c r="S147" s="189">
        <v>0</v>
      </c>
      <c r="T147" s="189">
        <v>2</v>
      </c>
      <c r="BT147" s="525"/>
      <c r="BU147" s="523"/>
      <c r="BV147" s="523"/>
      <c r="BW147" s="523"/>
      <c r="BX147" s="523">
        <v>0</v>
      </c>
      <c r="BY147" s="523">
        <v>4</v>
      </c>
      <c r="BZ147" s="523">
        <v>0</v>
      </c>
      <c r="CA147" s="523">
        <v>0</v>
      </c>
      <c r="CB147" s="523"/>
      <c r="CC147" s="523"/>
      <c r="CD147" s="523"/>
      <c r="CE147" s="523"/>
      <c r="CF147" s="523"/>
      <c r="CG147" s="523"/>
      <c r="CH147" s="523"/>
      <c r="CI147" s="523">
        <f t="shared" si="38"/>
        <v>4</v>
      </c>
    </row>
    <row r="148" spans="1:87" ht="15" x14ac:dyDescent="0.2">
      <c r="A148" s="680" t="s">
        <v>1549</v>
      </c>
      <c r="B148" s="569">
        <v>89605</v>
      </c>
      <c r="C148" s="569" t="s">
        <v>1324</v>
      </c>
      <c r="D148" s="569" t="s">
        <v>1550</v>
      </c>
      <c r="E148" s="681" t="s">
        <v>102</v>
      </c>
      <c r="F148" s="644">
        <v>98.11</v>
      </c>
      <c r="G148" s="682">
        <v>11.65</v>
      </c>
      <c r="H148" s="681">
        <v>2</v>
      </c>
      <c r="I148" s="622">
        <f t="shared" si="39"/>
        <v>0</v>
      </c>
      <c r="J148" s="574">
        <f t="shared" si="40"/>
        <v>2</v>
      </c>
      <c r="K148" s="681">
        <f t="shared" si="35"/>
        <v>0</v>
      </c>
      <c r="L148" s="708">
        <f t="shared" si="36"/>
        <v>23.3</v>
      </c>
      <c r="M148" s="708">
        <f t="shared" si="36"/>
        <v>0</v>
      </c>
      <c r="N148" s="708">
        <f t="shared" si="36"/>
        <v>23.3</v>
      </c>
      <c r="O148" s="718">
        <f t="shared" si="36"/>
        <v>0</v>
      </c>
      <c r="P148" s="617">
        <f t="shared" si="37"/>
        <v>1</v>
      </c>
      <c r="Q148" s="525">
        <f>I148-'[9]8'!I147</f>
        <v>0</v>
      </c>
      <c r="S148" s="189">
        <v>0</v>
      </c>
      <c r="T148" s="189">
        <v>2</v>
      </c>
      <c r="BT148" s="525"/>
      <c r="BU148" s="523"/>
      <c r="BV148" s="523"/>
      <c r="BW148" s="523"/>
      <c r="BX148" s="523">
        <v>0</v>
      </c>
      <c r="BY148" s="523">
        <v>2</v>
      </c>
      <c r="BZ148" s="523">
        <v>0</v>
      </c>
      <c r="CA148" s="523">
        <v>0</v>
      </c>
      <c r="CB148" s="523"/>
      <c r="CC148" s="523"/>
      <c r="CD148" s="523"/>
      <c r="CE148" s="523"/>
      <c r="CF148" s="523"/>
      <c r="CG148" s="523"/>
      <c r="CH148" s="523"/>
      <c r="CI148" s="523">
        <f t="shared" si="38"/>
        <v>2</v>
      </c>
    </row>
    <row r="149" spans="1:87" ht="15" x14ac:dyDescent="0.2">
      <c r="A149" s="680" t="s">
        <v>1551</v>
      </c>
      <c r="B149" s="569">
        <v>90375</v>
      </c>
      <c r="C149" s="569" t="s">
        <v>1324</v>
      </c>
      <c r="D149" s="569" t="s">
        <v>1552</v>
      </c>
      <c r="E149" s="681" t="s">
        <v>102</v>
      </c>
      <c r="F149" s="644">
        <v>174.65</v>
      </c>
      <c r="G149" s="682">
        <v>6.61</v>
      </c>
      <c r="H149" s="681">
        <v>2</v>
      </c>
      <c r="I149" s="622">
        <f t="shared" si="39"/>
        <v>0</v>
      </c>
      <c r="J149" s="574">
        <f t="shared" si="40"/>
        <v>2</v>
      </c>
      <c r="K149" s="681">
        <f t="shared" si="35"/>
        <v>0</v>
      </c>
      <c r="L149" s="708">
        <f t="shared" si="36"/>
        <v>13.22</v>
      </c>
      <c r="M149" s="708">
        <f t="shared" si="36"/>
        <v>0</v>
      </c>
      <c r="N149" s="708">
        <f t="shared" si="36"/>
        <v>13.22</v>
      </c>
      <c r="O149" s="718">
        <f t="shared" si="36"/>
        <v>0</v>
      </c>
      <c r="P149" s="617">
        <f t="shared" si="37"/>
        <v>1</v>
      </c>
      <c r="Q149" s="525">
        <f>I149-'[9]8'!I148</f>
        <v>0</v>
      </c>
      <c r="S149" s="189">
        <v>0</v>
      </c>
      <c r="T149" s="189">
        <v>4</v>
      </c>
      <c r="BT149" s="525"/>
      <c r="BU149" s="523"/>
      <c r="BV149" s="523"/>
      <c r="BW149" s="523"/>
      <c r="BX149" s="523">
        <v>0</v>
      </c>
      <c r="BY149" s="523">
        <v>2</v>
      </c>
      <c r="BZ149" s="523">
        <v>0</v>
      </c>
      <c r="CA149" s="523">
        <v>0</v>
      </c>
      <c r="CB149" s="523"/>
      <c r="CC149" s="523"/>
      <c r="CD149" s="523"/>
      <c r="CE149" s="523"/>
      <c r="CF149" s="523"/>
      <c r="CG149" s="523"/>
      <c r="CH149" s="523"/>
      <c r="CI149" s="523">
        <f t="shared" si="38"/>
        <v>2</v>
      </c>
    </row>
    <row r="150" spans="1:87" ht="15.75" x14ac:dyDescent="0.2">
      <c r="A150" s="680" t="s">
        <v>1553</v>
      </c>
      <c r="B150" s="569">
        <v>90375</v>
      </c>
      <c r="C150" s="569" t="s">
        <v>1324</v>
      </c>
      <c r="D150" s="569" t="s">
        <v>1554</v>
      </c>
      <c r="E150" s="681" t="s">
        <v>102</v>
      </c>
      <c r="F150" s="578"/>
      <c r="G150" s="682">
        <v>6.61</v>
      </c>
      <c r="H150" s="681">
        <v>4</v>
      </c>
      <c r="I150" s="622">
        <f t="shared" si="39"/>
        <v>0</v>
      </c>
      <c r="J150" s="574">
        <f t="shared" si="40"/>
        <v>4</v>
      </c>
      <c r="K150" s="681">
        <f t="shared" si="35"/>
        <v>0</v>
      </c>
      <c r="L150" s="708">
        <f t="shared" si="36"/>
        <v>26.44</v>
      </c>
      <c r="M150" s="708">
        <f t="shared" si="36"/>
        <v>0</v>
      </c>
      <c r="N150" s="708">
        <f t="shared" si="36"/>
        <v>26.44</v>
      </c>
      <c r="O150" s="718">
        <f t="shared" si="36"/>
        <v>0</v>
      </c>
      <c r="P150" s="617">
        <f t="shared" si="37"/>
        <v>1</v>
      </c>
      <c r="Q150" s="525">
        <f>I150-'[9]8'!I149</f>
        <v>0</v>
      </c>
      <c r="S150" s="189">
        <v>0</v>
      </c>
      <c r="T150" s="189">
        <v>6</v>
      </c>
      <c r="BT150" s="525"/>
      <c r="BU150" s="523"/>
      <c r="BV150" s="523"/>
      <c r="BW150" s="523"/>
      <c r="BX150" s="523">
        <v>0</v>
      </c>
      <c r="BY150" s="523">
        <v>4</v>
      </c>
      <c r="BZ150" s="523">
        <v>0</v>
      </c>
      <c r="CA150" s="523">
        <v>0</v>
      </c>
      <c r="CB150" s="523"/>
      <c r="CC150" s="523"/>
      <c r="CD150" s="523"/>
      <c r="CE150" s="523"/>
      <c r="CF150" s="523"/>
      <c r="CG150" s="523"/>
      <c r="CH150" s="523"/>
      <c r="CI150" s="523">
        <f t="shared" si="38"/>
        <v>4</v>
      </c>
    </row>
    <row r="151" spans="1:87" ht="15.75" x14ac:dyDescent="0.2">
      <c r="A151" s="680" t="s">
        <v>1555</v>
      </c>
      <c r="B151" s="569">
        <v>89375</v>
      </c>
      <c r="C151" s="569" t="s">
        <v>1324</v>
      </c>
      <c r="D151" s="569" t="s">
        <v>1556</v>
      </c>
      <c r="E151" s="681" t="s">
        <v>102</v>
      </c>
      <c r="F151" s="578"/>
      <c r="G151" s="682">
        <v>7.45</v>
      </c>
      <c r="H151" s="681">
        <v>6</v>
      </c>
      <c r="I151" s="622">
        <f t="shared" si="39"/>
        <v>0</v>
      </c>
      <c r="J151" s="574">
        <f t="shared" si="40"/>
        <v>6</v>
      </c>
      <c r="K151" s="681">
        <f t="shared" si="35"/>
        <v>0</v>
      </c>
      <c r="L151" s="708">
        <f t="shared" si="36"/>
        <v>44.7</v>
      </c>
      <c r="M151" s="708">
        <f t="shared" si="36"/>
        <v>0</v>
      </c>
      <c r="N151" s="708">
        <f t="shared" si="36"/>
        <v>44.7</v>
      </c>
      <c r="O151" s="718">
        <f t="shared" si="36"/>
        <v>0</v>
      </c>
      <c r="P151" s="617">
        <f t="shared" si="37"/>
        <v>1</v>
      </c>
      <c r="Q151" s="525">
        <f>I151-'[9]8'!I150</f>
        <v>0</v>
      </c>
      <c r="S151" s="189">
        <v>0</v>
      </c>
      <c r="T151" s="189">
        <v>2</v>
      </c>
      <c r="BT151" s="525"/>
      <c r="BU151" s="523"/>
      <c r="BV151" s="523"/>
      <c r="BW151" s="523"/>
      <c r="BX151" s="523">
        <v>0</v>
      </c>
      <c r="BY151" s="523">
        <v>6</v>
      </c>
      <c r="BZ151" s="523">
        <v>0</v>
      </c>
      <c r="CA151" s="523">
        <v>0</v>
      </c>
      <c r="CB151" s="523"/>
      <c r="CC151" s="523"/>
      <c r="CD151" s="523"/>
      <c r="CE151" s="523"/>
      <c r="CF151" s="523"/>
      <c r="CG151" s="523"/>
      <c r="CH151" s="523"/>
      <c r="CI151" s="523">
        <f t="shared" si="38"/>
        <v>6</v>
      </c>
    </row>
    <row r="152" spans="1:87" s="754" customFormat="1" ht="15" x14ac:dyDescent="0.2">
      <c r="A152" s="680" t="s">
        <v>1557</v>
      </c>
      <c r="B152" s="569">
        <v>89594</v>
      </c>
      <c r="C152" s="569" t="s">
        <v>1324</v>
      </c>
      <c r="D152" s="569" t="s">
        <v>1558</v>
      </c>
      <c r="E152" s="681" t="s">
        <v>102</v>
      </c>
      <c r="F152" s="644">
        <v>33.909999999999997</v>
      </c>
      <c r="G152" s="682">
        <v>22.48</v>
      </c>
      <c r="H152" s="681">
        <v>2</v>
      </c>
      <c r="I152" s="622">
        <f t="shared" si="39"/>
        <v>0</v>
      </c>
      <c r="J152" s="574">
        <f t="shared" si="40"/>
        <v>2</v>
      </c>
      <c r="K152" s="681">
        <f t="shared" si="35"/>
        <v>0</v>
      </c>
      <c r="L152" s="708">
        <f t="shared" si="36"/>
        <v>44.96</v>
      </c>
      <c r="M152" s="708">
        <f t="shared" si="36"/>
        <v>0</v>
      </c>
      <c r="N152" s="708">
        <f t="shared" si="36"/>
        <v>44.96</v>
      </c>
      <c r="O152" s="718">
        <f t="shared" si="36"/>
        <v>0</v>
      </c>
      <c r="P152" s="617">
        <f t="shared" si="37"/>
        <v>1</v>
      </c>
      <c r="Q152" s="525">
        <f>I152-'[9]8'!I151</f>
        <v>0</v>
      </c>
      <c r="S152" s="190">
        <v>0</v>
      </c>
      <c r="T152" s="190">
        <v>34</v>
      </c>
      <c r="BT152" s="525"/>
      <c r="BU152" s="523"/>
      <c r="BV152" s="523"/>
      <c r="BW152" s="523"/>
      <c r="BX152" s="523">
        <v>0</v>
      </c>
      <c r="BY152" s="523">
        <v>2</v>
      </c>
      <c r="BZ152" s="523">
        <v>0</v>
      </c>
      <c r="CA152" s="523">
        <v>0</v>
      </c>
      <c r="CB152" s="523"/>
      <c r="CC152" s="523"/>
      <c r="CD152" s="523"/>
      <c r="CE152" s="523"/>
      <c r="CF152" s="523"/>
      <c r="CG152" s="523"/>
      <c r="CH152" s="523"/>
      <c r="CI152" s="523">
        <f t="shared" si="38"/>
        <v>2</v>
      </c>
    </row>
    <row r="153" spans="1:87" ht="15.75" x14ac:dyDescent="0.2">
      <c r="A153" s="605" t="s">
        <v>290</v>
      </c>
      <c r="B153" s="586"/>
      <c r="C153" s="586"/>
      <c r="D153" s="586" t="s">
        <v>1559</v>
      </c>
      <c r="E153" s="609"/>
      <c r="F153" s="687"/>
      <c r="G153" s="609"/>
      <c r="H153" s="609"/>
      <c r="I153" s="609"/>
      <c r="J153" s="609"/>
      <c r="K153" s="609"/>
      <c r="L153" s="733">
        <f>SUM(L154:L168)</f>
        <v>2836.4</v>
      </c>
      <c r="M153" s="733">
        <f>SUM(M154:M168)</f>
        <v>831.73000000000013</v>
      </c>
      <c r="N153" s="733">
        <f>SUM(N154:N168)</f>
        <v>1549.74</v>
      </c>
      <c r="O153" s="722">
        <f>SUM(O154:O168)</f>
        <v>1286.6600000000001</v>
      </c>
      <c r="P153" s="611">
        <f t="shared" si="37"/>
        <v>0.54637568749118604</v>
      </c>
      <c r="Q153" s="525">
        <f>I153-'[9]8'!I152</f>
        <v>0</v>
      </c>
      <c r="S153" s="189">
        <v>0</v>
      </c>
      <c r="T153" s="189">
        <v>0</v>
      </c>
      <c r="BT153" s="525"/>
      <c r="BU153" s="523"/>
      <c r="BV153" s="523"/>
      <c r="BW153" s="523"/>
      <c r="BX153" s="523">
        <v>0</v>
      </c>
      <c r="BY153" s="523">
        <v>34</v>
      </c>
      <c r="BZ153" s="523"/>
      <c r="CA153" s="523"/>
      <c r="CB153" s="523"/>
      <c r="CC153" s="523"/>
      <c r="CD153" s="523"/>
      <c r="CE153" s="523"/>
      <c r="CF153" s="523"/>
      <c r="CG153" s="523"/>
      <c r="CH153" s="523"/>
      <c r="CI153" s="523">
        <f t="shared" si="38"/>
        <v>34</v>
      </c>
    </row>
    <row r="154" spans="1:87" ht="15" x14ac:dyDescent="0.2">
      <c r="A154" s="680" t="s">
        <v>1560</v>
      </c>
      <c r="B154" s="569">
        <v>89353</v>
      </c>
      <c r="C154" s="569" t="s">
        <v>1324</v>
      </c>
      <c r="D154" s="569" t="s">
        <v>1561</v>
      </c>
      <c r="E154" s="681" t="s">
        <v>102</v>
      </c>
      <c r="F154" s="644">
        <v>9.81</v>
      </c>
      <c r="G154" s="682">
        <v>30.67</v>
      </c>
      <c r="H154" s="681">
        <v>1</v>
      </c>
      <c r="I154" s="622">
        <f t="shared" si="39"/>
        <v>0</v>
      </c>
      <c r="J154" s="574">
        <f t="shared" si="40"/>
        <v>1</v>
      </c>
      <c r="K154" s="681">
        <f t="shared" si="35"/>
        <v>0</v>
      </c>
      <c r="L154" s="708">
        <f t="shared" ref="L154:O168" si="41">ROUND(H154*$G154,2)</f>
        <v>30.67</v>
      </c>
      <c r="M154" s="708">
        <f t="shared" si="41"/>
        <v>0</v>
      </c>
      <c r="N154" s="708">
        <f t="shared" si="41"/>
        <v>30.67</v>
      </c>
      <c r="O154" s="718">
        <f t="shared" si="41"/>
        <v>0</v>
      </c>
      <c r="P154" s="617">
        <f t="shared" si="37"/>
        <v>1</v>
      </c>
      <c r="Q154" s="525">
        <f>I154-'[9]8'!I153</f>
        <v>0</v>
      </c>
      <c r="S154" s="189">
        <v>0</v>
      </c>
      <c r="T154" s="189">
        <v>0</v>
      </c>
      <c r="BT154" s="525"/>
      <c r="BU154" s="523"/>
      <c r="BV154" s="523">
        <v>1</v>
      </c>
      <c r="BW154" s="523"/>
      <c r="BX154" s="523">
        <v>0</v>
      </c>
      <c r="BY154" s="523">
        <v>0</v>
      </c>
      <c r="BZ154" s="523">
        <v>0</v>
      </c>
      <c r="CA154" s="523">
        <v>0</v>
      </c>
      <c r="CB154" s="523"/>
      <c r="CC154" s="523"/>
      <c r="CD154" s="523"/>
      <c r="CE154" s="523"/>
      <c r="CF154" s="523"/>
      <c r="CG154" s="523"/>
      <c r="CH154" s="523"/>
      <c r="CI154" s="523">
        <f t="shared" si="38"/>
        <v>1</v>
      </c>
    </row>
    <row r="155" spans="1:87" ht="15" x14ac:dyDescent="0.2">
      <c r="A155" s="680" t="s">
        <v>1562</v>
      </c>
      <c r="B155" s="569" t="s">
        <v>1563</v>
      </c>
      <c r="C155" s="569" t="s">
        <v>1324</v>
      </c>
      <c r="D155" s="569" t="s">
        <v>1564</v>
      </c>
      <c r="E155" s="681" t="s">
        <v>102</v>
      </c>
      <c r="F155" s="644">
        <v>12.72</v>
      </c>
      <c r="G155" s="682">
        <v>86.64</v>
      </c>
      <c r="H155" s="681">
        <v>2</v>
      </c>
      <c r="I155" s="622">
        <f t="shared" si="39"/>
        <v>0</v>
      </c>
      <c r="J155" s="574">
        <f t="shared" si="40"/>
        <v>2</v>
      </c>
      <c r="K155" s="681">
        <f t="shared" si="35"/>
        <v>0</v>
      </c>
      <c r="L155" s="708">
        <f t="shared" si="41"/>
        <v>173.28</v>
      </c>
      <c r="M155" s="708">
        <f t="shared" si="41"/>
        <v>0</v>
      </c>
      <c r="N155" s="708">
        <f t="shared" si="41"/>
        <v>173.28</v>
      </c>
      <c r="O155" s="718">
        <f t="shared" si="41"/>
        <v>0</v>
      </c>
      <c r="P155" s="617">
        <f t="shared" si="37"/>
        <v>1</v>
      </c>
      <c r="Q155" s="525">
        <f>I155-'[9]8'!I154</f>
        <v>0</v>
      </c>
      <c r="S155" s="189">
        <v>0</v>
      </c>
      <c r="T155" s="189">
        <v>0</v>
      </c>
      <c r="BT155" s="525"/>
      <c r="BU155" s="523"/>
      <c r="BV155" s="523">
        <v>2</v>
      </c>
      <c r="BW155" s="523"/>
      <c r="BX155" s="523">
        <v>0</v>
      </c>
      <c r="BY155" s="523">
        <v>0</v>
      </c>
      <c r="BZ155" s="523">
        <v>0</v>
      </c>
      <c r="CA155" s="523">
        <v>0</v>
      </c>
      <c r="CB155" s="523"/>
      <c r="CC155" s="523"/>
      <c r="CD155" s="523"/>
      <c r="CE155" s="523"/>
      <c r="CF155" s="523"/>
      <c r="CG155" s="523"/>
      <c r="CH155" s="523"/>
      <c r="CI155" s="523">
        <f t="shared" si="38"/>
        <v>2</v>
      </c>
    </row>
    <row r="156" spans="1:87" ht="15.75" x14ac:dyDescent="0.2">
      <c r="A156" s="680" t="s">
        <v>1565</v>
      </c>
      <c r="B156" s="569" t="s">
        <v>1566</v>
      </c>
      <c r="C156" s="569" t="s">
        <v>1324</v>
      </c>
      <c r="D156" s="569" t="s">
        <v>1567</v>
      </c>
      <c r="E156" s="681" t="s">
        <v>102</v>
      </c>
      <c r="F156" s="578"/>
      <c r="G156" s="682">
        <v>52.59</v>
      </c>
      <c r="H156" s="681">
        <v>2</v>
      </c>
      <c r="I156" s="622">
        <f t="shared" si="39"/>
        <v>1</v>
      </c>
      <c r="J156" s="574">
        <f t="shared" si="40"/>
        <v>2</v>
      </c>
      <c r="K156" s="681">
        <f t="shared" si="35"/>
        <v>0</v>
      </c>
      <c r="L156" s="708">
        <f t="shared" si="41"/>
        <v>105.18</v>
      </c>
      <c r="M156" s="708">
        <f t="shared" si="41"/>
        <v>52.59</v>
      </c>
      <c r="N156" s="708">
        <f t="shared" si="41"/>
        <v>105.18</v>
      </c>
      <c r="O156" s="718">
        <f t="shared" si="41"/>
        <v>0</v>
      </c>
      <c r="P156" s="617">
        <f t="shared" si="37"/>
        <v>1</v>
      </c>
      <c r="Q156" s="525">
        <f>I156-'[9]8'!I155</f>
        <v>0</v>
      </c>
      <c r="S156" s="189">
        <v>0</v>
      </c>
      <c r="T156" s="189">
        <v>0</v>
      </c>
      <c r="BT156" s="525"/>
      <c r="BU156" s="523">
        <v>1</v>
      </c>
      <c r="BV156" s="523">
        <v>1</v>
      </c>
      <c r="BW156" s="523"/>
      <c r="BX156" s="523">
        <v>0</v>
      </c>
      <c r="BY156" s="523">
        <v>0</v>
      </c>
      <c r="BZ156" s="523">
        <v>0</v>
      </c>
      <c r="CA156" s="523">
        <v>0</v>
      </c>
      <c r="CB156" s="523"/>
      <c r="CC156" s="523"/>
      <c r="CD156" s="523"/>
      <c r="CE156" s="523"/>
      <c r="CF156" s="523"/>
      <c r="CG156" s="523"/>
      <c r="CH156" s="523"/>
      <c r="CI156" s="523">
        <f t="shared" si="38"/>
        <v>2</v>
      </c>
    </row>
    <row r="157" spans="1:87" ht="15.75" x14ac:dyDescent="0.2">
      <c r="A157" s="680" t="s">
        <v>1568</v>
      </c>
      <c r="B157" s="569" t="s">
        <v>1569</v>
      </c>
      <c r="C157" s="569" t="s">
        <v>1324</v>
      </c>
      <c r="D157" s="569" t="s">
        <v>1570</v>
      </c>
      <c r="E157" s="681" t="s">
        <v>102</v>
      </c>
      <c r="F157" s="578"/>
      <c r="G157" s="682">
        <v>120.21</v>
      </c>
      <c r="H157" s="681">
        <v>2</v>
      </c>
      <c r="I157" s="573">
        <f t="shared" si="39"/>
        <v>2</v>
      </c>
      <c r="J157" s="573">
        <f t="shared" si="40"/>
        <v>2</v>
      </c>
      <c r="K157" s="685">
        <f t="shared" si="35"/>
        <v>0</v>
      </c>
      <c r="L157" s="708">
        <f t="shared" si="41"/>
        <v>240.42</v>
      </c>
      <c r="M157" s="708">
        <f t="shared" si="41"/>
        <v>240.42</v>
      </c>
      <c r="N157" s="708">
        <f t="shared" si="41"/>
        <v>240.42</v>
      </c>
      <c r="O157" s="718">
        <f t="shared" si="41"/>
        <v>0</v>
      </c>
      <c r="P157" s="617">
        <f t="shared" si="37"/>
        <v>1</v>
      </c>
      <c r="Q157" s="525">
        <f>I157-'[9]8'!I156</f>
        <v>0</v>
      </c>
      <c r="S157" s="189">
        <v>0</v>
      </c>
      <c r="T157" s="189">
        <v>0</v>
      </c>
      <c r="BT157" s="525"/>
      <c r="BU157" s="523">
        <v>2</v>
      </c>
      <c r="BV157" s="523"/>
      <c r="BW157" s="523"/>
      <c r="BX157" s="523">
        <v>0</v>
      </c>
      <c r="BY157" s="523">
        <v>0</v>
      </c>
      <c r="BZ157" s="523">
        <v>0</v>
      </c>
      <c r="CA157" s="523">
        <v>0</v>
      </c>
      <c r="CB157" s="523"/>
      <c r="CC157" s="523"/>
      <c r="CD157" s="523"/>
      <c r="CE157" s="523"/>
      <c r="CF157" s="523"/>
      <c r="CG157" s="523"/>
      <c r="CH157" s="523"/>
      <c r="CI157" s="523">
        <f t="shared" si="38"/>
        <v>2</v>
      </c>
    </row>
    <row r="158" spans="1:87" ht="15" x14ac:dyDescent="0.2">
      <c r="A158" s="680" t="s">
        <v>1571</v>
      </c>
      <c r="B158" s="569" t="s">
        <v>1572</v>
      </c>
      <c r="C158" s="569" t="s">
        <v>1324</v>
      </c>
      <c r="D158" s="569" t="s">
        <v>1573</v>
      </c>
      <c r="E158" s="681" t="s">
        <v>102</v>
      </c>
      <c r="F158" s="571"/>
      <c r="G158" s="682">
        <v>67.349999999999994</v>
      </c>
      <c r="H158" s="681">
        <v>2</v>
      </c>
      <c r="I158" s="573">
        <f t="shared" si="39"/>
        <v>1</v>
      </c>
      <c r="J158" s="573">
        <f t="shared" si="40"/>
        <v>2</v>
      </c>
      <c r="K158" s="685">
        <f t="shared" si="35"/>
        <v>0</v>
      </c>
      <c r="L158" s="708">
        <f t="shared" si="41"/>
        <v>134.69999999999999</v>
      </c>
      <c r="M158" s="708">
        <f t="shared" si="41"/>
        <v>67.349999999999994</v>
      </c>
      <c r="N158" s="708">
        <f t="shared" si="41"/>
        <v>134.69999999999999</v>
      </c>
      <c r="O158" s="718">
        <f t="shared" si="41"/>
        <v>0</v>
      </c>
      <c r="P158" s="617">
        <f t="shared" si="37"/>
        <v>1</v>
      </c>
      <c r="Q158" s="525">
        <f>I158-'[9]8'!I157</f>
        <v>0</v>
      </c>
      <c r="S158" s="189">
        <v>0</v>
      </c>
      <c r="T158" s="189">
        <v>0</v>
      </c>
      <c r="BT158" s="525"/>
      <c r="BU158" s="523">
        <v>1</v>
      </c>
      <c r="BV158" s="523">
        <v>1</v>
      </c>
      <c r="BW158" s="523"/>
      <c r="BX158" s="523">
        <v>0</v>
      </c>
      <c r="BY158" s="523">
        <v>0</v>
      </c>
      <c r="BZ158" s="523">
        <v>0</v>
      </c>
      <c r="CA158" s="523">
        <v>0</v>
      </c>
      <c r="CB158" s="523"/>
      <c r="CC158" s="523"/>
      <c r="CD158" s="523"/>
      <c r="CE158" s="523"/>
      <c r="CF158" s="523"/>
      <c r="CG158" s="523"/>
      <c r="CH158" s="523"/>
      <c r="CI158" s="523">
        <f t="shared" si="38"/>
        <v>2</v>
      </c>
    </row>
    <row r="159" spans="1:87" ht="15" x14ac:dyDescent="0.2">
      <c r="A159" s="680" t="s">
        <v>1574</v>
      </c>
      <c r="B159" s="569">
        <v>89987</v>
      </c>
      <c r="C159" s="569" t="s">
        <v>1324</v>
      </c>
      <c r="D159" s="569" t="s">
        <v>1575</v>
      </c>
      <c r="E159" s="681" t="s">
        <v>102</v>
      </c>
      <c r="F159" s="644">
        <v>8.41</v>
      </c>
      <c r="G159" s="682">
        <v>35.92</v>
      </c>
      <c r="H159" s="681">
        <v>2</v>
      </c>
      <c r="I159" s="573">
        <f t="shared" si="39"/>
        <v>1</v>
      </c>
      <c r="J159" s="573">
        <f t="shared" si="40"/>
        <v>2</v>
      </c>
      <c r="K159" s="685">
        <f t="shared" si="35"/>
        <v>0</v>
      </c>
      <c r="L159" s="708">
        <f t="shared" si="41"/>
        <v>71.84</v>
      </c>
      <c r="M159" s="708">
        <f t="shared" si="41"/>
        <v>35.92</v>
      </c>
      <c r="N159" s="708">
        <f t="shared" si="41"/>
        <v>71.84</v>
      </c>
      <c r="O159" s="718">
        <f t="shared" si="41"/>
        <v>0</v>
      </c>
      <c r="P159" s="617">
        <f t="shared" si="37"/>
        <v>1</v>
      </c>
      <c r="Q159" s="525">
        <f>I159-'[9]8'!I158</f>
        <v>0</v>
      </c>
      <c r="S159" s="189">
        <v>0</v>
      </c>
      <c r="T159" s="189">
        <v>0</v>
      </c>
      <c r="BT159" s="525"/>
      <c r="BU159" s="523">
        <v>1</v>
      </c>
      <c r="BV159" s="523">
        <v>1</v>
      </c>
      <c r="BW159" s="523"/>
      <c r="BX159" s="523">
        <v>0</v>
      </c>
      <c r="BY159" s="523">
        <v>0</v>
      </c>
      <c r="BZ159" s="523">
        <v>0</v>
      </c>
      <c r="CA159" s="523">
        <v>0</v>
      </c>
      <c r="CB159" s="523"/>
      <c r="CC159" s="523"/>
      <c r="CD159" s="523"/>
      <c r="CE159" s="523"/>
      <c r="CF159" s="523"/>
      <c r="CG159" s="523"/>
      <c r="CH159" s="523"/>
      <c r="CI159" s="523">
        <f t="shared" si="38"/>
        <v>2</v>
      </c>
    </row>
    <row r="160" spans="1:87" ht="15" x14ac:dyDescent="0.2">
      <c r="A160" s="680" t="s">
        <v>1576</v>
      </c>
      <c r="B160" s="569">
        <v>89985</v>
      </c>
      <c r="C160" s="569" t="s">
        <v>1324</v>
      </c>
      <c r="D160" s="569" t="s">
        <v>1577</v>
      </c>
      <c r="E160" s="681" t="s">
        <v>102</v>
      </c>
      <c r="F160" s="644">
        <v>9.49</v>
      </c>
      <c r="G160" s="682">
        <v>64.02</v>
      </c>
      <c r="H160" s="681">
        <v>8</v>
      </c>
      <c r="I160" s="573">
        <f t="shared" si="39"/>
        <v>5</v>
      </c>
      <c r="J160" s="573">
        <f t="shared" si="40"/>
        <v>8</v>
      </c>
      <c r="K160" s="685">
        <f t="shared" si="35"/>
        <v>0</v>
      </c>
      <c r="L160" s="708">
        <f t="shared" si="41"/>
        <v>512.16</v>
      </c>
      <c r="M160" s="708">
        <f t="shared" si="41"/>
        <v>320.10000000000002</v>
      </c>
      <c r="N160" s="708">
        <f t="shared" si="41"/>
        <v>512.16</v>
      </c>
      <c r="O160" s="718">
        <f t="shared" si="41"/>
        <v>0</v>
      </c>
      <c r="P160" s="617">
        <f t="shared" si="37"/>
        <v>1</v>
      </c>
      <c r="Q160" s="525">
        <f>I160-'[9]8'!I159</f>
        <v>0</v>
      </c>
      <c r="S160" s="189">
        <v>0</v>
      </c>
      <c r="T160" s="189">
        <v>12</v>
      </c>
      <c r="BT160" s="525"/>
      <c r="BU160" s="523">
        <v>5</v>
      </c>
      <c r="BV160" s="523">
        <v>3</v>
      </c>
      <c r="BW160" s="523"/>
      <c r="BX160" s="523">
        <v>0</v>
      </c>
      <c r="BY160" s="523">
        <v>0</v>
      </c>
      <c r="BZ160" s="523">
        <v>0</v>
      </c>
      <c r="CA160" s="523">
        <v>0</v>
      </c>
      <c r="CB160" s="523"/>
      <c r="CC160" s="523"/>
      <c r="CD160" s="523"/>
      <c r="CE160" s="523"/>
      <c r="CF160" s="523"/>
      <c r="CG160" s="523"/>
      <c r="CH160" s="523"/>
      <c r="CI160" s="523">
        <f t="shared" si="38"/>
        <v>8</v>
      </c>
    </row>
    <row r="161" spans="1:87" ht="15" x14ac:dyDescent="0.2">
      <c r="A161" s="680" t="s">
        <v>1578</v>
      </c>
      <c r="B161" s="569">
        <v>89538</v>
      </c>
      <c r="C161" s="569" t="s">
        <v>1324</v>
      </c>
      <c r="D161" s="569" t="s">
        <v>1579</v>
      </c>
      <c r="E161" s="681" t="s">
        <v>102</v>
      </c>
      <c r="F161" s="644">
        <v>6.56</v>
      </c>
      <c r="G161" s="682">
        <v>2.75</v>
      </c>
      <c r="H161" s="681">
        <v>12</v>
      </c>
      <c r="I161" s="573">
        <f t="shared" si="39"/>
        <v>0</v>
      </c>
      <c r="J161" s="573">
        <f t="shared" si="40"/>
        <v>12</v>
      </c>
      <c r="K161" s="685">
        <f t="shared" si="35"/>
        <v>0</v>
      </c>
      <c r="L161" s="708">
        <f t="shared" si="41"/>
        <v>33</v>
      </c>
      <c r="M161" s="708">
        <f t="shared" si="41"/>
        <v>0</v>
      </c>
      <c r="N161" s="708">
        <f t="shared" si="41"/>
        <v>33</v>
      </c>
      <c r="O161" s="718">
        <f t="shared" si="41"/>
        <v>0</v>
      </c>
      <c r="P161" s="617">
        <f t="shared" si="37"/>
        <v>1</v>
      </c>
      <c r="Q161" s="525">
        <f>I161-'[9]8'!I160</f>
        <v>0</v>
      </c>
      <c r="S161" s="189">
        <v>0</v>
      </c>
      <c r="T161" s="189">
        <v>4</v>
      </c>
      <c r="BT161" s="525"/>
      <c r="BU161" s="523"/>
      <c r="BV161" s="523">
        <v>0</v>
      </c>
      <c r="BW161" s="523"/>
      <c r="BX161" s="523">
        <v>0</v>
      </c>
      <c r="BY161" s="523">
        <v>12</v>
      </c>
      <c r="BZ161" s="523">
        <v>0</v>
      </c>
      <c r="CA161" s="523">
        <v>0</v>
      </c>
      <c r="CB161" s="523"/>
      <c r="CC161" s="523"/>
      <c r="CD161" s="523"/>
      <c r="CE161" s="523"/>
      <c r="CF161" s="523"/>
      <c r="CG161" s="523"/>
      <c r="CH161" s="523"/>
      <c r="CI161" s="523">
        <f t="shared" si="38"/>
        <v>12</v>
      </c>
    </row>
    <row r="162" spans="1:87" ht="15.75" x14ac:dyDescent="0.2">
      <c r="A162" s="680" t="s">
        <v>1580</v>
      </c>
      <c r="B162" s="569">
        <v>89553</v>
      </c>
      <c r="C162" s="569" t="s">
        <v>1324</v>
      </c>
      <c r="D162" s="569" t="s">
        <v>1581</v>
      </c>
      <c r="E162" s="681" t="s">
        <v>102</v>
      </c>
      <c r="F162" s="578"/>
      <c r="G162" s="682">
        <v>4.01</v>
      </c>
      <c r="H162" s="681">
        <v>4</v>
      </c>
      <c r="I162" s="573">
        <f t="shared" si="39"/>
        <v>0</v>
      </c>
      <c r="J162" s="573">
        <f t="shared" si="40"/>
        <v>4</v>
      </c>
      <c r="K162" s="685">
        <f t="shared" si="35"/>
        <v>0</v>
      </c>
      <c r="L162" s="708">
        <f t="shared" si="41"/>
        <v>16.04</v>
      </c>
      <c r="M162" s="708">
        <f t="shared" si="41"/>
        <v>0</v>
      </c>
      <c r="N162" s="708">
        <f t="shared" si="41"/>
        <v>16.04</v>
      </c>
      <c r="O162" s="718">
        <f t="shared" si="41"/>
        <v>0</v>
      </c>
      <c r="P162" s="617">
        <f t="shared" si="37"/>
        <v>1</v>
      </c>
      <c r="Q162" s="525">
        <f>I162-'[9]8'!I161</f>
        <v>0</v>
      </c>
      <c r="S162" s="189">
        <v>0</v>
      </c>
      <c r="T162" s="189">
        <v>4</v>
      </c>
      <c r="BT162" s="525"/>
      <c r="BU162" s="523"/>
      <c r="BV162" s="523"/>
      <c r="BW162" s="523"/>
      <c r="BX162" s="523">
        <v>0</v>
      </c>
      <c r="BY162" s="523">
        <v>4</v>
      </c>
      <c r="BZ162" s="523">
        <v>0</v>
      </c>
      <c r="CA162" s="523">
        <v>0</v>
      </c>
      <c r="CB162" s="523"/>
      <c r="CC162" s="523"/>
      <c r="CD162" s="523"/>
      <c r="CE162" s="523"/>
      <c r="CF162" s="523"/>
      <c r="CG162" s="523"/>
      <c r="CH162" s="523"/>
      <c r="CI162" s="523">
        <f t="shared" si="38"/>
        <v>4</v>
      </c>
    </row>
    <row r="163" spans="1:87" ht="15" x14ac:dyDescent="0.2">
      <c r="A163" s="680" t="s">
        <v>1582</v>
      </c>
      <c r="B163" s="569">
        <v>89570</v>
      </c>
      <c r="C163" s="569" t="s">
        <v>1324</v>
      </c>
      <c r="D163" s="569" t="s">
        <v>1583</v>
      </c>
      <c r="E163" s="681" t="s">
        <v>102</v>
      </c>
      <c r="F163" s="644">
        <v>8.41</v>
      </c>
      <c r="G163" s="682">
        <v>6.66</v>
      </c>
      <c r="H163" s="681">
        <v>4</v>
      </c>
      <c r="I163" s="573">
        <f t="shared" si="39"/>
        <v>0</v>
      </c>
      <c r="J163" s="573">
        <f t="shared" si="40"/>
        <v>4</v>
      </c>
      <c r="K163" s="685">
        <f t="shared" si="35"/>
        <v>0</v>
      </c>
      <c r="L163" s="708">
        <f t="shared" si="41"/>
        <v>26.64</v>
      </c>
      <c r="M163" s="708">
        <f t="shared" si="41"/>
        <v>0</v>
      </c>
      <c r="N163" s="708">
        <f t="shared" si="41"/>
        <v>26.64</v>
      </c>
      <c r="O163" s="718">
        <f t="shared" si="41"/>
        <v>0</v>
      </c>
      <c r="P163" s="617">
        <f t="shared" si="37"/>
        <v>1</v>
      </c>
      <c r="Q163" s="525">
        <f>I163-'[9]8'!I162</f>
        <v>0</v>
      </c>
      <c r="S163" s="189">
        <v>0</v>
      </c>
      <c r="T163" s="189">
        <v>4</v>
      </c>
      <c r="BT163" s="525"/>
      <c r="BU163" s="523"/>
      <c r="BV163" s="523"/>
      <c r="BW163" s="523"/>
      <c r="BX163" s="523">
        <v>0</v>
      </c>
      <c r="BY163" s="523">
        <v>4</v>
      </c>
      <c r="BZ163" s="523">
        <v>0</v>
      </c>
      <c r="CA163" s="523">
        <v>0</v>
      </c>
      <c r="CB163" s="523"/>
      <c r="CC163" s="523"/>
      <c r="CD163" s="523"/>
      <c r="CE163" s="523"/>
      <c r="CF163" s="523"/>
      <c r="CG163" s="523"/>
      <c r="CH163" s="523"/>
      <c r="CI163" s="523">
        <f t="shared" si="38"/>
        <v>4</v>
      </c>
    </row>
    <row r="164" spans="1:87" ht="15.75" x14ac:dyDescent="0.2">
      <c r="A164" s="680" t="s">
        <v>1584</v>
      </c>
      <c r="B164" s="569">
        <v>89596</v>
      </c>
      <c r="C164" s="569" t="s">
        <v>1324</v>
      </c>
      <c r="D164" s="569" t="s">
        <v>1585</v>
      </c>
      <c r="E164" s="681" t="s">
        <v>102</v>
      </c>
      <c r="F164" s="578"/>
      <c r="G164" s="682">
        <v>7.49</v>
      </c>
      <c r="H164" s="681">
        <v>4</v>
      </c>
      <c r="I164" s="573">
        <f t="shared" si="39"/>
        <v>0</v>
      </c>
      <c r="J164" s="573">
        <f t="shared" si="40"/>
        <v>4</v>
      </c>
      <c r="K164" s="685">
        <f t="shared" si="35"/>
        <v>0</v>
      </c>
      <c r="L164" s="708">
        <f t="shared" si="41"/>
        <v>29.96</v>
      </c>
      <c r="M164" s="708">
        <f t="shared" si="41"/>
        <v>0</v>
      </c>
      <c r="N164" s="708">
        <f t="shared" si="41"/>
        <v>29.96</v>
      </c>
      <c r="O164" s="718">
        <f t="shared" si="41"/>
        <v>0</v>
      </c>
      <c r="P164" s="617">
        <f t="shared" si="37"/>
        <v>1</v>
      </c>
      <c r="Q164" s="525">
        <f>I164-'[9]8'!I163</f>
        <v>0</v>
      </c>
      <c r="S164" s="189">
        <v>0</v>
      </c>
      <c r="T164" s="189">
        <v>10</v>
      </c>
      <c r="BT164" s="525"/>
      <c r="BU164" s="523"/>
      <c r="BV164" s="523"/>
      <c r="BW164" s="523"/>
      <c r="BX164" s="523">
        <v>0</v>
      </c>
      <c r="BY164" s="523">
        <v>4</v>
      </c>
      <c r="BZ164" s="523">
        <v>0</v>
      </c>
      <c r="CA164" s="523">
        <v>0</v>
      </c>
      <c r="CB164" s="523"/>
      <c r="CC164" s="523"/>
      <c r="CD164" s="523"/>
      <c r="CE164" s="523"/>
      <c r="CF164" s="523"/>
      <c r="CG164" s="523"/>
      <c r="CH164" s="523"/>
      <c r="CI164" s="523">
        <f t="shared" si="38"/>
        <v>4</v>
      </c>
    </row>
    <row r="165" spans="1:87" ht="15" x14ac:dyDescent="0.2">
      <c r="A165" s="680" t="s">
        <v>1586</v>
      </c>
      <c r="B165" s="569">
        <v>86884</v>
      </c>
      <c r="C165" s="569" t="s">
        <v>1324</v>
      </c>
      <c r="D165" s="569" t="s">
        <v>1587</v>
      </c>
      <c r="E165" s="681" t="s">
        <v>102</v>
      </c>
      <c r="F165" s="644">
        <v>6.56</v>
      </c>
      <c r="G165" s="682">
        <v>6.05</v>
      </c>
      <c r="H165" s="681">
        <v>10</v>
      </c>
      <c r="I165" s="573">
        <f t="shared" si="39"/>
        <v>0</v>
      </c>
      <c r="J165" s="573">
        <f t="shared" si="40"/>
        <v>10</v>
      </c>
      <c r="K165" s="685">
        <f t="shared" si="35"/>
        <v>0</v>
      </c>
      <c r="L165" s="708">
        <f t="shared" si="41"/>
        <v>60.5</v>
      </c>
      <c r="M165" s="708">
        <f t="shared" si="41"/>
        <v>0</v>
      </c>
      <c r="N165" s="708">
        <f t="shared" si="41"/>
        <v>60.5</v>
      </c>
      <c r="O165" s="718">
        <f t="shared" si="41"/>
        <v>0</v>
      </c>
      <c r="P165" s="617">
        <f t="shared" si="37"/>
        <v>1</v>
      </c>
      <c r="Q165" s="525">
        <f>I165-'[9]8'!I164</f>
        <v>0</v>
      </c>
      <c r="S165" s="189">
        <v>0</v>
      </c>
      <c r="T165" s="189">
        <v>0</v>
      </c>
      <c r="BT165" s="525"/>
      <c r="BU165" s="523"/>
      <c r="BV165" s="523"/>
      <c r="BW165" s="523"/>
      <c r="BX165" s="523">
        <v>0</v>
      </c>
      <c r="BY165" s="523">
        <v>10</v>
      </c>
      <c r="BZ165" s="523">
        <v>0</v>
      </c>
      <c r="CA165" s="523">
        <v>0</v>
      </c>
      <c r="CB165" s="523"/>
      <c r="CC165" s="523"/>
      <c r="CD165" s="523"/>
      <c r="CE165" s="523"/>
      <c r="CF165" s="523"/>
      <c r="CG165" s="523"/>
      <c r="CH165" s="523"/>
      <c r="CI165" s="523">
        <f t="shared" si="38"/>
        <v>10</v>
      </c>
    </row>
    <row r="166" spans="1:87" ht="15" x14ac:dyDescent="0.2">
      <c r="A166" s="680" t="s">
        <v>1588</v>
      </c>
      <c r="B166" s="569">
        <v>72789</v>
      </c>
      <c r="C166" s="569" t="s">
        <v>1324</v>
      </c>
      <c r="D166" s="569" t="s">
        <v>1589</v>
      </c>
      <c r="E166" s="681" t="s">
        <v>102</v>
      </c>
      <c r="F166" s="644">
        <v>9.49</v>
      </c>
      <c r="G166" s="682">
        <v>16.59</v>
      </c>
      <c r="H166" s="681">
        <v>3</v>
      </c>
      <c r="I166" s="573">
        <f t="shared" si="39"/>
        <v>3</v>
      </c>
      <c r="J166" s="573">
        <f t="shared" si="40"/>
        <v>3</v>
      </c>
      <c r="K166" s="685">
        <f t="shared" si="35"/>
        <v>0</v>
      </c>
      <c r="L166" s="708">
        <f t="shared" si="41"/>
        <v>49.77</v>
      </c>
      <c r="M166" s="708">
        <f t="shared" si="41"/>
        <v>49.77</v>
      </c>
      <c r="N166" s="708">
        <f t="shared" si="41"/>
        <v>49.77</v>
      </c>
      <c r="O166" s="718">
        <f t="shared" si="41"/>
        <v>0</v>
      </c>
      <c r="P166" s="617">
        <f t="shared" si="37"/>
        <v>1</v>
      </c>
      <c r="Q166" s="525">
        <f>I166-'[9]8'!I165</f>
        <v>0</v>
      </c>
      <c r="S166" s="189">
        <v>0</v>
      </c>
      <c r="T166" s="189">
        <v>0</v>
      </c>
      <c r="BT166" s="525"/>
      <c r="BU166" s="523">
        <v>3</v>
      </c>
      <c r="BV166" s="523"/>
      <c r="BW166" s="523"/>
      <c r="BX166" s="523">
        <v>0</v>
      </c>
      <c r="BY166" s="523">
        <v>0</v>
      </c>
      <c r="BZ166" s="523">
        <v>0</v>
      </c>
      <c r="CA166" s="523">
        <v>0</v>
      </c>
      <c r="CB166" s="523"/>
      <c r="CC166" s="523"/>
      <c r="CD166" s="523"/>
      <c r="CE166" s="523"/>
      <c r="CF166" s="523"/>
      <c r="CG166" s="523"/>
      <c r="CH166" s="523"/>
      <c r="CI166" s="523">
        <f t="shared" si="38"/>
        <v>3</v>
      </c>
    </row>
    <row r="167" spans="1:87" ht="15.75" x14ac:dyDescent="0.2">
      <c r="A167" s="680" t="s">
        <v>1590</v>
      </c>
      <c r="B167" s="569">
        <v>72792</v>
      </c>
      <c r="C167" s="569" t="s">
        <v>1324</v>
      </c>
      <c r="D167" s="569" t="s">
        <v>1591</v>
      </c>
      <c r="E167" s="681" t="s">
        <v>102</v>
      </c>
      <c r="F167" s="578"/>
      <c r="G167" s="682">
        <v>32.79</v>
      </c>
      <c r="H167" s="681">
        <v>2</v>
      </c>
      <c r="I167" s="573">
        <f t="shared" si="39"/>
        <v>2</v>
      </c>
      <c r="J167" s="573">
        <f t="shared" si="40"/>
        <v>2</v>
      </c>
      <c r="K167" s="685">
        <f t="shared" si="35"/>
        <v>0</v>
      </c>
      <c r="L167" s="708">
        <f t="shared" si="41"/>
        <v>65.58</v>
      </c>
      <c r="M167" s="708">
        <f t="shared" si="41"/>
        <v>65.58</v>
      </c>
      <c r="N167" s="708">
        <f t="shared" si="41"/>
        <v>65.58</v>
      </c>
      <c r="O167" s="718">
        <f t="shared" si="41"/>
        <v>0</v>
      </c>
      <c r="P167" s="617">
        <f t="shared" si="37"/>
        <v>1</v>
      </c>
      <c r="Q167" s="525">
        <f>I167-'[9]8'!I166</f>
        <v>0</v>
      </c>
      <c r="S167" s="189">
        <v>0</v>
      </c>
      <c r="T167" s="189">
        <v>0</v>
      </c>
      <c r="BT167" s="525"/>
      <c r="BU167" s="523">
        <v>2</v>
      </c>
      <c r="BV167" s="523"/>
      <c r="BW167" s="523"/>
      <c r="BX167" s="523">
        <v>0</v>
      </c>
      <c r="BY167" s="523">
        <v>0</v>
      </c>
      <c r="BZ167" s="523">
        <v>0</v>
      </c>
      <c r="CA167" s="523">
        <v>0</v>
      </c>
      <c r="CB167" s="523"/>
      <c r="CC167" s="523"/>
      <c r="CD167" s="523"/>
      <c r="CE167" s="523"/>
      <c r="CF167" s="523"/>
      <c r="CG167" s="523"/>
      <c r="CH167" s="523"/>
      <c r="CI167" s="523">
        <f t="shared" si="38"/>
        <v>2</v>
      </c>
    </row>
    <row r="168" spans="1:87" ht="15" x14ac:dyDescent="0.2">
      <c r="A168" s="680" t="s">
        <v>1592</v>
      </c>
      <c r="B168" s="569" t="s">
        <v>2007</v>
      </c>
      <c r="C168" s="569" t="s">
        <v>1339</v>
      </c>
      <c r="D168" s="569" t="s">
        <v>1593</v>
      </c>
      <c r="E168" s="681" t="s">
        <v>102</v>
      </c>
      <c r="F168" s="644">
        <v>13.87</v>
      </c>
      <c r="G168" s="682">
        <v>1286.6600000000001</v>
      </c>
      <c r="H168" s="681">
        <v>1</v>
      </c>
      <c r="I168" s="573">
        <f t="shared" si="39"/>
        <v>0</v>
      </c>
      <c r="J168" s="573">
        <f t="shared" si="40"/>
        <v>0</v>
      </c>
      <c r="K168" s="685">
        <f t="shared" si="35"/>
        <v>1</v>
      </c>
      <c r="L168" s="708">
        <f t="shared" si="41"/>
        <v>1286.6600000000001</v>
      </c>
      <c r="M168" s="708">
        <f t="shared" si="41"/>
        <v>0</v>
      </c>
      <c r="N168" s="708">
        <f t="shared" si="41"/>
        <v>0</v>
      </c>
      <c r="O168" s="718">
        <f t="shared" si="41"/>
        <v>1286.6600000000001</v>
      </c>
      <c r="P168" s="617">
        <f t="shared" si="37"/>
        <v>0</v>
      </c>
      <c r="Q168" s="525">
        <f>I168-'[9]8'!I167</f>
        <v>0</v>
      </c>
      <c r="S168" s="189">
        <v>0</v>
      </c>
      <c r="T168" s="189">
        <v>0</v>
      </c>
      <c r="BT168" s="525"/>
      <c r="BU168" s="523"/>
      <c r="BV168" s="523"/>
      <c r="BW168" s="523"/>
      <c r="BX168" s="523">
        <v>0</v>
      </c>
      <c r="BY168" s="523">
        <v>0</v>
      </c>
      <c r="BZ168" s="523">
        <v>0</v>
      </c>
      <c r="CA168" s="523">
        <v>0</v>
      </c>
      <c r="CB168" s="523"/>
      <c r="CC168" s="523"/>
      <c r="CD168" s="523"/>
      <c r="CE168" s="523"/>
      <c r="CF168" s="523"/>
      <c r="CG168" s="523"/>
      <c r="CH168" s="523"/>
      <c r="CI168" s="523">
        <f t="shared" si="38"/>
        <v>0</v>
      </c>
    </row>
    <row r="169" spans="1:87" s="754" customFormat="1" ht="15.75" x14ac:dyDescent="0.2">
      <c r="A169" s="600">
        <v>13</v>
      </c>
      <c r="B169" s="558"/>
      <c r="C169" s="558"/>
      <c r="D169" s="558" t="s">
        <v>1594</v>
      </c>
      <c r="E169" s="626"/>
      <c r="F169" s="626"/>
      <c r="G169" s="626"/>
      <c r="H169" s="626"/>
      <c r="I169" s="747"/>
      <c r="J169" s="747"/>
      <c r="K169" s="747"/>
      <c r="L169" s="734">
        <f>SUM(L170,L182)</f>
        <v>16232.49</v>
      </c>
      <c r="M169" s="734">
        <f>SUM(M170,M182)</f>
        <v>1031.24</v>
      </c>
      <c r="N169" s="734">
        <f>SUM(N170,N182)</f>
        <v>4121.05</v>
      </c>
      <c r="O169" s="721">
        <f>SUM(O170,O182)</f>
        <v>12111.44</v>
      </c>
      <c r="P169" s="604">
        <f t="shared" si="37"/>
        <v>0.25387663876583322</v>
      </c>
      <c r="Q169" s="525">
        <f>I169-'[9]8'!I168</f>
        <v>0</v>
      </c>
      <c r="S169" s="190">
        <v>0</v>
      </c>
      <c r="T169" s="190">
        <v>0</v>
      </c>
      <c r="BT169" s="525"/>
      <c r="BU169" s="523"/>
      <c r="BV169" s="523"/>
      <c r="BW169" s="523"/>
      <c r="BX169" s="523">
        <v>0</v>
      </c>
      <c r="BY169" s="523">
        <v>161</v>
      </c>
      <c r="BZ169" s="523"/>
      <c r="CA169" s="523"/>
      <c r="CB169" s="523"/>
      <c r="CC169" s="523"/>
      <c r="CD169" s="523"/>
      <c r="CE169" s="523"/>
      <c r="CF169" s="523"/>
      <c r="CG169" s="523"/>
      <c r="CH169" s="523"/>
      <c r="CI169" s="523">
        <f t="shared" si="38"/>
        <v>161</v>
      </c>
    </row>
    <row r="170" spans="1:87" ht="15.75" x14ac:dyDescent="0.2">
      <c r="A170" s="605" t="s">
        <v>306</v>
      </c>
      <c r="B170" s="586"/>
      <c r="C170" s="586"/>
      <c r="D170" s="586" t="s">
        <v>1516</v>
      </c>
      <c r="E170" s="683"/>
      <c r="F170" s="683"/>
      <c r="G170" s="683"/>
      <c r="H170" s="683"/>
      <c r="I170" s="748"/>
      <c r="J170" s="748"/>
      <c r="K170" s="748"/>
      <c r="L170" s="735">
        <f>SUM(L171:L181)</f>
        <v>2433.5100000000002</v>
      </c>
      <c r="M170" s="735">
        <f t="shared" ref="M170:O170" si="42">SUM(M171:M181)</f>
        <v>0</v>
      </c>
      <c r="N170" s="735">
        <f t="shared" si="42"/>
        <v>2433.5100000000002</v>
      </c>
      <c r="O170" s="724">
        <f t="shared" si="42"/>
        <v>0</v>
      </c>
      <c r="P170" s="611">
        <f t="shared" si="37"/>
        <v>1</v>
      </c>
      <c r="Q170" s="525">
        <f>I170-'[9]8'!I169</f>
        <v>0</v>
      </c>
      <c r="S170" s="189">
        <v>0</v>
      </c>
      <c r="T170" s="189">
        <v>47.5</v>
      </c>
      <c r="BT170" s="525"/>
      <c r="BU170" s="523"/>
      <c r="BV170" s="523"/>
      <c r="BW170" s="523"/>
      <c r="BX170" s="523">
        <v>0</v>
      </c>
      <c r="BY170" s="523">
        <v>161</v>
      </c>
      <c r="BZ170" s="523"/>
      <c r="CA170" s="523"/>
      <c r="CB170" s="523"/>
      <c r="CC170" s="523"/>
      <c r="CD170" s="523"/>
      <c r="CE170" s="523"/>
      <c r="CF170" s="523"/>
      <c r="CG170" s="523"/>
      <c r="CH170" s="523"/>
      <c r="CI170" s="523">
        <f t="shared" si="38"/>
        <v>161</v>
      </c>
    </row>
    <row r="171" spans="1:87" ht="15.75" x14ac:dyDescent="0.2">
      <c r="A171" s="680" t="s">
        <v>1595</v>
      </c>
      <c r="B171" s="569">
        <v>89711</v>
      </c>
      <c r="C171" s="569" t="s">
        <v>1324</v>
      </c>
      <c r="D171" s="569" t="s">
        <v>1596</v>
      </c>
      <c r="E171" s="681" t="s">
        <v>81</v>
      </c>
      <c r="F171" s="578"/>
      <c r="G171" s="682">
        <v>13.04</v>
      </c>
      <c r="H171" s="681">
        <v>0</v>
      </c>
      <c r="I171" s="573">
        <f t="shared" si="39"/>
        <v>0</v>
      </c>
      <c r="J171" s="573">
        <f t="shared" si="40"/>
        <v>0</v>
      </c>
      <c r="K171" s="685">
        <f t="shared" si="35"/>
        <v>0</v>
      </c>
      <c r="L171" s="708">
        <f t="shared" ref="L171:O181" si="43">ROUND(H171*$G171,2)</f>
        <v>0</v>
      </c>
      <c r="M171" s="708">
        <f t="shared" si="43"/>
        <v>0</v>
      </c>
      <c r="N171" s="708">
        <f t="shared" si="43"/>
        <v>0</v>
      </c>
      <c r="O171" s="718">
        <f t="shared" si="43"/>
        <v>0</v>
      </c>
      <c r="P171" s="617">
        <v>1</v>
      </c>
      <c r="Q171" s="525">
        <f>I171-'[9]8'!I170</f>
        <v>0</v>
      </c>
      <c r="S171" s="189">
        <v>0</v>
      </c>
      <c r="T171" s="189">
        <v>21.5</v>
      </c>
      <c r="BT171" s="525"/>
      <c r="BU171" s="523"/>
      <c r="BV171" s="523"/>
      <c r="BW171" s="523"/>
      <c r="BX171" s="523">
        <v>-47.5</v>
      </c>
      <c r="BY171" s="523">
        <v>47.5</v>
      </c>
      <c r="BZ171" s="523">
        <v>0</v>
      </c>
      <c r="CA171" s="523">
        <v>0</v>
      </c>
      <c r="CB171" s="523"/>
      <c r="CC171" s="523"/>
      <c r="CD171" s="523"/>
      <c r="CE171" s="523"/>
      <c r="CF171" s="523"/>
      <c r="CG171" s="523"/>
      <c r="CH171" s="523"/>
      <c r="CI171" s="523">
        <f t="shared" si="38"/>
        <v>0</v>
      </c>
    </row>
    <row r="172" spans="1:87" ht="15.75" x14ac:dyDescent="0.2">
      <c r="A172" s="680" t="s">
        <v>1597</v>
      </c>
      <c r="B172" s="569">
        <v>89712</v>
      </c>
      <c r="C172" s="569" t="s">
        <v>1324</v>
      </c>
      <c r="D172" s="569" t="s">
        <v>1598</v>
      </c>
      <c r="E172" s="681" t="s">
        <v>81</v>
      </c>
      <c r="F172" s="578"/>
      <c r="G172" s="682">
        <v>18.98</v>
      </c>
      <c r="H172" s="681">
        <v>21.5</v>
      </c>
      <c r="I172" s="573">
        <f t="shared" si="39"/>
        <v>0</v>
      </c>
      <c r="J172" s="573">
        <f t="shared" si="40"/>
        <v>21.5</v>
      </c>
      <c r="K172" s="685">
        <f t="shared" si="35"/>
        <v>0</v>
      </c>
      <c r="L172" s="708">
        <f t="shared" si="43"/>
        <v>408.07</v>
      </c>
      <c r="M172" s="708">
        <f t="shared" si="43"/>
        <v>0</v>
      </c>
      <c r="N172" s="708">
        <f t="shared" si="43"/>
        <v>408.07</v>
      </c>
      <c r="O172" s="718">
        <f t="shared" si="43"/>
        <v>0</v>
      </c>
      <c r="P172" s="617">
        <f t="shared" si="37"/>
        <v>1</v>
      </c>
      <c r="Q172" s="525">
        <f>I172-'[9]8'!I171</f>
        <v>0</v>
      </c>
      <c r="S172" s="189">
        <v>0</v>
      </c>
      <c r="T172" s="189">
        <v>36</v>
      </c>
      <c r="BT172" s="525"/>
      <c r="BU172" s="523"/>
      <c r="BV172" s="523"/>
      <c r="BW172" s="523"/>
      <c r="BX172" s="523">
        <v>0</v>
      </c>
      <c r="BY172" s="523">
        <v>21.5</v>
      </c>
      <c r="BZ172" s="523">
        <v>0</v>
      </c>
      <c r="CA172" s="523">
        <v>0</v>
      </c>
      <c r="CB172" s="523"/>
      <c r="CC172" s="523"/>
      <c r="CD172" s="523"/>
      <c r="CE172" s="523"/>
      <c r="CF172" s="523"/>
      <c r="CG172" s="523"/>
      <c r="CH172" s="523"/>
      <c r="CI172" s="523">
        <f t="shared" si="38"/>
        <v>21.5</v>
      </c>
    </row>
    <row r="173" spans="1:87" ht="15" x14ac:dyDescent="0.2">
      <c r="A173" s="680" t="s">
        <v>1599</v>
      </c>
      <c r="B173" s="569">
        <v>89714</v>
      </c>
      <c r="C173" s="569" t="s">
        <v>1324</v>
      </c>
      <c r="D173" s="569" t="s">
        <v>1600</v>
      </c>
      <c r="E173" s="681" t="s">
        <v>81</v>
      </c>
      <c r="F173" s="644">
        <v>224.11</v>
      </c>
      <c r="G173" s="682">
        <v>36.869999999999997</v>
      </c>
      <c r="H173" s="681">
        <v>36</v>
      </c>
      <c r="I173" s="573">
        <f t="shared" si="39"/>
        <v>0</v>
      </c>
      <c r="J173" s="573">
        <f t="shared" si="40"/>
        <v>36</v>
      </c>
      <c r="K173" s="685">
        <f t="shared" si="35"/>
        <v>0</v>
      </c>
      <c r="L173" s="708">
        <f t="shared" si="43"/>
        <v>1327.32</v>
      </c>
      <c r="M173" s="708">
        <f t="shared" si="43"/>
        <v>0</v>
      </c>
      <c r="N173" s="708">
        <f t="shared" si="43"/>
        <v>1327.32</v>
      </c>
      <c r="O173" s="718">
        <f t="shared" si="43"/>
        <v>0</v>
      </c>
      <c r="P173" s="617">
        <f t="shared" si="37"/>
        <v>1</v>
      </c>
      <c r="Q173" s="525">
        <f>I173-'[9]8'!I172</f>
        <v>0</v>
      </c>
      <c r="S173" s="189">
        <v>0</v>
      </c>
      <c r="T173" s="189">
        <v>7</v>
      </c>
      <c r="BT173" s="525"/>
      <c r="BU173" s="523"/>
      <c r="BV173" s="523"/>
      <c r="BW173" s="523"/>
      <c r="BX173" s="523">
        <v>0</v>
      </c>
      <c r="BY173" s="523">
        <v>36</v>
      </c>
      <c r="BZ173" s="523">
        <v>0</v>
      </c>
      <c r="CA173" s="523">
        <v>0</v>
      </c>
      <c r="CB173" s="523"/>
      <c r="CC173" s="523"/>
      <c r="CD173" s="523"/>
      <c r="CE173" s="523"/>
      <c r="CF173" s="523"/>
      <c r="CG173" s="523"/>
      <c r="CH173" s="523"/>
      <c r="CI173" s="523">
        <f t="shared" si="38"/>
        <v>36</v>
      </c>
    </row>
    <row r="174" spans="1:87" ht="15" x14ac:dyDescent="0.2">
      <c r="A174" s="680" t="s">
        <v>1601</v>
      </c>
      <c r="B174" s="569">
        <v>89726</v>
      </c>
      <c r="C174" s="569" t="s">
        <v>1324</v>
      </c>
      <c r="D174" s="569" t="s">
        <v>1602</v>
      </c>
      <c r="E174" s="681" t="s">
        <v>102</v>
      </c>
      <c r="F174" s="644">
        <v>312.5</v>
      </c>
      <c r="G174" s="682">
        <v>6.33</v>
      </c>
      <c r="H174" s="681">
        <v>7</v>
      </c>
      <c r="I174" s="573">
        <f t="shared" si="39"/>
        <v>0</v>
      </c>
      <c r="J174" s="573">
        <f t="shared" si="40"/>
        <v>7</v>
      </c>
      <c r="K174" s="685">
        <f t="shared" si="35"/>
        <v>0</v>
      </c>
      <c r="L174" s="708">
        <f t="shared" si="43"/>
        <v>44.31</v>
      </c>
      <c r="M174" s="708">
        <f t="shared" si="43"/>
        <v>0</v>
      </c>
      <c r="N174" s="708">
        <f t="shared" si="43"/>
        <v>44.31</v>
      </c>
      <c r="O174" s="718">
        <f t="shared" si="43"/>
        <v>0</v>
      </c>
      <c r="P174" s="617">
        <f t="shared" si="37"/>
        <v>1</v>
      </c>
      <c r="Q174" s="525">
        <f>I174-'[9]8'!I173</f>
        <v>0</v>
      </c>
      <c r="S174" s="189">
        <v>0</v>
      </c>
      <c r="T174" s="189">
        <v>6</v>
      </c>
      <c r="BT174" s="525"/>
      <c r="BU174" s="523"/>
      <c r="BV174" s="523"/>
      <c r="BW174" s="523"/>
      <c r="BX174" s="523">
        <v>0</v>
      </c>
      <c r="BY174" s="523">
        <v>7</v>
      </c>
      <c r="BZ174" s="523">
        <v>0</v>
      </c>
      <c r="CA174" s="523">
        <v>0</v>
      </c>
      <c r="CB174" s="523"/>
      <c r="CC174" s="523"/>
      <c r="CD174" s="523"/>
      <c r="CE174" s="523"/>
      <c r="CF174" s="523"/>
      <c r="CG174" s="523"/>
      <c r="CH174" s="523"/>
      <c r="CI174" s="523">
        <f t="shared" si="38"/>
        <v>7</v>
      </c>
    </row>
    <row r="175" spans="1:87" ht="15" x14ac:dyDescent="0.2">
      <c r="A175" s="680" t="s">
        <v>1603</v>
      </c>
      <c r="B175" s="569">
        <v>89744</v>
      </c>
      <c r="C175" s="569" t="s">
        <v>1324</v>
      </c>
      <c r="D175" s="569" t="s">
        <v>1604</v>
      </c>
      <c r="E175" s="681" t="s">
        <v>102</v>
      </c>
      <c r="F175" s="644">
        <v>323.14</v>
      </c>
      <c r="G175" s="682">
        <v>16.600000000000001</v>
      </c>
      <c r="H175" s="681">
        <v>6</v>
      </c>
      <c r="I175" s="573">
        <f t="shared" si="39"/>
        <v>0</v>
      </c>
      <c r="J175" s="573">
        <f t="shared" si="40"/>
        <v>6</v>
      </c>
      <c r="K175" s="685">
        <f t="shared" si="35"/>
        <v>0</v>
      </c>
      <c r="L175" s="708">
        <f t="shared" si="43"/>
        <v>99.6</v>
      </c>
      <c r="M175" s="708">
        <f t="shared" si="43"/>
        <v>0</v>
      </c>
      <c r="N175" s="708">
        <f t="shared" si="43"/>
        <v>99.6</v>
      </c>
      <c r="O175" s="718">
        <f t="shared" si="43"/>
        <v>0</v>
      </c>
      <c r="P175" s="617">
        <f t="shared" si="37"/>
        <v>1</v>
      </c>
      <c r="Q175" s="525">
        <f>I175-'[9]8'!I174</f>
        <v>0</v>
      </c>
      <c r="S175" s="189">
        <v>0</v>
      </c>
      <c r="T175" s="189">
        <v>10</v>
      </c>
      <c r="BT175" s="525"/>
      <c r="BU175" s="523"/>
      <c r="BV175" s="523"/>
      <c r="BW175" s="523"/>
      <c r="BX175" s="523">
        <v>0</v>
      </c>
      <c r="BY175" s="523">
        <v>6</v>
      </c>
      <c r="BZ175" s="523">
        <v>0</v>
      </c>
      <c r="CA175" s="523">
        <v>0</v>
      </c>
      <c r="CB175" s="523"/>
      <c r="CC175" s="523"/>
      <c r="CD175" s="523"/>
      <c r="CE175" s="523"/>
      <c r="CF175" s="523"/>
      <c r="CG175" s="523"/>
      <c r="CH175" s="523"/>
      <c r="CI175" s="523">
        <f t="shared" si="38"/>
        <v>6</v>
      </c>
    </row>
    <row r="176" spans="1:87" ht="15" x14ac:dyDescent="0.2">
      <c r="A176" s="680" t="s">
        <v>1605</v>
      </c>
      <c r="B176" s="569">
        <v>89724</v>
      </c>
      <c r="C176" s="569" t="s">
        <v>1324</v>
      </c>
      <c r="D176" s="569" t="s">
        <v>1606</v>
      </c>
      <c r="E176" s="681" t="s">
        <v>102</v>
      </c>
      <c r="F176" s="644">
        <v>224.11</v>
      </c>
      <c r="G176" s="682">
        <v>5.6</v>
      </c>
      <c r="H176" s="681">
        <v>10</v>
      </c>
      <c r="I176" s="573">
        <f t="shared" si="39"/>
        <v>0</v>
      </c>
      <c r="J176" s="573">
        <f t="shared" si="40"/>
        <v>10</v>
      </c>
      <c r="K176" s="685">
        <f t="shared" si="35"/>
        <v>0</v>
      </c>
      <c r="L176" s="708">
        <f t="shared" si="43"/>
        <v>56</v>
      </c>
      <c r="M176" s="708">
        <f t="shared" si="43"/>
        <v>0</v>
      </c>
      <c r="N176" s="708">
        <f t="shared" si="43"/>
        <v>56</v>
      </c>
      <c r="O176" s="718">
        <f t="shared" si="43"/>
        <v>0</v>
      </c>
      <c r="P176" s="617">
        <f t="shared" si="37"/>
        <v>1</v>
      </c>
      <c r="Q176" s="525">
        <f>I176-'[9]8'!I175</f>
        <v>0</v>
      </c>
      <c r="S176" s="189">
        <v>0</v>
      </c>
      <c r="T176" s="189">
        <v>6</v>
      </c>
      <c r="BT176" s="525"/>
      <c r="BU176" s="523"/>
      <c r="BV176" s="523"/>
      <c r="BW176" s="523"/>
      <c r="BX176" s="523">
        <v>0</v>
      </c>
      <c r="BY176" s="523">
        <v>10</v>
      </c>
      <c r="BZ176" s="523">
        <v>0</v>
      </c>
      <c r="CA176" s="523">
        <v>0</v>
      </c>
      <c r="CB176" s="523"/>
      <c r="CC176" s="523"/>
      <c r="CD176" s="523"/>
      <c r="CE176" s="523"/>
      <c r="CF176" s="523"/>
      <c r="CG176" s="523"/>
      <c r="CH176" s="523"/>
      <c r="CI176" s="523">
        <f t="shared" si="38"/>
        <v>10</v>
      </c>
    </row>
    <row r="177" spans="1:87" ht="15" x14ac:dyDescent="0.2">
      <c r="A177" s="680" t="s">
        <v>1607</v>
      </c>
      <c r="B177" s="569">
        <v>89827</v>
      </c>
      <c r="C177" s="569" t="s">
        <v>1324</v>
      </c>
      <c r="D177" s="569" t="s">
        <v>1608</v>
      </c>
      <c r="E177" s="681" t="s">
        <v>102</v>
      </c>
      <c r="F177" s="644">
        <v>33.93</v>
      </c>
      <c r="G177" s="682">
        <v>10.23</v>
      </c>
      <c r="H177" s="681">
        <v>6</v>
      </c>
      <c r="I177" s="573">
        <f t="shared" si="39"/>
        <v>0</v>
      </c>
      <c r="J177" s="573">
        <f t="shared" si="40"/>
        <v>6</v>
      </c>
      <c r="K177" s="685">
        <f t="shared" si="35"/>
        <v>0</v>
      </c>
      <c r="L177" s="708">
        <f t="shared" si="43"/>
        <v>61.38</v>
      </c>
      <c r="M177" s="708">
        <f t="shared" si="43"/>
        <v>0</v>
      </c>
      <c r="N177" s="708">
        <f t="shared" si="43"/>
        <v>61.38</v>
      </c>
      <c r="O177" s="718">
        <f t="shared" si="43"/>
        <v>0</v>
      </c>
      <c r="P177" s="617">
        <f t="shared" si="37"/>
        <v>1</v>
      </c>
      <c r="Q177" s="525">
        <f>I177-'[9]8'!I176</f>
        <v>0</v>
      </c>
      <c r="S177" s="189">
        <v>0</v>
      </c>
      <c r="T177" s="189">
        <v>5</v>
      </c>
      <c r="BT177" s="525"/>
      <c r="BU177" s="523"/>
      <c r="BV177" s="523"/>
      <c r="BW177" s="523"/>
      <c r="BX177" s="523">
        <v>0</v>
      </c>
      <c r="BY177" s="523">
        <v>6</v>
      </c>
      <c r="BZ177" s="523">
        <v>0</v>
      </c>
      <c r="CA177" s="523">
        <v>0</v>
      </c>
      <c r="CB177" s="523"/>
      <c r="CC177" s="523"/>
      <c r="CD177" s="523"/>
      <c r="CE177" s="523"/>
      <c r="CF177" s="523"/>
      <c r="CG177" s="523"/>
      <c r="CH177" s="523"/>
      <c r="CI177" s="523">
        <f t="shared" si="38"/>
        <v>6</v>
      </c>
    </row>
    <row r="178" spans="1:87" ht="15" x14ac:dyDescent="0.2">
      <c r="A178" s="680" t="s">
        <v>1609</v>
      </c>
      <c r="B178" s="569">
        <v>89834</v>
      </c>
      <c r="C178" s="569" t="s">
        <v>1324</v>
      </c>
      <c r="D178" s="569" t="s">
        <v>1610</v>
      </c>
      <c r="E178" s="681" t="s">
        <v>102</v>
      </c>
      <c r="F178" s="644">
        <v>33.93</v>
      </c>
      <c r="G178" s="682">
        <v>25.46</v>
      </c>
      <c r="H178" s="681">
        <v>5</v>
      </c>
      <c r="I178" s="573">
        <f t="shared" si="39"/>
        <v>0</v>
      </c>
      <c r="J178" s="573">
        <f t="shared" si="40"/>
        <v>5</v>
      </c>
      <c r="K178" s="685">
        <f t="shared" si="35"/>
        <v>0</v>
      </c>
      <c r="L178" s="708">
        <f t="shared" si="43"/>
        <v>127.3</v>
      </c>
      <c r="M178" s="708">
        <f t="shared" si="43"/>
        <v>0</v>
      </c>
      <c r="N178" s="708">
        <f t="shared" si="43"/>
        <v>127.3</v>
      </c>
      <c r="O178" s="718">
        <f t="shared" si="43"/>
        <v>0</v>
      </c>
      <c r="P178" s="617">
        <f t="shared" si="37"/>
        <v>1</v>
      </c>
      <c r="Q178" s="525">
        <f>I178-'[9]8'!I177</f>
        <v>0</v>
      </c>
      <c r="S178" s="189">
        <v>0</v>
      </c>
      <c r="T178" s="189">
        <v>5</v>
      </c>
      <c r="BT178" s="525"/>
      <c r="BU178" s="523"/>
      <c r="BV178" s="523"/>
      <c r="BW178" s="523"/>
      <c r="BX178" s="523">
        <v>0</v>
      </c>
      <c r="BY178" s="523">
        <v>5</v>
      </c>
      <c r="BZ178" s="523">
        <v>0</v>
      </c>
      <c r="CA178" s="523">
        <v>0</v>
      </c>
      <c r="CB178" s="523"/>
      <c r="CC178" s="523"/>
      <c r="CD178" s="523"/>
      <c r="CE178" s="523"/>
      <c r="CF178" s="523"/>
      <c r="CG178" s="523"/>
      <c r="CH178" s="523"/>
      <c r="CI178" s="523">
        <f t="shared" si="38"/>
        <v>5</v>
      </c>
    </row>
    <row r="179" spans="1:87" ht="15" x14ac:dyDescent="0.2">
      <c r="A179" s="680" t="s">
        <v>1611</v>
      </c>
      <c r="B179" s="569">
        <v>89797</v>
      </c>
      <c r="C179" s="569" t="s">
        <v>1324</v>
      </c>
      <c r="D179" s="569" t="s">
        <v>1612</v>
      </c>
      <c r="E179" s="681" t="s">
        <v>102</v>
      </c>
      <c r="F179" s="644">
        <v>33.93</v>
      </c>
      <c r="G179" s="682">
        <v>31.16</v>
      </c>
      <c r="H179" s="681">
        <v>5</v>
      </c>
      <c r="I179" s="573">
        <f t="shared" si="39"/>
        <v>0</v>
      </c>
      <c r="J179" s="573">
        <f t="shared" si="40"/>
        <v>5</v>
      </c>
      <c r="K179" s="685">
        <f t="shared" si="35"/>
        <v>0</v>
      </c>
      <c r="L179" s="708">
        <f t="shared" si="43"/>
        <v>155.80000000000001</v>
      </c>
      <c r="M179" s="708">
        <f t="shared" si="43"/>
        <v>0</v>
      </c>
      <c r="N179" s="708">
        <f t="shared" si="43"/>
        <v>155.80000000000001</v>
      </c>
      <c r="O179" s="718">
        <f t="shared" si="43"/>
        <v>0</v>
      </c>
      <c r="P179" s="617">
        <f t="shared" si="37"/>
        <v>1</v>
      </c>
      <c r="Q179" s="525">
        <f>I179-'[9]8'!I178</f>
        <v>0</v>
      </c>
      <c r="S179" s="189">
        <v>0</v>
      </c>
      <c r="T179" s="189">
        <v>1</v>
      </c>
      <c r="BT179" s="525"/>
      <c r="BU179" s="523"/>
      <c r="BV179" s="523"/>
      <c r="BW179" s="523"/>
      <c r="BX179" s="523">
        <v>0</v>
      </c>
      <c r="BY179" s="523">
        <v>5</v>
      </c>
      <c r="BZ179" s="523">
        <v>0</v>
      </c>
      <c r="CA179" s="523">
        <v>0</v>
      </c>
      <c r="CB179" s="523"/>
      <c r="CC179" s="523"/>
      <c r="CD179" s="523"/>
      <c r="CE179" s="523"/>
      <c r="CF179" s="523"/>
      <c r="CG179" s="523"/>
      <c r="CH179" s="523"/>
      <c r="CI179" s="523">
        <f t="shared" si="38"/>
        <v>5</v>
      </c>
    </row>
    <row r="180" spans="1:87" ht="15" x14ac:dyDescent="0.2">
      <c r="A180" s="680" t="s">
        <v>1613</v>
      </c>
      <c r="B180" s="569">
        <v>89852</v>
      </c>
      <c r="C180" s="569" t="s">
        <v>1324</v>
      </c>
      <c r="D180" s="569" t="s">
        <v>1614</v>
      </c>
      <c r="E180" s="681" t="s">
        <v>102</v>
      </c>
      <c r="F180" s="644">
        <v>33.93</v>
      </c>
      <c r="G180" s="682">
        <v>27.17</v>
      </c>
      <c r="H180" s="681">
        <v>1</v>
      </c>
      <c r="I180" s="573">
        <f t="shared" si="39"/>
        <v>0</v>
      </c>
      <c r="J180" s="573">
        <f t="shared" si="40"/>
        <v>1</v>
      </c>
      <c r="K180" s="685">
        <f t="shared" si="35"/>
        <v>0</v>
      </c>
      <c r="L180" s="708">
        <f t="shared" si="43"/>
        <v>27.17</v>
      </c>
      <c r="M180" s="708">
        <f t="shared" si="43"/>
        <v>0</v>
      </c>
      <c r="N180" s="708">
        <f t="shared" si="43"/>
        <v>27.17</v>
      </c>
      <c r="O180" s="718">
        <f t="shared" si="43"/>
        <v>0</v>
      </c>
      <c r="P180" s="617">
        <f t="shared" si="37"/>
        <v>1</v>
      </c>
      <c r="Q180" s="525">
        <f>I180-'[9]8'!I179</f>
        <v>0</v>
      </c>
      <c r="S180" s="189">
        <v>0</v>
      </c>
      <c r="T180" s="189">
        <v>16</v>
      </c>
      <c r="BT180" s="525"/>
      <c r="BU180" s="523"/>
      <c r="BV180" s="523"/>
      <c r="BW180" s="523"/>
      <c r="BX180" s="523">
        <v>0</v>
      </c>
      <c r="BY180" s="523">
        <v>1</v>
      </c>
      <c r="BZ180" s="523">
        <v>0</v>
      </c>
      <c r="CA180" s="523">
        <v>0</v>
      </c>
      <c r="CB180" s="523"/>
      <c r="CC180" s="523"/>
      <c r="CD180" s="523"/>
      <c r="CE180" s="523"/>
      <c r="CF180" s="523"/>
      <c r="CG180" s="523"/>
      <c r="CH180" s="523"/>
      <c r="CI180" s="523">
        <f t="shared" si="38"/>
        <v>1</v>
      </c>
    </row>
    <row r="181" spans="1:87" s="754" customFormat="1" ht="15" x14ac:dyDescent="0.2">
      <c r="A181" s="680" t="s">
        <v>1615</v>
      </c>
      <c r="B181" s="569">
        <v>89728</v>
      </c>
      <c r="C181" s="569" t="s">
        <v>1324</v>
      </c>
      <c r="D181" s="569" t="s">
        <v>1616</v>
      </c>
      <c r="E181" s="681" t="s">
        <v>102</v>
      </c>
      <c r="F181" s="644">
        <v>33.93</v>
      </c>
      <c r="G181" s="682">
        <v>7.91</v>
      </c>
      <c r="H181" s="681">
        <v>16</v>
      </c>
      <c r="I181" s="573">
        <f t="shared" si="39"/>
        <v>0</v>
      </c>
      <c r="J181" s="573">
        <f t="shared" si="40"/>
        <v>16</v>
      </c>
      <c r="K181" s="685">
        <f t="shared" si="35"/>
        <v>0</v>
      </c>
      <c r="L181" s="708">
        <f t="shared" si="43"/>
        <v>126.56</v>
      </c>
      <c r="M181" s="708">
        <f t="shared" si="43"/>
        <v>0</v>
      </c>
      <c r="N181" s="708">
        <f t="shared" si="43"/>
        <v>126.56</v>
      </c>
      <c r="O181" s="718">
        <f t="shared" si="43"/>
        <v>0</v>
      </c>
      <c r="P181" s="617">
        <f t="shared" si="37"/>
        <v>1</v>
      </c>
      <c r="Q181" s="525">
        <f>I181-'[9]8'!I180</f>
        <v>0</v>
      </c>
      <c r="S181" s="190">
        <v>0</v>
      </c>
      <c r="T181" s="190">
        <v>0</v>
      </c>
      <c r="BT181" s="525"/>
      <c r="BU181" s="523"/>
      <c r="BV181" s="523"/>
      <c r="BW181" s="523"/>
      <c r="BX181" s="523">
        <v>0</v>
      </c>
      <c r="BY181" s="523">
        <v>16</v>
      </c>
      <c r="BZ181" s="523">
        <v>0</v>
      </c>
      <c r="CA181" s="523">
        <v>0</v>
      </c>
      <c r="CB181" s="523"/>
      <c r="CC181" s="523"/>
      <c r="CD181" s="523"/>
      <c r="CE181" s="523"/>
      <c r="CF181" s="523"/>
      <c r="CG181" s="523"/>
      <c r="CH181" s="523"/>
      <c r="CI181" s="523">
        <f t="shared" si="38"/>
        <v>16</v>
      </c>
    </row>
    <row r="182" spans="1:87" ht="15.75" x14ac:dyDescent="0.2">
      <c r="A182" s="605" t="s">
        <v>309</v>
      </c>
      <c r="B182" s="586"/>
      <c r="C182" s="586"/>
      <c r="D182" s="586" t="s">
        <v>1617</v>
      </c>
      <c r="E182" s="609"/>
      <c r="F182" s="609"/>
      <c r="G182" s="609"/>
      <c r="H182" s="609"/>
      <c r="I182" s="749"/>
      <c r="J182" s="749"/>
      <c r="K182" s="749"/>
      <c r="L182" s="733">
        <f>SUM(L183:L190)</f>
        <v>13798.98</v>
      </c>
      <c r="M182" s="733">
        <f>SUM(M183:M190)</f>
        <v>1031.24</v>
      </c>
      <c r="N182" s="733">
        <f>SUM(N183:N190)</f>
        <v>1687.54</v>
      </c>
      <c r="O182" s="722">
        <f>SUM(O183:O190)</f>
        <v>12111.44</v>
      </c>
      <c r="P182" s="611">
        <f t="shared" si="37"/>
        <v>0.12229454640850265</v>
      </c>
      <c r="Q182" s="525">
        <f>I182-'[9]8'!I181</f>
        <v>0</v>
      </c>
      <c r="S182" s="189">
        <v>0</v>
      </c>
      <c r="T182" s="189">
        <v>0</v>
      </c>
      <c r="BT182" s="525"/>
      <c r="BU182" s="523"/>
      <c r="BV182" s="523"/>
      <c r="BW182" s="523"/>
      <c r="BX182" s="523">
        <v>0</v>
      </c>
      <c r="BY182" s="523">
        <v>0</v>
      </c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523">
        <f t="shared" si="38"/>
        <v>0</v>
      </c>
    </row>
    <row r="183" spans="1:87" ht="15" x14ac:dyDescent="0.2">
      <c r="A183" s="680" t="s">
        <v>1618</v>
      </c>
      <c r="B183" s="569" t="s">
        <v>2007</v>
      </c>
      <c r="C183" s="569" t="s">
        <v>1339</v>
      </c>
      <c r="D183" s="569" t="s">
        <v>1619</v>
      </c>
      <c r="E183" s="681" t="s">
        <v>102</v>
      </c>
      <c r="F183" s="644">
        <v>190.09</v>
      </c>
      <c r="G183" s="682">
        <v>46.81</v>
      </c>
      <c r="H183" s="681">
        <v>6</v>
      </c>
      <c r="I183" s="685">
        <f t="shared" si="39"/>
        <v>3</v>
      </c>
      <c r="J183" s="573">
        <f t="shared" si="40"/>
        <v>6</v>
      </c>
      <c r="K183" s="644">
        <f t="shared" si="35"/>
        <v>0</v>
      </c>
      <c r="L183" s="708">
        <f t="shared" ref="L183:O190" si="44">ROUND(H183*$G183,2)</f>
        <v>280.86</v>
      </c>
      <c r="M183" s="708">
        <f t="shared" si="44"/>
        <v>140.43</v>
      </c>
      <c r="N183" s="708">
        <f t="shared" si="44"/>
        <v>280.86</v>
      </c>
      <c r="O183" s="718">
        <f t="shared" si="44"/>
        <v>0</v>
      </c>
      <c r="P183" s="617">
        <f t="shared" si="37"/>
        <v>1</v>
      </c>
      <c r="Q183" s="525">
        <f>I183-'[9]8'!I182</f>
        <v>0</v>
      </c>
      <c r="S183" s="189">
        <v>0</v>
      </c>
      <c r="T183" s="189">
        <v>0</v>
      </c>
      <c r="BT183" s="525"/>
      <c r="BU183" s="523">
        <v>3</v>
      </c>
      <c r="BV183" s="523">
        <v>3</v>
      </c>
      <c r="BW183" s="523"/>
      <c r="BX183" s="523">
        <v>0</v>
      </c>
      <c r="BY183" s="523">
        <v>0</v>
      </c>
      <c r="BZ183" s="523">
        <v>0</v>
      </c>
      <c r="CA183" s="523">
        <v>0</v>
      </c>
      <c r="CB183" s="523"/>
      <c r="CC183" s="523"/>
      <c r="CD183" s="523"/>
      <c r="CE183" s="523"/>
      <c r="CF183" s="523"/>
      <c r="CG183" s="523"/>
      <c r="CH183" s="523"/>
      <c r="CI183" s="523">
        <f t="shared" si="38"/>
        <v>6</v>
      </c>
    </row>
    <row r="184" spans="1:87" ht="15" x14ac:dyDescent="0.2">
      <c r="A184" s="680" t="s">
        <v>1620</v>
      </c>
      <c r="B184" s="569" t="s">
        <v>1621</v>
      </c>
      <c r="C184" s="569" t="s">
        <v>1324</v>
      </c>
      <c r="D184" s="569" t="s">
        <v>1622</v>
      </c>
      <c r="E184" s="681" t="s">
        <v>102</v>
      </c>
      <c r="F184" s="644">
        <v>222.14</v>
      </c>
      <c r="G184" s="682">
        <v>367.21</v>
      </c>
      <c r="H184" s="681">
        <v>2</v>
      </c>
      <c r="I184" s="685">
        <f t="shared" si="39"/>
        <v>1</v>
      </c>
      <c r="J184" s="573">
        <f t="shared" si="40"/>
        <v>2</v>
      </c>
      <c r="K184" s="644">
        <f t="shared" si="35"/>
        <v>0</v>
      </c>
      <c r="L184" s="708">
        <f t="shared" si="44"/>
        <v>734.42</v>
      </c>
      <c r="M184" s="708">
        <f t="shared" si="44"/>
        <v>367.21</v>
      </c>
      <c r="N184" s="708">
        <f t="shared" si="44"/>
        <v>734.42</v>
      </c>
      <c r="O184" s="718">
        <f t="shared" si="44"/>
        <v>0</v>
      </c>
      <c r="P184" s="617">
        <f t="shared" si="37"/>
        <v>1</v>
      </c>
      <c r="Q184" s="525">
        <f>I184-'[9]8'!I183</f>
        <v>0</v>
      </c>
      <c r="S184" s="189">
        <v>0</v>
      </c>
      <c r="T184" s="189">
        <v>0</v>
      </c>
      <c r="BT184" s="525"/>
      <c r="BU184" s="523">
        <v>1</v>
      </c>
      <c r="BV184" s="523">
        <v>1</v>
      </c>
      <c r="BW184" s="523"/>
      <c r="BX184" s="523">
        <v>0</v>
      </c>
      <c r="BY184" s="523">
        <v>0</v>
      </c>
      <c r="BZ184" s="523">
        <v>0</v>
      </c>
      <c r="CA184" s="523">
        <v>0</v>
      </c>
      <c r="CB184" s="523"/>
      <c r="CC184" s="523"/>
      <c r="CD184" s="523"/>
      <c r="CE184" s="523"/>
      <c r="CF184" s="523"/>
      <c r="CG184" s="523"/>
      <c r="CH184" s="523"/>
      <c r="CI184" s="523">
        <f t="shared" si="38"/>
        <v>2</v>
      </c>
    </row>
    <row r="185" spans="1:87" ht="15" x14ac:dyDescent="0.2">
      <c r="A185" s="680" t="s">
        <v>1623</v>
      </c>
      <c r="B185" s="569">
        <v>89710</v>
      </c>
      <c r="C185" s="569" t="s">
        <v>1324</v>
      </c>
      <c r="D185" s="569" t="s">
        <v>1624</v>
      </c>
      <c r="E185" s="681" t="s">
        <v>102</v>
      </c>
      <c r="F185" s="644">
        <v>474.97</v>
      </c>
      <c r="G185" s="682">
        <v>7.75</v>
      </c>
      <c r="H185" s="681">
        <v>6</v>
      </c>
      <c r="I185" s="685">
        <f t="shared" si="39"/>
        <v>3</v>
      </c>
      <c r="J185" s="573">
        <f t="shared" si="40"/>
        <v>6</v>
      </c>
      <c r="K185" s="644">
        <f t="shared" si="35"/>
        <v>0</v>
      </c>
      <c r="L185" s="708">
        <f t="shared" si="44"/>
        <v>46.5</v>
      </c>
      <c r="M185" s="708">
        <f t="shared" si="44"/>
        <v>23.25</v>
      </c>
      <c r="N185" s="708">
        <f t="shared" si="44"/>
        <v>46.5</v>
      </c>
      <c r="O185" s="718">
        <f t="shared" si="44"/>
        <v>0</v>
      </c>
      <c r="P185" s="617">
        <f t="shared" si="37"/>
        <v>1</v>
      </c>
      <c r="Q185" s="525">
        <f>I185-'[9]8'!I184</f>
        <v>0</v>
      </c>
      <c r="S185" s="189">
        <v>0</v>
      </c>
      <c r="T185" s="189">
        <v>0</v>
      </c>
      <c r="BT185" s="525"/>
      <c r="BU185" s="523">
        <v>3</v>
      </c>
      <c r="BV185" s="523">
        <v>3</v>
      </c>
      <c r="BW185" s="523"/>
      <c r="BX185" s="523">
        <v>0</v>
      </c>
      <c r="BY185" s="523">
        <v>0</v>
      </c>
      <c r="BZ185" s="523">
        <v>0</v>
      </c>
      <c r="CA185" s="523">
        <v>0</v>
      </c>
      <c r="CB185" s="523"/>
      <c r="CC185" s="523"/>
      <c r="CD185" s="523"/>
      <c r="CE185" s="523"/>
      <c r="CF185" s="523"/>
      <c r="CG185" s="523"/>
      <c r="CH185" s="523"/>
      <c r="CI185" s="523">
        <f t="shared" si="38"/>
        <v>6</v>
      </c>
    </row>
    <row r="186" spans="1:87" ht="15" x14ac:dyDescent="0.2">
      <c r="A186" s="680" t="s">
        <v>1625</v>
      </c>
      <c r="B186" s="569">
        <v>89798</v>
      </c>
      <c r="C186" s="569" t="s">
        <v>1324</v>
      </c>
      <c r="D186" s="569" t="s">
        <v>1626</v>
      </c>
      <c r="E186" s="681" t="s">
        <v>81</v>
      </c>
      <c r="F186" s="644">
        <v>891.52</v>
      </c>
      <c r="G186" s="682">
        <v>6.93</v>
      </c>
      <c r="H186" s="681">
        <v>8</v>
      </c>
      <c r="I186" s="685">
        <f t="shared" si="39"/>
        <v>6</v>
      </c>
      <c r="J186" s="573">
        <f t="shared" si="40"/>
        <v>8</v>
      </c>
      <c r="K186" s="644">
        <f t="shared" si="35"/>
        <v>0</v>
      </c>
      <c r="L186" s="708">
        <f t="shared" si="44"/>
        <v>55.44</v>
      </c>
      <c r="M186" s="708">
        <f t="shared" si="44"/>
        <v>41.58</v>
      </c>
      <c r="N186" s="708">
        <f t="shared" si="44"/>
        <v>55.44</v>
      </c>
      <c r="O186" s="718">
        <f t="shared" si="44"/>
        <v>0</v>
      </c>
      <c r="P186" s="617">
        <f t="shared" si="37"/>
        <v>1</v>
      </c>
      <c r="Q186" s="525">
        <f>I186-'[9]8'!I185</f>
        <v>0</v>
      </c>
      <c r="S186" s="189">
        <v>0</v>
      </c>
      <c r="T186" s="189">
        <v>0</v>
      </c>
      <c r="BT186" s="525"/>
      <c r="BU186" s="523">
        <v>6</v>
      </c>
      <c r="BV186" s="523">
        <v>2</v>
      </c>
      <c r="BW186" s="523"/>
      <c r="BX186" s="523">
        <v>0</v>
      </c>
      <c r="BY186" s="523">
        <v>0</v>
      </c>
      <c r="BZ186" s="523">
        <v>0</v>
      </c>
      <c r="CA186" s="523">
        <v>0</v>
      </c>
      <c r="CB186" s="523"/>
      <c r="CC186" s="523"/>
      <c r="CD186" s="523"/>
      <c r="CE186" s="523"/>
      <c r="CF186" s="523"/>
      <c r="CG186" s="523"/>
      <c r="CH186" s="523"/>
      <c r="CI186" s="523">
        <f t="shared" si="38"/>
        <v>8</v>
      </c>
    </row>
    <row r="187" spans="1:87" ht="15" x14ac:dyDescent="0.2">
      <c r="A187" s="680" t="s">
        <v>1627</v>
      </c>
      <c r="B187" s="569">
        <v>86882</v>
      </c>
      <c r="C187" s="569" t="s">
        <v>1324</v>
      </c>
      <c r="D187" s="569" t="s">
        <v>1628</v>
      </c>
      <c r="E187" s="681" t="s">
        <v>102</v>
      </c>
      <c r="F187" s="644">
        <v>179</v>
      </c>
      <c r="G187" s="682">
        <v>13.42</v>
      </c>
      <c r="H187" s="681">
        <v>8</v>
      </c>
      <c r="I187" s="685">
        <f t="shared" si="39"/>
        <v>4</v>
      </c>
      <c r="J187" s="573">
        <f t="shared" si="40"/>
        <v>8</v>
      </c>
      <c r="K187" s="644">
        <f t="shared" si="35"/>
        <v>0</v>
      </c>
      <c r="L187" s="708">
        <f t="shared" si="44"/>
        <v>107.36</v>
      </c>
      <c r="M187" s="708">
        <f t="shared" si="44"/>
        <v>53.68</v>
      </c>
      <c r="N187" s="708">
        <f t="shared" si="44"/>
        <v>107.36</v>
      </c>
      <c r="O187" s="718">
        <f t="shared" si="44"/>
        <v>0</v>
      </c>
      <c r="P187" s="617">
        <f t="shared" si="37"/>
        <v>1</v>
      </c>
      <c r="Q187" s="525">
        <f>I187-'[9]8'!I186</f>
        <v>0</v>
      </c>
      <c r="S187" s="189">
        <v>0</v>
      </c>
      <c r="T187" s="189">
        <v>0</v>
      </c>
      <c r="BT187" s="525"/>
      <c r="BU187" s="523">
        <v>4</v>
      </c>
      <c r="BV187" s="523">
        <v>4</v>
      </c>
      <c r="BW187" s="523"/>
      <c r="BX187" s="523">
        <v>0</v>
      </c>
      <c r="BY187" s="523">
        <v>0</v>
      </c>
      <c r="BZ187" s="523">
        <v>0</v>
      </c>
      <c r="CA187" s="523">
        <v>0</v>
      </c>
      <c r="CB187" s="523"/>
      <c r="CC187" s="523"/>
      <c r="CD187" s="523"/>
      <c r="CE187" s="523"/>
      <c r="CF187" s="523"/>
      <c r="CG187" s="523"/>
      <c r="CH187" s="523"/>
      <c r="CI187" s="523">
        <f t="shared" si="38"/>
        <v>8</v>
      </c>
    </row>
    <row r="188" spans="1:87" ht="15" x14ac:dyDescent="0.2">
      <c r="A188" s="680" t="s">
        <v>1629</v>
      </c>
      <c r="B188" s="569" t="s">
        <v>1630</v>
      </c>
      <c r="C188" s="569" t="s">
        <v>1324</v>
      </c>
      <c r="D188" s="569" t="s">
        <v>1631</v>
      </c>
      <c r="E188" s="681" t="s">
        <v>102</v>
      </c>
      <c r="F188" s="644">
        <v>144</v>
      </c>
      <c r="G188" s="682">
        <v>57.87</v>
      </c>
      <c r="H188" s="681">
        <v>8</v>
      </c>
      <c r="I188" s="685">
        <f t="shared" si="39"/>
        <v>7</v>
      </c>
      <c r="J188" s="573">
        <f t="shared" si="40"/>
        <v>8</v>
      </c>
      <c r="K188" s="644">
        <f t="shared" si="35"/>
        <v>0</v>
      </c>
      <c r="L188" s="708">
        <f t="shared" si="44"/>
        <v>462.96</v>
      </c>
      <c r="M188" s="708">
        <f t="shared" si="44"/>
        <v>405.09</v>
      </c>
      <c r="N188" s="708">
        <f t="shared" si="44"/>
        <v>462.96</v>
      </c>
      <c r="O188" s="718">
        <f t="shared" si="44"/>
        <v>0</v>
      </c>
      <c r="P188" s="617">
        <f t="shared" si="37"/>
        <v>1</v>
      </c>
      <c r="Q188" s="525">
        <f>I188-'[9]8'!I187</f>
        <v>0</v>
      </c>
      <c r="S188" s="189">
        <v>0</v>
      </c>
      <c r="T188" s="189">
        <v>0</v>
      </c>
      <c r="BT188" s="525"/>
      <c r="BU188" s="523">
        <v>7</v>
      </c>
      <c r="BV188" s="523">
        <v>1</v>
      </c>
      <c r="BW188" s="523"/>
      <c r="BX188" s="523">
        <v>0</v>
      </c>
      <c r="BY188" s="523">
        <v>0</v>
      </c>
      <c r="BZ188" s="523">
        <v>0</v>
      </c>
      <c r="CA188" s="523">
        <v>0</v>
      </c>
      <c r="CB188" s="523"/>
      <c r="CC188" s="523"/>
      <c r="CD188" s="523"/>
      <c r="CE188" s="523"/>
      <c r="CF188" s="523"/>
      <c r="CG188" s="523"/>
      <c r="CH188" s="523"/>
      <c r="CI188" s="523">
        <f t="shared" si="38"/>
        <v>8</v>
      </c>
    </row>
    <row r="189" spans="1:87" ht="15" x14ac:dyDescent="0.2">
      <c r="A189" s="680" t="s">
        <v>1632</v>
      </c>
      <c r="B189" s="569" t="s">
        <v>1633</v>
      </c>
      <c r="C189" s="569" t="s">
        <v>1324</v>
      </c>
      <c r="D189" s="569" t="s">
        <v>1634</v>
      </c>
      <c r="E189" s="681" t="s">
        <v>102</v>
      </c>
      <c r="F189" s="644">
        <v>201.25</v>
      </c>
      <c r="G189" s="682">
        <v>3019.34</v>
      </c>
      <c r="H189" s="681">
        <v>1</v>
      </c>
      <c r="I189" s="685">
        <f t="shared" si="39"/>
        <v>0</v>
      </c>
      <c r="J189" s="573">
        <f t="shared" si="40"/>
        <v>0</v>
      </c>
      <c r="K189" s="644">
        <f t="shared" si="35"/>
        <v>1</v>
      </c>
      <c r="L189" s="708">
        <f t="shared" si="44"/>
        <v>3019.34</v>
      </c>
      <c r="M189" s="708">
        <f t="shared" si="44"/>
        <v>0</v>
      </c>
      <c r="N189" s="708">
        <f t="shared" si="44"/>
        <v>0</v>
      </c>
      <c r="O189" s="718">
        <f t="shared" si="44"/>
        <v>3019.34</v>
      </c>
      <c r="P189" s="617">
        <f t="shared" si="37"/>
        <v>0</v>
      </c>
      <c r="Q189" s="525">
        <f>I189-'[9]8'!I188</f>
        <v>0</v>
      </c>
      <c r="S189" s="189">
        <v>0</v>
      </c>
      <c r="T189" s="189">
        <v>0</v>
      </c>
      <c r="BT189" s="525"/>
      <c r="BU189" s="523"/>
      <c r="BV189" s="523"/>
      <c r="BW189" s="523"/>
      <c r="BX189" s="523">
        <v>0</v>
      </c>
      <c r="BY189" s="523">
        <v>0</v>
      </c>
      <c r="BZ189" s="523">
        <v>0</v>
      </c>
      <c r="CA189" s="523">
        <v>0</v>
      </c>
      <c r="CB189" s="523"/>
      <c r="CC189" s="523"/>
      <c r="CD189" s="523"/>
      <c r="CE189" s="523"/>
      <c r="CF189" s="523"/>
      <c r="CG189" s="523"/>
      <c r="CH189" s="523"/>
      <c r="CI189" s="523">
        <f t="shared" si="38"/>
        <v>0</v>
      </c>
    </row>
    <row r="190" spans="1:87" s="754" customFormat="1" ht="15" x14ac:dyDescent="0.2">
      <c r="A190" s="680" t="s">
        <v>1635</v>
      </c>
      <c r="B190" s="569" t="s">
        <v>1636</v>
      </c>
      <c r="C190" s="569" t="s">
        <v>1324</v>
      </c>
      <c r="D190" s="569" t="s">
        <v>1637</v>
      </c>
      <c r="E190" s="681" t="s">
        <v>102</v>
      </c>
      <c r="F190" s="644">
        <v>356.72</v>
      </c>
      <c r="G190" s="682">
        <v>9092.1</v>
      </c>
      <c r="H190" s="681">
        <v>1</v>
      </c>
      <c r="I190" s="685">
        <f t="shared" si="39"/>
        <v>0</v>
      </c>
      <c r="J190" s="573">
        <f t="shared" si="40"/>
        <v>0</v>
      </c>
      <c r="K190" s="644">
        <f t="shared" si="35"/>
        <v>1</v>
      </c>
      <c r="L190" s="708">
        <f t="shared" si="44"/>
        <v>9092.1</v>
      </c>
      <c r="M190" s="708">
        <f t="shared" si="44"/>
        <v>0</v>
      </c>
      <c r="N190" s="708">
        <f t="shared" si="44"/>
        <v>0</v>
      </c>
      <c r="O190" s="718">
        <f t="shared" si="44"/>
        <v>9092.1</v>
      </c>
      <c r="P190" s="617">
        <f t="shared" si="37"/>
        <v>0</v>
      </c>
      <c r="Q190" s="525">
        <f>I190-'[9]8'!I189</f>
        <v>0</v>
      </c>
      <c r="S190" s="190">
        <v>0</v>
      </c>
      <c r="T190" s="190">
        <v>0</v>
      </c>
      <c r="BT190" s="525"/>
      <c r="BU190" s="523"/>
      <c r="BV190" s="523"/>
      <c r="BW190" s="523"/>
      <c r="BX190" s="523">
        <v>0</v>
      </c>
      <c r="BY190" s="523">
        <v>0</v>
      </c>
      <c r="BZ190" s="523">
        <v>0</v>
      </c>
      <c r="CA190" s="523">
        <v>0</v>
      </c>
      <c r="CB190" s="523"/>
      <c r="CC190" s="523"/>
      <c r="CD190" s="523"/>
      <c r="CE190" s="523"/>
      <c r="CF190" s="523"/>
      <c r="CG190" s="523"/>
      <c r="CH190" s="523"/>
      <c r="CI190" s="523">
        <f t="shared" si="38"/>
        <v>0</v>
      </c>
    </row>
    <row r="191" spans="1:87" ht="15.75" x14ac:dyDescent="0.2">
      <c r="A191" s="600">
        <v>14</v>
      </c>
      <c r="B191" s="558"/>
      <c r="C191" s="558"/>
      <c r="D191" s="558" t="s">
        <v>656</v>
      </c>
      <c r="E191" s="626"/>
      <c r="F191" s="626"/>
      <c r="G191" s="626"/>
      <c r="H191" s="626"/>
      <c r="I191" s="747"/>
      <c r="J191" s="747"/>
      <c r="K191" s="747"/>
      <c r="L191" s="734">
        <f>SUM(L192:L194)</f>
        <v>11646.28</v>
      </c>
      <c r="M191" s="734">
        <f>SUM(M192:M194)</f>
        <v>0</v>
      </c>
      <c r="N191" s="734">
        <f>SUM(N192:N194)</f>
        <v>0</v>
      </c>
      <c r="O191" s="721">
        <f>SUM(O192:O194)</f>
        <v>11646.28</v>
      </c>
      <c r="P191" s="604">
        <f t="shared" si="37"/>
        <v>0</v>
      </c>
      <c r="Q191" s="525">
        <f>I191-'[9]8'!I190</f>
        <v>0</v>
      </c>
      <c r="S191" s="189">
        <v>0</v>
      </c>
      <c r="T191" s="189">
        <v>0</v>
      </c>
      <c r="BT191" s="525"/>
      <c r="BU191" s="523"/>
      <c r="BV191" s="523"/>
      <c r="BW191" s="523"/>
      <c r="BX191" s="523">
        <v>0</v>
      </c>
      <c r="BY191" s="523">
        <v>0</v>
      </c>
      <c r="BZ191" s="523"/>
      <c r="CA191" s="523"/>
      <c r="CB191" s="523"/>
      <c r="CC191" s="523"/>
      <c r="CD191" s="523"/>
      <c r="CE191" s="523"/>
      <c r="CF191" s="523"/>
      <c r="CG191" s="523"/>
      <c r="CH191" s="523"/>
      <c r="CI191" s="523">
        <f t="shared" si="38"/>
        <v>0</v>
      </c>
    </row>
    <row r="192" spans="1:87" ht="15" x14ac:dyDescent="0.2">
      <c r="A192" s="680" t="s">
        <v>355</v>
      </c>
      <c r="B192" s="569">
        <v>83688</v>
      </c>
      <c r="C192" s="569" t="s">
        <v>1324</v>
      </c>
      <c r="D192" s="569" t="s">
        <v>1638</v>
      </c>
      <c r="E192" s="681" t="s">
        <v>81</v>
      </c>
      <c r="F192" s="644">
        <v>415</v>
      </c>
      <c r="G192" s="682">
        <v>141.97999999999999</v>
      </c>
      <c r="H192" s="681">
        <v>76.400000000000006</v>
      </c>
      <c r="I192" s="685">
        <f t="shared" si="39"/>
        <v>0</v>
      </c>
      <c r="J192" s="573">
        <f t="shared" si="40"/>
        <v>0</v>
      </c>
      <c r="K192" s="644">
        <f t="shared" si="35"/>
        <v>76.400000000000006</v>
      </c>
      <c r="L192" s="708">
        <f t="shared" ref="L192:O194" si="45">ROUND(H192*$G192,2)</f>
        <v>10847.27</v>
      </c>
      <c r="M192" s="708">
        <f t="shared" si="45"/>
        <v>0</v>
      </c>
      <c r="N192" s="708">
        <f t="shared" si="45"/>
        <v>0</v>
      </c>
      <c r="O192" s="718">
        <f t="shared" si="45"/>
        <v>10847.27</v>
      </c>
      <c r="P192" s="617">
        <f t="shared" si="37"/>
        <v>0</v>
      </c>
      <c r="Q192" s="525">
        <f>I192-'[9]8'!I191</f>
        <v>0</v>
      </c>
      <c r="S192" s="189">
        <v>0</v>
      </c>
      <c r="T192" s="189">
        <v>0</v>
      </c>
      <c r="BT192" s="525"/>
      <c r="BU192" s="523"/>
      <c r="BV192" s="523"/>
      <c r="BW192" s="523"/>
      <c r="BX192" s="523">
        <v>0</v>
      </c>
      <c r="BY192" s="523">
        <v>0</v>
      </c>
      <c r="BZ192" s="523">
        <v>0</v>
      </c>
      <c r="CA192" s="523">
        <v>0</v>
      </c>
      <c r="CB192" s="523"/>
      <c r="CC192" s="523"/>
      <c r="CD192" s="523"/>
      <c r="CE192" s="523"/>
      <c r="CF192" s="523"/>
      <c r="CG192" s="523"/>
      <c r="CH192" s="523"/>
      <c r="CI192" s="523">
        <f t="shared" si="38"/>
        <v>0</v>
      </c>
    </row>
    <row r="193" spans="1:87" ht="15" x14ac:dyDescent="0.2">
      <c r="A193" s="680" t="s">
        <v>1639</v>
      </c>
      <c r="B193" s="569" t="s">
        <v>2007</v>
      </c>
      <c r="C193" s="569" t="s">
        <v>1339</v>
      </c>
      <c r="D193" s="569" t="s">
        <v>1640</v>
      </c>
      <c r="E193" s="681" t="s">
        <v>102</v>
      </c>
      <c r="F193" s="644">
        <v>63.04</v>
      </c>
      <c r="G193" s="682">
        <v>76.84</v>
      </c>
      <c r="H193" s="681">
        <v>8</v>
      </c>
      <c r="I193" s="685">
        <f t="shared" si="39"/>
        <v>0</v>
      </c>
      <c r="J193" s="573">
        <f t="shared" si="40"/>
        <v>0</v>
      </c>
      <c r="K193" s="644">
        <f t="shared" si="35"/>
        <v>8</v>
      </c>
      <c r="L193" s="708">
        <f t="shared" si="45"/>
        <v>614.72</v>
      </c>
      <c r="M193" s="708">
        <f t="shared" si="45"/>
        <v>0</v>
      </c>
      <c r="N193" s="708">
        <f t="shared" si="45"/>
        <v>0</v>
      </c>
      <c r="O193" s="718">
        <f t="shared" si="45"/>
        <v>614.72</v>
      </c>
      <c r="P193" s="617">
        <f t="shared" si="37"/>
        <v>0</v>
      </c>
      <c r="Q193" s="525">
        <f>I193-'[9]8'!I192</f>
        <v>0</v>
      </c>
      <c r="S193" s="189">
        <v>0</v>
      </c>
      <c r="T193" s="189">
        <v>0</v>
      </c>
      <c r="BT193" s="525"/>
      <c r="BU193" s="523"/>
      <c r="BV193" s="523"/>
      <c r="BW193" s="523"/>
      <c r="BX193" s="523">
        <v>0</v>
      </c>
      <c r="BY193" s="523">
        <v>0</v>
      </c>
      <c r="BZ193" s="523">
        <v>0</v>
      </c>
      <c r="CA193" s="523">
        <v>0</v>
      </c>
      <c r="CB193" s="523"/>
      <c r="CC193" s="523"/>
      <c r="CD193" s="523"/>
      <c r="CE193" s="523"/>
      <c r="CF193" s="523"/>
      <c r="CG193" s="523"/>
      <c r="CH193" s="523"/>
      <c r="CI193" s="523">
        <f t="shared" si="38"/>
        <v>0</v>
      </c>
    </row>
    <row r="194" spans="1:87" s="754" customFormat="1" ht="15" x14ac:dyDescent="0.2">
      <c r="A194" s="680" t="s">
        <v>1641</v>
      </c>
      <c r="B194" s="569">
        <v>88549</v>
      </c>
      <c r="C194" s="569" t="s">
        <v>1324</v>
      </c>
      <c r="D194" s="569" t="s">
        <v>1642</v>
      </c>
      <c r="E194" s="681" t="s">
        <v>48</v>
      </c>
      <c r="F194" s="630"/>
      <c r="G194" s="682">
        <v>98.55</v>
      </c>
      <c r="H194" s="681">
        <v>1.87</v>
      </c>
      <c r="I194" s="685">
        <f t="shared" si="39"/>
        <v>0</v>
      </c>
      <c r="J194" s="573">
        <f t="shared" si="40"/>
        <v>0</v>
      </c>
      <c r="K194" s="644">
        <f t="shared" si="35"/>
        <v>1.87</v>
      </c>
      <c r="L194" s="708">
        <f t="shared" si="45"/>
        <v>184.29</v>
      </c>
      <c r="M194" s="708">
        <f t="shared" si="45"/>
        <v>0</v>
      </c>
      <c r="N194" s="708">
        <f t="shared" si="45"/>
        <v>0</v>
      </c>
      <c r="O194" s="718">
        <f t="shared" si="45"/>
        <v>184.29</v>
      </c>
      <c r="P194" s="617">
        <f t="shared" si="37"/>
        <v>0</v>
      </c>
      <c r="Q194" s="525">
        <f>I194-'[9]8'!I193</f>
        <v>0</v>
      </c>
      <c r="S194" s="190">
        <v>0</v>
      </c>
      <c r="T194" s="190">
        <v>0</v>
      </c>
      <c r="BT194" s="525"/>
      <c r="BU194" s="523"/>
      <c r="BV194" s="523"/>
      <c r="BW194" s="523"/>
      <c r="BX194" s="523">
        <v>0</v>
      </c>
      <c r="BY194" s="523">
        <v>0</v>
      </c>
      <c r="BZ194" s="523">
        <v>0</v>
      </c>
      <c r="CA194" s="523">
        <v>0</v>
      </c>
      <c r="CB194" s="523"/>
      <c r="CC194" s="523"/>
      <c r="CD194" s="523"/>
      <c r="CE194" s="523"/>
      <c r="CF194" s="523"/>
      <c r="CG194" s="523"/>
      <c r="CH194" s="523"/>
      <c r="CI194" s="523">
        <f t="shared" si="38"/>
        <v>0</v>
      </c>
    </row>
    <row r="195" spans="1:87" ht="15.75" x14ac:dyDescent="0.2">
      <c r="A195" s="600">
        <v>15</v>
      </c>
      <c r="B195" s="558"/>
      <c r="C195" s="558"/>
      <c r="D195" s="558" t="s">
        <v>1643</v>
      </c>
      <c r="E195" s="626"/>
      <c r="F195" s="626"/>
      <c r="G195" s="626"/>
      <c r="H195" s="626"/>
      <c r="I195" s="747"/>
      <c r="J195" s="747"/>
      <c r="K195" s="747"/>
      <c r="L195" s="734">
        <f>SUM(L196:L208)</f>
        <v>7636.1200000000017</v>
      </c>
      <c r="M195" s="734">
        <f>SUM(M196:M208)</f>
        <v>0</v>
      </c>
      <c r="N195" s="734">
        <f>SUM(N196:N208)</f>
        <v>0</v>
      </c>
      <c r="O195" s="721">
        <f>SUM(O196:O208)</f>
        <v>7636.1200000000017</v>
      </c>
      <c r="P195" s="604">
        <f t="shared" si="37"/>
        <v>0</v>
      </c>
      <c r="Q195" s="525">
        <f>I195-'[9]8'!I194</f>
        <v>0</v>
      </c>
      <c r="S195" s="189">
        <v>0</v>
      </c>
      <c r="T195" s="189">
        <v>0</v>
      </c>
      <c r="BT195" s="525"/>
      <c r="BU195" s="523"/>
      <c r="BV195" s="523"/>
      <c r="BW195" s="523"/>
      <c r="BX195" s="523">
        <v>0</v>
      </c>
      <c r="BY195" s="523">
        <v>0</v>
      </c>
      <c r="BZ195" s="523"/>
      <c r="CA195" s="523"/>
      <c r="CB195" s="523"/>
      <c r="CC195" s="523"/>
      <c r="CD195" s="523"/>
      <c r="CE195" s="523"/>
      <c r="CF195" s="523"/>
      <c r="CG195" s="523"/>
      <c r="CH195" s="523"/>
      <c r="CI195" s="523">
        <f t="shared" si="38"/>
        <v>0</v>
      </c>
    </row>
    <row r="196" spans="1:87" ht="15" x14ac:dyDescent="0.2">
      <c r="A196" s="680" t="s">
        <v>494</v>
      </c>
      <c r="B196" s="569">
        <v>6021</v>
      </c>
      <c r="C196" s="569" t="s">
        <v>1324</v>
      </c>
      <c r="D196" s="569" t="s">
        <v>1644</v>
      </c>
      <c r="E196" s="681" t="s">
        <v>102</v>
      </c>
      <c r="F196" s="571"/>
      <c r="G196" s="682">
        <v>330.33</v>
      </c>
      <c r="H196" s="681">
        <v>6</v>
      </c>
      <c r="I196" s="685">
        <f t="shared" si="39"/>
        <v>0</v>
      </c>
      <c r="J196" s="573">
        <f t="shared" si="40"/>
        <v>0</v>
      </c>
      <c r="K196" s="644">
        <f t="shared" ref="K196:K259" si="46">H196-J196</f>
        <v>6</v>
      </c>
      <c r="L196" s="708">
        <f t="shared" ref="L196:O208" si="47">ROUND(H196*$G196,2)</f>
        <v>1981.98</v>
      </c>
      <c r="M196" s="708">
        <f t="shared" si="47"/>
        <v>0</v>
      </c>
      <c r="N196" s="708">
        <f t="shared" si="47"/>
        <v>0</v>
      </c>
      <c r="O196" s="718">
        <f t="shared" si="47"/>
        <v>1981.98</v>
      </c>
      <c r="P196" s="617">
        <f t="shared" si="37"/>
        <v>0</v>
      </c>
      <c r="Q196" s="525">
        <f>I196-'[9]8'!I195</f>
        <v>0</v>
      </c>
      <c r="S196" s="189">
        <v>0</v>
      </c>
      <c r="T196" s="189">
        <v>0</v>
      </c>
      <c r="BT196" s="525"/>
      <c r="BU196" s="523"/>
      <c r="BV196" s="523"/>
      <c r="BW196" s="523"/>
      <c r="BX196" s="523">
        <v>0</v>
      </c>
      <c r="BY196" s="523">
        <v>0</v>
      </c>
      <c r="BZ196" s="523">
        <v>0</v>
      </c>
      <c r="CA196" s="523">
        <v>0</v>
      </c>
      <c r="CB196" s="523"/>
      <c r="CC196" s="523"/>
      <c r="CD196" s="523"/>
      <c r="CE196" s="523"/>
      <c r="CF196" s="523"/>
      <c r="CG196" s="523"/>
      <c r="CH196" s="523"/>
      <c r="CI196" s="523">
        <f t="shared" si="38"/>
        <v>0</v>
      </c>
    </row>
    <row r="197" spans="1:87" ht="15" x14ac:dyDescent="0.2">
      <c r="A197" s="680" t="s">
        <v>496</v>
      </c>
      <c r="B197" s="569">
        <v>40729</v>
      </c>
      <c r="C197" s="569" t="s">
        <v>1324</v>
      </c>
      <c r="D197" s="569" t="s">
        <v>1645</v>
      </c>
      <c r="E197" s="681" t="s">
        <v>102</v>
      </c>
      <c r="F197" s="571"/>
      <c r="G197" s="682">
        <v>204.63</v>
      </c>
      <c r="H197" s="681">
        <v>6</v>
      </c>
      <c r="I197" s="685">
        <f t="shared" si="39"/>
        <v>0</v>
      </c>
      <c r="J197" s="573">
        <f t="shared" si="40"/>
        <v>0</v>
      </c>
      <c r="K197" s="644">
        <f t="shared" si="46"/>
        <v>6</v>
      </c>
      <c r="L197" s="708">
        <f t="shared" si="47"/>
        <v>1227.78</v>
      </c>
      <c r="M197" s="708">
        <f t="shared" si="47"/>
        <v>0</v>
      </c>
      <c r="N197" s="708">
        <f t="shared" si="47"/>
        <v>0</v>
      </c>
      <c r="O197" s="718">
        <f t="shared" si="47"/>
        <v>1227.78</v>
      </c>
      <c r="P197" s="617">
        <f t="shared" si="37"/>
        <v>0</v>
      </c>
      <c r="Q197" s="525">
        <f>I197-'[9]8'!I196</f>
        <v>0</v>
      </c>
      <c r="S197" s="189">
        <v>0</v>
      </c>
      <c r="T197" s="189">
        <v>0</v>
      </c>
      <c r="BT197" s="525"/>
      <c r="BU197" s="523"/>
      <c r="BV197" s="523"/>
      <c r="BW197" s="523"/>
      <c r="BX197" s="523">
        <v>0</v>
      </c>
      <c r="BY197" s="523">
        <v>0</v>
      </c>
      <c r="BZ197" s="523">
        <v>0</v>
      </c>
      <c r="CA197" s="523">
        <v>0</v>
      </c>
      <c r="CB197" s="523"/>
      <c r="CC197" s="523"/>
      <c r="CD197" s="523"/>
      <c r="CE197" s="523"/>
      <c r="CF197" s="523"/>
      <c r="CG197" s="523"/>
      <c r="CH197" s="523"/>
      <c r="CI197" s="523">
        <f t="shared" si="38"/>
        <v>0</v>
      </c>
    </row>
    <row r="198" spans="1:87" ht="15" x14ac:dyDescent="0.2">
      <c r="A198" s="680" t="s">
        <v>498</v>
      </c>
      <c r="B198" s="569">
        <v>86901</v>
      </c>
      <c r="C198" s="569" t="s">
        <v>1324</v>
      </c>
      <c r="D198" s="569" t="s">
        <v>1646</v>
      </c>
      <c r="E198" s="681" t="s">
        <v>102</v>
      </c>
      <c r="F198" s="644">
        <v>11.27</v>
      </c>
      <c r="G198" s="682">
        <v>102.4</v>
      </c>
      <c r="H198" s="681">
        <v>6</v>
      </c>
      <c r="I198" s="685">
        <f t="shared" si="39"/>
        <v>0</v>
      </c>
      <c r="J198" s="573">
        <f t="shared" si="40"/>
        <v>0</v>
      </c>
      <c r="K198" s="644">
        <f t="shared" si="46"/>
        <v>6</v>
      </c>
      <c r="L198" s="708">
        <f t="shared" si="47"/>
        <v>614.4</v>
      </c>
      <c r="M198" s="708">
        <f t="shared" si="47"/>
        <v>0</v>
      </c>
      <c r="N198" s="708">
        <f t="shared" si="47"/>
        <v>0</v>
      </c>
      <c r="O198" s="718">
        <f t="shared" si="47"/>
        <v>614.4</v>
      </c>
      <c r="P198" s="617">
        <f t="shared" si="37"/>
        <v>0</v>
      </c>
      <c r="Q198" s="525">
        <f>I198-'[9]8'!I197</f>
        <v>0</v>
      </c>
      <c r="S198" s="189">
        <v>0</v>
      </c>
      <c r="T198" s="189">
        <v>0</v>
      </c>
      <c r="BT198" s="525"/>
      <c r="BU198" s="523"/>
      <c r="BV198" s="523"/>
      <c r="BW198" s="523"/>
      <c r="BX198" s="523">
        <v>0</v>
      </c>
      <c r="BY198" s="523">
        <v>0</v>
      </c>
      <c r="BZ198" s="523">
        <v>0</v>
      </c>
      <c r="CA198" s="523">
        <v>0</v>
      </c>
      <c r="CB198" s="523"/>
      <c r="CC198" s="523"/>
      <c r="CD198" s="523"/>
      <c r="CE198" s="523"/>
      <c r="CF198" s="523"/>
      <c r="CG198" s="523"/>
      <c r="CH198" s="523"/>
      <c r="CI198" s="523">
        <f t="shared" si="38"/>
        <v>0</v>
      </c>
    </row>
    <row r="199" spans="1:87" ht="15" x14ac:dyDescent="0.2">
      <c r="A199" s="680" t="s">
        <v>500</v>
      </c>
      <c r="B199" s="569">
        <v>86942</v>
      </c>
      <c r="C199" s="569" t="s">
        <v>1324</v>
      </c>
      <c r="D199" s="569" t="s">
        <v>1647</v>
      </c>
      <c r="E199" s="681" t="s">
        <v>102</v>
      </c>
      <c r="F199" s="644">
        <v>11.89</v>
      </c>
      <c r="G199" s="682">
        <v>160.06</v>
      </c>
      <c r="H199" s="681">
        <v>2</v>
      </c>
      <c r="I199" s="685">
        <f t="shared" si="39"/>
        <v>0</v>
      </c>
      <c r="J199" s="573">
        <f t="shared" si="40"/>
        <v>0</v>
      </c>
      <c r="K199" s="644">
        <f t="shared" si="46"/>
        <v>2</v>
      </c>
      <c r="L199" s="708">
        <f t="shared" si="47"/>
        <v>320.12</v>
      </c>
      <c r="M199" s="708">
        <f t="shared" si="47"/>
        <v>0</v>
      </c>
      <c r="N199" s="708">
        <f t="shared" si="47"/>
        <v>0</v>
      </c>
      <c r="O199" s="718">
        <f t="shared" si="47"/>
        <v>320.12</v>
      </c>
      <c r="P199" s="617">
        <f t="shared" si="37"/>
        <v>0</v>
      </c>
      <c r="Q199" s="525">
        <f>I199-'[9]8'!I198</f>
        <v>0</v>
      </c>
      <c r="S199" s="189">
        <v>0</v>
      </c>
      <c r="T199" s="189">
        <v>0</v>
      </c>
      <c r="BT199" s="525"/>
      <c r="BU199" s="523"/>
      <c r="BV199" s="523"/>
      <c r="BW199" s="523"/>
      <c r="BX199" s="523">
        <v>0</v>
      </c>
      <c r="BY199" s="523">
        <v>0</v>
      </c>
      <c r="BZ199" s="523">
        <v>0</v>
      </c>
      <c r="CA199" s="523">
        <v>0</v>
      </c>
      <c r="CB199" s="523"/>
      <c r="CC199" s="523"/>
      <c r="CD199" s="523"/>
      <c r="CE199" s="523"/>
      <c r="CF199" s="523"/>
      <c r="CG199" s="523"/>
      <c r="CH199" s="523"/>
      <c r="CI199" s="523">
        <f t="shared" si="38"/>
        <v>0</v>
      </c>
    </row>
    <row r="200" spans="1:87" ht="30" x14ac:dyDescent="0.2">
      <c r="A200" s="680" t="s">
        <v>502</v>
      </c>
      <c r="B200" s="569" t="s">
        <v>2007</v>
      </c>
      <c r="C200" s="569" t="s">
        <v>1339</v>
      </c>
      <c r="D200" s="569" t="s">
        <v>1648</v>
      </c>
      <c r="E200" s="681" t="s">
        <v>102</v>
      </c>
      <c r="F200" s="644">
        <v>28.56</v>
      </c>
      <c r="G200" s="682">
        <v>223.26</v>
      </c>
      <c r="H200" s="681">
        <v>2</v>
      </c>
      <c r="I200" s="685">
        <f t="shared" si="39"/>
        <v>0</v>
      </c>
      <c r="J200" s="573">
        <f t="shared" si="40"/>
        <v>0</v>
      </c>
      <c r="K200" s="644">
        <f t="shared" si="46"/>
        <v>2</v>
      </c>
      <c r="L200" s="708">
        <f t="shared" si="47"/>
        <v>446.52</v>
      </c>
      <c r="M200" s="708">
        <f t="shared" si="47"/>
        <v>0</v>
      </c>
      <c r="N200" s="708">
        <f t="shared" si="47"/>
        <v>0</v>
      </c>
      <c r="O200" s="718">
        <f t="shared" si="47"/>
        <v>446.52</v>
      </c>
      <c r="P200" s="617">
        <f t="shared" si="37"/>
        <v>0</v>
      </c>
      <c r="Q200" s="525">
        <f>I200-'[9]8'!I199</f>
        <v>0</v>
      </c>
      <c r="S200" s="189">
        <v>0</v>
      </c>
      <c r="T200" s="189">
        <v>0</v>
      </c>
      <c r="BT200" s="525"/>
      <c r="BU200" s="523"/>
      <c r="BV200" s="523"/>
      <c r="BW200" s="523"/>
      <c r="BX200" s="523">
        <v>0</v>
      </c>
      <c r="BY200" s="523">
        <v>0</v>
      </c>
      <c r="BZ200" s="523">
        <v>0</v>
      </c>
      <c r="CA200" s="523">
        <v>0</v>
      </c>
      <c r="CB200" s="523"/>
      <c r="CC200" s="523"/>
      <c r="CD200" s="523"/>
      <c r="CE200" s="523"/>
      <c r="CF200" s="523"/>
      <c r="CG200" s="523"/>
      <c r="CH200" s="523"/>
      <c r="CI200" s="523">
        <f t="shared" si="38"/>
        <v>0</v>
      </c>
    </row>
    <row r="201" spans="1:87" ht="15" x14ac:dyDescent="0.2">
      <c r="A201" s="680" t="s">
        <v>504</v>
      </c>
      <c r="B201" s="569">
        <v>86906</v>
      </c>
      <c r="C201" s="569" t="s">
        <v>1324</v>
      </c>
      <c r="D201" s="569" t="s">
        <v>1649</v>
      </c>
      <c r="E201" s="681" t="s">
        <v>102</v>
      </c>
      <c r="F201" s="644">
        <v>35.53</v>
      </c>
      <c r="G201" s="682">
        <v>39.97</v>
      </c>
      <c r="H201" s="681">
        <v>8</v>
      </c>
      <c r="I201" s="685">
        <f t="shared" si="39"/>
        <v>0</v>
      </c>
      <c r="J201" s="573">
        <f t="shared" si="40"/>
        <v>0</v>
      </c>
      <c r="K201" s="644">
        <f t="shared" si="46"/>
        <v>8</v>
      </c>
      <c r="L201" s="708">
        <f t="shared" si="47"/>
        <v>319.76</v>
      </c>
      <c r="M201" s="708">
        <f t="shared" si="47"/>
        <v>0</v>
      </c>
      <c r="N201" s="708">
        <f t="shared" si="47"/>
        <v>0</v>
      </c>
      <c r="O201" s="718">
        <f t="shared" si="47"/>
        <v>319.76</v>
      </c>
      <c r="P201" s="617">
        <f t="shared" si="37"/>
        <v>0</v>
      </c>
      <c r="Q201" s="525">
        <f>I201-'[9]8'!I200</f>
        <v>0</v>
      </c>
      <c r="S201" s="189">
        <v>0</v>
      </c>
      <c r="T201" s="189">
        <v>0</v>
      </c>
      <c r="BT201" s="525"/>
      <c r="BU201" s="523"/>
      <c r="BV201" s="523"/>
      <c r="BW201" s="523"/>
      <c r="BX201" s="523">
        <v>0</v>
      </c>
      <c r="BY201" s="523">
        <v>0</v>
      </c>
      <c r="BZ201" s="523">
        <v>0</v>
      </c>
      <c r="CA201" s="523">
        <v>0</v>
      </c>
      <c r="CB201" s="523"/>
      <c r="CC201" s="523"/>
      <c r="CD201" s="523"/>
      <c r="CE201" s="523"/>
      <c r="CF201" s="523"/>
      <c r="CG201" s="523"/>
      <c r="CH201" s="523"/>
      <c r="CI201" s="523">
        <f t="shared" si="38"/>
        <v>0</v>
      </c>
    </row>
    <row r="202" spans="1:87" ht="15" x14ac:dyDescent="0.2">
      <c r="A202" s="680" t="s">
        <v>506</v>
      </c>
      <c r="B202" s="569">
        <v>86914</v>
      </c>
      <c r="C202" s="569" t="s">
        <v>1324</v>
      </c>
      <c r="D202" s="569" t="s">
        <v>1650</v>
      </c>
      <c r="E202" s="681" t="s">
        <v>102</v>
      </c>
      <c r="F202" s="644">
        <v>47.11</v>
      </c>
      <c r="G202" s="682">
        <v>31.02</v>
      </c>
      <c r="H202" s="681">
        <v>2</v>
      </c>
      <c r="I202" s="685">
        <f t="shared" si="39"/>
        <v>0</v>
      </c>
      <c r="J202" s="573">
        <f t="shared" si="40"/>
        <v>0</v>
      </c>
      <c r="K202" s="644">
        <f t="shared" si="46"/>
        <v>2</v>
      </c>
      <c r="L202" s="708">
        <f t="shared" si="47"/>
        <v>62.04</v>
      </c>
      <c r="M202" s="708">
        <f t="shared" si="47"/>
        <v>0</v>
      </c>
      <c r="N202" s="708">
        <f t="shared" si="47"/>
        <v>0</v>
      </c>
      <c r="O202" s="718">
        <f t="shared" si="47"/>
        <v>62.04</v>
      </c>
      <c r="P202" s="617">
        <f t="shared" si="37"/>
        <v>0</v>
      </c>
      <c r="Q202" s="525">
        <f>I202-'[9]8'!I201</f>
        <v>0</v>
      </c>
      <c r="S202" s="189">
        <v>0</v>
      </c>
      <c r="T202" s="189">
        <v>0</v>
      </c>
      <c r="BT202" s="525"/>
      <c r="BU202" s="523"/>
      <c r="BV202" s="523"/>
      <c r="BW202" s="523"/>
      <c r="BX202" s="523">
        <v>0</v>
      </c>
      <c r="BY202" s="523">
        <v>0</v>
      </c>
      <c r="BZ202" s="523">
        <v>0</v>
      </c>
      <c r="CA202" s="523">
        <v>0</v>
      </c>
      <c r="CB202" s="523"/>
      <c r="CC202" s="523"/>
      <c r="CD202" s="523"/>
      <c r="CE202" s="523"/>
      <c r="CF202" s="523"/>
      <c r="CG202" s="523"/>
      <c r="CH202" s="523"/>
      <c r="CI202" s="523">
        <f t="shared" si="38"/>
        <v>0</v>
      </c>
    </row>
    <row r="203" spans="1:87" ht="15" x14ac:dyDescent="0.2">
      <c r="A203" s="680" t="s">
        <v>508</v>
      </c>
      <c r="B203" s="569">
        <v>9535</v>
      </c>
      <c r="C203" s="569" t="s">
        <v>1324</v>
      </c>
      <c r="D203" s="569" t="s">
        <v>1651</v>
      </c>
      <c r="E203" s="681" t="s">
        <v>102</v>
      </c>
      <c r="F203" s="571"/>
      <c r="G203" s="682">
        <v>30.06</v>
      </c>
      <c r="H203" s="681">
        <v>6</v>
      </c>
      <c r="I203" s="685">
        <f t="shared" si="39"/>
        <v>0</v>
      </c>
      <c r="J203" s="573">
        <f t="shared" si="40"/>
        <v>0</v>
      </c>
      <c r="K203" s="644">
        <f t="shared" si="46"/>
        <v>6</v>
      </c>
      <c r="L203" s="708">
        <f t="shared" si="47"/>
        <v>180.36</v>
      </c>
      <c r="M203" s="708">
        <f t="shared" si="47"/>
        <v>0</v>
      </c>
      <c r="N203" s="708">
        <f t="shared" si="47"/>
        <v>0</v>
      </c>
      <c r="O203" s="718">
        <f t="shared" si="47"/>
        <v>180.36</v>
      </c>
      <c r="P203" s="617">
        <f t="shared" si="37"/>
        <v>0</v>
      </c>
      <c r="Q203" s="525">
        <f>I203-'[9]8'!I202</f>
        <v>0</v>
      </c>
      <c r="S203" s="189">
        <v>0</v>
      </c>
      <c r="T203" s="189">
        <v>0</v>
      </c>
      <c r="BT203" s="525"/>
      <c r="BU203" s="523"/>
      <c r="BV203" s="523"/>
      <c r="BW203" s="523"/>
      <c r="BX203" s="523">
        <v>0</v>
      </c>
      <c r="BY203" s="523">
        <v>0</v>
      </c>
      <c r="BZ203" s="523">
        <v>0</v>
      </c>
      <c r="CA203" s="523">
        <v>0</v>
      </c>
      <c r="CB203" s="523"/>
      <c r="CC203" s="523"/>
      <c r="CD203" s="523"/>
      <c r="CE203" s="523"/>
      <c r="CF203" s="523"/>
      <c r="CG203" s="523"/>
      <c r="CH203" s="523"/>
      <c r="CI203" s="523">
        <f t="shared" si="38"/>
        <v>0</v>
      </c>
    </row>
    <row r="204" spans="1:87" ht="30" x14ac:dyDescent="0.2">
      <c r="A204" s="680" t="s">
        <v>511</v>
      </c>
      <c r="B204" s="569" t="s">
        <v>2007</v>
      </c>
      <c r="C204" s="569" t="s">
        <v>1339</v>
      </c>
      <c r="D204" s="569" t="s">
        <v>1652</v>
      </c>
      <c r="E204" s="681" t="s">
        <v>102</v>
      </c>
      <c r="F204" s="644">
        <v>5.09</v>
      </c>
      <c r="G204" s="682">
        <v>141.72</v>
      </c>
      <c r="H204" s="681">
        <v>6</v>
      </c>
      <c r="I204" s="685">
        <f t="shared" si="39"/>
        <v>0</v>
      </c>
      <c r="J204" s="573">
        <f t="shared" si="40"/>
        <v>0</v>
      </c>
      <c r="K204" s="644">
        <f t="shared" si="46"/>
        <v>6</v>
      </c>
      <c r="L204" s="708">
        <f t="shared" si="47"/>
        <v>850.32</v>
      </c>
      <c r="M204" s="708">
        <f t="shared" si="47"/>
        <v>0</v>
      </c>
      <c r="N204" s="708">
        <f t="shared" si="47"/>
        <v>0</v>
      </c>
      <c r="O204" s="718">
        <f t="shared" si="47"/>
        <v>850.32</v>
      </c>
      <c r="P204" s="617">
        <f t="shared" si="37"/>
        <v>0</v>
      </c>
      <c r="Q204" s="525">
        <f>I204-'[9]8'!I203</f>
        <v>0</v>
      </c>
      <c r="S204" s="189">
        <v>0</v>
      </c>
      <c r="T204" s="189">
        <v>0</v>
      </c>
      <c r="BT204" s="525"/>
      <c r="BU204" s="523"/>
      <c r="BV204" s="523"/>
      <c r="BW204" s="523"/>
      <c r="BX204" s="523">
        <v>0</v>
      </c>
      <c r="BY204" s="523">
        <v>0</v>
      </c>
      <c r="BZ204" s="523">
        <v>0</v>
      </c>
      <c r="CA204" s="523">
        <v>0</v>
      </c>
      <c r="CB204" s="523"/>
      <c r="CC204" s="523"/>
      <c r="CD204" s="523"/>
      <c r="CE204" s="523"/>
      <c r="CF204" s="523"/>
      <c r="CG204" s="523"/>
      <c r="CH204" s="523"/>
      <c r="CI204" s="523">
        <f t="shared" si="38"/>
        <v>0</v>
      </c>
    </row>
    <row r="205" spans="1:87" ht="15" x14ac:dyDescent="0.2">
      <c r="A205" s="680" t="s">
        <v>513</v>
      </c>
      <c r="B205" s="569" t="s">
        <v>2007</v>
      </c>
      <c r="C205" s="569" t="s">
        <v>1339</v>
      </c>
      <c r="D205" s="569" t="s">
        <v>1653</v>
      </c>
      <c r="E205" s="681" t="s">
        <v>102</v>
      </c>
      <c r="F205" s="644">
        <v>6.77</v>
      </c>
      <c r="G205" s="682">
        <v>39.700000000000003</v>
      </c>
      <c r="H205" s="681">
        <v>4</v>
      </c>
      <c r="I205" s="685">
        <f t="shared" si="39"/>
        <v>0</v>
      </c>
      <c r="J205" s="573">
        <f t="shared" si="40"/>
        <v>0</v>
      </c>
      <c r="K205" s="644">
        <f t="shared" si="46"/>
        <v>4</v>
      </c>
      <c r="L205" s="708">
        <f t="shared" si="47"/>
        <v>158.80000000000001</v>
      </c>
      <c r="M205" s="708">
        <f t="shared" si="47"/>
        <v>0</v>
      </c>
      <c r="N205" s="708">
        <f t="shared" si="47"/>
        <v>0</v>
      </c>
      <c r="O205" s="718">
        <f t="shared" si="47"/>
        <v>158.80000000000001</v>
      </c>
      <c r="P205" s="617">
        <f t="shared" si="37"/>
        <v>0</v>
      </c>
      <c r="Q205" s="525">
        <f>I205-'[9]8'!I204</f>
        <v>0</v>
      </c>
      <c r="S205" s="189">
        <v>0</v>
      </c>
      <c r="T205" s="189">
        <v>0</v>
      </c>
      <c r="BT205" s="525"/>
      <c r="BU205" s="523"/>
      <c r="BV205" s="523"/>
      <c r="BW205" s="523"/>
      <c r="BX205" s="523">
        <v>0</v>
      </c>
      <c r="BY205" s="523">
        <v>0</v>
      </c>
      <c r="BZ205" s="523">
        <v>0</v>
      </c>
      <c r="CA205" s="523">
        <v>0</v>
      </c>
      <c r="CB205" s="523"/>
      <c r="CC205" s="523"/>
      <c r="CD205" s="523"/>
      <c r="CE205" s="523"/>
      <c r="CF205" s="523"/>
      <c r="CG205" s="523"/>
      <c r="CH205" s="523"/>
      <c r="CI205" s="523">
        <f t="shared" si="38"/>
        <v>0</v>
      </c>
    </row>
    <row r="206" spans="1:87" ht="15" x14ac:dyDescent="0.2">
      <c r="A206" s="680" t="s">
        <v>515</v>
      </c>
      <c r="B206" s="569" t="s">
        <v>2007</v>
      </c>
      <c r="C206" s="569" t="s">
        <v>1339</v>
      </c>
      <c r="D206" s="569" t="s">
        <v>1654</v>
      </c>
      <c r="E206" s="681" t="s">
        <v>102</v>
      </c>
      <c r="F206" s="644">
        <v>10.76</v>
      </c>
      <c r="G206" s="682">
        <v>30.45</v>
      </c>
      <c r="H206" s="681">
        <v>4</v>
      </c>
      <c r="I206" s="685">
        <f t="shared" si="39"/>
        <v>0</v>
      </c>
      <c r="J206" s="573">
        <f t="shared" si="40"/>
        <v>0</v>
      </c>
      <c r="K206" s="644">
        <f t="shared" si="46"/>
        <v>4</v>
      </c>
      <c r="L206" s="708">
        <f t="shared" si="47"/>
        <v>121.8</v>
      </c>
      <c r="M206" s="708">
        <f t="shared" si="47"/>
        <v>0</v>
      </c>
      <c r="N206" s="708">
        <f t="shared" si="47"/>
        <v>0</v>
      </c>
      <c r="O206" s="718">
        <f t="shared" si="47"/>
        <v>121.8</v>
      </c>
      <c r="P206" s="617">
        <f t="shared" ref="P206:P269" si="48">N206/L206</f>
        <v>0</v>
      </c>
      <c r="Q206" s="525">
        <f>I206-'[9]8'!I205</f>
        <v>0</v>
      </c>
      <c r="S206" s="189">
        <v>0</v>
      </c>
      <c r="T206" s="189">
        <v>0</v>
      </c>
      <c r="BT206" s="525"/>
      <c r="BU206" s="523"/>
      <c r="BV206" s="523"/>
      <c r="BW206" s="523"/>
      <c r="BX206" s="523">
        <v>0</v>
      </c>
      <c r="BY206" s="523">
        <v>0</v>
      </c>
      <c r="BZ206" s="523">
        <v>0</v>
      </c>
      <c r="CA206" s="523">
        <v>0</v>
      </c>
      <c r="CB206" s="523"/>
      <c r="CC206" s="523"/>
      <c r="CD206" s="523"/>
      <c r="CE206" s="523"/>
      <c r="CF206" s="523"/>
      <c r="CG206" s="523"/>
      <c r="CH206" s="523"/>
      <c r="CI206" s="523">
        <f t="shared" si="38"/>
        <v>0</v>
      </c>
    </row>
    <row r="207" spans="1:87" ht="15" x14ac:dyDescent="0.2">
      <c r="A207" s="680" t="s">
        <v>517</v>
      </c>
      <c r="B207" s="569" t="s">
        <v>2007</v>
      </c>
      <c r="C207" s="569" t="s">
        <v>1339</v>
      </c>
      <c r="D207" s="569" t="s">
        <v>1655</v>
      </c>
      <c r="E207" s="681" t="s">
        <v>102</v>
      </c>
      <c r="F207" s="644">
        <v>42.01</v>
      </c>
      <c r="G207" s="682">
        <v>32.1</v>
      </c>
      <c r="H207" s="681">
        <v>6</v>
      </c>
      <c r="I207" s="685">
        <f t="shared" si="39"/>
        <v>0</v>
      </c>
      <c r="J207" s="573">
        <f t="shared" si="40"/>
        <v>0</v>
      </c>
      <c r="K207" s="644">
        <f t="shared" si="46"/>
        <v>6</v>
      </c>
      <c r="L207" s="708">
        <f t="shared" si="47"/>
        <v>192.6</v>
      </c>
      <c r="M207" s="708">
        <f t="shared" si="47"/>
        <v>0</v>
      </c>
      <c r="N207" s="708">
        <f t="shared" si="47"/>
        <v>0</v>
      </c>
      <c r="O207" s="718">
        <f t="shared" si="47"/>
        <v>192.6</v>
      </c>
      <c r="P207" s="617">
        <f t="shared" si="48"/>
        <v>0</v>
      </c>
      <c r="Q207" s="525">
        <f>I207-'[9]8'!I206</f>
        <v>0</v>
      </c>
      <c r="S207" s="189">
        <v>0</v>
      </c>
      <c r="T207" s="189">
        <v>0</v>
      </c>
      <c r="BT207" s="525"/>
      <c r="BU207" s="523"/>
      <c r="BV207" s="523"/>
      <c r="BW207" s="523"/>
      <c r="BX207" s="523">
        <v>0</v>
      </c>
      <c r="BY207" s="523">
        <v>0</v>
      </c>
      <c r="BZ207" s="523">
        <v>0</v>
      </c>
      <c r="CA207" s="523">
        <v>0</v>
      </c>
      <c r="CB207" s="523"/>
      <c r="CC207" s="523"/>
      <c r="CD207" s="523"/>
      <c r="CE207" s="523"/>
      <c r="CF207" s="523"/>
      <c r="CG207" s="523"/>
      <c r="CH207" s="523"/>
      <c r="CI207" s="523">
        <f t="shared" si="38"/>
        <v>0</v>
      </c>
    </row>
    <row r="208" spans="1:87" s="754" customFormat="1" ht="15" x14ac:dyDescent="0.2">
      <c r="A208" s="680" t="s">
        <v>519</v>
      </c>
      <c r="B208" s="569" t="s">
        <v>2007</v>
      </c>
      <c r="C208" s="569" t="s">
        <v>1339</v>
      </c>
      <c r="D208" s="569" t="s">
        <v>1656</v>
      </c>
      <c r="E208" s="681" t="s">
        <v>102</v>
      </c>
      <c r="F208" s="644">
        <v>19.79</v>
      </c>
      <c r="G208" s="682">
        <v>579.82000000000005</v>
      </c>
      <c r="H208" s="681">
        <v>2</v>
      </c>
      <c r="I208" s="685">
        <f t="shared" si="39"/>
        <v>0</v>
      </c>
      <c r="J208" s="573">
        <f t="shared" si="40"/>
        <v>0</v>
      </c>
      <c r="K208" s="644">
        <f t="shared" si="46"/>
        <v>2</v>
      </c>
      <c r="L208" s="708">
        <f t="shared" si="47"/>
        <v>1159.6400000000001</v>
      </c>
      <c r="M208" s="708">
        <f t="shared" si="47"/>
        <v>0</v>
      </c>
      <c r="N208" s="708">
        <f t="shared" si="47"/>
        <v>0</v>
      </c>
      <c r="O208" s="718">
        <f t="shared" si="47"/>
        <v>1159.6400000000001</v>
      </c>
      <c r="P208" s="617">
        <f t="shared" si="48"/>
        <v>0</v>
      </c>
      <c r="Q208" s="525">
        <f>I208-'[9]8'!I207</f>
        <v>0</v>
      </c>
      <c r="S208" s="190">
        <v>0</v>
      </c>
      <c r="T208" s="190">
        <v>0</v>
      </c>
      <c r="BT208" s="525"/>
      <c r="BU208" s="523"/>
      <c r="BV208" s="523"/>
      <c r="BW208" s="523"/>
      <c r="BX208" s="523">
        <v>0</v>
      </c>
      <c r="BY208" s="523">
        <v>0</v>
      </c>
      <c r="BZ208" s="523">
        <v>0</v>
      </c>
      <c r="CA208" s="523">
        <v>0</v>
      </c>
      <c r="CB208" s="523"/>
      <c r="CC208" s="523"/>
      <c r="CD208" s="523"/>
      <c r="CE208" s="523"/>
      <c r="CF208" s="523"/>
      <c r="CG208" s="523"/>
      <c r="CH208" s="523"/>
      <c r="CI208" s="523">
        <f t="shared" ref="CI208:CI271" si="49">SUM(BU208:CH208)</f>
        <v>0</v>
      </c>
    </row>
    <row r="209" spans="1:87" ht="15.75" x14ac:dyDescent="0.2">
      <c r="A209" s="600">
        <v>16</v>
      </c>
      <c r="B209" s="558"/>
      <c r="C209" s="558"/>
      <c r="D209" s="558" t="s">
        <v>1657</v>
      </c>
      <c r="E209" s="626"/>
      <c r="F209" s="626"/>
      <c r="G209" s="626"/>
      <c r="H209" s="626"/>
      <c r="I209" s="747"/>
      <c r="J209" s="747"/>
      <c r="K209" s="747"/>
      <c r="L209" s="734">
        <f>SUM(L210:L214)</f>
        <v>792.22</v>
      </c>
      <c r="M209" s="734">
        <f>SUM(M210:M214)</f>
        <v>0</v>
      </c>
      <c r="N209" s="734">
        <f>SUM(N210:N214)</f>
        <v>0</v>
      </c>
      <c r="O209" s="721">
        <f>SUM(O210:O214)</f>
        <v>792.22</v>
      </c>
      <c r="P209" s="604">
        <f t="shared" si="48"/>
        <v>0</v>
      </c>
      <c r="Q209" s="525">
        <f>I209-'[9]8'!I208</f>
        <v>0</v>
      </c>
      <c r="S209" s="189">
        <v>0</v>
      </c>
      <c r="T209" s="189">
        <v>0</v>
      </c>
      <c r="BT209" s="525"/>
      <c r="BU209" s="523"/>
      <c r="BV209" s="523"/>
      <c r="BW209" s="523"/>
      <c r="BX209" s="523">
        <v>0</v>
      </c>
      <c r="BY209" s="523">
        <v>0</v>
      </c>
      <c r="BZ209" s="523"/>
      <c r="CA209" s="523"/>
      <c r="CB209" s="523"/>
      <c r="CC209" s="523"/>
      <c r="CD209" s="523"/>
      <c r="CE209" s="523"/>
      <c r="CF209" s="523"/>
      <c r="CG209" s="523"/>
      <c r="CH209" s="523"/>
      <c r="CI209" s="523">
        <f t="shared" si="49"/>
        <v>0</v>
      </c>
    </row>
    <row r="210" spans="1:87" ht="15" x14ac:dyDescent="0.2">
      <c r="A210" s="680" t="s">
        <v>616</v>
      </c>
      <c r="B210" s="569" t="s">
        <v>2007</v>
      </c>
      <c r="C210" s="569" t="s">
        <v>1339</v>
      </c>
      <c r="D210" s="569" t="s">
        <v>1658</v>
      </c>
      <c r="E210" s="681" t="s">
        <v>102</v>
      </c>
      <c r="F210" s="644">
        <v>40.08</v>
      </c>
      <c r="G210" s="682">
        <v>109.5</v>
      </c>
      <c r="H210" s="681">
        <v>2</v>
      </c>
      <c r="I210" s="685">
        <f t="shared" ref="I210:I273" si="50">BU210</f>
        <v>0</v>
      </c>
      <c r="J210" s="573">
        <f t="shared" ref="J210:J273" si="51">CI210</f>
        <v>0</v>
      </c>
      <c r="K210" s="644">
        <f t="shared" si="46"/>
        <v>2</v>
      </c>
      <c r="L210" s="708">
        <f t="shared" ref="L210:O214" si="52">ROUND(H210*$G210,2)</f>
        <v>219</v>
      </c>
      <c r="M210" s="708">
        <f t="shared" si="52"/>
        <v>0</v>
      </c>
      <c r="N210" s="708">
        <f t="shared" si="52"/>
        <v>0</v>
      </c>
      <c r="O210" s="718">
        <f t="shared" si="52"/>
        <v>219</v>
      </c>
      <c r="P210" s="617">
        <f t="shared" si="48"/>
        <v>0</v>
      </c>
      <c r="Q210" s="525">
        <f>I210-'[9]8'!I209</f>
        <v>0</v>
      </c>
      <c r="S210" s="189">
        <v>0</v>
      </c>
      <c r="T210" s="189">
        <v>0</v>
      </c>
      <c r="BT210" s="525"/>
      <c r="BU210" s="523"/>
      <c r="BV210" s="523"/>
      <c r="BW210" s="523"/>
      <c r="BX210" s="523">
        <v>0</v>
      </c>
      <c r="BY210" s="523">
        <v>0</v>
      </c>
      <c r="BZ210" s="523">
        <v>0</v>
      </c>
      <c r="CA210" s="523">
        <v>0</v>
      </c>
      <c r="CB210" s="523"/>
      <c r="CC210" s="523"/>
      <c r="CD210" s="523"/>
      <c r="CE210" s="523"/>
      <c r="CF210" s="523"/>
      <c r="CG210" s="523"/>
      <c r="CH210" s="523"/>
      <c r="CI210" s="523">
        <f t="shared" si="49"/>
        <v>0</v>
      </c>
    </row>
    <row r="211" spans="1:87" ht="15" x14ac:dyDescent="0.2">
      <c r="A211" s="680" t="s">
        <v>618</v>
      </c>
      <c r="B211" s="569" t="s">
        <v>2007</v>
      </c>
      <c r="C211" s="569" t="s">
        <v>1339</v>
      </c>
      <c r="D211" s="569" t="s">
        <v>1659</v>
      </c>
      <c r="E211" s="681" t="s">
        <v>102</v>
      </c>
      <c r="F211" s="644">
        <v>199.75</v>
      </c>
      <c r="G211" s="682">
        <v>227.16</v>
      </c>
      <c r="H211" s="681">
        <v>2</v>
      </c>
      <c r="I211" s="685">
        <f t="shared" si="50"/>
        <v>0</v>
      </c>
      <c r="J211" s="573">
        <f t="shared" si="51"/>
        <v>0</v>
      </c>
      <c r="K211" s="644">
        <f t="shared" si="46"/>
        <v>2</v>
      </c>
      <c r="L211" s="708">
        <f t="shared" si="52"/>
        <v>454.32</v>
      </c>
      <c r="M211" s="708">
        <f t="shared" si="52"/>
        <v>0</v>
      </c>
      <c r="N211" s="708">
        <f t="shared" si="52"/>
        <v>0</v>
      </c>
      <c r="O211" s="718">
        <f t="shared" si="52"/>
        <v>454.32</v>
      </c>
      <c r="P211" s="617">
        <f t="shared" si="48"/>
        <v>0</v>
      </c>
      <c r="Q211" s="525">
        <f>I211-'[9]8'!I210</f>
        <v>0</v>
      </c>
      <c r="S211" s="189">
        <v>0</v>
      </c>
      <c r="T211" s="189">
        <v>0</v>
      </c>
      <c r="BT211" s="525"/>
      <c r="BU211" s="523"/>
      <c r="BV211" s="523"/>
      <c r="BW211" s="523"/>
      <c r="BX211" s="523">
        <v>0</v>
      </c>
      <c r="BY211" s="523">
        <v>0</v>
      </c>
      <c r="BZ211" s="523">
        <v>0</v>
      </c>
      <c r="CA211" s="523">
        <v>0</v>
      </c>
      <c r="CB211" s="523"/>
      <c r="CC211" s="523"/>
      <c r="CD211" s="523"/>
      <c r="CE211" s="523"/>
      <c r="CF211" s="523"/>
      <c r="CG211" s="523"/>
      <c r="CH211" s="523"/>
      <c r="CI211" s="523">
        <f t="shared" si="49"/>
        <v>0</v>
      </c>
    </row>
    <row r="212" spans="1:87" ht="15" x14ac:dyDescent="0.2">
      <c r="A212" s="680" t="s">
        <v>620</v>
      </c>
      <c r="B212" s="569" t="s">
        <v>2007</v>
      </c>
      <c r="C212" s="569" t="s">
        <v>1339</v>
      </c>
      <c r="D212" s="569" t="s">
        <v>1660</v>
      </c>
      <c r="E212" s="681" t="s">
        <v>102</v>
      </c>
      <c r="F212" s="571"/>
      <c r="G212" s="682">
        <v>27.98</v>
      </c>
      <c r="H212" s="681">
        <v>2</v>
      </c>
      <c r="I212" s="685">
        <f t="shared" si="50"/>
        <v>0</v>
      </c>
      <c r="J212" s="573">
        <f t="shared" si="51"/>
        <v>0</v>
      </c>
      <c r="K212" s="644">
        <f t="shared" si="46"/>
        <v>2</v>
      </c>
      <c r="L212" s="708">
        <f t="shared" si="52"/>
        <v>55.96</v>
      </c>
      <c r="M212" s="708">
        <f t="shared" si="52"/>
        <v>0</v>
      </c>
      <c r="N212" s="708">
        <f t="shared" si="52"/>
        <v>0</v>
      </c>
      <c r="O212" s="718">
        <f t="shared" si="52"/>
        <v>55.96</v>
      </c>
      <c r="P212" s="617">
        <f t="shared" si="48"/>
        <v>0</v>
      </c>
      <c r="Q212" s="525">
        <f>I212-'[9]8'!I211</f>
        <v>0</v>
      </c>
      <c r="S212" s="189">
        <v>0</v>
      </c>
      <c r="T212" s="189">
        <v>0</v>
      </c>
      <c r="BT212" s="525"/>
      <c r="BU212" s="523"/>
      <c r="BV212" s="523"/>
      <c r="BW212" s="523"/>
      <c r="BX212" s="523">
        <v>0</v>
      </c>
      <c r="BY212" s="523">
        <v>0</v>
      </c>
      <c r="BZ212" s="523">
        <v>0</v>
      </c>
      <c r="CA212" s="523">
        <v>0</v>
      </c>
      <c r="CB212" s="523"/>
      <c r="CC212" s="523"/>
      <c r="CD212" s="523"/>
      <c r="CE212" s="523"/>
      <c r="CF212" s="523"/>
      <c r="CG212" s="523"/>
      <c r="CH212" s="523"/>
      <c r="CI212" s="523">
        <f t="shared" si="49"/>
        <v>0</v>
      </c>
    </row>
    <row r="213" spans="1:87" ht="15" x14ac:dyDescent="0.2">
      <c r="A213" s="680" t="s">
        <v>1661</v>
      </c>
      <c r="B213" s="569" t="s">
        <v>2007</v>
      </c>
      <c r="C213" s="569" t="s">
        <v>1339</v>
      </c>
      <c r="D213" s="569" t="s">
        <v>1662</v>
      </c>
      <c r="E213" s="681" t="s">
        <v>102</v>
      </c>
      <c r="F213" s="644">
        <v>3.37</v>
      </c>
      <c r="G213" s="682">
        <v>16.36</v>
      </c>
      <c r="H213" s="681">
        <v>2</v>
      </c>
      <c r="I213" s="685">
        <f t="shared" si="50"/>
        <v>0</v>
      </c>
      <c r="J213" s="573">
        <f t="shared" si="51"/>
        <v>0</v>
      </c>
      <c r="K213" s="644">
        <f t="shared" si="46"/>
        <v>2</v>
      </c>
      <c r="L213" s="708">
        <f t="shared" si="52"/>
        <v>32.72</v>
      </c>
      <c r="M213" s="708">
        <f t="shared" si="52"/>
        <v>0</v>
      </c>
      <c r="N213" s="708">
        <f t="shared" si="52"/>
        <v>0</v>
      </c>
      <c r="O213" s="718">
        <f t="shared" si="52"/>
        <v>32.72</v>
      </c>
      <c r="P213" s="617">
        <f t="shared" si="48"/>
        <v>0</v>
      </c>
      <c r="Q213" s="525">
        <f>I213-'[9]8'!I212</f>
        <v>0</v>
      </c>
      <c r="S213" s="189">
        <v>0</v>
      </c>
      <c r="T213" s="189">
        <v>0</v>
      </c>
      <c r="BT213" s="525"/>
      <c r="BU213" s="523"/>
      <c r="BV213" s="523"/>
      <c r="BW213" s="523"/>
      <c r="BX213" s="523">
        <v>0</v>
      </c>
      <c r="BY213" s="523">
        <v>0</v>
      </c>
      <c r="BZ213" s="523">
        <v>0</v>
      </c>
      <c r="CA213" s="523">
        <v>0</v>
      </c>
      <c r="CB213" s="523"/>
      <c r="CC213" s="523"/>
      <c r="CD213" s="523"/>
      <c r="CE213" s="523"/>
      <c r="CF213" s="523"/>
      <c r="CG213" s="523"/>
      <c r="CH213" s="523"/>
      <c r="CI213" s="523">
        <f t="shared" si="49"/>
        <v>0</v>
      </c>
    </row>
    <row r="214" spans="1:87" s="194" customFormat="1" ht="15" x14ac:dyDescent="0.2">
      <c r="A214" s="680" t="s">
        <v>1663</v>
      </c>
      <c r="B214" s="569" t="s">
        <v>2007</v>
      </c>
      <c r="C214" s="569" t="s">
        <v>1339</v>
      </c>
      <c r="D214" s="569" t="s">
        <v>1664</v>
      </c>
      <c r="E214" s="681" t="s">
        <v>102</v>
      </c>
      <c r="F214" s="644">
        <v>10.220000000000001</v>
      </c>
      <c r="G214" s="682">
        <v>15.11</v>
      </c>
      <c r="H214" s="681">
        <v>2</v>
      </c>
      <c r="I214" s="685">
        <f t="shared" si="50"/>
        <v>0</v>
      </c>
      <c r="J214" s="573">
        <f t="shared" si="51"/>
        <v>0</v>
      </c>
      <c r="K214" s="644">
        <f t="shared" si="46"/>
        <v>2</v>
      </c>
      <c r="L214" s="708">
        <f t="shared" si="52"/>
        <v>30.22</v>
      </c>
      <c r="M214" s="708">
        <f t="shared" si="52"/>
        <v>0</v>
      </c>
      <c r="N214" s="708">
        <f t="shared" si="52"/>
        <v>0</v>
      </c>
      <c r="O214" s="718">
        <f t="shared" si="52"/>
        <v>30.22</v>
      </c>
      <c r="P214" s="617">
        <f t="shared" si="48"/>
        <v>0</v>
      </c>
      <c r="Q214" s="525">
        <f>I214-'[9]8'!I213</f>
        <v>0</v>
      </c>
      <c r="S214" s="195">
        <v>0</v>
      </c>
      <c r="T214" s="195">
        <v>0</v>
      </c>
      <c r="BT214" s="525"/>
      <c r="BU214" s="523"/>
      <c r="BV214" s="523"/>
      <c r="BW214" s="523"/>
      <c r="BX214" s="523">
        <v>0</v>
      </c>
      <c r="BY214" s="523">
        <v>0</v>
      </c>
      <c r="BZ214" s="523">
        <v>0</v>
      </c>
      <c r="CA214" s="523">
        <v>0</v>
      </c>
      <c r="CB214" s="523"/>
      <c r="CC214" s="523"/>
      <c r="CD214" s="523"/>
      <c r="CE214" s="523"/>
      <c r="CF214" s="523"/>
      <c r="CG214" s="523"/>
      <c r="CH214" s="523"/>
      <c r="CI214" s="523">
        <f t="shared" si="49"/>
        <v>0</v>
      </c>
    </row>
    <row r="215" spans="1:87" s="754" customFormat="1" ht="15.75" x14ac:dyDescent="0.2">
      <c r="A215" s="600">
        <v>17</v>
      </c>
      <c r="B215" s="558"/>
      <c r="C215" s="558"/>
      <c r="D215" s="558" t="s">
        <v>1665</v>
      </c>
      <c r="E215" s="626"/>
      <c r="F215" s="626"/>
      <c r="G215" s="626"/>
      <c r="H215" s="626"/>
      <c r="I215" s="747"/>
      <c r="J215" s="747"/>
      <c r="K215" s="747"/>
      <c r="L215" s="734">
        <f>SUM(L216,L226,L248,L253)</f>
        <v>20098.660000000003</v>
      </c>
      <c r="M215" s="734">
        <f>SUM(M216,M226,M248,M253)</f>
        <v>0</v>
      </c>
      <c r="N215" s="734">
        <f>SUM(N216,N226,N248,N253)</f>
        <v>311.62</v>
      </c>
      <c r="O215" s="721">
        <f>SUM(O216,O226,O248,O253)</f>
        <v>19787.04</v>
      </c>
      <c r="P215" s="604">
        <f t="shared" si="48"/>
        <v>1.550451622147944E-2</v>
      </c>
      <c r="Q215" s="525">
        <f>I215-'[9]8'!I214</f>
        <v>0</v>
      </c>
      <c r="S215" s="190">
        <v>0</v>
      </c>
      <c r="T215" s="190">
        <v>0</v>
      </c>
      <c r="BT215" s="525"/>
      <c r="BU215" s="523"/>
      <c r="BV215" s="523"/>
      <c r="BW215" s="523"/>
      <c r="BX215" s="523">
        <v>46</v>
      </c>
      <c r="BY215" s="523">
        <v>0</v>
      </c>
      <c r="BZ215" s="523"/>
      <c r="CA215" s="523"/>
      <c r="CB215" s="523"/>
      <c r="CC215" s="523"/>
      <c r="CD215" s="523"/>
      <c r="CE215" s="523"/>
      <c r="CF215" s="523"/>
      <c r="CG215" s="523"/>
      <c r="CH215" s="523"/>
      <c r="CI215" s="523">
        <f t="shared" si="49"/>
        <v>46</v>
      </c>
    </row>
    <row r="216" spans="1:87" ht="15.75" x14ac:dyDescent="0.2">
      <c r="A216" s="605" t="s">
        <v>625</v>
      </c>
      <c r="B216" s="586"/>
      <c r="C216" s="586"/>
      <c r="D216" s="586" t="s">
        <v>1666</v>
      </c>
      <c r="E216" s="683"/>
      <c r="F216" s="683"/>
      <c r="G216" s="683"/>
      <c r="H216" s="683"/>
      <c r="I216" s="748"/>
      <c r="J216" s="748"/>
      <c r="K216" s="748"/>
      <c r="L216" s="733">
        <f>SUM(L217:L225)</f>
        <v>1711.6100000000001</v>
      </c>
      <c r="M216" s="733">
        <f>SUM(M217:M225)</f>
        <v>0</v>
      </c>
      <c r="N216" s="733">
        <f>SUM(N217:N225)</f>
        <v>0</v>
      </c>
      <c r="O216" s="722">
        <f>SUM(O217:O225)</f>
        <v>1711.6100000000001</v>
      </c>
      <c r="P216" s="611">
        <f t="shared" si="48"/>
        <v>0</v>
      </c>
      <c r="Q216" s="525">
        <f>I216-'[9]8'!I215</f>
        <v>0</v>
      </c>
      <c r="S216" s="189">
        <v>0</v>
      </c>
      <c r="T216" s="189">
        <v>0</v>
      </c>
      <c r="BT216" s="525"/>
      <c r="BU216" s="523"/>
      <c r="BV216" s="523"/>
      <c r="BW216" s="523"/>
      <c r="BX216" s="523">
        <v>0</v>
      </c>
      <c r="BY216" s="523">
        <v>0</v>
      </c>
      <c r="BZ216" s="523"/>
      <c r="CA216" s="523"/>
      <c r="CB216" s="523"/>
      <c r="CC216" s="523"/>
      <c r="CD216" s="523"/>
      <c r="CE216" s="523"/>
      <c r="CF216" s="523"/>
      <c r="CG216" s="523"/>
      <c r="CH216" s="523"/>
      <c r="CI216" s="523">
        <f t="shared" si="49"/>
        <v>0</v>
      </c>
    </row>
    <row r="217" spans="1:87" ht="15" x14ac:dyDescent="0.2">
      <c r="A217" s="680" t="s">
        <v>1667</v>
      </c>
      <c r="B217" s="569">
        <v>83463</v>
      </c>
      <c r="C217" s="569" t="s">
        <v>1324</v>
      </c>
      <c r="D217" s="569" t="s">
        <v>1668</v>
      </c>
      <c r="E217" s="681" t="s">
        <v>102</v>
      </c>
      <c r="F217" s="644">
        <v>12.73</v>
      </c>
      <c r="G217" s="682">
        <v>211.62</v>
      </c>
      <c r="H217" s="681">
        <v>1</v>
      </c>
      <c r="I217" s="685">
        <f t="shared" si="50"/>
        <v>0</v>
      </c>
      <c r="J217" s="573">
        <f t="shared" si="51"/>
        <v>0</v>
      </c>
      <c r="K217" s="644">
        <f t="shared" si="46"/>
        <v>1</v>
      </c>
      <c r="L217" s="708">
        <f t="shared" ref="L217:O225" si="53">ROUND(H217*$G217,2)</f>
        <v>211.62</v>
      </c>
      <c r="M217" s="708">
        <f t="shared" si="53"/>
        <v>0</v>
      </c>
      <c r="N217" s="708">
        <f t="shared" si="53"/>
        <v>0</v>
      </c>
      <c r="O217" s="718">
        <f t="shared" si="53"/>
        <v>211.62</v>
      </c>
      <c r="P217" s="617">
        <f t="shared" si="48"/>
        <v>0</v>
      </c>
      <c r="Q217" s="525">
        <f>I217-'[9]8'!I216</f>
        <v>0</v>
      </c>
      <c r="S217" s="189">
        <v>0</v>
      </c>
      <c r="T217" s="189">
        <v>0</v>
      </c>
      <c r="BT217" s="525"/>
      <c r="BU217" s="523"/>
      <c r="BV217" s="523"/>
      <c r="BW217" s="523"/>
      <c r="BX217" s="523">
        <v>0</v>
      </c>
      <c r="BY217" s="523">
        <v>0</v>
      </c>
      <c r="BZ217" s="523">
        <v>0</v>
      </c>
      <c r="CA217" s="523">
        <v>0</v>
      </c>
      <c r="CB217" s="523"/>
      <c r="CC217" s="523"/>
      <c r="CD217" s="523"/>
      <c r="CE217" s="523"/>
      <c r="CF217" s="523"/>
      <c r="CG217" s="523"/>
      <c r="CH217" s="523"/>
      <c r="CI217" s="523">
        <f t="shared" si="49"/>
        <v>0</v>
      </c>
    </row>
    <row r="218" spans="1:87" ht="15" x14ac:dyDescent="0.2">
      <c r="A218" s="680" t="s">
        <v>1669</v>
      </c>
      <c r="B218" s="569" t="s">
        <v>1670</v>
      </c>
      <c r="C218" s="569" t="s">
        <v>1324</v>
      </c>
      <c r="D218" s="569" t="s">
        <v>1671</v>
      </c>
      <c r="E218" s="681" t="s">
        <v>102</v>
      </c>
      <c r="F218" s="644">
        <v>8.5299999999999994</v>
      </c>
      <c r="G218" s="682">
        <v>332.47</v>
      </c>
      <c r="H218" s="681">
        <v>1</v>
      </c>
      <c r="I218" s="685">
        <f t="shared" si="50"/>
        <v>0</v>
      </c>
      <c r="J218" s="573">
        <f t="shared" si="51"/>
        <v>0</v>
      </c>
      <c r="K218" s="644">
        <f t="shared" si="46"/>
        <v>1</v>
      </c>
      <c r="L218" s="708">
        <f t="shared" si="53"/>
        <v>332.47</v>
      </c>
      <c r="M218" s="708">
        <f t="shared" si="53"/>
        <v>0</v>
      </c>
      <c r="N218" s="708">
        <f t="shared" si="53"/>
        <v>0</v>
      </c>
      <c r="O218" s="718">
        <f t="shared" si="53"/>
        <v>332.47</v>
      </c>
      <c r="P218" s="617">
        <f t="shared" si="48"/>
        <v>0</v>
      </c>
      <c r="Q218" s="525">
        <f>I218-'[9]8'!I217</f>
        <v>0</v>
      </c>
      <c r="S218" s="189">
        <v>0</v>
      </c>
      <c r="T218" s="189">
        <v>0</v>
      </c>
      <c r="BT218" s="525"/>
      <c r="BU218" s="523"/>
      <c r="BV218" s="523"/>
      <c r="BW218" s="523"/>
      <c r="BX218" s="523">
        <v>0</v>
      </c>
      <c r="BY218" s="523">
        <v>0</v>
      </c>
      <c r="BZ218" s="523">
        <v>0</v>
      </c>
      <c r="CA218" s="523">
        <v>0</v>
      </c>
      <c r="CB218" s="523"/>
      <c r="CC218" s="523"/>
      <c r="CD218" s="523"/>
      <c r="CE218" s="523"/>
      <c r="CF218" s="523"/>
      <c r="CG218" s="523"/>
      <c r="CH218" s="523"/>
      <c r="CI218" s="523">
        <f t="shared" si="49"/>
        <v>0</v>
      </c>
    </row>
    <row r="219" spans="1:87" ht="30" x14ac:dyDescent="0.2">
      <c r="A219" s="680" t="s">
        <v>1672</v>
      </c>
      <c r="B219" s="569" t="s">
        <v>1673</v>
      </c>
      <c r="C219" s="569" t="s">
        <v>1343</v>
      </c>
      <c r="D219" s="569" t="s">
        <v>1674</v>
      </c>
      <c r="E219" s="681" t="s">
        <v>102</v>
      </c>
      <c r="F219" s="644">
        <v>22.59</v>
      </c>
      <c r="G219" s="682">
        <v>65.62</v>
      </c>
      <c r="H219" s="681">
        <v>1</v>
      </c>
      <c r="I219" s="685">
        <f t="shared" si="50"/>
        <v>0</v>
      </c>
      <c r="J219" s="573">
        <f t="shared" si="51"/>
        <v>0</v>
      </c>
      <c r="K219" s="644">
        <f t="shared" si="46"/>
        <v>1</v>
      </c>
      <c r="L219" s="708">
        <f t="shared" si="53"/>
        <v>65.62</v>
      </c>
      <c r="M219" s="708">
        <f t="shared" si="53"/>
        <v>0</v>
      </c>
      <c r="N219" s="708">
        <f t="shared" si="53"/>
        <v>0</v>
      </c>
      <c r="O219" s="718">
        <f t="shared" si="53"/>
        <v>65.62</v>
      </c>
      <c r="P219" s="617">
        <f t="shared" si="48"/>
        <v>0</v>
      </c>
      <c r="Q219" s="525">
        <f>I219-'[9]8'!I218</f>
        <v>0</v>
      </c>
      <c r="S219" s="189">
        <v>0</v>
      </c>
      <c r="T219" s="189">
        <v>0</v>
      </c>
      <c r="BT219" s="525"/>
      <c r="BU219" s="523"/>
      <c r="BV219" s="523"/>
      <c r="BW219" s="523"/>
      <c r="BX219" s="523">
        <v>0</v>
      </c>
      <c r="BY219" s="523">
        <v>0</v>
      </c>
      <c r="BZ219" s="523">
        <v>0</v>
      </c>
      <c r="CA219" s="523">
        <v>0</v>
      </c>
      <c r="CB219" s="523"/>
      <c r="CC219" s="523"/>
      <c r="CD219" s="523"/>
      <c r="CE219" s="523"/>
      <c r="CF219" s="523"/>
      <c r="CG219" s="523"/>
      <c r="CH219" s="523"/>
      <c r="CI219" s="523">
        <f t="shared" si="49"/>
        <v>0</v>
      </c>
    </row>
    <row r="220" spans="1:87" ht="15" x14ac:dyDescent="0.2">
      <c r="A220" s="680" t="s">
        <v>1675</v>
      </c>
      <c r="B220" s="569" t="s">
        <v>1676</v>
      </c>
      <c r="C220" s="569" t="s">
        <v>1324</v>
      </c>
      <c r="D220" s="569" t="s">
        <v>1677</v>
      </c>
      <c r="E220" s="681" t="s">
        <v>102</v>
      </c>
      <c r="F220" s="571"/>
      <c r="G220" s="682">
        <v>11.27</v>
      </c>
      <c r="H220" s="681">
        <v>7</v>
      </c>
      <c r="I220" s="685">
        <f t="shared" si="50"/>
        <v>0</v>
      </c>
      <c r="J220" s="573">
        <f t="shared" si="51"/>
        <v>0</v>
      </c>
      <c r="K220" s="644">
        <f t="shared" si="46"/>
        <v>7</v>
      </c>
      <c r="L220" s="708">
        <f t="shared" si="53"/>
        <v>78.89</v>
      </c>
      <c r="M220" s="708">
        <f t="shared" si="53"/>
        <v>0</v>
      </c>
      <c r="N220" s="708">
        <f t="shared" si="53"/>
        <v>0</v>
      </c>
      <c r="O220" s="718">
        <f t="shared" si="53"/>
        <v>78.89</v>
      </c>
      <c r="P220" s="617">
        <f t="shared" si="48"/>
        <v>0</v>
      </c>
      <c r="Q220" s="525">
        <f>I220-'[9]8'!I219</f>
        <v>0</v>
      </c>
      <c r="S220" s="189">
        <v>0</v>
      </c>
      <c r="T220" s="189">
        <v>0</v>
      </c>
      <c r="BT220" s="525"/>
      <c r="BU220" s="523"/>
      <c r="BV220" s="523"/>
      <c r="BW220" s="523"/>
      <c r="BX220" s="523">
        <v>0</v>
      </c>
      <c r="BY220" s="523">
        <v>0</v>
      </c>
      <c r="BZ220" s="523">
        <v>0</v>
      </c>
      <c r="CA220" s="523">
        <v>0</v>
      </c>
      <c r="CB220" s="523"/>
      <c r="CC220" s="523"/>
      <c r="CD220" s="523"/>
      <c r="CE220" s="523"/>
      <c r="CF220" s="523"/>
      <c r="CG220" s="523"/>
      <c r="CH220" s="523"/>
      <c r="CI220" s="523">
        <f t="shared" si="49"/>
        <v>0</v>
      </c>
    </row>
    <row r="221" spans="1:87" ht="15" x14ac:dyDescent="0.2">
      <c r="A221" s="680" t="s">
        <v>1678</v>
      </c>
      <c r="B221" s="569" t="s">
        <v>1676</v>
      </c>
      <c r="C221" s="569" t="s">
        <v>1324</v>
      </c>
      <c r="D221" s="569" t="s">
        <v>1679</v>
      </c>
      <c r="E221" s="681" t="s">
        <v>102</v>
      </c>
      <c r="F221" s="644">
        <v>4.09</v>
      </c>
      <c r="G221" s="682">
        <v>11.27</v>
      </c>
      <c r="H221" s="681">
        <v>5</v>
      </c>
      <c r="I221" s="685">
        <f t="shared" si="50"/>
        <v>0</v>
      </c>
      <c r="J221" s="573">
        <f t="shared" si="51"/>
        <v>0</v>
      </c>
      <c r="K221" s="644">
        <f t="shared" si="46"/>
        <v>5</v>
      </c>
      <c r="L221" s="708">
        <f t="shared" si="53"/>
        <v>56.35</v>
      </c>
      <c r="M221" s="708">
        <f t="shared" si="53"/>
        <v>0</v>
      </c>
      <c r="N221" s="708">
        <f t="shared" si="53"/>
        <v>0</v>
      </c>
      <c r="O221" s="718">
        <f t="shared" si="53"/>
        <v>56.35</v>
      </c>
      <c r="P221" s="617">
        <f t="shared" si="48"/>
        <v>0</v>
      </c>
      <c r="Q221" s="525">
        <f>I221-'[9]8'!I220</f>
        <v>0</v>
      </c>
      <c r="S221" s="189">
        <v>0</v>
      </c>
      <c r="T221" s="189">
        <v>0</v>
      </c>
      <c r="BT221" s="525"/>
      <c r="BU221" s="523"/>
      <c r="BV221" s="523"/>
      <c r="BW221" s="523"/>
      <c r="BX221" s="523">
        <v>0</v>
      </c>
      <c r="BY221" s="523">
        <v>0</v>
      </c>
      <c r="BZ221" s="523">
        <v>0</v>
      </c>
      <c r="CA221" s="523">
        <v>0</v>
      </c>
      <c r="CB221" s="523"/>
      <c r="CC221" s="523"/>
      <c r="CD221" s="523"/>
      <c r="CE221" s="523"/>
      <c r="CF221" s="523"/>
      <c r="CG221" s="523"/>
      <c r="CH221" s="523"/>
      <c r="CI221" s="523">
        <f t="shared" si="49"/>
        <v>0</v>
      </c>
    </row>
    <row r="222" spans="1:87" ht="15" x14ac:dyDescent="0.2">
      <c r="A222" s="680" t="s">
        <v>1680</v>
      </c>
      <c r="B222" s="569" t="s">
        <v>1676</v>
      </c>
      <c r="C222" s="569" t="s">
        <v>1324</v>
      </c>
      <c r="D222" s="569" t="s">
        <v>1681</v>
      </c>
      <c r="E222" s="681" t="s">
        <v>102</v>
      </c>
      <c r="F222" s="644">
        <v>5.71</v>
      </c>
      <c r="G222" s="682">
        <v>11.27</v>
      </c>
      <c r="H222" s="681">
        <v>8</v>
      </c>
      <c r="I222" s="685">
        <f t="shared" si="50"/>
        <v>0</v>
      </c>
      <c r="J222" s="573">
        <f t="shared" si="51"/>
        <v>0</v>
      </c>
      <c r="K222" s="644">
        <f t="shared" si="46"/>
        <v>8</v>
      </c>
      <c r="L222" s="708">
        <f t="shared" si="53"/>
        <v>90.16</v>
      </c>
      <c r="M222" s="708">
        <f t="shared" si="53"/>
        <v>0</v>
      </c>
      <c r="N222" s="708">
        <f t="shared" si="53"/>
        <v>0</v>
      </c>
      <c r="O222" s="718">
        <f t="shared" si="53"/>
        <v>90.16</v>
      </c>
      <c r="P222" s="617">
        <f t="shared" si="48"/>
        <v>0</v>
      </c>
      <c r="Q222" s="525">
        <f>I222-'[9]8'!I221</f>
        <v>0</v>
      </c>
      <c r="S222" s="189">
        <v>0</v>
      </c>
      <c r="T222" s="189">
        <v>0</v>
      </c>
      <c r="BT222" s="525"/>
      <c r="BU222" s="523"/>
      <c r="BV222" s="523"/>
      <c r="BW222" s="523"/>
      <c r="BX222" s="523">
        <v>0</v>
      </c>
      <c r="BY222" s="523">
        <v>0</v>
      </c>
      <c r="BZ222" s="523">
        <v>0</v>
      </c>
      <c r="CA222" s="523">
        <v>0</v>
      </c>
      <c r="CB222" s="523"/>
      <c r="CC222" s="523"/>
      <c r="CD222" s="523"/>
      <c r="CE222" s="523"/>
      <c r="CF222" s="523"/>
      <c r="CG222" s="523"/>
      <c r="CH222" s="523"/>
      <c r="CI222" s="523">
        <f t="shared" si="49"/>
        <v>0</v>
      </c>
    </row>
    <row r="223" spans="1:87" ht="15" x14ac:dyDescent="0.2">
      <c r="A223" s="680" t="s">
        <v>1682</v>
      </c>
      <c r="B223" s="569" t="s">
        <v>1683</v>
      </c>
      <c r="C223" s="569" t="s">
        <v>1324</v>
      </c>
      <c r="D223" s="569" t="s">
        <v>1684</v>
      </c>
      <c r="E223" s="681" t="s">
        <v>102</v>
      </c>
      <c r="F223" s="644">
        <v>8.99</v>
      </c>
      <c r="G223" s="682">
        <v>97.76</v>
      </c>
      <c r="H223" s="681">
        <v>2</v>
      </c>
      <c r="I223" s="685">
        <f t="shared" si="50"/>
        <v>0</v>
      </c>
      <c r="J223" s="573">
        <f t="shared" si="51"/>
        <v>0</v>
      </c>
      <c r="K223" s="644">
        <f t="shared" si="46"/>
        <v>2</v>
      </c>
      <c r="L223" s="708">
        <f t="shared" si="53"/>
        <v>195.52</v>
      </c>
      <c r="M223" s="708">
        <f t="shared" si="53"/>
        <v>0</v>
      </c>
      <c r="N223" s="708">
        <f t="shared" si="53"/>
        <v>0</v>
      </c>
      <c r="O223" s="718">
        <f t="shared" si="53"/>
        <v>195.52</v>
      </c>
      <c r="P223" s="617">
        <f t="shared" si="48"/>
        <v>0</v>
      </c>
      <c r="Q223" s="525">
        <f>I223-'[9]8'!I222</f>
        <v>0</v>
      </c>
      <c r="S223" s="189">
        <v>0</v>
      </c>
      <c r="T223" s="189">
        <v>0</v>
      </c>
      <c r="BT223" s="525"/>
      <c r="BU223" s="523"/>
      <c r="BV223" s="523"/>
      <c r="BW223" s="523"/>
      <c r="BX223" s="523">
        <v>0</v>
      </c>
      <c r="BY223" s="523">
        <v>0</v>
      </c>
      <c r="BZ223" s="523">
        <v>0</v>
      </c>
      <c r="CA223" s="523">
        <v>0</v>
      </c>
      <c r="CB223" s="523"/>
      <c r="CC223" s="523"/>
      <c r="CD223" s="523"/>
      <c r="CE223" s="523"/>
      <c r="CF223" s="523"/>
      <c r="CG223" s="523"/>
      <c r="CH223" s="523"/>
      <c r="CI223" s="523">
        <f t="shared" si="49"/>
        <v>0</v>
      </c>
    </row>
    <row r="224" spans="1:87" ht="15" x14ac:dyDescent="0.2">
      <c r="A224" s="680" t="s">
        <v>1685</v>
      </c>
      <c r="B224" s="569" t="s">
        <v>1686</v>
      </c>
      <c r="C224" s="569" t="s">
        <v>1324</v>
      </c>
      <c r="D224" s="569" t="s">
        <v>1687</v>
      </c>
      <c r="E224" s="681" t="s">
        <v>102</v>
      </c>
      <c r="F224" s="644">
        <v>23.78</v>
      </c>
      <c r="G224" s="682">
        <v>276.94</v>
      </c>
      <c r="H224" s="681">
        <v>1</v>
      </c>
      <c r="I224" s="685">
        <f t="shared" si="50"/>
        <v>0</v>
      </c>
      <c r="J224" s="573">
        <f t="shared" si="51"/>
        <v>0</v>
      </c>
      <c r="K224" s="644">
        <f t="shared" si="46"/>
        <v>1</v>
      </c>
      <c r="L224" s="708">
        <f t="shared" si="53"/>
        <v>276.94</v>
      </c>
      <c r="M224" s="708">
        <f t="shared" si="53"/>
        <v>0</v>
      </c>
      <c r="N224" s="708">
        <f t="shared" si="53"/>
        <v>0</v>
      </c>
      <c r="O224" s="718">
        <f t="shared" si="53"/>
        <v>276.94</v>
      </c>
      <c r="P224" s="617">
        <f t="shared" si="48"/>
        <v>0</v>
      </c>
      <c r="Q224" s="525">
        <f>I224-'[9]8'!I223</f>
        <v>0</v>
      </c>
      <c r="S224" s="189">
        <v>0</v>
      </c>
      <c r="T224" s="189">
        <v>0</v>
      </c>
      <c r="BT224" s="525"/>
      <c r="BU224" s="523"/>
      <c r="BV224" s="523"/>
      <c r="BW224" s="523"/>
      <c r="BX224" s="523">
        <v>0</v>
      </c>
      <c r="BY224" s="523">
        <v>0</v>
      </c>
      <c r="BZ224" s="523">
        <v>0</v>
      </c>
      <c r="CA224" s="523">
        <v>0</v>
      </c>
      <c r="CB224" s="523"/>
      <c r="CC224" s="523"/>
      <c r="CD224" s="523"/>
      <c r="CE224" s="523"/>
      <c r="CF224" s="523"/>
      <c r="CG224" s="523"/>
      <c r="CH224" s="523"/>
      <c r="CI224" s="523">
        <f t="shared" si="49"/>
        <v>0</v>
      </c>
    </row>
    <row r="225" spans="1:87" s="755" customFormat="1" ht="15" x14ac:dyDescent="0.2">
      <c r="A225" s="680" t="s">
        <v>1688</v>
      </c>
      <c r="B225" s="569" t="s">
        <v>2007</v>
      </c>
      <c r="C225" s="569" t="s">
        <v>1339</v>
      </c>
      <c r="D225" s="569" t="s">
        <v>1689</v>
      </c>
      <c r="E225" s="681" t="s">
        <v>102</v>
      </c>
      <c r="F225" s="644">
        <v>72.209999999999994</v>
      </c>
      <c r="G225" s="682">
        <v>101.01</v>
      </c>
      <c r="H225" s="681">
        <v>4</v>
      </c>
      <c r="I225" s="685">
        <f t="shared" si="50"/>
        <v>0</v>
      </c>
      <c r="J225" s="573">
        <f t="shared" si="51"/>
        <v>0</v>
      </c>
      <c r="K225" s="644">
        <f t="shared" si="46"/>
        <v>4</v>
      </c>
      <c r="L225" s="708">
        <f t="shared" si="53"/>
        <v>404.04</v>
      </c>
      <c r="M225" s="708">
        <f t="shared" si="53"/>
        <v>0</v>
      </c>
      <c r="N225" s="708">
        <f t="shared" si="53"/>
        <v>0</v>
      </c>
      <c r="O225" s="718">
        <f t="shared" si="53"/>
        <v>404.04</v>
      </c>
      <c r="P225" s="617">
        <f t="shared" si="48"/>
        <v>0</v>
      </c>
      <c r="Q225" s="525">
        <f>I225-'[9]8'!I224</f>
        <v>0</v>
      </c>
      <c r="S225" s="191">
        <v>0</v>
      </c>
      <c r="T225" s="191">
        <v>0</v>
      </c>
      <c r="BT225" s="525"/>
      <c r="BU225" s="523"/>
      <c r="BV225" s="523"/>
      <c r="BW225" s="523"/>
      <c r="BX225" s="523">
        <v>0</v>
      </c>
      <c r="BY225" s="523">
        <v>0</v>
      </c>
      <c r="BZ225" s="523">
        <v>0</v>
      </c>
      <c r="CA225" s="523">
        <v>0</v>
      </c>
      <c r="CB225" s="523"/>
      <c r="CC225" s="523"/>
      <c r="CD225" s="523"/>
      <c r="CE225" s="523"/>
      <c r="CF225" s="523"/>
      <c r="CG225" s="523"/>
      <c r="CH225" s="523"/>
      <c r="CI225" s="523">
        <f t="shared" si="49"/>
        <v>0</v>
      </c>
    </row>
    <row r="226" spans="1:87" s="110" customFormat="1" ht="15.75" x14ac:dyDescent="0.2">
      <c r="A226" s="605" t="s">
        <v>631</v>
      </c>
      <c r="B226" s="586"/>
      <c r="C226" s="586"/>
      <c r="D226" s="586" t="s">
        <v>1690</v>
      </c>
      <c r="E226" s="683"/>
      <c r="F226" s="683">
        <f>SUM(F227:F247)</f>
        <v>274.84000000000003</v>
      </c>
      <c r="G226" s="687"/>
      <c r="H226" s="683"/>
      <c r="I226" s="748">
        <f t="shared" si="50"/>
        <v>0</v>
      </c>
      <c r="J226" s="750">
        <f t="shared" si="51"/>
        <v>46</v>
      </c>
      <c r="K226" s="748">
        <f t="shared" si="46"/>
        <v>-46</v>
      </c>
      <c r="L226" s="733">
        <f>SUM(L227:L247)</f>
        <v>3741.5200000000004</v>
      </c>
      <c r="M226" s="733">
        <f>SUM(M227:M247)</f>
        <v>0</v>
      </c>
      <c r="N226" s="733">
        <f>SUM(N227:N247)</f>
        <v>311.62</v>
      </c>
      <c r="O226" s="722">
        <f>SUM(O227:O247)</f>
        <v>3429.9</v>
      </c>
      <c r="P226" s="611">
        <f t="shared" si="48"/>
        <v>8.3287006350360279E-2</v>
      </c>
      <c r="Q226" s="525">
        <f>I226-'[9]8'!I225</f>
        <v>0</v>
      </c>
      <c r="S226" s="192">
        <v>28</v>
      </c>
      <c r="T226" s="192">
        <v>0</v>
      </c>
      <c r="BT226" s="525"/>
      <c r="BU226" s="523"/>
      <c r="BV226" s="523"/>
      <c r="BW226" s="523"/>
      <c r="BX226" s="523">
        <v>46</v>
      </c>
      <c r="BY226" s="523">
        <v>0</v>
      </c>
      <c r="BZ226" s="523"/>
      <c r="CA226" s="523"/>
      <c r="CB226" s="523"/>
      <c r="CC226" s="523"/>
      <c r="CD226" s="523"/>
      <c r="CE226" s="523"/>
      <c r="CF226" s="523"/>
      <c r="CG226" s="523"/>
      <c r="CH226" s="523"/>
      <c r="CI226" s="523">
        <f t="shared" si="49"/>
        <v>46</v>
      </c>
    </row>
    <row r="227" spans="1:87" s="110" customFormat="1" ht="15" x14ac:dyDescent="0.2">
      <c r="A227" s="612" t="s">
        <v>1691</v>
      </c>
      <c r="B227" s="613">
        <v>91854</v>
      </c>
      <c r="C227" s="613" t="s">
        <v>1324</v>
      </c>
      <c r="D227" s="614" t="s">
        <v>1692</v>
      </c>
      <c r="E227" s="615" t="s">
        <v>81</v>
      </c>
      <c r="F227" s="644">
        <v>6.88</v>
      </c>
      <c r="G227" s="616">
        <v>6.16</v>
      </c>
      <c r="H227" s="615">
        <v>28</v>
      </c>
      <c r="I227" s="685">
        <f t="shared" si="50"/>
        <v>0</v>
      </c>
      <c r="J227" s="573">
        <f t="shared" si="51"/>
        <v>28</v>
      </c>
      <c r="K227" s="644">
        <f t="shared" si="46"/>
        <v>0</v>
      </c>
      <c r="L227" s="708">
        <f t="shared" ref="L227:O247" si="54">ROUND(H227*$G227,2)</f>
        <v>172.48</v>
      </c>
      <c r="M227" s="708">
        <f t="shared" si="54"/>
        <v>0</v>
      </c>
      <c r="N227" s="708">
        <f t="shared" si="54"/>
        <v>172.48</v>
      </c>
      <c r="O227" s="718">
        <f t="shared" si="54"/>
        <v>0</v>
      </c>
      <c r="P227" s="617">
        <f t="shared" si="48"/>
        <v>1</v>
      </c>
      <c r="Q227" s="525">
        <f>I227-'[9]8'!I226</f>
        <v>0</v>
      </c>
      <c r="S227" s="192">
        <v>18</v>
      </c>
      <c r="T227" s="192">
        <v>0</v>
      </c>
      <c r="BT227" s="525"/>
      <c r="BU227" s="523"/>
      <c r="BV227" s="523"/>
      <c r="BW227" s="523"/>
      <c r="BX227" s="523">
        <v>28</v>
      </c>
      <c r="BY227" s="523">
        <v>0</v>
      </c>
      <c r="BZ227" s="523">
        <v>0</v>
      </c>
      <c r="CA227" s="523">
        <v>0</v>
      </c>
      <c r="CB227" s="523"/>
      <c r="CC227" s="523"/>
      <c r="CD227" s="523"/>
      <c r="CE227" s="523"/>
      <c r="CF227" s="523"/>
      <c r="CG227" s="523"/>
      <c r="CH227" s="523"/>
      <c r="CI227" s="523">
        <f t="shared" si="49"/>
        <v>28</v>
      </c>
    </row>
    <row r="228" spans="1:87" ht="15" x14ac:dyDescent="0.2">
      <c r="A228" s="612" t="s">
        <v>1693</v>
      </c>
      <c r="B228" s="613">
        <v>91856</v>
      </c>
      <c r="C228" s="613" t="s">
        <v>1324</v>
      </c>
      <c r="D228" s="614" t="s">
        <v>1694</v>
      </c>
      <c r="E228" s="615" t="s">
        <v>81</v>
      </c>
      <c r="F228" s="644">
        <v>9.86</v>
      </c>
      <c r="G228" s="616">
        <v>7.73</v>
      </c>
      <c r="H228" s="615">
        <v>18</v>
      </c>
      <c r="I228" s="685">
        <f t="shared" si="50"/>
        <v>0</v>
      </c>
      <c r="J228" s="573">
        <f t="shared" si="51"/>
        <v>18</v>
      </c>
      <c r="K228" s="644">
        <f t="shared" si="46"/>
        <v>0</v>
      </c>
      <c r="L228" s="708">
        <f t="shared" si="54"/>
        <v>139.13999999999999</v>
      </c>
      <c r="M228" s="708">
        <f t="shared" si="54"/>
        <v>0</v>
      </c>
      <c r="N228" s="708">
        <f t="shared" si="54"/>
        <v>139.13999999999999</v>
      </c>
      <c r="O228" s="718">
        <f t="shared" si="54"/>
        <v>0</v>
      </c>
      <c r="P228" s="617">
        <f t="shared" si="48"/>
        <v>1</v>
      </c>
      <c r="Q228" s="525">
        <f>I228-'[9]8'!I227</f>
        <v>0</v>
      </c>
      <c r="S228" s="189">
        <v>0</v>
      </c>
      <c r="T228" s="189">
        <v>0</v>
      </c>
      <c r="BT228" s="525"/>
      <c r="BU228" s="523"/>
      <c r="BV228" s="523"/>
      <c r="BW228" s="523"/>
      <c r="BX228" s="523">
        <v>18</v>
      </c>
      <c r="BY228" s="523">
        <v>0</v>
      </c>
      <c r="BZ228" s="523">
        <v>0</v>
      </c>
      <c r="CA228" s="523">
        <v>0</v>
      </c>
      <c r="CB228" s="523"/>
      <c r="CC228" s="523"/>
      <c r="CD228" s="523"/>
      <c r="CE228" s="523"/>
      <c r="CF228" s="523"/>
      <c r="CG228" s="523"/>
      <c r="CH228" s="523"/>
      <c r="CI228" s="523">
        <f t="shared" si="49"/>
        <v>18</v>
      </c>
    </row>
    <row r="229" spans="1:87" ht="15" x14ac:dyDescent="0.2">
      <c r="A229" s="680" t="s">
        <v>1695</v>
      </c>
      <c r="B229" s="569">
        <v>91873</v>
      </c>
      <c r="C229" s="569" t="s">
        <v>1324</v>
      </c>
      <c r="D229" s="569" t="s">
        <v>1696</v>
      </c>
      <c r="E229" s="681" t="s">
        <v>81</v>
      </c>
      <c r="F229" s="644">
        <v>10.4</v>
      </c>
      <c r="G229" s="682">
        <v>12.57</v>
      </c>
      <c r="H229" s="681">
        <v>18</v>
      </c>
      <c r="I229" s="685">
        <f t="shared" si="50"/>
        <v>0</v>
      </c>
      <c r="J229" s="573">
        <f t="shared" si="51"/>
        <v>0</v>
      </c>
      <c r="K229" s="644">
        <f t="shared" si="46"/>
        <v>18</v>
      </c>
      <c r="L229" s="708">
        <f t="shared" si="54"/>
        <v>226.26</v>
      </c>
      <c r="M229" s="708">
        <f t="shared" si="54"/>
        <v>0</v>
      </c>
      <c r="N229" s="708">
        <f t="shared" si="54"/>
        <v>0</v>
      </c>
      <c r="O229" s="718">
        <f t="shared" si="54"/>
        <v>226.26</v>
      </c>
      <c r="P229" s="617">
        <f t="shared" si="48"/>
        <v>0</v>
      </c>
      <c r="Q229" s="525">
        <f>I229-'[9]8'!I228</f>
        <v>0</v>
      </c>
      <c r="S229" s="189">
        <v>0</v>
      </c>
      <c r="T229" s="189">
        <v>0</v>
      </c>
      <c r="BT229" s="525"/>
      <c r="BU229" s="523"/>
      <c r="BV229" s="523"/>
      <c r="BW229" s="523"/>
      <c r="BX229" s="523">
        <v>0</v>
      </c>
      <c r="BY229" s="523">
        <v>0</v>
      </c>
      <c r="BZ229" s="523">
        <v>0</v>
      </c>
      <c r="CA229" s="523">
        <v>0</v>
      </c>
      <c r="CB229" s="523"/>
      <c r="CC229" s="523"/>
      <c r="CD229" s="523"/>
      <c r="CE229" s="523"/>
      <c r="CF229" s="523"/>
      <c r="CG229" s="523"/>
      <c r="CH229" s="523"/>
      <c r="CI229" s="523">
        <f t="shared" si="49"/>
        <v>0</v>
      </c>
    </row>
    <row r="230" spans="1:87" ht="15" x14ac:dyDescent="0.2">
      <c r="A230" s="680" t="s">
        <v>1697</v>
      </c>
      <c r="B230" s="569">
        <v>72308</v>
      </c>
      <c r="C230" s="569" t="s">
        <v>1324</v>
      </c>
      <c r="D230" s="569" t="s">
        <v>1698</v>
      </c>
      <c r="E230" s="681" t="s">
        <v>81</v>
      </c>
      <c r="F230" s="644">
        <v>9.6</v>
      </c>
      <c r="G230" s="682">
        <v>14.39</v>
      </c>
      <c r="H230" s="681">
        <v>82</v>
      </c>
      <c r="I230" s="685">
        <f t="shared" si="50"/>
        <v>0</v>
      </c>
      <c r="J230" s="573">
        <f t="shared" si="51"/>
        <v>0</v>
      </c>
      <c r="K230" s="644">
        <f t="shared" si="46"/>
        <v>82</v>
      </c>
      <c r="L230" s="708">
        <f t="shared" si="54"/>
        <v>1179.98</v>
      </c>
      <c r="M230" s="708">
        <f t="shared" si="54"/>
        <v>0</v>
      </c>
      <c r="N230" s="708">
        <f t="shared" si="54"/>
        <v>0</v>
      </c>
      <c r="O230" s="718">
        <f t="shared" si="54"/>
        <v>1179.98</v>
      </c>
      <c r="P230" s="617">
        <f t="shared" si="48"/>
        <v>0</v>
      </c>
      <c r="Q230" s="525">
        <f>I230-'[9]8'!I229</f>
        <v>0</v>
      </c>
      <c r="S230" s="189">
        <v>0</v>
      </c>
      <c r="T230" s="189">
        <v>0</v>
      </c>
      <c r="BT230" s="525"/>
      <c r="BU230" s="523"/>
      <c r="BV230" s="523"/>
      <c r="BW230" s="523"/>
      <c r="BX230" s="523">
        <v>0</v>
      </c>
      <c r="BY230" s="523">
        <v>0</v>
      </c>
      <c r="BZ230" s="523">
        <v>0</v>
      </c>
      <c r="CA230" s="523">
        <v>0</v>
      </c>
      <c r="CB230" s="523"/>
      <c r="CC230" s="523"/>
      <c r="CD230" s="523"/>
      <c r="CE230" s="523"/>
      <c r="CF230" s="523"/>
      <c r="CG230" s="523"/>
      <c r="CH230" s="523"/>
      <c r="CI230" s="523">
        <f t="shared" si="49"/>
        <v>0</v>
      </c>
    </row>
    <row r="231" spans="1:87" ht="15" x14ac:dyDescent="0.2">
      <c r="A231" s="680" t="s">
        <v>1699</v>
      </c>
      <c r="B231" s="569">
        <v>72309</v>
      </c>
      <c r="C231" s="569" t="s">
        <v>1324</v>
      </c>
      <c r="D231" s="569" t="s">
        <v>1700</v>
      </c>
      <c r="E231" s="681" t="s">
        <v>81</v>
      </c>
      <c r="F231" s="644">
        <v>7.38</v>
      </c>
      <c r="G231" s="682">
        <v>22.92</v>
      </c>
      <c r="H231" s="681">
        <v>13</v>
      </c>
      <c r="I231" s="685">
        <f t="shared" si="50"/>
        <v>0</v>
      </c>
      <c r="J231" s="573">
        <f t="shared" si="51"/>
        <v>0</v>
      </c>
      <c r="K231" s="644">
        <f t="shared" si="46"/>
        <v>13</v>
      </c>
      <c r="L231" s="708">
        <f t="shared" si="54"/>
        <v>297.95999999999998</v>
      </c>
      <c r="M231" s="708">
        <f t="shared" si="54"/>
        <v>0</v>
      </c>
      <c r="N231" s="708">
        <f t="shared" si="54"/>
        <v>0</v>
      </c>
      <c r="O231" s="718">
        <f t="shared" si="54"/>
        <v>297.95999999999998</v>
      </c>
      <c r="P231" s="617">
        <f t="shared" si="48"/>
        <v>0</v>
      </c>
      <c r="Q231" s="525">
        <f>I231-'[9]8'!I230</f>
        <v>0</v>
      </c>
      <c r="S231" s="189">
        <v>0</v>
      </c>
      <c r="T231" s="189">
        <v>0</v>
      </c>
      <c r="BT231" s="525"/>
      <c r="BU231" s="523"/>
      <c r="BV231" s="523"/>
      <c r="BW231" s="523"/>
      <c r="BX231" s="523">
        <v>0</v>
      </c>
      <c r="BY231" s="523">
        <v>0</v>
      </c>
      <c r="BZ231" s="523">
        <v>0</v>
      </c>
      <c r="CA231" s="523">
        <v>0</v>
      </c>
      <c r="CB231" s="523"/>
      <c r="CC231" s="523"/>
      <c r="CD231" s="523"/>
      <c r="CE231" s="523"/>
      <c r="CF231" s="523"/>
      <c r="CG231" s="523"/>
      <c r="CH231" s="523"/>
      <c r="CI231" s="523">
        <f t="shared" si="49"/>
        <v>0</v>
      </c>
    </row>
    <row r="232" spans="1:87" ht="15" x14ac:dyDescent="0.2">
      <c r="A232" s="680" t="s">
        <v>2011</v>
      </c>
      <c r="B232" s="569" t="s">
        <v>2012</v>
      </c>
      <c r="C232" s="569" t="s">
        <v>1324</v>
      </c>
      <c r="D232" s="569" t="s">
        <v>1702</v>
      </c>
      <c r="E232" s="681" t="s">
        <v>81</v>
      </c>
      <c r="F232" s="571"/>
      <c r="G232" s="682">
        <v>24.94</v>
      </c>
      <c r="H232" s="681">
        <v>30</v>
      </c>
      <c r="I232" s="685">
        <f t="shared" si="50"/>
        <v>0</v>
      </c>
      <c r="J232" s="573">
        <f t="shared" si="51"/>
        <v>0</v>
      </c>
      <c r="K232" s="644">
        <f t="shared" si="46"/>
        <v>30</v>
      </c>
      <c r="L232" s="708">
        <f t="shared" si="54"/>
        <v>748.2</v>
      </c>
      <c r="M232" s="708">
        <f t="shared" si="54"/>
        <v>0</v>
      </c>
      <c r="N232" s="708">
        <f t="shared" si="54"/>
        <v>0</v>
      </c>
      <c r="O232" s="718">
        <f t="shared" si="54"/>
        <v>748.2</v>
      </c>
      <c r="P232" s="617">
        <f t="shared" si="48"/>
        <v>0</v>
      </c>
      <c r="Q232" s="525">
        <f>I232-'[9]8'!I231</f>
        <v>0</v>
      </c>
      <c r="S232" s="189">
        <v>0</v>
      </c>
      <c r="T232" s="189">
        <v>0</v>
      </c>
      <c r="BT232" s="525"/>
      <c r="BU232" s="523"/>
      <c r="BV232" s="523"/>
      <c r="BW232" s="523"/>
      <c r="BX232" s="523">
        <v>0</v>
      </c>
      <c r="BY232" s="523">
        <v>0</v>
      </c>
      <c r="BZ232" s="523">
        <v>0</v>
      </c>
      <c r="CA232" s="523">
        <v>0</v>
      </c>
      <c r="CB232" s="523"/>
      <c r="CC232" s="523"/>
      <c r="CD232" s="523"/>
      <c r="CE232" s="523"/>
      <c r="CF232" s="523"/>
      <c r="CG232" s="523"/>
      <c r="CH232" s="523"/>
      <c r="CI232" s="523">
        <f t="shared" si="49"/>
        <v>0</v>
      </c>
    </row>
    <row r="233" spans="1:87" ht="30" x14ac:dyDescent="0.2">
      <c r="A233" s="680" t="s">
        <v>1703</v>
      </c>
      <c r="B233" s="569" t="s">
        <v>1704</v>
      </c>
      <c r="C233" s="569" t="s">
        <v>1324</v>
      </c>
      <c r="D233" s="569" t="s">
        <v>1705</v>
      </c>
      <c r="E233" s="681" t="s">
        <v>102</v>
      </c>
      <c r="F233" s="644">
        <v>3.06</v>
      </c>
      <c r="G233" s="682">
        <v>23.12</v>
      </c>
      <c r="H233" s="681">
        <v>5</v>
      </c>
      <c r="I233" s="685">
        <f t="shared" si="50"/>
        <v>0</v>
      </c>
      <c r="J233" s="573">
        <f t="shared" si="51"/>
        <v>0</v>
      </c>
      <c r="K233" s="644">
        <f t="shared" si="46"/>
        <v>5</v>
      </c>
      <c r="L233" s="708">
        <f t="shared" si="54"/>
        <v>115.6</v>
      </c>
      <c r="M233" s="708">
        <f t="shared" si="54"/>
        <v>0</v>
      </c>
      <c r="N233" s="708">
        <f t="shared" si="54"/>
        <v>0</v>
      </c>
      <c r="O233" s="718">
        <f t="shared" si="54"/>
        <v>115.6</v>
      </c>
      <c r="P233" s="617">
        <f t="shared" si="48"/>
        <v>0</v>
      </c>
      <c r="Q233" s="525">
        <f>I233-'[9]8'!I232</f>
        <v>0</v>
      </c>
      <c r="S233" s="189">
        <v>0</v>
      </c>
      <c r="T233" s="189">
        <v>0</v>
      </c>
      <c r="BT233" s="525"/>
      <c r="BU233" s="523"/>
      <c r="BV233" s="523"/>
      <c r="BW233" s="523"/>
      <c r="BX233" s="523">
        <v>0</v>
      </c>
      <c r="BY233" s="523">
        <v>0</v>
      </c>
      <c r="BZ233" s="523">
        <v>0</v>
      </c>
      <c r="CA233" s="523">
        <v>0</v>
      </c>
      <c r="CB233" s="523"/>
      <c r="CC233" s="523"/>
      <c r="CD233" s="523"/>
      <c r="CE233" s="523"/>
      <c r="CF233" s="523"/>
      <c r="CG233" s="523"/>
      <c r="CH233" s="523"/>
      <c r="CI233" s="523">
        <f t="shared" si="49"/>
        <v>0</v>
      </c>
    </row>
    <row r="234" spans="1:87" ht="30" x14ac:dyDescent="0.2">
      <c r="A234" s="680" t="s">
        <v>1706</v>
      </c>
      <c r="B234" s="569" t="s">
        <v>1707</v>
      </c>
      <c r="C234" s="569" t="s">
        <v>1324</v>
      </c>
      <c r="D234" s="569" t="s">
        <v>1708</v>
      </c>
      <c r="E234" s="681" t="s">
        <v>102</v>
      </c>
      <c r="F234" s="644">
        <v>4.18</v>
      </c>
      <c r="G234" s="682">
        <v>25.34</v>
      </c>
      <c r="H234" s="681">
        <v>5</v>
      </c>
      <c r="I234" s="685">
        <f t="shared" si="50"/>
        <v>0</v>
      </c>
      <c r="J234" s="573">
        <f t="shared" si="51"/>
        <v>0</v>
      </c>
      <c r="K234" s="644">
        <f t="shared" si="46"/>
        <v>5</v>
      </c>
      <c r="L234" s="708">
        <f t="shared" si="54"/>
        <v>126.7</v>
      </c>
      <c r="M234" s="708">
        <f t="shared" si="54"/>
        <v>0</v>
      </c>
      <c r="N234" s="708">
        <f t="shared" si="54"/>
        <v>0</v>
      </c>
      <c r="O234" s="718">
        <f t="shared" si="54"/>
        <v>126.7</v>
      </c>
      <c r="P234" s="617">
        <f t="shared" si="48"/>
        <v>0</v>
      </c>
      <c r="Q234" s="525">
        <f>I234-'[9]8'!I233</f>
        <v>0</v>
      </c>
      <c r="S234" s="189">
        <v>0</v>
      </c>
      <c r="T234" s="189">
        <v>0</v>
      </c>
      <c r="BT234" s="525"/>
      <c r="BU234" s="523"/>
      <c r="BV234" s="523"/>
      <c r="BW234" s="523"/>
      <c r="BX234" s="523">
        <v>0</v>
      </c>
      <c r="BY234" s="523">
        <v>0</v>
      </c>
      <c r="BZ234" s="523">
        <v>0</v>
      </c>
      <c r="CA234" s="523">
        <v>0</v>
      </c>
      <c r="CB234" s="523"/>
      <c r="CC234" s="523"/>
      <c r="CD234" s="523"/>
      <c r="CE234" s="523"/>
      <c r="CF234" s="523"/>
      <c r="CG234" s="523"/>
      <c r="CH234" s="523"/>
      <c r="CI234" s="523">
        <f t="shared" si="49"/>
        <v>0</v>
      </c>
    </row>
    <row r="235" spans="1:87" ht="30" x14ac:dyDescent="0.2">
      <c r="A235" s="680" t="s">
        <v>1709</v>
      </c>
      <c r="B235" s="569" t="s">
        <v>1704</v>
      </c>
      <c r="C235" s="569" t="s">
        <v>1324</v>
      </c>
      <c r="D235" s="569" t="s">
        <v>1710</v>
      </c>
      <c r="E235" s="681" t="s">
        <v>102</v>
      </c>
      <c r="F235" s="644">
        <v>6.7</v>
      </c>
      <c r="G235" s="682">
        <v>25.88</v>
      </c>
      <c r="H235" s="681">
        <v>4</v>
      </c>
      <c r="I235" s="685">
        <f t="shared" si="50"/>
        <v>0</v>
      </c>
      <c r="J235" s="573">
        <f t="shared" si="51"/>
        <v>0</v>
      </c>
      <c r="K235" s="644">
        <f t="shared" si="46"/>
        <v>4</v>
      </c>
      <c r="L235" s="708">
        <f t="shared" si="54"/>
        <v>103.52</v>
      </c>
      <c r="M235" s="708">
        <f t="shared" si="54"/>
        <v>0</v>
      </c>
      <c r="N235" s="708">
        <f t="shared" si="54"/>
        <v>0</v>
      </c>
      <c r="O235" s="718">
        <f t="shared" si="54"/>
        <v>103.52</v>
      </c>
      <c r="P235" s="617">
        <f t="shared" si="48"/>
        <v>0</v>
      </c>
      <c r="Q235" s="525">
        <f>I235-'[9]8'!I234</f>
        <v>0</v>
      </c>
      <c r="S235" s="189">
        <v>0</v>
      </c>
      <c r="T235" s="189">
        <v>0</v>
      </c>
      <c r="BT235" s="525"/>
      <c r="BU235" s="523"/>
      <c r="BV235" s="523"/>
      <c r="BW235" s="523"/>
      <c r="BX235" s="523">
        <v>0</v>
      </c>
      <c r="BY235" s="523">
        <v>0</v>
      </c>
      <c r="BZ235" s="523">
        <v>0</v>
      </c>
      <c r="CA235" s="523">
        <v>0</v>
      </c>
      <c r="CB235" s="523"/>
      <c r="CC235" s="523"/>
      <c r="CD235" s="523"/>
      <c r="CE235" s="523"/>
      <c r="CF235" s="523"/>
      <c r="CG235" s="523"/>
      <c r="CH235" s="523"/>
      <c r="CI235" s="523">
        <f t="shared" si="49"/>
        <v>0</v>
      </c>
    </row>
    <row r="236" spans="1:87" ht="30" x14ac:dyDescent="0.2">
      <c r="A236" s="680" t="s">
        <v>1711</v>
      </c>
      <c r="B236" s="569" t="s">
        <v>1712</v>
      </c>
      <c r="C236" s="569" t="s">
        <v>1324</v>
      </c>
      <c r="D236" s="569" t="s">
        <v>1713</v>
      </c>
      <c r="E236" s="681" t="s">
        <v>102</v>
      </c>
      <c r="F236" s="644">
        <v>12.3</v>
      </c>
      <c r="G236" s="682">
        <v>26.28</v>
      </c>
      <c r="H236" s="681">
        <v>1</v>
      </c>
      <c r="I236" s="685">
        <f t="shared" si="50"/>
        <v>0</v>
      </c>
      <c r="J236" s="573">
        <f t="shared" si="51"/>
        <v>0</v>
      </c>
      <c r="K236" s="644">
        <f t="shared" si="46"/>
        <v>1</v>
      </c>
      <c r="L236" s="708">
        <f t="shared" si="54"/>
        <v>26.28</v>
      </c>
      <c r="M236" s="708">
        <f t="shared" si="54"/>
        <v>0</v>
      </c>
      <c r="N236" s="708">
        <f t="shared" si="54"/>
        <v>0</v>
      </c>
      <c r="O236" s="718">
        <f t="shared" si="54"/>
        <v>26.28</v>
      </c>
      <c r="P236" s="617">
        <f t="shared" si="48"/>
        <v>0</v>
      </c>
      <c r="Q236" s="525">
        <f>I236-'[9]8'!I235</f>
        <v>0</v>
      </c>
      <c r="S236" s="189">
        <v>0</v>
      </c>
      <c r="T236" s="189">
        <v>0</v>
      </c>
      <c r="BT236" s="525"/>
      <c r="BU236" s="523"/>
      <c r="BV236" s="523"/>
      <c r="BW236" s="523"/>
      <c r="BX236" s="523">
        <v>0</v>
      </c>
      <c r="BY236" s="523">
        <v>0</v>
      </c>
      <c r="BZ236" s="523">
        <v>0</v>
      </c>
      <c r="CA236" s="523">
        <v>0</v>
      </c>
      <c r="CB236" s="523"/>
      <c r="CC236" s="523"/>
      <c r="CD236" s="523"/>
      <c r="CE236" s="523"/>
      <c r="CF236" s="523"/>
      <c r="CG236" s="523"/>
      <c r="CH236" s="523"/>
      <c r="CI236" s="523">
        <f t="shared" si="49"/>
        <v>0</v>
      </c>
    </row>
    <row r="237" spans="1:87" ht="30" x14ac:dyDescent="0.2">
      <c r="A237" s="680" t="s">
        <v>1714</v>
      </c>
      <c r="B237" s="569" t="s">
        <v>1715</v>
      </c>
      <c r="C237" s="569" t="s">
        <v>1343</v>
      </c>
      <c r="D237" s="569" t="s">
        <v>1716</v>
      </c>
      <c r="E237" s="681" t="s">
        <v>102</v>
      </c>
      <c r="F237" s="644">
        <v>33.06</v>
      </c>
      <c r="G237" s="682">
        <v>1.94</v>
      </c>
      <c r="H237" s="681">
        <v>50</v>
      </c>
      <c r="I237" s="685">
        <f t="shared" si="50"/>
        <v>0</v>
      </c>
      <c r="J237" s="573">
        <f t="shared" si="51"/>
        <v>0</v>
      </c>
      <c r="K237" s="644">
        <f t="shared" si="46"/>
        <v>50</v>
      </c>
      <c r="L237" s="708">
        <f t="shared" si="54"/>
        <v>97</v>
      </c>
      <c r="M237" s="708">
        <f t="shared" si="54"/>
        <v>0</v>
      </c>
      <c r="N237" s="708">
        <f t="shared" si="54"/>
        <v>0</v>
      </c>
      <c r="O237" s="718">
        <f t="shared" si="54"/>
        <v>97</v>
      </c>
      <c r="P237" s="617">
        <f t="shared" si="48"/>
        <v>0</v>
      </c>
      <c r="Q237" s="525">
        <f>I237-'[9]8'!I236</f>
        <v>0</v>
      </c>
      <c r="S237" s="189">
        <v>0</v>
      </c>
      <c r="T237" s="189">
        <v>0</v>
      </c>
      <c r="BT237" s="525"/>
      <c r="BU237" s="523"/>
      <c r="BV237" s="523"/>
      <c r="BW237" s="523"/>
      <c r="BX237" s="523">
        <v>0</v>
      </c>
      <c r="BY237" s="523">
        <v>0</v>
      </c>
      <c r="BZ237" s="523">
        <v>0</v>
      </c>
      <c r="CA237" s="523">
        <v>0</v>
      </c>
      <c r="CB237" s="523"/>
      <c r="CC237" s="523"/>
      <c r="CD237" s="523"/>
      <c r="CE237" s="523"/>
      <c r="CF237" s="523"/>
      <c r="CG237" s="523"/>
      <c r="CH237" s="523"/>
      <c r="CI237" s="523">
        <f t="shared" si="49"/>
        <v>0</v>
      </c>
    </row>
    <row r="238" spans="1:87" ht="30" x14ac:dyDescent="0.2">
      <c r="A238" s="680" t="s">
        <v>1717</v>
      </c>
      <c r="B238" s="569" t="s">
        <v>1715</v>
      </c>
      <c r="C238" s="569" t="s">
        <v>1343</v>
      </c>
      <c r="D238" s="569" t="s">
        <v>1718</v>
      </c>
      <c r="E238" s="681" t="s">
        <v>102</v>
      </c>
      <c r="F238" s="644">
        <v>4.53</v>
      </c>
      <c r="G238" s="682">
        <v>2.19</v>
      </c>
      <c r="H238" s="681">
        <v>4</v>
      </c>
      <c r="I238" s="685">
        <f t="shared" si="50"/>
        <v>0</v>
      </c>
      <c r="J238" s="573">
        <f t="shared" si="51"/>
        <v>0</v>
      </c>
      <c r="K238" s="644">
        <f t="shared" si="46"/>
        <v>4</v>
      </c>
      <c r="L238" s="708">
        <f t="shared" si="54"/>
        <v>8.76</v>
      </c>
      <c r="M238" s="708">
        <f t="shared" si="54"/>
        <v>0</v>
      </c>
      <c r="N238" s="708">
        <f t="shared" si="54"/>
        <v>0</v>
      </c>
      <c r="O238" s="718">
        <f t="shared" si="54"/>
        <v>8.76</v>
      </c>
      <c r="P238" s="617">
        <f t="shared" si="48"/>
        <v>0</v>
      </c>
      <c r="Q238" s="525">
        <f>I238-'[9]8'!I237</f>
        <v>0</v>
      </c>
      <c r="S238" s="189">
        <v>0</v>
      </c>
      <c r="T238" s="189">
        <v>0</v>
      </c>
      <c r="BT238" s="525"/>
      <c r="BU238" s="523"/>
      <c r="BV238" s="523"/>
      <c r="BW238" s="523"/>
      <c r="BX238" s="523">
        <v>0</v>
      </c>
      <c r="BY238" s="523">
        <v>0</v>
      </c>
      <c r="BZ238" s="523">
        <v>0</v>
      </c>
      <c r="CA238" s="523">
        <v>0</v>
      </c>
      <c r="CB238" s="523"/>
      <c r="CC238" s="523"/>
      <c r="CD238" s="523"/>
      <c r="CE238" s="523"/>
      <c r="CF238" s="523"/>
      <c r="CG238" s="523"/>
      <c r="CH238" s="523"/>
      <c r="CI238" s="523">
        <f t="shared" si="49"/>
        <v>0</v>
      </c>
    </row>
    <row r="239" spans="1:87" ht="30" x14ac:dyDescent="0.2">
      <c r="A239" s="680" t="s">
        <v>1719</v>
      </c>
      <c r="B239" s="569" t="s">
        <v>1715</v>
      </c>
      <c r="C239" s="569" t="s">
        <v>1343</v>
      </c>
      <c r="D239" s="569" t="s">
        <v>1720</v>
      </c>
      <c r="E239" s="681" t="s">
        <v>102</v>
      </c>
      <c r="F239" s="571"/>
      <c r="G239" s="682">
        <v>2.4</v>
      </c>
      <c r="H239" s="681">
        <v>4</v>
      </c>
      <c r="I239" s="685">
        <f t="shared" si="50"/>
        <v>0</v>
      </c>
      <c r="J239" s="573">
        <f t="shared" si="51"/>
        <v>0</v>
      </c>
      <c r="K239" s="751">
        <f t="shared" si="46"/>
        <v>4</v>
      </c>
      <c r="L239" s="708">
        <f t="shared" si="54"/>
        <v>9.6</v>
      </c>
      <c r="M239" s="708">
        <f t="shared" si="54"/>
        <v>0</v>
      </c>
      <c r="N239" s="708">
        <f t="shared" si="54"/>
        <v>0</v>
      </c>
      <c r="O239" s="718">
        <f t="shared" si="54"/>
        <v>9.6</v>
      </c>
      <c r="P239" s="617">
        <f t="shared" si="48"/>
        <v>0</v>
      </c>
      <c r="Q239" s="525">
        <f>I239-'[9]8'!I238</f>
        <v>0</v>
      </c>
      <c r="S239" s="189">
        <v>0</v>
      </c>
      <c r="T239" s="189">
        <v>0</v>
      </c>
      <c r="BT239" s="525"/>
      <c r="BU239" s="523"/>
      <c r="BV239" s="523"/>
      <c r="BW239" s="523"/>
      <c r="BX239" s="523">
        <v>0</v>
      </c>
      <c r="BY239" s="523">
        <v>0</v>
      </c>
      <c r="BZ239" s="523">
        <v>0</v>
      </c>
      <c r="CA239" s="523">
        <v>0</v>
      </c>
      <c r="CB239" s="523"/>
      <c r="CC239" s="523"/>
      <c r="CD239" s="523"/>
      <c r="CE239" s="523"/>
      <c r="CF239" s="523"/>
      <c r="CG239" s="523"/>
      <c r="CH239" s="523"/>
      <c r="CI239" s="523">
        <f t="shared" si="49"/>
        <v>0</v>
      </c>
    </row>
    <row r="240" spans="1:87" ht="15" x14ac:dyDescent="0.2">
      <c r="A240" s="680" t="s">
        <v>1721</v>
      </c>
      <c r="B240" s="569">
        <v>73542</v>
      </c>
      <c r="C240" s="569" t="s">
        <v>1324</v>
      </c>
      <c r="D240" s="569" t="s">
        <v>1722</v>
      </c>
      <c r="E240" s="681" t="s">
        <v>1723</v>
      </c>
      <c r="F240" s="644">
        <v>5.76</v>
      </c>
      <c r="G240" s="682">
        <v>0.73</v>
      </c>
      <c r="H240" s="681">
        <v>15</v>
      </c>
      <c r="I240" s="685">
        <f t="shared" si="50"/>
        <v>0</v>
      </c>
      <c r="J240" s="573">
        <f t="shared" si="51"/>
        <v>0</v>
      </c>
      <c r="K240" s="644">
        <f t="shared" si="46"/>
        <v>15</v>
      </c>
      <c r="L240" s="708">
        <f t="shared" si="54"/>
        <v>10.95</v>
      </c>
      <c r="M240" s="708">
        <f t="shared" si="54"/>
        <v>0</v>
      </c>
      <c r="N240" s="708">
        <f t="shared" si="54"/>
        <v>0</v>
      </c>
      <c r="O240" s="718">
        <f t="shared" si="54"/>
        <v>10.95</v>
      </c>
      <c r="P240" s="617">
        <f t="shared" si="48"/>
        <v>0</v>
      </c>
      <c r="Q240" s="525">
        <f>I240-'[9]8'!I239</f>
        <v>0</v>
      </c>
      <c r="S240" s="189">
        <v>0</v>
      </c>
      <c r="T240" s="189">
        <v>0</v>
      </c>
      <c r="BT240" s="525"/>
      <c r="BU240" s="523"/>
      <c r="BV240" s="523"/>
      <c r="BW240" s="523"/>
      <c r="BX240" s="523">
        <v>0</v>
      </c>
      <c r="BY240" s="523">
        <v>0</v>
      </c>
      <c r="BZ240" s="523">
        <v>0</v>
      </c>
      <c r="CA240" s="523">
        <v>0</v>
      </c>
      <c r="CB240" s="523"/>
      <c r="CC240" s="523"/>
      <c r="CD240" s="523"/>
      <c r="CE240" s="523"/>
      <c r="CF240" s="523"/>
      <c r="CG240" s="523"/>
      <c r="CH240" s="523"/>
      <c r="CI240" s="523">
        <f t="shared" si="49"/>
        <v>0</v>
      </c>
    </row>
    <row r="241" spans="1:87" ht="15" x14ac:dyDescent="0.2">
      <c r="A241" s="680" t="s">
        <v>1724</v>
      </c>
      <c r="B241" s="569">
        <v>84158</v>
      </c>
      <c r="C241" s="569" t="s">
        <v>1324</v>
      </c>
      <c r="D241" s="569" t="s">
        <v>1725</v>
      </c>
      <c r="E241" s="681" t="s">
        <v>1723</v>
      </c>
      <c r="F241" s="644">
        <v>8.1999999999999993</v>
      </c>
      <c r="G241" s="682">
        <v>1.42</v>
      </c>
      <c r="H241" s="681">
        <v>2</v>
      </c>
      <c r="I241" s="685">
        <f t="shared" si="50"/>
        <v>0</v>
      </c>
      <c r="J241" s="573">
        <f t="shared" si="51"/>
        <v>0</v>
      </c>
      <c r="K241" s="644">
        <f t="shared" si="46"/>
        <v>2</v>
      </c>
      <c r="L241" s="708">
        <f t="shared" si="54"/>
        <v>2.84</v>
      </c>
      <c r="M241" s="708">
        <f t="shared" si="54"/>
        <v>0</v>
      </c>
      <c r="N241" s="708">
        <f t="shared" si="54"/>
        <v>0</v>
      </c>
      <c r="O241" s="718">
        <f t="shared" si="54"/>
        <v>2.84</v>
      </c>
      <c r="P241" s="617">
        <f t="shared" si="48"/>
        <v>0</v>
      </c>
      <c r="Q241" s="525">
        <f>I241-'[9]8'!I240</f>
        <v>0</v>
      </c>
      <c r="S241" s="189">
        <v>0</v>
      </c>
      <c r="T241" s="189">
        <v>0</v>
      </c>
      <c r="BT241" s="525"/>
      <c r="BU241" s="523"/>
      <c r="BV241" s="523"/>
      <c r="BW241" s="523"/>
      <c r="BX241" s="523">
        <v>0</v>
      </c>
      <c r="BY241" s="523">
        <v>0</v>
      </c>
      <c r="BZ241" s="523">
        <v>0</v>
      </c>
      <c r="CA241" s="523">
        <v>0</v>
      </c>
      <c r="CB241" s="523"/>
      <c r="CC241" s="523"/>
      <c r="CD241" s="523"/>
      <c r="CE241" s="523"/>
      <c r="CF241" s="523"/>
      <c r="CG241" s="523"/>
      <c r="CH241" s="523"/>
      <c r="CI241" s="523">
        <f t="shared" si="49"/>
        <v>0</v>
      </c>
    </row>
    <row r="242" spans="1:87" ht="15" x14ac:dyDescent="0.2">
      <c r="A242" s="680" t="s">
        <v>1726</v>
      </c>
      <c r="B242" s="569">
        <v>84159</v>
      </c>
      <c r="C242" s="569" t="s">
        <v>1324</v>
      </c>
      <c r="D242" s="569" t="s">
        <v>1727</v>
      </c>
      <c r="E242" s="681" t="s">
        <v>1723</v>
      </c>
      <c r="F242" s="644">
        <v>13.75</v>
      </c>
      <c r="G242" s="682">
        <v>3.16</v>
      </c>
      <c r="H242" s="681">
        <v>1</v>
      </c>
      <c r="I242" s="685">
        <f t="shared" si="50"/>
        <v>0</v>
      </c>
      <c r="J242" s="573">
        <f t="shared" si="51"/>
        <v>0</v>
      </c>
      <c r="K242" s="644">
        <f t="shared" si="46"/>
        <v>1</v>
      </c>
      <c r="L242" s="708">
        <f t="shared" si="54"/>
        <v>3.16</v>
      </c>
      <c r="M242" s="708">
        <f t="shared" si="54"/>
        <v>0</v>
      </c>
      <c r="N242" s="708">
        <f t="shared" si="54"/>
        <v>0</v>
      </c>
      <c r="O242" s="718">
        <f t="shared" si="54"/>
        <v>3.16</v>
      </c>
      <c r="P242" s="617">
        <f t="shared" si="48"/>
        <v>0</v>
      </c>
      <c r="Q242" s="525">
        <f>I242-'[9]8'!I241</f>
        <v>0</v>
      </c>
      <c r="S242" s="189">
        <v>0</v>
      </c>
      <c r="T242" s="189">
        <v>0</v>
      </c>
      <c r="BT242" s="525"/>
      <c r="BU242" s="523"/>
      <c r="BV242" s="523"/>
      <c r="BW242" s="523"/>
      <c r="BX242" s="523">
        <v>0</v>
      </c>
      <c r="BY242" s="523">
        <v>0</v>
      </c>
      <c r="BZ242" s="523">
        <v>0</v>
      </c>
      <c r="CA242" s="523">
        <v>0</v>
      </c>
      <c r="CB242" s="523"/>
      <c r="CC242" s="523"/>
      <c r="CD242" s="523"/>
      <c r="CE242" s="523"/>
      <c r="CF242" s="523"/>
      <c r="CG242" s="523"/>
      <c r="CH242" s="523"/>
      <c r="CI242" s="523">
        <f t="shared" si="49"/>
        <v>0</v>
      </c>
    </row>
    <row r="243" spans="1:87" ht="15" x14ac:dyDescent="0.2">
      <c r="A243" s="680" t="s">
        <v>1728</v>
      </c>
      <c r="B243" s="569">
        <v>92695</v>
      </c>
      <c r="C243" s="569" t="s">
        <v>1324</v>
      </c>
      <c r="D243" s="569" t="s">
        <v>1729</v>
      </c>
      <c r="E243" s="681" t="s">
        <v>102</v>
      </c>
      <c r="F243" s="644">
        <v>27.72</v>
      </c>
      <c r="G243" s="682">
        <v>14</v>
      </c>
      <c r="H243" s="681">
        <v>15</v>
      </c>
      <c r="I243" s="685">
        <f t="shared" si="50"/>
        <v>0</v>
      </c>
      <c r="J243" s="573">
        <f t="shared" si="51"/>
        <v>0</v>
      </c>
      <c r="K243" s="644">
        <f t="shared" si="46"/>
        <v>15</v>
      </c>
      <c r="L243" s="708">
        <f t="shared" si="54"/>
        <v>210</v>
      </c>
      <c r="M243" s="708">
        <f t="shared" si="54"/>
        <v>0</v>
      </c>
      <c r="N243" s="708">
        <f t="shared" si="54"/>
        <v>0</v>
      </c>
      <c r="O243" s="718">
        <f t="shared" si="54"/>
        <v>210</v>
      </c>
      <c r="P243" s="617">
        <f t="shared" si="48"/>
        <v>0</v>
      </c>
      <c r="Q243" s="525">
        <f>I243-'[9]8'!I242</f>
        <v>0</v>
      </c>
      <c r="S243" s="189">
        <v>0</v>
      </c>
      <c r="T243" s="189">
        <v>0</v>
      </c>
      <c r="BT243" s="525"/>
      <c r="BU243" s="523"/>
      <c r="BV243" s="523"/>
      <c r="BW243" s="523"/>
      <c r="BX243" s="523">
        <v>0</v>
      </c>
      <c r="BY243" s="523">
        <v>0</v>
      </c>
      <c r="BZ243" s="523">
        <v>0</v>
      </c>
      <c r="CA243" s="523">
        <v>0</v>
      </c>
      <c r="CB243" s="523"/>
      <c r="CC243" s="523"/>
      <c r="CD243" s="523"/>
      <c r="CE243" s="523"/>
      <c r="CF243" s="523"/>
      <c r="CG243" s="523"/>
      <c r="CH243" s="523"/>
      <c r="CI243" s="523">
        <f t="shared" si="49"/>
        <v>0</v>
      </c>
    </row>
    <row r="244" spans="1:87" ht="15" x14ac:dyDescent="0.2">
      <c r="A244" s="680" t="s">
        <v>1730</v>
      </c>
      <c r="B244" s="569">
        <v>92697</v>
      </c>
      <c r="C244" s="569" t="s">
        <v>1324</v>
      </c>
      <c r="D244" s="569" t="s">
        <v>1731</v>
      </c>
      <c r="E244" s="681" t="s">
        <v>102</v>
      </c>
      <c r="F244" s="644">
        <v>71.03</v>
      </c>
      <c r="G244" s="682">
        <v>22.66</v>
      </c>
      <c r="H244" s="681">
        <v>2</v>
      </c>
      <c r="I244" s="685">
        <f t="shared" si="50"/>
        <v>0</v>
      </c>
      <c r="J244" s="573">
        <f t="shared" si="51"/>
        <v>0</v>
      </c>
      <c r="K244" s="644">
        <f t="shared" si="46"/>
        <v>2</v>
      </c>
      <c r="L244" s="708">
        <f t="shared" si="54"/>
        <v>45.32</v>
      </c>
      <c r="M244" s="708">
        <f t="shared" si="54"/>
        <v>0</v>
      </c>
      <c r="N244" s="708">
        <f t="shared" si="54"/>
        <v>0</v>
      </c>
      <c r="O244" s="718">
        <f t="shared" si="54"/>
        <v>45.32</v>
      </c>
      <c r="P244" s="617">
        <f t="shared" si="48"/>
        <v>0</v>
      </c>
      <c r="Q244" s="525">
        <f>I244-'[9]8'!I243</f>
        <v>0</v>
      </c>
      <c r="S244" s="189">
        <v>0</v>
      </c>
      <c r="T244" s="189">
        <v>0</v>
      </c>
      <c r="BT244" s="525"/>
      <c r="BU244" s="523"/>
      <c r="BV244" s="523"/>
      <c r="BW244" s="523"/>
      <c r="BX244" s="523">
        <v>0</v>
      </c>
      <c r="BY244" s="523">
        <v>0</v>
      </c>
      <c r="BZ244" s="523">
        <v>0</v>
      </c>
      <c r="CA244" s="523">
        <v>0</v>
      </c>
      <c r="CB244" s="523"/>
      <c r="CC244" s="523"/>
      <c r="CD244" s="523"/>
      <c r="CE244" s="523"/>
      <c r="CF244" s="523"/>
      <c r="CG244" s="523"/>
      <c r="CH244" s="523"/>
      <c r="CI244" s="523">
        <f t="shared" si="49"/>
        <v>0</v>
      </c>
    </row>
    <row r="245" spans="1:87" ht="15" x14ac:dyDescent="0.2">
      <c r="A245" s="680" t="s">
        <v>1732</v>
      </c>
      <c r="B245" s="569">
        <v>92662</v>
      </c>
      <c r="C245" s="569" t="s">
        <v>1324</v>
      </c>
      <c r="D245" s="569" t="s">
        <v>1733</v>
      </c>
      <c r="E245" s="681" t="s">
        <v>102</v>
      </c>
      <c r="F245" s="644">
        <v>12.99</v>
      </c>
      <c r="G245" s="682">
        <v>22.38</v>
      </c>
      <c r="H245" s="681">
        <v>1</v>
      </c>
      <c r="I245" s="685">
        <f t="shared" si="50"/>
        <v>0</v>
      </c>
      <c r="J245" s="573">
        <f t="shared" si="51"/>
        <v>0</v>
      </c>
      <c r="K245" s="644">
        <f t="shared" si="46"/>
        <v>1</v>
      </c>
      <c r="L245" s="708">
        <f t="shared" si="54"/>
        <v>22.38</v>
      </c>
      <c r="M245" s="708">
        <f t="shared" si="54"/>
        <v>0</v>
      </c>
      <c r="N245" s="708">
        <f t="shared" si="54"/>
        <v>0</v>
      </c>
      <c r="O245" s="718">
        <f t="shared" si="54"/>
        <v>22.38</v>
      </c>
      <c r="P245" s="617">
        <f t="shared" si="48"/>
        <v>0</v>
      </c>
      <c r="Q245" s="525">
        <f>I245-'[9]8'!I244</f>
        <v>0</v>
      </c>
      <c r="S245" s="189">
        <v>0</v>
      </c>
      <c r="T245" s="189">
        <v>0</v>
      </c>
      <c r="BT245" s="525"/>
      <c r="BU245" s="523"/>
      <c r="BV245" s="523"/>
      <c r="BW245" s="523"/>
      <c r="BX245" s="523">
        <v>0</v>
      </c>
      <c r="BY245" s="523">
        <v>0</v>
      </c>
      <c r="BZ245" s="523">
        <v>0</v>
      </c>
      <c r="CA245" s="523">
        <v>0</v>
      </c>
      <c r="CB245" s="523"/>
      <c r="CC245" s="523"/>
      <c r="CD245" s="523"/>
      <c r="CE245" s="523"/>
      <c r="CF245" s="523"/>
      <c r="CG245" s="523"/>
      <c r="CH245" s="523"/>
      <c r="CI245" s="523">
        <f t="shared" si="49"/>
        <v>0</v>
      </c>
    </row>
    <row r="246" spans="1:87" ht="15" x14ac:dyDescent="0.2">
      <c r="A246" s="680" t="s">
        <v>1734</v>
      </c>
      <c r="B246" s="569">
        <v>92868</v>
      </c>
      <c r="C246" s="569" t="s">
        <v>1324</v>
      </c>
      <c r="D246" s="569" t="s">
        <v>1735</v>
      </c>
      <c r="E246" s="681" t="s">
        <v>102</v>
      </c>
      <c r="F246" s="644">
        <v>14.25</v>
      </c>
      <c r="G246" s="682">
        <v>9.5299999999999994</v>
      </c>
      <c r="H246" s="681">
        <v>16</v>
      </c>
      <c r="I246" s="685">
        <f t="shared" si="50"/>
        <v>0</v>
      </c>
      <c r="J246" s="573">
        <f t="shared" si="51"/>
        <v>0</v>
      </c>
      <c r="K246" s="644">
        <f t="shared" si="46"/>
        <v>16</v>
      </c>
      <c r="L246" s="708">
        <f t="shared" si="54"/>
        <v>152.47999999999999</v>
      </c>
      <c r="M246" s="708">
        <f t="shared" si="54"/>
        <v>0</v>
      </c>
      <c r="N246" s="708">
        <f t="shared" si="54"/>
        <v>0</v>
      </c>
      <c r="O246" s="718">
        <f t="shared" si="54"/>
        <v>152.47999999999999</v>
      </c>
      <c r="P246" s="617">
        <f t="shared" si="48"/>
        <v>0</v>
      </c>
      <c r="Q246" s="525">
        <f>I246-'[9]8'!I245</f>
        <v>0</v>
      </c>
      <c r="S246" s="189">
        <v>0</v>
      </c>
      <c r="T246" s="189">
        <v>0</v>
      </c>
      <c r="BT246" s="525"/>
      <c r="BU246" s="523"/>
      <c r="BV246" s="523"/>
      <c r="BW246" s="523"/>
      <c r="BX246" s="523">
        <v>0</v>
      </c>
      <c r="BY246" s="523">
        <v>0</v>
      </c>
      <c r="BZ246" s="523">
        <v>0</v>
      </c>
      <c r="CA246" s="523">
        <v>0</v>
      </c>
      <c r="CB246" s="523"/>
      <c r="CC246" s="523"/>
      <c r="CD246" s="523"/>
      <c r="CE246" s="523"/>
      <c r="CF246" s="523"/>
      <c r="CG246" s="523"/>
      <c r="CH246" s="523"/>
      <c r="CI246" s="523">
        <f t="shared" si="49"/>
        <v>0</v>
      </c>
    </row>
    <row r="247" spans="1:87" s="754" customFormat="1" ht="15" x14ac:dyDescent="0.2">
      <c r="A247" s="680" t="s">
        <v>1736</v>
      </c>
      <c r="B247" s="569">
        <v>92865</v>
      </c>
      <c r="C247" s="569" t="s">
        <v>1324</v>
      </c>
      <c r="D247" s="569" t="s">
        <v>1737</v>
      </c>
      <c r="E247" s="681" t="s">
        <v>102</v>
      </c>
      <c r="F247" s="644">
        <v>13.19</v>
      </c>
      <c r="G247" s="682">
        <v>6.13</v>
      </c>
      <c r="H247" s="681">
        <v>7</v>
      </c>
      <c r="I247" s="685">
        <f t="shared" si="50"/>
        <v>0</v>
      </c>
      <c r="J247" s="573">
        <f t="shared" si="51"/>
        <v>0</v>
      </c>
      <c r="K247" s="644">
        <f t="shared" si="46"/>
        <v>7</v>
      </c>
      <c r="L247" s="708">
        <f t="shared" si="54"/>
        <v>42.91</v>
      </c>
      <c r="M247" s="708">
        <f t="shared" si="54"/>
        <v>0</v>
      </c>
      <c r="N247" s="708">
        <f t="shared" si="54"/>
        <v>0</v>
      </c>
      <c r="O247" s="718">
        <f t="shared" si="54"/>
        <v>42.91</v>
      </c>
      <c r="P247" s="617">
        <f t="shared" si="48"/>
        <v>0</v>
      </c>
      <c r="Q247" s="525">
        <f>I247-'[9]8'!I246</f>
        <v>0</v>
      </c>
      <c r="S247" s="190">
        <v>0</v>
      </c>
      <c r="T247" s="190">
        <v>0</v>
      </c>
      <c r="BT247" s="525"/>
      <c r="BU247" s="523"/>
      <c r="BV247" s="523"/>
      <c r="BW247" s="523"/>
      <c r="BX247" s="523">
        <v>0</v>
      </c>
      <c r="BY247" s="523">
        <v>0</v>
      </c>
      <c r="BZ247" s="523">
        <v>0</v>
      </c>
      <c r="CA247" s="523">
        <v>0</v>
      </c>
      <c r="CB247" s="523"/>
      <c r="CC247" s="523"/>
      <c r="CD247" s="523"/>
      <c r="CE247" s="523"/>
      <c r="CF247" s="523"/>
      <c r="CG247" s="523"/>
      <c r="CH247" s="523"/>
      <c r="CI247" s="523">
        <f t="shared" si="49"/>
        <v>0</v>
      </c>
    </row>
    <row r="248" spans="1:87" ht="15.75" x14ac:dyDescent="0.2">
      <c r="A248" s="605" t="s">
        <v>634</v>
      </c>
      <c r="B248" s="586"/>
      <c r="C248" s="586"/>
      <c r="D248" s="586" t="s">
        <v>1738</v>
      </c>
      <c r="E248" s="683"/>
      <c r="F248" s="683"/>
      <c r="G248" s="683"/>
      <c r="H248" s="683"/>
      <c r="I248" s="748"/>
      <c r="J248" s="748"/>
      <c r="K248" s="748"/>
      <c r="L248" s="733">
        <f>SUM(L249:L252)</f>
        <v>4345.79</v>
      </c>
      <c r="M248" s="733">
        <f>SUM(M249:M252)</f>
        <v>0</v>
      </c>
      <c r="N248" s="733">
        <f>SUM(N249:N252)</f>
        <v>0</v>
      </c>
      <c r="O248" s="722">
        <f>SUM(O249:O252)</f>
        <v>4345.79</v>
      </c>
      <c r="P248" s="611">
        <f t="shared" si="48"/>
        <v>0</v>
      </c>
      <c r="Q248" s="525">
        <f>I248-'[9]8'!I247</f>
        <v>0</v>
      </c>
      <c r="S248" s="189">
        <v>0</v>
      </c>
      <c r="T248" s="189">
        <v>0</v>
      </c>
      <c r="BT248" s="525"/>
      <c r="BU248" s="523"/>
      <c r="BV248" s="523"/>
      <c r="BW248" s="523"/>
      <c r="BX248" s="523">
        <v>0</v>
      </c>
      <c r="BY248" s="523">
        <v>0</v>
      </c>
      <c r="BZ248" s="523"/>
      <c r="CA248" s="523"/>
      <c r="CB248" s="523"/>
      <c r="CC248" s="523"/>
      <c r="CD248" s="523"/>
      <c r="CE248" s="523"/>
      <c r="CF248" s="523"/>
      <c r="CG248" s="523"/>
      <c r="CH248" s="523"/>
      <c r="CI248" s="523">
        <f t="shared" si="49"/>
        <v>0</v>
      </c>
    </row>
    <row r="249" spans="1:87" ht="15" x14ac:dyDescent="0.2">
      <c r="A249" s="680" t="s">
        <v>1739</v>
      </c>
      <c r="B249" s="569">
        <v>91926</v>
      </c>
      <c r="C249" s="569" t="s">
        <v>1324</v>
      </c>
      <c r="D249" s="569" t="s">
        <v>1740</v>
      </c>
      <c r="E249" s="681" t="s">
        <v>81</v>
      </c>
      <c r="F249" s="644">
        <v>26.32</v>
      </c>
      <c r="G249" s="682">
        <v>2.31</v>
      </c>
      <c r="H249" s="681">
        <v>190</v>
      </c>
      <c r="I249" s="685">
        <f t="shared" si="50"/>
        <v>0</v>
      </c>
      <c r="J249" s="573">
        <f t="shared" si="51"/>
        <v>0</v>
      </c>
      <c r="K249" s="644">
        <f t="shared" si="46"/>
        <v>190</v>
      </c>
      <c r="L249" s="708">
        <f t="shared" ref="L249:O252" si="55">ROUND(H249*$G249,2)</f>
        <v>438.9</v>
      </c>
      <c r="M249" s="708">
        <f t="shared" si="55"/>
        <v>0</v>
      </c>
      <c r="N249" s="708">
        <f t="shared" si="55"/>
        <v>0</v>
      </c>
      <c r="O249" s="718">
        <f t="shared" si="55"/>
        <v>438.9</v>
      </c>
      <c r="P249" s="617">
        <f t="shared" si="48"/>
        <v>0</v>
      </c>
      <c r="Q249" s="525">
        <f>I249-'[9]8'!I248</f>
        <v>0</v>
      </c>
      <c r="S249" s="189">
        <v>0</v>
      </c>
      <c r="T249" s="189">
        <v>0</v>
      </c>
      <c r="BT249" s="525"/>
      <c r="BU249" s="523"/>
      <c r="BV249" s="523"/>
      <c r="BW249" s="523"/>
      <c r="BX249" s="523">
        <v>0</v>
      </c>
      <c r="BY249" s="523">
        <v>0</v>
      </c>
      <c r="BZ249" s="523">
        <v>0</v>
      </c>
      <c r="CA249" s="523">
        <v>0</v>
      </c>
      <c r="CB249" s="523"/>
      <c r="CC249" s="523"/>
      <c r="CD249" s="523"/>
      <c r="CE249" s="523"/>
      <c r="CF249" s="523"/>
      <c r="CG249" s="523"/>
      <c r="CH249" s="523"/>
      <c r="CI249" s="523">
        <f t="shared" si="49"/>
        <v>0</v>
      </c>
    </row>
    <row r="250" spans="1:87" ht="15" x14ac:dyDescent="0.2">
      <c r="A250" s="680" t="s">
        <v>1741</v>
      </c>
      <c r="B250" s="569">
        <v>91928</v>
      </c>
      <c r="C250" s="569" t="s">
        <v>1324</v>
      </c>
      <c r="D250" s="569" t="s">
        <v>1742</v>
      </c>
      <c r="E250" s="681" t="s">
        <v>81</v>
      </c>
      <c r="F250" s="644">
        <v>61.2</v>
      </c>
      <c r="G250" s="682">
        <v>3.64</v>
      </c>
      <c r="H250" s="681">
        <v>820</v>
      </c>
      <c r="I250" s="685">
        <f t="shared" si="50"/>
        <v>0</v>
      </c>
      <c r="J250" s="573">
        <f t="shared" si="51"/>
        <v>0</v>
      </c>
      <c r="K250" s="644">
        <f t="shared" si="46"/>
        <v>820</v>
      </c>
      <c r="L250" s="708">
        <f t="shared" si="55"/>
        <v>2984.8</v>
      </c>
      <c r="M250" s="708">
        <f t="shared" si="55"/>
        <v>0</v>
      </c>
      <c r="N250" s="708">
        <f t="shared" si="55"/>
        <v>0</v>
      </c>
      <c r="O250" s="718">
        <f t="shared" si="55"/>
        <v>2984.8</v>
      </c>
      <c r="P250" s="617">
        <f t="shared" si="48"/>
        <v>0</v>
      </c>
      <c r="Q250" s="525">
        <f>I250-'[9]8'!I249</f>
        <v>0</v>
      </c>
      <c r="S250" s="189">
        <v>0</v>
      </c>
      <c r="T250" s="189">
        <v>0</v>
      </c>
      <c r="BT250" s="525"/>
      <c r="BU250" s="523"/>
      <c r="BV250" s="523"/>
      <c r="BW250" s="523"/>
      <c r="BX250" s="523">
        <v>0</v>
      </c>
      <c r="BY250" s="523">
        <v>0</v>
      </c>
      <c r="BZ250" s="523">
        <v>0</v>
      </c>
      <c r="CA250" s="523">
        <v>0</v>
      </c>
      <c r="CB250" s="523"/>
      <c r="CC250" s="523"/>
      <c r="CD250" s="523"/>
      <c r="CE250" s="523"/>
      <c r="CF250" s="523"/>
      <c r="CG250" s="523"/>
      <c r="CH250" s="523"/>
      <c r="CI250" s="523">
        <f t="shared" si="49"/>
        <v>0</v>
      </c>
    </row>
    <row r="251" spans="1:87" ht="15" x14ac:dyDescent="0.2">
      <c r="A251" s="680" t="s">
        <v>1743</v>
      </c>
      <c r="B251" s="569">
        <v>91934</v>
      </c>
      <c r="C251" s="569" t="s">
        <v>1324</v>
      </c>
      <c r="D251" s="569" t="s">
        <v>1744</v>
      </c>
      <c r="E251" s="681" t="s">
        <v>81</v>
      </c>
      <c r="F251" s="571"/>
      <c r="G251" s="682">
        <v>12.3</v>
      </c>
      <c r="H251" s="681">
        <v>14</v>
      </c>
      <c r="I251" s="685">
        <f t="shared" si="50"/>
        <v>0</v>
      </c>
      <c r="J251" s="573">
        <f t="shared" si="51"/>
        <v>0</v>
      </c>
      <c r="K251" s="644">
        <f t="shared" si="46"/>
        <v>14</v>
      </c>
      <c r="L251" s="708">
        <f t="shared" si="55"/>
        <v>172.2</v>
      </c>
      <c r="M251" s="708">
        <f t="shared" si="55"/>
        <v>0</v>
      </c>
      <c r="N251" s="708">
        <f t="shared" si="55"/>
        <v>0</v>
      </c>
      <c r="O251" s="718">
        <f t="shared" si="55"/>
        <v>172.2</v>
      </c>
      <c r="P251" s="617">
        <f t="shared" si="48"/>
        <v>0</v>
      </c>
      <c r="Q251" s="525">
        <f>I251-'[9]8'!I250</f>
        <v>0</v>
      </c>
      <c r="S251" s="189">
        <v>0</v>
      </c>
      <c r="T251" s="189">
        <v>0</v>
      </c>
      <c r="BT251" s="525"/>
      <c r="BU251" s="523"/>
      <c r="BV251" s="523"/>
      <c r="BW251" s="523"/>
      <c r="BX251" s="523">
        <v>0</v>
      </c>
      <c r="BY251" s="523">
        <v>0</v>
      </c>
      <c r="BZ251" s="523">
        <v>0</v>
      </c>
      <c r="CA251" s="523">
        <v>0</v>
      </c>
      <c r="CB251" s="523"/>
      <c r="CC251" s="523"/>
      <c r="CD251" s="523"/>
      <c r="CE251" s="523"/>
      <c r="CF251" s="523"/>
      <c r="CG251" s="523"/>
      <c r="CH251" s="523"/>
      <c r="CI251" s="523">
        <f t="shared" si="49"/>
        <v>0</v>
      </c>
    </row>
    <row r="252" spans="1:87" s="754" customFormat="1" ht="15" x14ac:dyDescent="0.2">
      <c r="A252" s="680" t="s">
        <v>1745</v>
      </c>
      <c r="B252" s="569">
        <v>92985</v>
      </c>
      <c r="C252" s="569" t="s">
        <v>1324</v>
      </c>
      <c r="D252" s="569" t="s">
        <v>1746</v>
      </c>
      <c r="E252" s="681" t="s">
        <v>81</v>
      </c>
      <c r="F252" s="644">
        <v>8.39</v>
      </c>
      <c r="G252" s="682">
        <v>18.29</v>
      </c>
      <c r="H252" s="681">
        <v>41</v>
      </c>
      <c r="I252" s="685">
        <f t="shared" si="50"/>
        <v>0</v>
      </c>
      <c r="J252" s="573">
        <f t="shared" si="51"/>
        <v>0</v>
      </c>
      <c r="K252" s="644">
        <f t="shared" si="46"/>
        <v>41</v>
      </c>
      <c r="L252" s="708">
        <f t="shared" si="55"/>
        <v>749.89</v>
      </c>
      <c r="M252" s="708">
        <f t="shared" si="55"/>
        <v>0</v>
      </c>
      <c r="N252" s="708">
        <f t="shared" si="55"/>
        <v>0</v>
      </c>
      <c r="O252" s="718">
        <f t="shared" si="55"/>
        <v>749.89</v>
      </c>
      <c r="P252" s="617">
        <f t="shared" si="48"/>
        <v>0</v>
      </c>
      <c r="Q252" s="525">
        <f>I252-'[9]8'!I251</f>
        <v>0</v>
      </c>
      <c r="S252" s="190">
        <v>0</v>
      </c>
      <c r="T252" s="190">
        <v>0</v>
      </c>
      <c r="BT252" s="525"/>
      <c r="BU252" s="523"/>
      <c r="BV252" s="523"/>
      <c r="BW252" s="523"/>
      <c r="BX252" s="523">
        <v>0</v>
      </c>
      <c r="BY252" s="523">
        <v>0</v>
      </c>
      <c r="BZ252" s="523">
        <v>0</v>
      </c>
      <c r="CA252" s="523">
        <v>0</v>
      </c>
      <c r="CB252" s="523"/>
      <c r="CC252" s="523"/>
      <c r="CD252" s="523"/>
      <c r="CE252" s="523"/>
      <c r="CF252" s="523"/>
      <c r="CG252" s="523"/>
      <c r="CH252" s="523"/>
      <c r="CI252" s="523">
        <f t="shared" si="49"/>
        <v>0</v>
      </c>
    </row>
    <row r="253" spans="1:87" ht="15.75" x14ac:dyDescent="0.2">
      <c r="A253" s="605" t="s">
        <v>640</v>
      </c>
      <c r="B253" s="586"/>
      <c r="C253" s="586"/>
      <c r="D253" s="586" t="s">
        <v>1747</v>
      </c>
      <c r="E253" s="683"/>
      <c r="F253" s="683"/>
      <c r="G253" s="683"/>
      <c r="H253" s="683"/>
      <c r="I253" s="748"/>
      <c r="J253" s="748"/>
      <c r="K253" s="748"/>
      <c r="L253" s="733">
        <f>SUM(L254:L259)</f>
        <v>10299.74</v>
      </c>
      <c r="M253" s="733">
        <f>SUM(M254:M259)</f>
        <v>0</v>
      </c>
      <c r="N253" s="733">
        <f>SUM(N254:N259)</f>
        <v>0</v>
      </c>
      <c r="O253" s="722">
        <f>SUM(O254:O259)</f>
        <v>10299.74</v>
      </c>
      <c r="P253" s="611">
        <f t="shared" si="48"/>
        <v>0</v>
      </c>
      <c r="Q253" s="525">
        <f>I253-'[9]8'!I252</f>
        <v>0</v>
      </c>
      <c r="S253" s="189">
        <v>0</v>
      </c>
      <c r="T253" s="189">
        <v>0</v>
      </c>
      <c r="BT253" s="525"/>
      <c r="BU253" s="523"/>
      <c r="BV253" s="523"/>
      <c r="BW253" s="523"/>
      <c r="BX253" s="523">
        <v>0</v>
      </c>
      <c r="BY253" s="523">
        <v>0</v>
      </c>
      <c r="BZ253" s="523"/>
      <c r="CA253" s="523"/>
      <c r="CB253" s="523"/>
      <c r="CC253" s="523"/>
      <c r="CD253" s="523"/>
      <c r="CE253" s="523"/>
      <c r="CF253" s="523"/>
      <c r="CG253" s="523"/>
      <c r="CH253" s="523"/>
      <c r="CI253" s="523">
        <f t="shared" si="49"/>
        <v>0</v>
      </c>
    </row>
    <row r="254" spans="1:87" ht="15" x14ac:dyDescent="0.2">
      <c r="A254" s="680" t="s">
        <v>1748</v>
      </c>
      <c r="B254" s="569">
        <v>92000</v>
      </c>
      <c r="C254" s="569" t="s">
        <v>1324</v>
      </c>
      <c r="D254" s="569" t="s">
        <v>1749</v>
      </c>
      <c r="E254" s="681" t="s">
        <v>102</v>
      </c>
      <c r="F254" s="644">
        <v>21.53</v>
      </c>
      <c r="G254" s="682">
        <v>20.07</v>
      </c>
      <c r="H254" s="681">
        <v>4</v>
      </c>
      <c r="I254" s="685">
        <f t="shared" si="50"/>
        <v>0</v>
      </c>
      <c r="J254" s="573">
        <f t="shared" si="51"/>
        <v>0</v>
      </c>
      <c r="K254" s="644">
        <f t="shared" si="46"/>
        <v>4</v>
      </c>
      <c r="L254" s="708">
        <f t="shared" ref="L254:O259" si="56">ROUND(H254*$G254,2)</f>
        <v>80.28</v>
      </c>
      <c r="M254" s="708">
        <f t="shared" si="56"/>
        <v>0</v>
      </c>
      <c r="N254" s="708">
        <f t="shared" si="56"/>
        <v>0</v>
      </c>
      <c r="O254" s="718">
        <f t="shared" si="56"/>
        <v>80.28</v>
      </c>
      <c r="P254" s="617">
        <f t="shared" si="48"/>
        <v>0</v>
      </c>
      <c r="Q254" s="525">
        <f>I254-'[9]8'!I253</f>
        <v>0</v>
      </c>
      <c r="S254" s="189">
        <v>0</v>
      </c>
      <c r="T254" s="189">
        <v>0</v>
      </c>
      <c r="BT254" s="525"/>
      <c r="BU254" s="523"/>
      <c r="BV254" s="523"/>
      <c r="BW254" s="523"/>
      <c r="BX254" s="523">
        <v>0</v>
      </c>
      <c r="BY254" s="523">
        <v>0</v>
      </c>
      <c r="BZ254" s="523">
        <v>0</v>
      </c>
      <c r="CA254" s="523">
        <v>0</v>
      </c>
      <c r="CB254" s="523"/>
      <c r="CC254" s="523"/>
      <c r="CD254" s="523"/>
      <c r="CE254" s="523"/>
      <c r="CF254" s="523"/>
      <c r="CG254" s="523"/>
      <c r="CH254" s="523"/>
      <c r="CI254" s="523">
        <f t="shared" si="49"/>
        <v>0</v>
      </c>
    </row>
    <row r="255" spans="1:87" ht="15" x14ac:dyDescent="0.2">
      <c r="A255" s="680" t="s">
        <v>1750</v>
      </c>
      <c r="B255" s="569">
        <v>92001</v>
      </c>
      <c r="C255" s="569" t="s">
        <v>1324</v>
      </c>
      <c r="D255" s="569" t="s">
        <v>1751</v>
      </c>
      <c r="E255" s="681" t="s">
        <v>102</v>
      </c>
      <c r="F255" s="644">
        <v>133.13999999999999</v>
      </c>
      <c r="G255" s="682">
        <v>21.83</v>
      </c>
      <c r="H255" s="681">
        <v>1</v>
      </c>
      <c r="I255" s="685">
        <f t="shared" si="50"/>
        <v>0</v>
      </c>
      <c r="J255" s="573">
        <f t="shared" si="51"/>
        <v>0</v>
      </c>
      <c r="K255" s="644">
        <f t="shared" si="46"/>
        <v>1</v>
      </c>
      <c r="L255" s="708">
        <f t="shared" si="56"/>
        <v>21.83</v>
      </c>
      <c r="M255" s="708">
        <f t="shared" si="56"/>
        <v>0</v>
      </c>
      <c r="N255" s="708">
        <f t="shared" si="56"/>
        <v>0</v>
      </c>
      <c r="O255" s="718">
        <f t="shared" si="56"/>
        <v>21.83</v>
      </c>
      <c r="P255" s="617">
        <f t="shared" si="48"/>
        <v>0</v>
      </c>
      <c r="Q255" s="525">
        <f>I255-'[9]8'!I254</f>
        <v>0</v>
      </c>
      <c r="S255" s="189">
        <v>0</v>
      </c>
      <c r="T255" s="189">
        <v>0</v>
      </c>
      <c r="BT255" s="525"/>
      <c r="BU255" s="523"/>
      <c r="BV255" s="523"/>
      <c r="BW255" s="523"/>
      <c r="BX255" s="523">
        <v>0</v>
      </c>
      <c r="BY255" s="523">
        <v>0</v>
      </c>
      <c r="BZ255" s="523">
        <v>0</v>
      </c>
      <c r="CA255" s="523">
        <v>0</v>
      </c>
      <c r="CB255" s="523"/>
      <c r="CC255" s="523"/>
      <c r="CD255" s="523"/>
      <c r="CE255" s="523"/>
      <c r="CF255" s="523"/>
      <c r="CG255" s="523"/>
      <c r="CH255" s="523"/>
      <c r="CI255" s="523">
        <f t="shared" si="49"/>
        <v>0</v>
      </c>
    </row>
    <row r="256" spans="1:87" ht="15" x14ac:dyDescent="0.2">
      <c r="A256" s="680" t="s">
        <v>1752</v>
      </c>
      <c r="B256" s="569">
        <v>91953</v>
      </c>
      <c r="C256" s="569" t="s">
        <v>1324</v>
      </c>
      <c r="D256" s="569" t="s">
        <v>1753</v>
      </c>
      <c r="E256" s="681" t="s">
        <v>102</v>
      </c>
      <c r="F256" s="571"/>
      <c r="G256" s="682">
        <v>18.98</v>
      </c>
      <c r="H256" s="681">
        <v>7</v>
      </c>
      <c r="I256" s="685">
        <f t="shared" si="50"/>
        <v>0</v>
      </c>
      <c r="J256" s="573">
        <f t="shared" si="51"/>
        <v>0</v>
      </c>
      <c r="K256" s="644">
        <f t="shared" si="46"/>
        <v>7</v>
      </c>
      <c r="L256" s="708">
        <f t="shared" si="56"/>
        <v>132.86000000000001</v>
      </c>
      <c r="M256" s="708">
        <f t="shared" si="56"/>
        <v>0</v>
      </c>
      <c r="N256" s="708">
        <f t="shared" si="56"/>
        <v>0</v>
      </c>
      <c r="O256" s="718">
        <f t="shared" si="56"/>
        <v>132.86000000000001</v>
      </c>
      <c r="P256" s="617">
        <f t="shared" si="48"/>
        <v>0</v>
      </c>
      <c r="Q256" s="525">
        <f>I256-'[9]8'!I255</f>
        <v>0</v>
      </c>
      <c r="S256" s="189">
        <v>0</v>
      </c>
      <c r="T256" s="189">
        <v>0</v>
      </c>
      <c r="BT256" s="525"/>
      <c r="BU256" s="523"/>
      <c r="BV256" s="523"/>
      <c r="BW256" s="523"/>
      <c r="BX256" s="523">
        <v>0</v>
      </c>
      <c r="BY256" s="523">
        <v>0</v>
      </c>
      <c r="BZ256" s="523">
        <v>0</v>
      </c>
      <c r="CA256" s="523">
        <v>0</v>
      </c>
      <c r="CB256" s="523"/>
      <c r="CC256" s="523"/>
      <c r="CD256" s="523"/>
      <c r="CE256" s="523"/>
      <c r="CF256" s="523"/>
      <c r="CG256" s="523"/>
      <c r="CH256" s="523"/>
      <c r="CI256" s="523">
        <f t="shared" si="49"/>
        <v>0</v>
      </c>
    </row>
    <row r="257" spans="1:87" ht="15" x14ac:dyDescent="0.2">
      <c r="A257" s="680" t="s">
        <v>1754</v>
      </c>
      <c r="B257" s="569" t="s">
        <v>1755</v>
      </c>
      <c r="C257" s="569" t="s">
        <v>1324</v>
      </c>
      <c r="D257" s="569" t="s">
        <v>1756</v>
      </c>
      <c r="E257" s="681" t="s">
        <v>102</v>
      </c>
      <c r="F257" s="644">
        <v>1.81</v>
      </c>
      <c r="G257" s="682">
        <v>133.31</v>
      </c>
      <c r="H257" s="681">
        <v>1</v>
      </c>
      <c r="I257" s="685">
        <f t="shared" si="50"/>
        <v>0</v>
      </c>
      <c r="J257" s="573">
        <f t="shared" si="51"/>
        <v>0</v>
      </c>
      <c r="K257" s="644">
        <f t="shared" si="46"/>
        <v>1</v>
      </c>
      <c r="L257" s="708">
        <f t="shared" si="56"/>
        <v>133.31</v>
      </c>
      <c r="M257" s="708">
        <f t="shared" si="56"/>
        <v>0</v>
      </c>
      <c r="N257" s="708">
        <f t="shared" si="56"/>
        <v>0</v>
      </c>
      <c r="O257" s="718">
        <f t="shared" si="56"/>
        <v>133.31</v>
      </c>
      <c r="P257" s="617">
        <f t="shared" si="48"/>
        <v>0</v>
      </c>
      <c r="Q257" s="525">
        <f>I257-'[9]8'!I256</f>
        <v>0</v>
      </c>
      <c r="S257" s="189">
        <v>0</v>
      </c>
      <c r="T257" s="189">
        <v>0</v>
      </c>
      <c r="BT257" s="525"/>
      <c r="BU257" s="523"/>
      <c r="BV257" s="523"/>
      <c r="BW257" s="523"/>
      <c r="BX257" s="523">
        <v>0</v>
      </c>
      <c r="BY257" s="523">
        <v>0</v>
      </c>
      <c r="BZ257" s="523">
        <v>0</v>
      </c>
      <c r="CA257" s="523">
        <v>0</v>
      </c>
      <c r="CB257" s="523"/>
      <c r="CC257" s="523"/>
      <c r="CD257" s="523"/>
      <c r="CE257" s="523"/>
      <c r="CF257" s="523"/>
      <c r="CG257" s="523"/>
      <c r="CH257" s="523"/>
      <c r="CI257" s="523">
        <f t="shared" si="49"/>
        <v>0</v>
      </c>
    </row>
    <row r="258" spans="1:87" ht="15" x14ac:dyDescent="0.2">
      <c r="A258" s="680" t="s">
        <v>1757</v>
      </c>
      <c r="B258" s="569" t="s">
        <v>1758</v>
      </c>
      <c r="C258" s="569" t="s">
        <v>1324</v>
      </c>
      <c r="D258" s="569" t="s">
        <v>1759</v>
      </c>
      <c r="E258" s="681" t="s">
        <v>102</v>
      </c>
      <c r="F258" s="644">
        <v>2.93</v>
      </c>
      <c r="G258" s="682">
        <v>156.31</v>
      </c>
      <c r="H258" s="681">
        <v>6</v>
      </c>
      <c r="I258" s="685">
        <f t="shared" si="50"/>
        <v>0</v>
      </c>
      <c r="J258" s="573">
        <f t="shared" si="51"/>
        <v>0</v>
      </c>
      <c r="K258" s="644">
        <f t="shared" si="46"/>
        <v>6</v>
      </c>
      <c r="L258" s="708">
        <f t="shared" si="56"/>
        <v>937.86</v>
      </c>
      <c r="M258" s="708">
        <f t="shared" si="56"/>
        <v>0</v>
      </c>
      <c r="N258" s="708">
        <f t="shared" si="56"/>
        <v>0</v>
      </c>
      <c r="O258" s="718">
        <f t="shared" si="56"/>
        <v>937.86</v>
      </c>
      <c r="P258" s="617">
        <f t="shared" si="48"/>
        <v>0</v>
      </c>
      <c r="Q258" s="525">
        <f>I258-'[9]8'!I257</f>
        <v>0</v>
      </c>
      <c r="S258" s="189">
        <v>0</v>
      </c>
      <c r="T258" s="189">
        <v>0</v>
      </c>
      <c r="BT258" s="525"/>
      <c r="BU258" s="523"/>
      <c r="BV258" s="523"/>
      <c r="BW258" s="523"/>
      <c r="BX258" s="523">
        <v>0</v>
      </c>
      <c r="BY258" s="523">
        <v>0</v>
      </c>
      <c r="BZ258" s="523">
        <v>0</v>
      </c>
      <c r="CA258" s="523">
        <v>0</v>
      </c>
      <c r="CB258" s="523"/>
      <c r="CC258" s="523"/>
      <c r="CD258" s="523"/>
      <c r="CE258" s="523"/>
      <c r="CF258" s="523"/>
      <c r="CG258" s="523"/>
      <c r="CH258" s="523"/>
      <c r="CI258" s="523">
        <f t="shared" si="49"/>
        <v>0</v>
      </c>
    </row>
    <row r="259" spans="1:87" ht="30" x14ac:dyDescent="0.2">
      <c r="A259" s="680" t="s">
        <v>1760</v>
      </c>
      <c r="B259" s="569" t="s">
        <v>2007</v>
      </c>
      <c r="C259" s="569" t="s">
        <v>1339</v>
      </c>
      <c r="D259" s="569" t="s">
        <v>1761</v>
      </c>
      <c r="E259" s="681" t="s">
        <v>102</v>
      </c>
      <c r="F259" s="644">
        <v>4.1100000000000003</v>
      </c>
      <c r="G259" s="682">
        <v>449.68</v>
      </c>
      <c r="H259" s="681">
        <v>20</v>
      </c>
      <c r="I259" s="685">
        <f t="shared" si="50"/>
        <v>0</v>
      </c>
      <c r="J259" s="573">
        <f t="shared" si="51"/>
        <v>0</v>
      </c>
      <c r="K259" s="644">
        <f t="shared" si="46"/>
        <v>20</v>
      </c>
      <c r="L259" s="708">
        <f t="shared" si="56"/>
        <v>8993.6</v>
      </c>
      <c r="M259" s="708">
        <f t="shared" si="56"/>
        <v>0</v>
      </c>
      <c r="N259" s="708">
        <f t="shared" si="56"/>
        <v>0</v>
      </c>
      <c r="O259" s="718">
        <f t="shared" si="56"/>
        <v>8993.6</v>
      </c>
      <c r="P259" s="617">
        <f t="shared" si="48"/>
        <v>0</v>
      </c>
      <c r="Q259" s="525">
        <f>I259-'[9]8'!I258</f>
        <v>0</v>
      </c>
      <c r="S259" s="189">
        <v>0</v>
      </c>
      <c r="T259" s="189">
        <v>0</v>
      </c>
      <c r="BT259" s="525"/>
      <c r="BU259" s="523"/>
      <c r="BV259" s="523"/>
      <c r="BW259" s="523"/>
      <c r="BX259" s="523">
        <v>0</v>
      </c>
      <c r="BY259" s="523">
        <v>0</v>
      </c>
      <c r="BZ259" s="523">
        <v>0</v>
      </c>
      <c r="CA259" s="523">
        <v>0</v>
      </c>
      <c r="CB259" s="523"/>
      <c r="CC259" s="523"/>
      <c r="CD259" s="523"/>
      <c r="CE259" s="523"/>
      <c r="CF259" s="523"/>
      <c r="CG259" s="523"/>
      <c r="CH259" s="523"/>
      <c r="CI259" s="523">
        <f t="shared" si="49"/>
        <v>0</v>
      </c>
    </row>
    <row r="260" spans="1:87" ht="15.75" x14ac:dyDescent="0.2">
      <c r="A260" s="600">
        <v>18</v>
      </c>
      <c r="B260" s="558"/>
      <c r="C260" s="558"/>
      <c r="D260" s="558" t="s">
        <v>1762</v>
      </c>
      <c r="E260" s="626"/>
      <c r="F260" s="626"/>
      <c r="G260" s="626"/>
      <c r="H260" s="626"/>
      <c r="I260" s="747"/>
      <c r="J260" s="747"/>
      <c r="K260" s="747"/>
      <c r="L260" s="734">
        <f>SUM(L261:L268)</f>
        <v>7237.1900000000014</v>
      </c>
      <c r="M260" s="734">
        <f>SUM(M261:M268)</f>
        <v>0</v>
      </c>
      <c r="N260" s="734">
        <f>SUM(N261:N268)</f>
        <v>0</v>
      </c>
      <c r="O260" s="721">
        <f>SUM(O261:O268)</f>
        <v>7237.1900000000014</v>
      </c>
      <c r="P260" s="604">
        <f t="shared" si="48"/>
        <v>0</v>
      </c>
      <c r="Q260" s="525">
        <f>I260-'[9]8'!I259</f>
        <v>0</v>
      </c>
      <c r="S260" s="189">
        <v>0</v>
      </c>
      <c r="T260" s="189">
        <v>0</v>
      </c>
      <c r="BT260" s="525"/>
      <c r="BU260" s="523"/>
      <c r="BV260" s="523"/>
      <c r="BW260" s="523"/>
      <c r="BX260" s="523">
        <v>0</v>
      </c>
      <c r="BY260" s="523">
        <v>0</v>
      </c>
      <c r="BZ260" s="523"/>
      <c r="CA260" s="523"/>
      <c r="CB260" s="523"/>
      <c r="CC260" s="523"/>
      <c r="CD260" s="523"/>
      <c r="CE260" s="523"/>
      <c r="CF260" s="523"/>
      <c r="CG260" s="523"/>
      <c r="CH260" s="523"/>
      <c r="CI260" s="523">
        <f t="shared" si="49"/>
        <v>0</v>
      </c>
    </row>
    <row r="261" spans="1:87" ht="30" x14ac:dyDescent="0.2">
      <c r="A261" s="680" t="s">
        <v>657</v>
      </c>
      <c r="B261" s="569" t="s">
        <v>2007</v>
      </c>
      <c r="C261" s="569" t="s">
        <v>1339</v>
      </c>
      <c r="D261" s="569" t="s">
        <v>1763</v>
      </c>
      <c r="E261" s="681" t="s">
        <v>102</v>
      </c>
      <c r="F261" s="571"/>
      <c r="G261" s="682">
        <v>205.82</v>
      </c>
      <c r="H261" s="681">
        <v>7</v>
      </c>
      <c r="I261" s="685">
        <f t="shared" si="50"/>
        <v>0</v>
      </c>
      <c r="J261" s="573">
        <f t="shared" si="51"/>
        <v>0</v>
      </c>
      <c r="K261" s="644">
        <f t="shared" ref="K261:K284" si="57">H261-J261</f>
        <v>7</v>
      </c>
      <c r="L261" s="708">
        <f t="shared" ref="L261:O268" si="58">ROUND(H261*$G261,2)</f>
        <v>1440.74</v>
      </c>
      <c r="M261" s="708">
        <f t="shared" si="58"/>
        <v>0</v>
      </c>
      <c r="N261" s="708">
        <f t="shared" si="58"/>
        <v>0</v>
      </c>
      <c r="O261" s="718">
        <f t="shared" si="58"/>
        <v>1440.74</v>
      </c>
      <c r="P261" s="617">
        <f t="shared" si="48"/>
        <v>0</v>
      </c>
      <c r="Q261" s="525">
        <f>I261-'[9]8'!I260</f>
        <v>0</v>
      </c>
      <c r="S261" s="189">
        <v>0</v>
      </c>
      <c r="T261" s="189">
        <v>0</v>
      </c>
      <c r="BT261" s="525"/>
      <c r="BU261" s="523"/>
      <c r="BV261" s="523"/>
      <c r="BW261" s="523"/>
      <c r="BX261" s="523">
        <v>0</v>
      </c>
      <c r="BY261" s="523">
        <v>0</v>
      </c>
      <c r="BZ261" s="523">
        <v>0</v>
      </c>
      <c r="CA261" s="523">
        <v>0</v>
      </c>
      <c r="CB261" s="523"/>
      <c r="CC261" s="523"/>
      <c r="CD261" s="523"/>
      <c r="CE261" s="523"/>
      <c r="CF261" s="523"/>
      <c r="CG261" s="523"/>
      <c r="CH261" s="523"/>
      <c r="CI261" s="523">
        <f t="shared" si="49"/>
        <v>0</v>
      </c>
    </row>
    <row r="262" spans="1:87" ht="15" x14ac:dyDescent="0.2">
      <c r="A262" s="680" t="s">
        <v>664</v>
      </c>
      <c r="B262" s="569" t="s">
        <v>2007</v>
      </c>
      <c r="C262" s="569" t="s">
        <v>1339</v>
      </c>
      <c r="D262" s="569" t="s">
        <v>1764</v>
      </c>
      <c r="E262" s="681" t="s">
        <v>102</v>
      </c>
      <c r="F262" s="644">
        <v>179.19</v>
      </c>
      <c r="G262" s="682">
        <v>232.41</v>
      </c>
      <c r="H262" s="681">
        <v>1</v>
      </c>
      <c r="I262" s="685">
        <f t="shared" si="50"/>
        <v>0</v>
      </c>
      <c r="J262" s="573">
        <f t="shared" si="51"/>
        <v>0</v>
      </c>
      <c r="K262" s="644">
        <f t="shared" si="57"/>
        <v>1</v>
      </c>
      <c r="L262" s="708">
        <f t="shared" si="58"/>
        <v>232.41</v>
      </c>
      <c r="M262" s="708">
        <f t="shared" si="58"/>
        <v>0</v>
      </c>
      <c r="N262" s="708">
        <f t="shared" si="58"/>
        <v>0</v>
      </c>
      <c r="O262" s="718">
        <f t="shared" si="58"/>
        <v>232.41</v>
      </c>
      <c r="P262" s="617">
        <f t="shared" si="48"/>
        <v>0</v>
      </c>
      <c r="Q262" s="525">
        <f>I262-'[9]8'!I261</f>
        <v>0</v>
      </c>
      <c r="S262" s="189">
        <v>0</v>
      </c>
      <c r="T262" s="189">
        <v>0</v>
      </c>
      <c r="BT262" s="525"/>
      <c r="BU262" s="523"/>
      <c r="BV262" s="523"/>
      <c r="BW262" s="523"/>
      <c r="BX262" s="523">
        <v>0</v>
      </c>
      <c r="BY262" s="523">
        <v>0</v>
      </c>
      <c r="BZ262" s="523">
        <v>0</v>
      </c>
      <c r="CA262" s="523">
        <v>0</v>
      </c>
      <c r="CB262" s="523"/>
      <c r="CC262" s="523"/>
      <c r="CD262" s="523"/>
      <c r="CE262" s="523"/>
      <c r="CF262" s="523"/>
      <c r="CG262" s="523"/>
      <c r="CH262" s="523"/>
      <c r="CI262" s="523">
        <f t="shared" si="49"/>
        <v>0</v>
      </c>
    </row>
    <row r="263" spans="1:87" ht="15" x14ac:dyDescent="0.2">
      <c r="A263" s="680" t="s">
        <v>668</v>
      </c>
      <c r="B263" s="569">
        <v>72929</v>
      </c>
      <c r="C263" s="569" t="s">
        <v>1324</v>
      </c>
      <c r="D263" s="569" t="s">
        <v>1765</v>
      </c>
      <c r="E263" s="681" t="s">
        <v>81</v>
      </c>
      <c r="F263" s="644">
        <v>212.03</v>
      </c>
      <c r="G263" s="682">
        <v>22.1</v>
      </c>
      <c r="H263" s="681">
        <v>39.200000000000003</v>
      </c>
      <c r="I263" s="685">
        <f t="shared" si="50"/>
        <v>0</v>
      </c>
      <c r="J263" s="573">
        <f t="shared" si="51"/>
        <v>0</v>
      </c>
      <c r="K263" s="644">
        <f t="shared" si="57"/>
        <v>39.200000000000003</v>
      </c>
      <c r="L263" s="708">
        <f t="shared" si="58"/>
        <v>866.32</v>
      </c>
      <c r="M263" s="708">
        <f t="shared" si="58"/>
        <v>0</v>
      </c>
      <c r="N263" s="708">
        <f t="shared" si="58"/>
        <v>0</v>
      </c>
      <c r="O263" s="718">
        <f t="shared" si="58"/>
        <v>866.32</v>
      </c>
      <c r="P263" s="617">
        <f t="shared" si="48"/>
        <v>0</v>
      </c>
      <c r="Q263" s="525">
        <f>I263-'[9]8'!I262</f>
        <v>0</v>
      </c>
      <c r="S263" s="189">
        <v>0</v>
      </c>
      <c r="T263" s="189">
        <v>0</v>
      </c>
      <c r="BT263" s="525"/>
      <c r="BU263" s="523"/>
      <c r="BV263" s="523"/>
      <c r="BW263" s="523"/>
      <c r="BX263" s="523">
        <v>0</v>
      </c>
      <c r="BY263" s="523">
        <v>0</v>
      </c>
      <c r="BZ263" s="523">
        <v>0</v>
      </c>
      <c r="CA263" s="523">
        <v>0</v>
      </c>
      <c r="CB263" s="523"/>
      <c r="CC263" s="523"/>
      <c r="CD263" s="523"/>
      <c r="CE263" s="523"/>
      <c r="CF263" s="523"/>
      <c r="CG263" s="523"/>
      <c r="CH263" s="523"/>
      <c r="CI263" s="523">
        <f t="shared" si="49"/>
        <v>0</v>
      </c>
    </row>
    <row r="264" spans="1:87" ht="15" x14ac:dyDescent="0.2">
      <c r="A264" s="680" t="s">
        <v>671</v>
      </c>
      <c r="B264" s="569">
        <v>72930</v>
      </c>
      <c r="C264" s="569" t="s">
        <v>1324</v>
      </c>
      <c r="D264" s="569" t="s">
        <v>1766</v>
      </c>
      <c r="E264" s="681" t="s">
        <v>81</v>
      </c>
      <c r="F264" s="644">
        <v>101.58</v>
      </c>
      <c r="G264" s="682">
        <v>31.35</v>
      </c>
      <c r="H264" s="681">
        <v>126.32</v>
      </c>
      <c r="I264" s="685">
        <f t="shared" si="50"/>
        <v>0</v>
      </c>
      <c r="J264" s="573">
        <f t="shared" si="51"/>
        <v>0</v>
      </c>
      <c r="K264" s="644">
        <f t="shared" si="57"/>
        <v>126.32</v>
      </c>
      <c r="L264" s="708">
        <f t="shared" si="58"/>
        <v>3960.13</v>
      </c>
      <c r="M264" s="708">
        <f t="shared" si="58"/>
        <v>0</v>
      </c>
      <c r="N264" s="708">
        <f t="shared" si="58"/>
        <v>0</v>
      </c>
      <c r="O264" s="718">
        <f t="shared" si="58"/>
        <v>3960.13</v>
      </c>
      <c r="P264" s="617">
        <f t="shared" si="48"/>
        <v>0</v>
      </c>
      <c r="Q264" s="525">
        <f>I264-'[9]8'!I263</f>
        <v>0</v>
      </c>
      <c r="S264" s="189">
        <v>0</v>
      </c>
      <c r="T264" s="189">
        <v>0</v>
      </c>
      <c r="BT264" s="525"/>
      <c r="BU264" s="523"/>
      <c r="BV264" s="523"/>
      <c r="BW264" s="523"/>
      <c r="BX264" s="523">
        <v>0</v>
      </c>
      <c r="BY264" s="523">
        <v>0</v>
      </c>
      <c r="BZ264" s="523">
        <v>0</v>
      </c>
      <c r="CA264" s="523">
        <v>0</v>
      </c>
      <c r="CB264" s="523"/>
      <c r="CC264" s="523"/>
      <c r="CD264" s="523"/>
      <c r="CE264" s="523"/>
      <c r="CF264" s="523"/>
      <c r="CG264" s="523"/>
      <c r="CH264" s="523"/>
      <c r="CI264" s="523">
        <f t="shared" si="49"/>
        <v>0</v>
      </c>
    </row>
    <row r="265" spans="1:87" ht="15" x14ac:dyDescent="0.2">
      <c r="A265" s="680" t="s">
        <v>679</v>
      </c>
      <c r="B265" s="569">
        <v>93008</v>
      </c>
      <c r="C265" s="569" t="s">
        <v>1324</v>
      </c>
      <c r="D265" s="569" t="s">
        <v>1767</v>
      </c>
      <c r="E265" s="681" t="s">
        <v>81</v>
      </c>
      <c r="F265" s="644">
        <v>412.2</v>
      </c>
      <c r="G265" s="682">
        <v>9.83</v>
      </c>
      <c r="H265" s="681">
        <v>21</v>
      </c>
      <c r="I265" s="685">
        <f t="shared" si="50"/>
        <v>0</v>
      </c>
      <c r="J265" s="573">
        <f t="shared" si="51"/>
        <v>0</v>
      </c>
      <c r="K265" s="644">
        <f t="shared" si="57"/>
        <v>21</v>
      </c>
      <c r="L265" s="708">
        <f t="shared" si="58"/>
        <v>206.43</v>
      </c>
      <c r="M265" s="708">
        <f t="shared" si="58"/>
        <v>0</v>
      </c>
      <c r="N265" s="708">
        <f t="shared" si="58"/>
        <v>0</v>
      </c>
      <c r="O265" s="718">
        <f t="shared" si="58"/>
        <v>206.43</v>
      </c>
      <c r="P265" s="617">
        <f t="shared" si="48"/>
        <v>0</v>
      </c>
      <c r="Q265" s="525">
        <f>I265-'[9]8'!I264</f>
        <v>0</v>
      </c>
      <c r="S265" s="189">
        <v>0</v>
      </c>
      <c r="T265" s="189">
        <v>0</v>
      </c>
      <c r="BT265" s="525"/>
      <c r="BU265" s="523"/>
      <c r="BV265" s="523"/>
      <c r="BW265" s="523"/>
      <c r="BX265" s="523">
        <v>0</v>
      </c>
      <c r="BY265" s="523">
        <v>0</v>
      </c>
      <c r="BZ265" s="523">
        <v>0</v>
      </c>
      <c r="CA265" s="523">
        <v>0</v>
      </c>
      <c r="CB265" s="523"/>
      <c r="CC265" s="523"/>
      <c r="CD265" s="523"/>
      <c r="CE265" s="523"/>
      <c r="CF265" s="523"/>
      <c r="CG265" s="523"/>
      <c r="CH265" s="523"/>
      <c r="CI265" s="523">
        <f t="shared" si="49"/>
        <v>0</v>
      </c>
    </row>
    <row r="266" spans="1:87" ht="30" x14ac:dyDescent="0.2">
      <c r="A266" s="680" t="s">
        <v>1768</v>
      </c>
      <c r="B266" s="569" t="s">
        <v>2007</v>
      </c>
      <c r="C266" s="569" t="s">
        <v>1769</v>
      </c>
      <c r="D266" s="569" t="s">
        <v>1770</v>
      </c>
      <c r="E266" s="681" t="s">
        <v>102</v>
      </c>
      <c r="F266" s="644">
        <v>348.66</v>
      </c>
      <c r="G266" s="682">
        <v>38.299999999999997</v>
      </c>
      <c r="H266" s="681">
        <v>7</v>
      </c>
      <c r="I266" s="685">
        <f t="shared" si="50"/>
        <v>0</v>
      </c>
      <c r="J266" s="573">
        <f t="shared" si="51"/>
        <v>0</v>
      </c>
      <c r="K266" s="644">
        <f t="shared" si="57"/>
        <v>7</v>
      </c>
      <c r="L266" s="708">
        <f t="shared" si="58"/>
        <v>268.10000000000002</v>
      </c>
      <c r="M266" s="708">
        <f t="shared" si="58"/>
        <v>0</v>
      </c>
      <c r="N266" s="708">
        <f t="shared" si="58"/>
        <v>0</v>
      </c>
      <c r="O266" s="718">
        <f t="shared" si="58"/>
        <v>268.10000000000002</v>
      </c>
      <c r="P266" s="617">
        <f t="shared" si="48"/>
        <v>0</v>
      </c>
      <c r="Q266" s="525">
        <f>I266-'[9]8'!I265</f>
        <v>0</v>
      </c>
      <c r="S266" s="189">
        <v>0</v>
      </c>
      <c r="T266" s="189">
        <v>0</v>
      </c>
      <c r="BT266" s="525"/>
      <c r="BU266" s="523"/>
      <c r="BV266" s="523"/>
      <c r="BW266" s="523"/>
      <c r="BX266" s="523">
        <v>0</v>
      </c>
      <c r="BY266" s="523">
        <v>0</v>
      </c>
      <c r="BZ266" s="523">
        <v>0</v>
      </c>
      <c r="CA266" s="523">
        <v>0</v>
      </c>
      <c r="CB266" s="523"/>
      <c r="CC266" s="523"/>
      <c r="CD266" s="523"/>
      <c r="CE266" s="523"/>
      <c r="CF266" s="523"/>
      <c r="CG266" s="523"/>
      <c r="CH266" s="523"/>
      <c r="CI266" s="523">
        <f t="shared" si="49"/>
        <v>0</v>
      </c>
    </row>
    <row r="267" spans="1:87" ht="30" x14ac:dyDescent="0.2">
      <c r="A267" s="680" t="s">
        <v>1771</v>
      </c>
      <c r="B267" s="569" t="s">
        <v>2007</v>
      </c>
      <c r="C267" s="569" t="s">
        <v>1769</v>
      </c>
      <c r="D267" s="569" t="s">
        <v>1772</v>
      </c>
      <c r="E267" s="681" t="s">
        <v>102</v>
      </c>
      <c r="F267" s="644">
        <v>153.37</v>
      </c>
      <c r="G267" s="682">
        <v>24.49</v>
      </c>
      <c r="H267" s="681">
        <v>7</v>
      </c>
      <c r="I267" s="685">
        <f t="shared" si="50"/>
        <v>0</v>
      </c>
      <c r="J267" s="573">
        <f t="shared" si="51"/>
        <v>0</v>
      </c>
      <c r="K267" s="644">
        <f t="shared" si="57"/>
        <v>7</v>
      </c>
      <c r="L267" s="708">
        <f t="shared" si="58"/>
        <v>171.43</v>
      </c>
      <c r="M267" s="708">
        <f t="shared" si="58"/>
        <v>0</v>
      </c>
      <c r="N267" s="708">
        <f t="shared" si="58"/>
        <v>0</v>
      </c>
      <c r="O267" s="718">
        <f t="shared" si="58"/>
        <v>171.43</v>
      </c>
      <c r="P267" s="617">
        <f t="shared" si="48"/>
        <v>0</v>
      </c>
      <c r="Q267" s="525">
        <f>I267-'[9]8'!I266</f>
        <v>0</v>
      </c>
      <c r="S267" s="189">
        <v>0</v>
      </c>
      <c r="T267" s="189">
        <v>0</v>
      </c>
      <c r="BT267" s="525"/>
      <c r="BU267" s="523"/>
      <c r="BV267" s="523"/>
      <c r="BW267" s="523"/>
      <c r="BX267" s="523">
        <v>0</v>
      </c>
      <c r="BY267" s="523">
        <v>0</v>
      </c>
      <c r="BZ267" s="523">
        <v>0</v>
      </c>
      <c r="CA267" s="523">
        <v>0</v>
      </c>
      <c r="CB267" s="523"/>
      <c r="CC267" s="523"/>
      <c r="CD267" s="523"/>
      <c r="CE267" s="523"/>
      <c r="CF267" s="523"/>
      <c r="CG267" s="523"/>
      <c r="CH267" s="523"/>
      <c r="CI267" s="523">
        <f t="shared" si="49"/>
        <v>0</v>
      </c>
    </row>
    <row r="268" spans="1:87" ht="15" x14ac:dyDescent="0.2">
      <c r="A268" s="680" t="s">
        <v>1773</v>
      </c>
      <c r="B268" s="569">
        <v>72262</v>
      </c>
      <c r="C268" s="569" t="s">
        <v>1324</v>
      </c>
      <c r="D268" s="569" t="s">
        <v>1774</v>
      </c>
      <c r="E268" s="681" t="s">
        <v>102</v>
      </c>
      <c r="F268" s="644">
        <v>62.01</v>
      </c>
      <c r="G268" s="682">
        <v>13.09</v>
      </c>
      <c r="H268" s="681">
        <v>7</v>
      </c>
      <c r="I268" s="685">
        <f t="shared" si="50"/>
        <v>0</v>
      </c>
      <c r="J268" s="573">
        <f t="shared" si="51"/>
        <v>0</v>
      </c>
      <c r="K268" s="644">
        <f t="shared" si="57"/>
        <v>7</v>
      </c>
      <c r="L268" s="708">
        <f t="shared" si="58"/>
        <v>91.63</v>
      </c>
      <c r="M268" s="708">
        <f t="shared" si="58"/>
        <v>0</v>
      </c>
      <c r="N268" s="708">
        <f t="shared" si="58"/>
        <v>0</v>
      </c>
      <c r="O268" s="718">
        <f t="shared" si="58"/>
        <v>91.63</v>
      </c>
      <c r="P268" s="617">
        <f t="shared" si="48"/>
        <v>0</v>
      </c>
      <c r="Q268" s="525">
        <f>I268-'[9]8'!I267</f>
        <v>0</v>
      </c>
      <c r="S268" s="189">
        <v>0</v>
      </c>
      <c r="T268" s="189">
        <v>0</v>
      </c>
      <c r="BT268" s="525"/>
      <c r="BU268" s="523"/>
      <c r="BV268" s="523"/>
      <c r="BW268" s="523"/>
      <c r="BX268" s="523">
        <v>0</v>
      </c>
      <c r="BY268" s="523">
        <v>0</v>
      </c>
      <c r="BZ268" s="523">
        <v>0</v>
      </c>
      <c r="CA268" s="523">
        <v>0</v>
      </c>
      <c r="CB268" s="523"/>
      <c r="CC268" s="523"/>
      <c r="CD268" s="523"/>
      <c r="CE268" s="523"/>
      <c r="CF268" s="523"/>
      <c r="CG268" s="523"/>
      <c r="CH268" s="523"/>
      <c r="CI268" s="523">
        <f t="shared" si="49"/>
        <v>0</v>
      </c>
    </row>
    <row r="269" spans="1:87" s="754" customFormat="1" ht="15.75" x14ac:dyDescent="0.2">
      <c r="A269" s="600">
        <v>19</v>
      </c>
      <c r="B269" s="558"/>
      <c r="C269" s="558"/>
      <c r="D269" s="558" t="s">
        <v>304</v>
      </c>
      <c r="E269" s="626"/>
      <c r="F269" s="626"/>
      <c r="G269" s="626"/>
      <c r="H269" s="626"/>
      <c r="I269" s="747"/>
      <c r="J269" s="747"/>
      <c r="K269" s="747"/>
      <c r="L269" s="734">
        <f>SUM(L270,L276)</f>
        <v>28168.979999999996</v>
      </c>
      <c r="M269" s="734">
        <f>SUM(M270,M276)</f>
        <v>591.92999999999995</v>
      </c>
      <c r="N269" s="734">
        <f>SUM(N270,N276)</f>
        <v>591.92999999999995</v>
      </c>
      <c r="O269" s="721">
        <f>SUM(O270,O276)</f>
        <v>27577.049999999996</v>
      </c>
      <c r="P269" s="604">
        <f t="shared" si="48"/>
        <v>2.1013540426383918E-2</v>
      </c>
      <c r="Q269" s="525">
        <f>I269-'[9]8'!I268</f>
        <v>0</v>
      </c>
      <c r="S269" s="190">
        <v>0</v>
      </c>
      <c r="T269" s="190">
        <v>0</v>
      </c>
      <c r="BT269" s="525"/>
      <c r="BU269" s="523"/>
      <c r="BV269" s="523"/>
      <c r="BW269" s="523"/>
      <c r="BX269" s="523">
        <v>0</v>
      </c>
      <c r="BY269" s="523">
        <v>0</v>
      </c>
      <c r="BZ269" s="523"/>
      <c r="CA269" s="523"/>
      <c r="CB269" s="523"/>
      <c r="CC269" s="523"/>
      <c r="CD269" s="523"/>
      <c r="CE269" s="523"/>
      <c r="CF269" s="523"/>
      <c r="CG269" s="523"/>
      <c r="CH269" s="523"/>
      <c r="CI269" s="523">
        <f t="shared" si="49"/>
        <v>0</v>
      </c>
    </row>
    <row r="270" spans="1:87" ht="15.75" x14ac:dyDescent="0.2">
      <c r="A270" s="605" t="s">
        <v>685</v>
      </c>
      <c r="B270" s="586"/>
      <c r="C270" s="586"/>
      <c r="D270" s="586" t="s">
        <v>1775</v>
      </c>
      <c r="E270" s="683"/>
      <c r="F270" s="683"/>
      <c r="G270" s="683"/>
      <c r="H270" s="683"/>
      <c r="I270" s="748"/>
      <c r="J270" s="748"/>
      <c r="K270" s="748"/>
      <c r="L270" s="733">
        <f>SUM(L271:L275)</f>
        <v>6263.99</v>
      </c>
      <c r="M270" s="733">
        <f>SUM(M271:M275)</f>
        <v>591.92999999999995</v>
      </c>
      <c r="N270" s="733">
        <f>SUM(N271:N275)</f>
        <v>591.92999999999995</v>
      </c>
      <c r="O270" s="722">
        <f>SUM(O271:O275)</f>
        <v>5672.0599999999995</v>
      </c>
      <c r="P270" s="611">
        <f t="shared" ref="P270:P284" si="59">N270/L270</f>
        <v>9.4497277294503981E-2</v>
      </c>
      <c r="Q270" s="525">
        <f>I270-'[9]8'!I269</f>
        <v>0</v>
      </c>
      <c r="S270" s="189">
        <v>0</v>
      </c>
      <c r="T270" s="189">
        <v>0</v>
      </c>
      <c r="BT270" s="525"/>
      <c r="BU270" s="523"/>
      <c r="BV270" s="523"/>
      <c r="BW270" s="523"/>
      <c r="BX270" s="523">
        <v>0</v>
      </c>
      <c r="BY270" s="523">
        <v>0</v>
      </c>
      <c r="BZ270" s="523"/>
      <c r="CA270" s="523"/>
      <c r="CB270" s="523"/>
      <c r="CC270" s="523"/>
      <c r="CD270" s="523"/>
      <c r="CE270" s="523"/>
      <c r="CF270" s="523"/>
      <c r="CG270" s="523"/>
      <c r="CH270" s="523"/>
      <c r="CI270" s="523">
        <f t="shared" si="49"/>
        <v>0</v>
      </c>
    </row>
    <row r="271" spans="1:87" ht="15" x14ac:dyDescent="0.2">
      <c r="A271" s="680" t="s">
        <v>1776</v>
      </c>
      <c r="B271" s="569" t="s">
        <v>2007</v>
      </c>
      <c r="C271" s="569" t="s">
        <v>1339</v>
      </c>
      <c r="D271" s="569" t="s">
        <v>1777</v>
      </c>
      <c r="E271" s="681" t="s">
        <v>14</v>
      </c>
      <c r="F271" s="644">
        <v>224.79</v>
      </c>
      <c r="G271" s="682">
        <v>236.77</v>
      </c>
      <c r="H271" s="681">
        <v>2.5</v>
      </c>
      <c r="I271" s="685">
        <f t="shared" si="50"/>
        <v>2.5</v>
      </c>
      <c r="J271" s="573">
        <f t="shared" si="51"/>
        <v>2.5</v>
      </c>
      <c r="K271" s="644">
        <f t="shared" si="57"/>
        <v>0</v>
      </c>
      <c r="L271" s="708">
        <f t="shared" ref="L271:O275" si="60">ROUND(H271*$G271,2)</f>
        <v>591.92999999999995</v>
      </c>
      <c r="M271" s="708">
        <f t="shared" si="60"/>
        <v>591.92999999999995</v>
      </c>
      <c r="N271" s="708">
        <f t="shared" si="60"/>
        <v>591.92999999999995</v>
      </c>
      <c r="O271" s="718">
        <f t="shared" si="60"/>
        <v>0</v>
      </c>
      <c r="P271" s="617">
        <f t="shared" si="59"/>
        <v>1</v>
      </c>
      <c r="Q271" s="525">
        <f>I271-'[9]8'!I270</f>
        <v>0</v>
      </c>
      <c r="S271" s="189">
        <v>0</v>
      </c>
      <c r="T271" s="189">
        <v>0</v>
      </c>
      <c r="BT271" s="525"/>
      <c r="BU271" s="523">
        <v>2.5</v>
      </c>
      <c r="BV271" s="523"/>
      <c r="BW271" s="523"/>
      <c r="BX271" s="523">
        <v>0</v>
      </c>
      <c r="BY271" s="523">
        <v>0</v>
      </c>
      <c r="BZ271" s="523">
        <v>0</v>
      </c>
      <c r="CA271" s="523">
        <v>0</v>
      </c>
      <c r="CB271" s="523"/>
      <c r="CC271" s="523"/>
      <c r="CD271" s="523"/>
      <c r="CE271" s="523"/>
      <c r="CF271" s="523"/>
      <c r="CG271" s="523"/>
      <c r="CH271" s="523"/>
      <c r="CI271" s="523">
        <f t="shared" si="49"/>
        <v>2.5</v>
      </c>
    </row>
    <row r="272" spans="1:87" ht="15" x14ac:dyDescent="0.2">
      <c r="A272" s="680" t="s">
        <v>1778</v>
      </c>
      <c r="B272" s="569" t="s">
        <v>2007</v>
      </c>
      <c r="C272" s="569" t="s">
        <v>1339</v>
      </c>
      <c r="D272" s="569" t="s">
        <v>1779</v>
      </c>
      <c r="E272" s="681" t="s">
        <v>102</v>
      </c>
      <c r="F272" s="644">
        <v>170.36</v>
      </c>
      <c r="G272" s="682">
        <v>1103.49</v>
      </c>
      <c r="H272" s="681">
        <v>1</v>
      </c>
      <c r="I272" s="685">
        <f t="shared" si="50"/>
        <v>0</v>
      </c>
      <c r="J272" s="573">
        <f t="shared" si="51"/>
        <v>0</v>
      </c>
      <c r="K272" s="644">
        <f t="shared" si="57"/>
        <v>1</v>
      </c>
      <c r="L272" s="708">
        <f t="shared" si="60"/>
        <v>1103.49</v>
      </c>
      <c r="M272" s="708">
        <f t="shared" si="60"/>
        <v>0</v>
      </c>
      <c r="N272" s="708">
        <f t="shared" si="60"/>
        <v>0</v>
      </c>
      <c r="O272" s="718">
        <f t="shared" si="60"/>
        <v>1103.49</v>
      </c>
      <c r="P272" s="617">
        <f t="shared" si="59"/>
        <v>0</v>
      </c>
      <c r="Q272" s="525">
        <f>I272-'[9]8'!I271</f>
        <v>0</v>
      </c>
      <c r="S272" s="189">
        <v>0</v>
      </c>
      <c r="T272" s="189">
        <v>0</v>
      </c>
      <c r="BT272" s="525"/>
      <c r="BU272" s="523"/>
      <c r="BV272" s="523"/>
      <c r="BW272" s="523"/>
      <c r="BX272" s="523">
        <v>0</v>
      </c>
      <c r="BY272" s="523">
        <v>0</v>
      </c>
      <c r="BZ272" s="523">
        <v>0</v>
      </c>
      <c r="CA272" s="523">
        <v>0</v>
      </c>
      <c r="CB272" s="523"/>
      <c r="CC272" s="523"/>
      <c r="CD272" s="523"/>
      <c r="CE272" s="523"/>
      <c r="CF272" s="523"/>
      <c r="CG272" s="523"/>
      <c r="CH272" s="523"/>
      <c r="CI272" s="523">
        <f t="shared" ref="CI272:CI285" si="61">SUM(BU272:CH272)</f>
        <v>0</v>
      </c>
    </row>
    <row r="273" spans="1:87" ht="15" x14ac:dyDescent="0.2">
      <c r="A273" s="680" t="s">
        <v>1780</v>
      </c>
      <c r="B273" s="569" t="s">
        <v>2007</v>
      </c>
      <c r="C273" s="569" t="s">
        <v>1339</v>
      </c>
      <c r="D273" s="569" t="s">
        <v>1781</v>
      </c>
      <c r="E273" s="681" t="s">
        <v>102</v>
      </c>
      <c r="F273" s="644">
        <v>108</v>
      </c>
      <c r="G273" s="682">
        <v>1841.38</v>
      </c>
      <c r="H273" s="681">
        <v>1</v>
      </c>
      <c r="I273" s="685">
        <f t="shared" si="50"/>
        <v>0</v>
      </c>
      <c r="J273" s="573">
        <f t="shared" si="51"/>
        <v>0</v>
      </c>
      <c r="K273" s="644">
        <f t="shared" si="57"/>
        <v>1</v>
      </c>
      <c r="L273" s="708">
        <f t="shared" si="60"/>
        <v>1841.38</v>
      </c>
      <c r="M273" s="708">
        <f t="shared" si="60"/>
        <v>0</v>
      </c>
      <c r="N273" s="708">
        <f t="shared" si="60"/>
        <v>0</v>
      </c>
      <c r="O273" s="718">
        <f t="shared" si="60"/>
        <v>1841.38</v>
      </c>
      <c r="P273" s="617">
        <f t="shared" si="59"/>
        <v>0</v>
      </c>
      <c r="Q273" s="525">
        <f>I273-'[9]8'!I272</f>
        <v>0</v>
      </c>
      <c r="S273" s="189">
        <v>0</v>
      </c>
      <c r="T273" s="189">
        <v>0</v>
      </c>
      <c r="BT273" s="525"/>
      <c r="BU273" s="523"/>
      <c r="BV273" s="523"/>
      <c r="BW273" s="523"/>
      <c r="BX273" s="523">
        <v>0</v>
      </c>
      <c r="BY273" s="523">
        <v>0</v>
      </c>
      <c r="BZ273" s="523">
        <v>0</v>
      </c>
      <c r="CA273" s="523">
        <v>0</v>
      </c>
      <c r="CB273" s="523"/>
      <c r="CC273" s="523"/>
      <c r="CD273" s="523"/>
      <c r="CE273" s="523"/>
      <c r="CF273" s="523"/>
      <c r="CG273" s="523"/>
      <c r="CH273" s="523"/>
      <c r="CI273" s="523">
        <f t="shared" si="61"/>
        <v>0</v>
      </c>
    </row>
    <row r="274" spans="1:87" ht="15" x14ac:dyDescent="0.2">
      <c r="A274" s="680" t="s">
        <v>1782</v>
      </c>
      <c r="B274" s="569" t="s">
        <v>2007</v>
      </c>
      <c r="C274" s="569" t="s">
        <v>1339</v>
      </c>
      <c r="D274" s="569" t="s">
        <v>1783</v>
      </c>
      <c r="E274" s="681" t="s">
        <v>102</v>
      </c>
      <c r="F274" s="644">
        <v>1249</v>
      </c>
      <c r="G274" s="682">
        <v>777.91</v>
      </c>
      <c r="H274" s="681">
        <v>1</v>
      </c>
      <c r="I274" s="685">
        <f t="shared" ref="I274:I285" si="62">BU274</f>
        <v>0</v>
      </c>
      <c r="J274" s="573">
        <f t="shared" ref="J274:J285" si="63">CI274</f>
        <v>0</v>
      </c>
      <c r="K274" s="644">
        <f t="shared" si="57"/>
        <v>1</v>
      </c>
      <c r="L274" s="708">
        <f t="shared" si="60"/>
        <v>777.91</v>
      </c>
      <c r="M274" s="708">
        <f t="shared" si="60"/>
        <v>0</v>
      </c>
      <c r="N274" s="708">
        <f t="shared" si="60"/>
        <v>0</v>
      </c>
      <c r="O274" s="718">
        <f t="shared" si="60"/>
        <v>777.91</v>
      </c>
      <c r="P274" s="617">
        <f t="shared" si="59"/>
        <v>0</v>
      </c>
      <c r="Q274" s="525">
        <f>I274-'[9]8'!I273</f>
        <v>0</v>
      </c>
      <c r="S274" s="189">
        <v>0</v>
      </c>
      <c r="T274" s="189">
        <v>0</v>
      </c>
      <c r="BT274" s="525"/>
      <c r="BU274" s="523"/>
      <c r="BV274" s="523"/>
      <c r="BW274" s="523"/>
      <c r="BX274" s="523">
        <v>0</v>
      </c>
      <c r="BY274" s="523">
        <v>0</v>
      </c>
      <c r="BZ274" s="523">
        <v>0</v>
      </c>
      <c r="CA274" s="523">
        <v>0</v>
      </c>
      <c r="CB274" s="523"/>
      <c r="CC274" s="523"/>
      <c r="CD274" s="523"/>
      <c r="CE274" s="523"/>
      <c r="CF274" s="523"/>
      <c r="CG274" s="523"/>
      <c r="CH274" s="523"/>
      <c r="CI274" s="523">
        <f t="shared" si="61"/>
        <v>0</v>
      </c>
    </row>
    <row r="275" spans="1:87" s="754" customFormat="1" ht="15" x14ac:dyDescent="0.2">
      <c r="A275" s="680" t="s">
        <v>1784</v>
      </c>
      <c r="B275" s="569">
        <v>84862</v>
      </c>
      <c r="C275" s="569" t="s">
        <v>1324</v>
      </c>
      <c r="D275" s="569" t="s">
        <v>1785</v>
      </c>
      <c r="E275" s="681" t="s">
        <v>81</v>
      </c>
      <c r="F275" s="644">
        <v>74.2</v>
      </c>
      <c r="G275" s="682">
        <v>203.05</v>
      </c>
      <c r="H275" s="681">
        <v>9.6</v>
      </c>
      <c r="I275" s="685">
        <f t="shared" si="62"/>
        <v>0</v>
      </c>
      <c r="J275" s="573">
        <f t="shared" si="63"/>
        <v>0</v>
      </c>
      <c r="K275" s="644">
        <f t="shared" si="57"/>
        <v>9.6</v>
      </c>
      <c r="L275" s="708">
        <f t="shared" si="60"/>
        <v>1949.28</v>
      </c>
      <c r="M275" s="708">
        <f t="shared" si="60"/>
        <v>0</v>
      </c>
      <c r="N275" s="708">
        <f t="shared" si="60"/>
        <v>0</v>
      </c>
      <c r="O275" s="718">
        <f t="shared" si="60"/>
        <v>1949.28</v>
      </c>
      <c r="P275" s="617">
        <f t="shared" si="59"/>
        <v>0</v>
      </c>
      <c r="Q275" s="525">
        <f>I275-'[9]8'!I274</f>
        <v>0</v>
      </c>
      <c r="S275" s="190">
        <v>0</v>
      </c>
      <c r="T275" s="190">
        <v>0</v>
      </c>
      <c r="BT275" s="525"/>
      <c r="BU275" s="523"/>
      <c r="BV275" s="523"/>
      <c r="BW275" s="523"/>
      <c r="BX275" s="523">
        <v>0</v>
      </c>
      <c r="BY275" s="523">
        <v>0</v>
      </c>
      <c r="BZ275" s="523">
        <v>0</v>
      </c>
      <c r="CA275" s="523">
        <v>0</v>
      </c>
      <c r="CB275" s="523"/>
      <c r="CC275" s="523"/>
      <c r="CD275" s="523"/>
      <c r="CE275" s="523"/>
      <c r="CF275" s="523"/>
      <c r="CG275" s="523"/>
      <c r="CH275" s="523"/>
      <c r="CI275" s="523">
        <f t="shared" si="61"/>
        <v>0</v>
      </c>
    </row>
    <row r="276" spans="1:87" ht="15.75" x14ac:dyDescent="0.2">
      <c r="A276" s="605" t="s">
        <v>691</v>
      </c>
      <c r="B276" s="586"/>
      <c r="C276" s="586"/>
      <c r="D276" s="586" t="s">
        <v>1786</v>
      </c>
      <c r="E276" s="683"/>
      <c r="F276" s="683"/>
      <c r="G276" s="683"/>
      <c r="H276" s="683"/>
      <c r="I276" s="748"/>
      <c r="J276" s="748"/>
      <c r="K276" s="748"/>
      <c r="L276" s="733">
        <f>SUM(L277:L278)</f>
        <v>21904.989999999998</v>
      </c>
      <c r="M276" s="733">
        <f>SUM(M277:M278)</f>
        <v>0</v>
      </c>
      <c r="N276" s="733">
        <f>SUM(N277:N278)</f>
        <v>0</v>
      </c>
      <c r="O276" s="722">
        <f>SUM(O277:O278)</f>
        <v>21904.989999999998</v>
      </c>
      <c r="P276" s="611">
        <f t="shared" si="59"/>
        <v>0</v>
      </c>
      <c r="Q276" s="525">
        <f>I276-'[9]8'!I275</f>
        <v>0</v>
      </c>
      <c r="S276" s="189">
        <v>0</v>
      </c>
      <c r="T276" s="189">
        <v>0</v>
      </c>
      <c r="BT276" s="525"/>
      <c r="BU276" s="523"/>
      <c r="BV276" s="523"/>
      <c r="BW276" s="523"/>
      <c r="BX276" s="523">
        <v>0</v>
      </c>
      <c r="BY276" s="523">
        <v>0</v>
      </c>
      <c r="BZ276" s="523"/>
      <c r="CA276" s="523"/>
      <c r="CB276" s="523"/>
      <c r="CC276" s="523"/>
      <c r="CD276" s="523"/>
      <c r="CE276" s="523"/>
      <c r="CF276" s="523"/>
      <c r="CG276" s="523"/>
      <c r="CH276" s="523"/>
      <c r="CI276" s="523">
        <f t="shared" si="61"/>
        <v>0</v>
      </c>
    </row>
    <row r="277" spans="1:87" ht="30" x14ac:dyDescent="0.2">
      <c r="A277" s="680" t="s">
        <v>1787</v>
      </c>
      <c r="B277" s="569" t="s">
        <v>1788</v>
      </c>
      <c r="C277" s="569" t="s">
        <v>1324</v>
      </c>
      <c r="D277" s="569" t="s">
        <v>1789</v>
      </c>
      <c r="E277" s="681" t="s">
        <v>14</v>
      </c>
      <c r="F277" s="644">
        <v>62.36</v>
      </c>
      <c r="G277" s="682">
        <v>103.67</v>
      </c>
      <c r="H277" s="681">
        <v>201</v>
      </c>
      <c r="I277" s="685">
        <f t="shared" si="62"/>
        <v>0</v>
      </c>
      <c r="J277" s="573">
        <f t="shared" si="63"/>
        <v>0</v>
      </c>
      <c r="K277" s="644">
        <f t="shared" si="57"/>
        <v>201</v>
      </c>
      <c r="L277" s="708">
        <f t="shared" ref="L277:O278" si="64">ROUND(H277*$G277,2)</f>
        <v>20837.669999999998</v>
      </c>
      <c r="M277" s="708">
        <f t="shared" si="64"/>
        <v>0</v>
      </c>
      <c r="N277" s="708">
        <f t="shared" si="64"/>
        <v>0</v>
      </c>
      <c r="O277" s="718">
        <f t="shared" si="64"/>
        <v>20837.669999999998</v>
      </c>
      <c r="P277" s="617">
        <f t="shared" si="59"/>
        <v>0</v>
      </c>
      <c r="Q277" s="525">
        <f>I277-'[9]8'!I276</f>
        <v>0</v>
      </c>
      <c r="S277" s="189">
        <v>0</v>
      </c>
      <c r="T277" s="189">
        <v>0</v>
      </c>
      <c r="BT277" s="525"/>
      <c r="BU277" s="523"/>
      <c r="BV277" s="523"/>
      <c r="BW277" s="523"/>
      <c r="BX277" s="523">
        <v>0</v>
      </c>
      <c r="BY277" s="523">
        <v>0</v>
      </c>
      <c r="BZ277" s="523">
        <v>0</v>
      </c>
      <c r="CA277" s="523">
        <v>0</v>
      </c>
      <c r="CB277" s="523"/>
      <c r="CC277" s="523"/>
      <c r="CD277" s="523"/>
      <c r="CE277" s="523"/>
      <c r="CF277" s="523"/>
      <c r="CG277" s="523"/>
      <c r="CH277" s="523"/>
      <c r="CI277" s="523">
        <f t="shared" si="61"/>
        <v>0</v>
      </c>
    </row>
    <row r="278" spans="1:87" s="754" customFormat="1" ht="15" x14ac:dyDescent="0.2">
      <c r="A278" s="680" t="s">
        <v>1790</v>
      </c>
      <c r="B278" s="569" t="s">
        <v>2007</v>
      </c>
      <c r="C278" s="569" t="s">
        <v>1339</v>
      </c>
      <c r="D278" s="569" t="s">
        <v>1791</v>
      </c>
      <c r="E278" s="681" t="s">
        <v>102</v>
      </c>
      <c r="F278" s="644">
        <v>100.46</v>
      </c>
      <c r="G278" s="682">
        <v>266.83</v>
      </c>
      <c r="H278" s="681">
        <v>4</v>
      </c>
      <c r="I278" s="685">
        <f t="shared" si="62"/>
        <v>0</v>
      </c>
      <c r="J278" s="573">
        <f t="shared" si="63"/>
        <v>0</v>
      </c>
      <c r="K278" s="644">
        <f t="shared" si="57"/>
        <v>4</v>
      </c>
      <c r="L278" s="708">
        <f t="shared" si="64"/>
        <v>1067.32</v>
      </c>
      <c r="M278" s="708">
        <f t="shared" si="64"/>
        <v>0</v>
      </c>
      <c r="N278" s="708">
        <f t="shared" si="64"/>
        <v>0</v>
      </c>
      <c r="O278" s="718">
        <f t="shared" si="64"/>
        <v>1067.32</v>
      </c>
      <c r="P278" s="617">
        <f t="shared" si="59"/>
        <v>0</v>
      </c>
      <c r="Q278" s="525">
        <f>I278-'[9]8'!I277</f>
        <v>0</v>
      </c>
      <c r="S278" s="190">
        <v>0</v>
      </c>
      <c r="T278" s="190">
        <v>0</v>
      </c>
      <c r="BT278" s="525"/>
      <c r="BU278" s="523"/>
      <c r="BV278" s="523"/>
      <c r="BW278" s="523"/>
      <c r="BX278" s="523">
        <v>0</v>
      </c>
      <c r="BY278" s="523">
        <v>0</v>
      </c>
      <c r="BZ278" s="523">
        <v>0</v>
      </c>
      <c r="CA278" s="523">
        <v>0</v>
      </c>
      <c r="CB278" s="523"/>
      <c r="CC278" s="523"/>
      <c r="CD278" s="523"/>
      <c r="CE278" s="523"/>
      <c r="CF278" s="523"/>
      <c r="CG278" s="523"/>
      <c r="CH278" s="523"/>
      <c r="CI278" s="523">
        <f t="shared" si="61"/>
        <v>0</v>
      </c>
    </row>
    <row r="279" spans="1:87" ht="15.75" x14ac:dyDescent="0.2">
      <c r="A279" s="600">
        <v>20</v>
      </c>
      <c r="B279" s="558"/>
      <c r="C279" s="558"/>
      <c r="D279" s="558" t="s">
        <v>1232</v>
      </c>
      <c r="E279" s="626"/>
      <c r="F279" s="626"/>
      <c r="G279" s="626"/>
      <c r="H279" s="626"/>
      <c r="I279" s="747"/>
      <c r="J279" s="747"/>
      <c r="K279" s="747"/>
      <c r="L279" s="734">
        <f>SUM(L280:L284)</f>
        <v>4777.13</v>
      </c>
      <c r="M279" s="734">
        <f>SUM(M280:M284)</f>
        <v>0</v>
      </c>
      <c r="N279" s="734">
        <f>SUM(N280:N284)</f>
        <v>0</v>
      </c>
      <c r="O279" s="721">
        <f>SUM(O280:O284)</f>
        <v>4777.13</v>
      </c>
      <c r="P279" s="604">
        <f t="shared" si="59"/>
        <v>0</v>
      </c>
      <c r="Q279" s="525">
        <f>I279-'[9]8'!I278</f>
        <v>0</v>
      </c>
      <c r="S279" s="189">
        <v>0</v>
      </c>
      <c r="T279" s="189">
        <v>0</v>
      </c>
      <c r="BT279" s="525"/>
      <c r="BU279" s="523"/>
      <c r="BV279" s="523"/>
      <c r="BW279" s="523"/>
      <c r="BX279" s="523">
        <v>0</v>
      </c>
      <c r="BY279" s="523">
        <v>0</v>
      </c>
      <c r="BZ279" s="523"/>
      <c r="CA279" s="523"/>
      <c r="CB279" s="523"/>
      <c r="CC279" s="523"/>
      <c r="CD279" s="523"/>
      <c r="CE279" s="523"/>
      <c r="CF279" s="523"/>
      <c r="CG279" s="523"/>
      <c r="CH279" s="523"/>
      <c r="CI279" s="523">
        <f t="shared" si="61"/>
        <v>0</v>
      </c>
    </row>
    <row r="280" spans="1:87" ht="15" x14ac:dyDescent="0.2">
      <c r="A280" s="680" t="s">
        <v>719</v>
      </c>
      <c r="B280" s="569" t="s">
        <v>1792</v>
      </c>
      <c r="C280" s="569" t="s">
        <v>1324</v>
      </c>
      <c r="D280" s="569" t="s">
        <v>1793</v>
      </c>
      <c r="E280" s="681" t="s">
        <v>14</v>
      </c>
      <c r="F280" s="644">
        <v>37.18</v>
      </c>
      <c r="G280" s="682">
        <v>4.97</v>
      </c>
      <c r="H280" s="681">
        <v>296.01</v>
      </c>
      <c r="I280" s="685">
        <f t="shared" si="62"/>
        <v>0</v>
      </c>
      <c r="J280" s="573">
        <f t="shared" si="63"/>
        <v>0</v>
      </c>
      <c r="K280" s="644">
        <f t="shared" si="57"/>
        <v>296.01</v>
      </c>
      <c r="L280" s="708">
        <f t="shared" ref="L280:O284" si="65">ROUND(H280*$G280,2)</f>
        <v>1471.17</v>
      </c>
      <c r="M280" s="708">
        <f t="shared" si="65"/>
        <v>0</v>
      </c>
      <c r="N280" s="708">
        <f t="shared" si="65"/>
        <v>0</v>
      </c>
      <c r="O280" s="718">
        <f t="shared" si="65"/>
        <v>1471.17</v>
      </c>
      <c r="P280" s="617">
        <f t="shared" si="59"/>
        <v>0</v>
      </c>
      <c r="Q280" s="525">
        <f>I280-'[9]8'!I279</f>
        <v>0</v>
      </c>
      <c r="S280" s="189">
        <v>0</v>
      </c>
      <c r="T280" s="189">
        <v>0</v>
      </c>
      <c r="BT280" s="525"/>
      <c r="BU280" s="523"/>
      <c r="BV280" s="523"/>
      <c r="BW280" s="523"/>
      <c r="BX280" s="523">
        <v>0</v>
      </c>
      <c r="BY280" s="523">
        <v>0</v>
      </c>
      <c r="BZ280" s="523">
        <v>0</v>
      </c>
      <c r="CA280" s="523">
        <v>0</v>
      </c>
      <c r="CB280" s="523"/>
      <c r="CC280" s="523"/>
      <c r="CD280" s="523"/>
      <c r="CE280" s="523"/>
      <c r="CF280" s="523"/>
      <c r="CG280" s="523"/>
      <c r="CH280" s="523"/>
      <c r="CI280" s="523">
        <f t="shared" si="61"/>
        <v>0</v>
      </c>
    </row>
    <row r="281" spans="1:87" ht="15" x14ac:dyDescent="0.2">
      <c r="A281" s="680" t="s">
        <v>726</v>
      </c>
      <c r="B281" s="569" t="s">
        <v>1794</v>
      </c>
      <c r="C281" s="569" t="s">
        <v>1324</v>
      </c>
      <c r="D281" s="569" t="s">
        <v>1795</v>
      </c>
      <c r="E281" s="681" t="s">
        <v>14</v>
      </c>
      <c r="F281" s="644">
        <v>14.42</v>
      </c>
      <c r="G281" s="682">
        <v>9.57</v>
      </c>
      <c r="H281" s="681">
        <v>21.9</v>
      </c>
      <c r="I281" s="685">
        <f t="shared" si="62"/>
        <v>0</v>
      </c>
      <c r="J281" s="573">
        <f t="shared" si="63"/>
        <v>0</v>
      </c>
      <c r="K281" s="644">
        <f t="shared" si="57"/>
        <v>21.9</v>
      </c>
      <c r="L281" s="708">
        <f t="shared" si="65"/>
        <v>209.58</v>
      </c>
      <c r="M281" s="708">
        <f t="shared" si="65"/>
        <v>0</v>
      </c>
      <c r="N281" s="708">
        <f t="shared" si="65"/>
        <v>0</v>
      </c>
      <c r="O281" s="718">
        <f t="shared" si="65"/>
        <v>209.58</v>
      </c>
      <c r="P281" s="617">
        <f t="shared" si="59"/>
        <v>0</v>
      </c>
      <c r="Q281" s="525">
        <f>I281-'[9]8'!I280</f>
        <v>0</v>
      </c>
      <c r="S281" s="189">
        <v>0</v>
      </c>
      <c r="T281" s="189">
        <v>0</v>
      </c>
      <c r="BT281" s="525"/>
      <c r="BU281" s="523"/>
      <c r="BV281" s="523"/>
      <c r="BW281" s="523"/>
      <c r="BX281" s="523">
        <v>0</v>
      </c>
      <c r="BY281" s="523">
        <v>0</v>
      </c>
      <c r="BZ281" s="523">
        <v>0</v>
      </c>
      <c r="CA281" s="523">
        <v>0</v>
      </c>
      <c r="CB281" s="523"/>
      <c r="CC281" s="523"/>
      <c r="CD281" s="523"/>
      <c r="CE281" s="523"/>
      <c r="CF281" s="523"/>
      <c r="CG281" s="523"/>
      <c r="CH281" s="523"/>
      <c r="CI281" s="523">
        <f t="shared" si="61"/>
        <v>0</v>
      </c>
    </row>
    <row r="282" spans="1:87" ht="30" x14ac:dyDescent="0.2">
      <c r="A282" s="680" t="s">
        <v>730</v>
      </c>
      <c r="B282" s="569" t="s">
        <v>1796</v>
      </c>
      <c r="C282" s="569" t="s">
        <v>1324</v>
      </c>
      <c r="D282" s="569" t="s">
        <v>1797</v>
      </c>
      <c r="E282" s="681" t="s">
        <v>14</v>
      </c>
      <c r="F282" s="644">
        <v>22.57</v>
      </c>
      <c r="G282" s="682">
        <v>11.45</v>
      </c>
      <c r="H282" s="681">
        <v>64.91</v>
      </c>
      <c r="I282" s="685">
        <f t="shared" si="62"/>
        <v>0</v>
      </c>
      <c r="J282" s="573">
        <f t="shared" si="63"/>
        <v>0</v>
      </c>
      <c r="K282" s="644">
        <f t="shared" si="57"/>
        <v>64.91</v>
      </c>
      <c r="L282" s="708">
        <f t="shared" si="65"/>
        <v>743.22</v>
      </c>
      <c r="M282" s="708">
        <f t="shared" si="65"/>
        <v>0</v>
      </c>
      <c r="N282" s="708">
        <f t="shared" si="65"/>
        <v>0</v>
      </c>
      <c r="O282" s="718">
        <f t="shared" si="65"/>
        <v>743.22</v>
      </c>
      <c r="P282" s="617">
        <f t="shared" si="59"/>
        <v>0</v>
      </c>
      <c r="Q282" s="525">
        <f>I282-'[9]8'!I281</f>
        <v>0</v>
      </c>
      <c r="S282" s="189">
        <v>0</v>
      </c>
      <c r="T282" s="189">
        <v>0</v>
      </c>
      <c r="BT282" s="525"/>
      <c r="BU282" s="523"/>
      <c r="BV282" s="523"/>
      <c r="BW282" s="523"/>
      <c r="BX282" s="523">
        <v>0</v>
      </c>
      <c r="BY282" s="523">
        <v>0</v>
      </c>
      <c r="BZ282" s="523">
        <v>0</v>
      </c>
      <c r="CA282" s="523">
        <v>0</v>
      </c>
      <c r="CB282" s="523"/>
      <c r="CC282" s="523"/>
      <c r="CD282" s="523"/>
      <c r="CE282" s="523"/>
      <c r="CF282" s="523"/>
      <c r="CG282" s="523"/>
      <c r="CH282" s="523"/>
      <c r="CI282" s="523">
        <f t="shared" si="61"/>
        <v>0</v>
      </c>
    </row>
    <row r="283" spans="1:87" ht="15" x14ac:dyDescent="0.2">
      <c r="A283" s="680" t="s">
        <v>739</v>
      </c>
      <c r="B283" s="569" t="s">
        <v>1798</v>
      </c>
      <c r="C283" s="569" t="s">
        <v>1324</v>
      </c>
      <c r="D283" s="569" t="s">
        <v>1799</v>
      </c>
      <c r="E283" s="681" t="s">
        <v>14</v>
      </c>
      <c r="F283" s="644">
        <v>26.75</v>
      </c>
      <c r="G283" s="682">
        <v>1.53</v>
      </c>
      <c r="H283" s="681">
        <v>676.67</v>
      </c>
      <c r="I283" s="685">
        <f t="shared" si="62"/>
        <v>0</v>
      </c>
      <c r="J283" s="573">
        <f t="shared" si="63"/>
        <v>0</v>
      </c>
      <c r="K283" s="644">
        <f t="shared" si="57"/>
        <v>676.67</v>
      </c>
      <c r="L283" s="708">
        <f t="shared" si="65"/>
        <v>1035.31</v>
      </c>
      <c r="M283" s="708">
        <f t="shared" si="65"/>
        <v>0</v>
      </c>
      <c r="N283" s="708">
        <f t="shared" si="65"/>
        <v>0</v>
      </c>
      <c r="O283" s="718">
        <f t="shared" si="65"/>
        <v>1035.31</v>
      </c>
      <c r="P283" s="617">
        <f t="shared" si="59"/>
        <v>0</v>
      </c>
      <c r="Q283" s="525">
        <f>I283-'[9]8'!I282</f>
        <v>0</v>
      </c>
      <c r="S283" s="189">
        <v>0</v>
      </c>
      <c r="T283" s="189">
        <v>0</v>
      </c>
      <c r="BT283" s="525"/>
      <c r="BU283" s="523"/>
      <c r="BV283" s="523"/>
      <c r="BW283" s="523"/>
      <c r="BX283" s="523">
        <v>0</v>
      </c>
      <c r="BY283" s="523">
        <v>0</v>
      </c>
      <c r="BZ283" s="523">
        <v>0</v>
      </c>
      <c r="CA283" s="523">
        <v>0</v>
      </c>
      <c r="CB283" s="523"/>
      <c r="CC283" s="523"/>
      <c r="CD283" s="523"/>
      <c r="CE283" s="523"/>
      <c r="CF283" s="523"/>
      <c r="CG283" s="523"/>
      <c r="CH283" s="523"/>
      <c r="CI283" s="523">
        <f t="shared" si="61"/>
        <v>0</v>
      </c>
    </row>
    <row r="284" spans="1:87" ht="15" x14ac:dyDescent="0.2">
      <c r="A284" s="680" t="s">
        <v>743</v>
      </c>
      <c r="B284" s="569">
        <v>84122</v>
      </c>
      <c r="C284" s="569" t="s">
        <v>1324</v>
      </c>
      <c r="D284" s="569" t="s">
        <v>1800</v>
      </c>
      <c r="E284" s="681" t="s">
        <v>102</v>
      </c>
      <c r="F284" s="644">
        <v>61.1</v>
      </c>
      <c r="G284" s="682">
        <v>1317.85</v>
      </c>
      <c r="H284" s="681">
        <v>1</v>
      </c>
      <c r="I284" s="685">
        <f t="shared" si="62"/>
        <v>0</v>
      </c>
      <c r="J284" s="573">
        <f t="shared" si="63"/>
        <v>0</v>
      </c>
      <c r="K284" s="644">
        <f t="shared" si="57"/>
        <v>1</v>
      </c>
      <c r="L284" s="708">
        <f t="shared" si="65"/>
        <v>1317.85</v>
      </c>
      <c r="M284" s="708">
        <f t="shared" si="65"/>
        <v>0</v>
      </c>
      <c r="N284" s="708">
        <f t="shared" si="65"/>
        <v>0</v>
      </c>
      <c r="O284" s="718">
        <f t="shared" si="65"/>
        <v>1317.85</v>
      </c>
      <c r="P284" s="617">
        <f t="shared" si="59"/>
        <v>0</v>
      </c>
      <c r="Q284" s="525">
        <f>I284-'[9]8'!I283</f>
        <v>0</v>
      </c>
      <c r="S284" s="189">
        <v>0</v>
      </c>
      <c r="T284" s="189">
        <v>0</v>
      </c>
      <c r="AE284" s="393"/>
      <c r="BT284" s="525"/>
      <c r="BU284" s="523"/>
      <c r="BV284" s="523"/>
      <c r="BW284" s="523"/>
      <c r="BX284" s="523">
        <v>0</v>
      </c>
      <c r="BY284" s="523">
        <v>0</v>
      </c>
      <c r="BZ284" s="523">
        <v>0</v>
      </c>
      <c r="CA284" s="523">
        <v>0</v>
      </c>
      <c r="CB284" s="523"/>
      <c r="CC284" s="523"/>
      <c r="CD284" s="523"/>
      <c r="CE284" s="523"/>
      <c r="CF284" s="523"/>
      <c r="CG284" s="523"/>
      <c r="CH284" s="523"/>
      <c r="CI284" s="523">
        <f t="shared" si="61"/>
        <v>0</v>
      </c>
    </row>
    <row r="285" spans="1:87" s="67" customFormat="1" ht="16.5" thickBot="1" x14ac:dyDescent="0.25">
      <c r="A285" s="645"/>
      <c r="B285" s="646"/>
      <c r="C285" s="647"/>
      <c r="D285" s="647"/>
      <c r="E285" s="647"/>
      <c r="F285" s="647"/>
      <c r="G285" s="648" t="s">
        <v>1281</v>
      </c>
      <c r="H285" s="697"/>
      <c r="I285" s="650">
        <f t="shared" si="62"/>
        <v>0</v>
      </c>
      <c r="J285" s="651">
        <f t="shared" si="63"/>
        <v>0</v>
      </c>
      <c r="K285" s="647"/>
      <c r="L285" s="736">
        <f>L15+L27+L33+L46+L70+L78+L93+L96+L99+L110+L121+L130+L169+L191+L195+L209+L215+L260+L269+L279</f>
        <v>664297.16</v>
      </c>
      <c r="M285" s="713">
        <f>SUM(M279,M269,M260,M215,M209,M195,M191,M169,M130,M121,M110,M99,M96,M93,M78,M70,M46,M33,M27,M15)</f>
        <v>71666.45</v>
      </c>
      <c r="N285" s="713">
        <f>SUM(N279,N269,N260,N215,N209,N195,N191,N169,N130,N121,N110,N99,N96,N93,N78,N70,N46,N33,N27,N15)</f>
        <v>419681.45</v>
      </c>
      <c r="O285" s="725">
        <f>SUM(O279,O269,O260,O215,O209,O195,O191,O169,O130,O121,O110,O99,O96,O93,O78,O70,O46,O33,O27,O15)</f>
        <v>244615.70000000004</v>
      </c>
      <c r="P285" s="698">
        <f>N285/L285</f>
        <v>0.63176764145732611</v>
      </c>
      <c r="Q285" s="525">
        <f>'[9]8'!Q284-BU285</f>
        <v>0</v>
      </c>
      <c r="S285" s="193"/>
      <c r="T285" s="193"/>
      <c r="BT285" s="525"/>
      <c r="BU285" s="523"/>
      <c r="BV285" s="523"/>
      <c r="BW285" s="523"/>
      <c r="BX285" s="523">
        <v>0</v>
      </c>
      <c r="BY285" s="523">
        <v>0</v>
      </c>
      <c r="BZ285" s="523"/>
      <c r="CA285" s="523"/>
      <c r="CB285" s="523"/>
      <c r="CC285" s="523"/>
      <c r="CD285" s="523"/>
      <c r="CE285" s="523"/>
      <c r="CF285" s="523"/>
      <c r="CG285" s="523"/>
      <c r="CH285" s="523"/>
      <c r="CI285" s="523">
        <f t="shared" si="61"/>
        <v>0</v>
      </c>
    </row>
    <row r="286" spans="1:87" x14ac:dyDescent="0.2">
      <c r="A286" s="69"/>
      <c r="B286" s="69"/>
      <c r="C286" s="59"/>
      <c r="D286" s="111"/>
      <c r="E286" s="59"/>
      <c r="F286" s="59"/>
      <c r="G286" s="82"/>
      <c r="H286" s="699"/>
      <c r="I286" s="70"/>
      <c r="J286" s="70"/>
      <c r="K286" s="59"/>
      <c r="L286" s="700"/>
      <c r="M286" s="700"/>
      <c r="N286" s="700"/>
      <c r="O286" s="726"/>
      <c r="P286" s="701"/>
      <c r="BW286" s="66">
        <v>0</v>
      </c>
    </row>
    <row r="287" spans="1:87" x14ac:dyDescent="0.2">
      <c r="P287" s="704"/>
    </row>
    <row r="288" spans="1:87" x14ac:dyDescent="0.2">
      <c r="B288" s="702"/>
      <c r="C288" s="110"/>
      <c r="P288" s="704"/>
    </row>
    <row r="289" spans="2:15" x14ac:dyDescent="0.2">
      <c r="B289" s="702"/>
      <c r="C289" s="110"/>
    </row>
    <row r="290" spans="2:15" x14ac:dyDescent="0.2">
      <c r="B290" s="702"/>
      <c r="C290" s="110"/>
      <c r="I290" s="937"/>
      <c r="J290" s="937"/>
      <c r="K290" s="937"/>
    </row>
    <row r="291" spans="2:15" x14ac:dyDescent="0.2">
      <c r="B291" s="702"/>
      <c r="C291" s="110"/>
      <c r="I291" s="944"/>
      <c r="J291" s="944"/>
      <c r="K291" s="944"/>
      <c r="M291" s="937"/>
      <c r="N291" s="937"/>
      <c r="O291" s="937"/>
    </row>
    <row r="292" spans="2:15" x14ac:dyDescent="0.2">
      <c r="B292" s="702"/>
      <c r="C292" s="110"/>
      <c r="I292" s="937"/>
      <c r="J292" s="937"/>
      <c r="K292" s="937"/>
      <c r="M292" s="937"/>
      <c r="N292" s="937"/>
      <c r="O292" s="937"/>
    </row>
    <row r="293" spans="2:15" x14ac:dyDescent="0.2">
      <c r="B293" s="702"/>
      <c r="C293" s="110"/>
      <c r="I293" s="937"/>
      <c r="J293" s="937"/>
      <c r="K293" s="937"/>
    </row>
  </sheetData>
  <autoFilter ref="A12:P285" xr:uid="{00000000-0009-0000-0000-00000E000000}"/>
  <mergeCells count="19">
    <mergeCell ref="A1:D5"/>
    <mergeCell ref="E1:P5"/>
    <mergeCell ref="A7:D7"/>
    <mergeCell ref="E7:G7"/>
    <mergeCell ref="J7:K7"/>
    <mergeCell ref="M291:O291"/>
    <mergeCell ref="I292:K292"/>
    <mergeCell ref="M292:O292"/>
    <mergeCell ref="L11:P11"/>
    <mergeCell ref="A8:D8"/>
    <mergeCell ref="E8:G8"/>
    <mergeCell ref="J8:K8"/>
    <mergeCell ref="I293:K293"/>
    <mergeCell ref="A9:D9"/>
    <mergeCell ref="E9:G9"/>
    <mergeCell ref="J9:K9"/>
    <mergeCell ref="H11:K11"/>
    <mergeCell ref="I290:K290"/>
    <mergeCell ref="I291:K291"/>
  </mergeCells>
  <conditionalFormatting sqref="A15:E15 F47:G47 H90 O96 F52:G52 I52 K133:K152 H227:H247 H217:H225 F226:H226 A90:E90 L96:M96 A17:E17 H15:H17 H28:H32 A28:E32 A27:D27 A34:E45 A33:D33 H35:H45 H47:H57 A47:E57 A46:D46 A72:E72 H72 H80:H83 A80:E83 A94:E95 A93:D93 H94:H95 H97:H98 A97:E98 A96:D96 A100:E109 A99:D99 H100:H109 H112:H116 A112:E116 A122:E129 A121:D121 H122:H129 H132:H152 A132:E152 A170:E181 A169:D169 H171:H181 K171:K181 A192:E194 A191:D191 H192:I194 A196:E208 A195:D195 H196:I208 A210:E214 A209:D209 H210:I214 I217:I247 A216:E259 A215:D215 A261:E268 A260:D260 H261:I268 H271:I275 A270:E278 A269:D269 A280:E284 A279:D279 I280:I284 H280:H286 A59:E62 A58:D58 H59:H62 H64:H67 A64:E67 A63:D63 A69:E69 A68:D68 H69 A70:D71 H74:H75 A74:E75 A73:D73 A77:E77 A76:D76 H77 A78:D79 A85:E87 A84:D84 H85:H87 A88:D88 A92:E92 A91:D91 H92 A110:D111 A118:E120 A117:D117 H118:H120 A130:D131 A154:E168 A153:D153 H154:H168 K154:K168 H183:I190 A183:E190 A182:D182 H23:H26 A23:E26 L46:O46 L52:O52 L58:O58 L63:O63 L68:O68 L71:O71 L73:O73 L76:O76 L78:O79 L84:O84 L93:O93 L99:O99 L110:O111 L117:O117 L121:O121 L130:O131 L153:O153 L169:O170 L182:O182 L191:O191 L195:O195 L209:O209 K226:O226 L215:O216 L260:O260 L269:O270 L279:O279 H249:I252 F248:O248 H277:I278 F276:O276 F270:K270 H254:I259 F253:O253 F216:K216 F170:K170">
    <cfRule type="expression" dxfId="265" priority="75">
      <formula>$D15&lt;&gt;0</formula>
    </cfRule>
    <cfRule type="expression" dxfId="264" priority="76">
      <formula>$O15=1</formula>
    </cfRule>
  </conditionalFormatting>
  <conditionalFormatting sqref="G15 G40 L40:O40 G34:K34">
    <cfRule type="expression" dxfId="263" priority="77">
      <formula>$D15&lt;&gt;0</formula>
    </cfRule>
    <cfRule type="expression" dxfId="262" priority="78">
      <formula>$O15=1</formula>
    </cfRule>
  </conditionalFormatting>
  <conditionalFormatting sqref="E27">
    <cfRule type="expression" dxfId="261" priority="71">
      <formula>$D27&lt;&gt;0</formula>
    </cfRule>
    <cfRule type="expression" dxfId="260" priority="72">
      <formula>$O27=1</formula>
    </cfRule>
  </conditionalFormatting>
  <conditionalFormatting sqref="G27:J27">
    <cfRule type="expression" dxfId="259" priority="73">
      <formula>$D27&lt;&gt;0</formula>
    </cfRule>
    <cfRule type="expression" dxfId="258" priority="74">
      <formula>$O27=1</formula>
    </cfRule>
  </conditionalFormatting>
  <conditionalFormatting sqref="E33">
    <cfRule type="expression" dxfId="257" priority="67">
      <formula>$D33&lt;&gt;0</formula>
    </cfRule>
    <cfRule type="expression" dxfId="256" priority="68">
      <formula>$O33=1</formula>
    </cfRule>
  </conditionalFormatting>
  <conditionalFormatting sqref="G33:K33">
    <cfRule type="expression" dxfId="255" priority="69">
      <formula>$D33&lt;&gt;0</formula>
    </cfRule>
    <cfRule type="expression" dxfId="254" priority="70">
      <formula>$O33=1</formula>
    </cfRule>
  </conditionalFormatting>
  <conditionalFormatting sqref="E46 H46">
    <cfRule type="expression" dxfId="253" priority="63">
      <formula>$D46&lt;&gt;0</formula>
    </cfRule>
    <cfRule type="expression" dxfId="252" priority="64">
      <formula>$O46=1</formula>
    </cfRule>
  </conditionalFormatting>
  <conditionalFormatting sqref="G46">
    <cfRule type="expression" dxfId="251" priority="65">
      <formula>$D46&lt;&gt;0</formula>
    </cfRule>
    <cfRule type="expression" dxfId="250" priority="66">
      <formula>$O46=1</formula>
    </cfRule>
  </conditionalFormatting>
  <conditionalFormatting sqref="E70:K70">
    <cfRule type="expression" dxfId="249" priority="61">
      <formula>$D70&lt;&gt;0</formula>
    </cfRule>
    <cfRule type="expression" dxfId="248" priority="62">
      <formula>$O70=1</formula>
    </cfRule>
  </conditionalFormatting>
  <conditionalFormatting sqref="E78:K78">
    <cfRule type="expression" dxfId="247" priority="59">
      <formula>$D78&lt;&gt;0</formula>
    </cfRule>
    <cfRule type="expression" dxfId="246" priority="60">
      <formula>$O78=1</formula>
    </cfRule>
  </conditionalFormatting>
  <conditionalFormatting sqref="E93:K93">
    <cfRule type="expression" dxfId="245" priority="57">
      <formula>$D93&lt;&gt;0</formula>
    </cfRule>
    <cfRule type="expression" dxfId="244" priority="58">
      <formula>$O93=1</formula>
    </cfRule>
  </conditionalFormatting>
  <conditionalFormatting sqref="E96:K96">
    <cfRule type="expression" dxfId="243" priority="55">
      <formula>$D96&lt;&gt;0</formula>
    </cfRule>
    <cfRule type="expression" dxfId="242" priority="56">
      <formula>$O96=1</formula>
    </cfRule>
  </conditionalFormatting>
  <conditionalFormatting sqref="E99:K99">
    <cfRule type="expression" dxfId="241" priority="53">
      <formula>$D99&lt;&gt;0</formula>
    </cfRule>
    <cfRule type="expression" dxfId="240" priority="54">
      <formula>$O99=1</formula>
    </cfRule>
  </conditionalFormatting>
  <conditionalFormatting sqref="E110:K110">
    <cfRule type="expression" dxfId="239" priority="51">
      <formula>$D110&lt;&gt;0</formula>
    </cfRule>
    <cfRule type="expression" dxfId="238" priority="52">
      <formula>$O110=1</formula>
    </cfRule>
  </conditionalFormatting>
  <conditionalFormatting sqref="E121:K121">
    <cfRule type="expression" dxfId="237" priority="49">
      <formula>$D121&lt;&gt;0</formula>
    </cfRule>
    <cfRule type="expression" dxfId="236" priority="50">
      <formula>$O121=1</formula>
    </cfRule>
  </conditionalFormatting>
  <conditionalFormatting sqref="E130:K130">
    <cfRule type="expression" dxfId="235" priority="47">
      <formula>$D130&lt;&gt;0</formula>
    </cfRule>
    <cfRule type="expression" dxfId="234" priority="48">
      <formula>$O130=1</formula>
    </cfRule>
  </conditionalFormatting>
  <conditionalFormatting sqref="E169:K169">
    <cfRule type="expression" dxfId="233" priority="45">
      <formula>$D169&lt;&gt;0</formula>
    </cfRule>
    <cfRule type="expression" dxfId="232" priority="46">
      <formula>$O169=1</formula>
    </cfRule>
  </conditionalFormatting>
  <conditionalFormatting sqref="E191:K191">
    <cfRule type="expression" dxfId="231" priority="43">
      <formula>$D191&lt;&gt;0</formula>
    </cfRule>
    <cfRule type="expression" dxfId="230" priority="44">
      <formula>$O191=1</formula>
    </cfRule>
  </conditionalFormatting>
  <conditionalFormatting sqref="E195:K195">
    <cfRule type="expression" dxfId="229" priority="41">
      <formula>$D195&lt;&gt;0</formula>
    </cfRule>
    <cfRule type="expression" dxfId="228" priority="42">
      <formula>$O195=1</formula>
    </cfRule>
  </conditionalFormatting>
  <conditionalFormatting sqref="E209:K209">
    <cfRule type="expression" dxfId="227" priority="39">
      <formula>$D209&lt;&gt;0</formula>
    </cfRule>
    <cfRule type="expression" dxfId="226" priority="40">
      <formula>$O209=1</formula>
    </cfRule>
  </conditionalFormatting>
  <conditionalFormatting sqref="E215:K215">
    <cfRule type="expression" dxfId="225" priority="37">
      <formula>$D215&lt;&gt;0</formula>
    </cfRule>
    <cfRule type="expression" dxfId="224" priority="38">
      <formula>$O215=1</formula>
    </cfRule>
  </conditionalFormatting>
  <conditionalFormatting sqref="E260:K260">
    <cfRule type="expression" dxfId="223" priority="35">
      <formula>$D260&lt;&gt;0</formula>
    </cfRule>
    <cfRule type="expression" dxfId="222" priority="36">
      <formula>$O260=1</formula>
    </cfRule>
  </conditionalFormatting>
  <conditionalFormatting sqref="E269:K269">
    <cfRule type="expression" dxfId="221" priority="33">
      <formula>$D269&lt;&gt;0</formula>
    </cfRule>
    <cfRule type="expression" dxfId="220" priority="34">
      <formula>$O269=1</formula>
    </cfRule>
  </conditionalFormatting>
  <conditionalFormatting sqref="E279:K279">
    <cfRule type="expression" dxfId="219" priority="31">
      <formula>$D279&lt;&gt;0</formula>
    </cfRule>
    <cfRule type="expression" dxfId="218" priority="32">
      <formula>$O279=1</formula>
    </cfRule>
  </conditionalFormatting>
  <conditionalFormatting sqref="E58:I58">
    <cfRule type="expression" dxfId="217" priority="29">
      <formula>$D58&lt;&gt;0</formula>
    </cfRule>
    <cfRule type="expression" dxfId="216" priority="30">
      <formula>$O58=1</formula>
    </cfRule>
  </conditionalFormatting>
  <conditionalFormatting sqref="E63:K63">
    <cfRule type="expression" dxfId="215" priority="27">
      <formula>$D63&lt;&gt;0</formula>
    </cfRule>
    <cfRule type="expression" dxfId="214" priority="28">
      <formula>$O63=1</formula>
    </cfRule>
  </conditionalFormatting>
  <conditionalFormatting sqref="E68:K68">
    <cfRule type="expression" dxfId="213" priority="25">
      <formula>$D68&lt;&gt;0</formula>
    </cfRule>
    <cfRule type="expression" dxfId="212" priority="26">
      <formula>$O68=1</formula>
    </cfRule>
  </conditionalFormatting>
  <conditionalFormatting sqref="E71:K71">
    <cfRule type="expression" dxfId="211" priority="23">
      <formula>$D71&lt;&gt;0</formula>
    </cfRule>
    <cfRule type="expression" dxfId="210" priority="24">
      <formula>$O71=1</formula>
    </cfRule>
  </conditionalFormatting>
  <conditionalFormatting sqref="E73:K73">
    <cfRule type="expression" dxfId="209" priority="21">
      <formula>$D73&lt;&gt;0</formula>
    </cfRule>
    <cfRule type="expression" dxfId="208" priority="22">
      <formula>$O73=1</formula>
    </cfRule>
  </conditionalFormatting>
  <conditionalFormatting sqref="E76:K76">
    <cfRule type="expression" dxfId="207" priority="19">
      <formula>$D76&lt;&gt;0</formula>
    </cfRule>
    <cfRule type="expression" dxfId="206" priority="20">
      <formula>$O76=1</formula>
    </cfRule>
  </conditionalFormatting>
  <conditionalFormatting sqref="E79:K79">
    <cfRule type="expression" dxfId="205" priority="17">
      <formula>$D79&lt;&gt;0</formula>
    </cfRule>
    <cfRule type="expression" dxfId="204" priority="18">
      <formula>$O79=1</formula>
    </cfRule>
  </conditionalFormatting>
  <conditionalFormatting sqref="E84:K84">
    <cfRule type="expression" dxfId="203" priority="15">
      <formula>$D84&lt;&gt;0</formula>
    </cfRule>
    <cfRule type="expression" dxfId="202" priority="16">
      <formula>$O84=1</formula>
    </cfRule>
  </conditionalFormatting>
  <conditionalFormatting sqref="E88:K88">
    <cfRule type="expression" dxfId="201" priority="13">
      <formula>$D88&lt;&gt;0</formula>
    </cfRule>
    <cfRule type="expression" dxfId="200" priority="14">
      <formula>$O88=1</formula>
    </cfRule>
  </conditionalFormatting>
  <conditionalFormatting sqref="E91:K91">
    <cfRule type="expression" dxfId="199" priority="11">
      <formula>$D91&lt;&gt;0</formula>
    </cfRule>
    <cfRule type="expression" dxfId="198" priority="12">
      <formula>$O91=1</formula>
    </cfRule>
  </conditionalFormatting>
  <conditionalFormatting sqref="E111:K111">
    <cfRule type="expression" dxfId="197" priority="9">
      <formula>$D111&lt;&gt;0</formula>
    </cfRule>
    <cfRule type="expression" dxfId="196" priority="10">
      <formula>$O111=1</formula>
    </cfRule>
  </conditionalFormatting>
  <conditionalFormatting sqref="E117:K117">
    <cfRule type="expression" dxfId="195" priority="7">
      <formula>$D117&lt;&gt;0</formula>
    </cfRule>
    <cfRule type="expression" dxfId="194" priority="8">
      <formula>$O117=1</formula>
    </cfRule>
  </conditionalFormatting>
  <conditionalFormatting sqref="E131:K131">
    <cfRule type="expression" dxfId="193" priority="5">
      <formula>$D131&lt;&gt;0</formula>
    </cfRule>
    <cfRule type="expression" dxfId="192" priority="6">
      <formula>$O131=1</formula>
    </cfRule>
  </conditionalFormatting>
  <conditionalFormatting sqref="E153:K153">
    <cfRule type="expression" dxfId="191" priority="3">
      <formula>$D153&lt;&gt;0</formula>
    </cfRule>
    <cfRule type="expression" dxfId="190" priority="4">
      <formula>$O153=1</formula>
    </cfRule>
  </conditionalFormatting>
  <conditionalFormatting sqref="E182:K182">
    <cfRule type="expression" dxfId="189" priority="1">
      <formula>$D182&lt;&gt;0</formula>
    </cfRule>
    <cfRule type="expression" dxfId="188" priority="2">
      <formula>$O182=1</formula>
    </cfRule>
  </conditionalFormatting>
  <printOptions horizontalCentered="1"/>
  <pageMargins left="0.31496062992125984" right="0.31496062992125984" top="0.39370078740157483" bottom="1.1417322834645669" header="0.31496062992125984" footer="0.31496062992125984"/>
  <pageSetup paperSize="9" scale="43" fitToHeight="0" orientation="landscape" r:id="rId1"/>
  <headerFooter>
    <oddHeader>&amp;R&amp;P</oddHeader>
    <oddFooter>&amp;LResp. Técnico Fiscalização: Nei Frederico
CREA: 101562139-2
&amp;RResp. Engenharia Civil: Jordan Moreira da Silva
CREA: BA 518626636
&amp;P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CQ293"/>
  <sheetViews>
    <sheetView showGridLines="0" tabSelected="1" topLeftCell="H1" zoomScale="70" zoomScaleNormal="70" zoomScaleSheetLayoutView="55" zoomScalePageLayoutView="55" workbookViewId="0">
      <pane ySplit="14" topLeftCell="A15" activePane="bottomLeft" state="frozen"/>
      <selection activeCell="B1" sqref="B1"/>
      <selection pane="bottomLeft" activeCell="N21" sqref="N13:P21"/>
    </sheetView>
  </sheetViews>
  <sheetFormatPr defaultColWidth="9.33203125" defaultRowHeight="12.75" x14ac:dyDescent="0.2"/>
  <cols>
    <col min="1" max="1" width="12.5" style="110" customWidth="1"/>
    <col min="2" max="2" width="11.33203125" style="110" customWidth="1"/>
    <col min="3" max="3" width="11.5" style="702" customWidth="1"/>
    <col min="4" max="4" width="114.33203125" style="110" bestFit="1" customWidth="1"/>
    <col min="5" max="5" width="11.5" style="110" customWidth="1"/>
    <col min="6" max="6" width="12.6640625" style="110" hidden="1" customWidth="1"/>
    <col min="7" max="7" width="24.6640625" style="792" customWidth="1"/>
    <col min="8" max="8" width="19.6640625" style="110" bestFit="1" customWidth="1"/>
    <col min="9" max="9" width="23.5" style="192" customWidth="1"/>
    <col min="10" max="10" width="22.83203125" style="192" customWidth="1"/>
    <col min="11" max="11" width="14.83203125" style="110" customWidth="1"/>
    <col min="12" max="12" width="21.1640625" style="792" customWidth="1"/>
    <col min="13" max="13" width="20" style="792" bestFit="1" customWidth="1"/>
    <col min="14" max="14" width="23.1640625" style="792" bestFit="1" customWidth="1"/>
    <col min="15" max="15" width="22.6640625" style="727" customWidth="1"/>
    <col min="16" max="16" width="12.5" style="110" customWidth="1"/>
    <col min="17" max="17" width="13.5" style="66" customWidth="1"/>
    <col min="18" max="18" width="0" style="66" hidden="1" customWidth="1"/>
    <col min="19" max="19" width="13.83203125" style="189" hidden="1" customWidth="1"/>
    <col min="20" max="20" width="11.1640625" style="189" hidden="1" customWidth="1"/>
    <col min="21" max="25" width="0" style="66" hidden="1" customWidth="1"/>
    <col min="26" max="26" width="12.33203125" style="66" hidden="1" customWidth="1"/>
    <col min="27" max="27" width="0" style="66" hidden="1" customWidth="1"/>
    <col min="28" max="28" width="13.5" style="66" hidden="1" customWidth="1"/>
    <col min="29" max="30" width="0" style="66" hidden="1" customWidth="1"/>
    <col min="31" max="31" width="15.6640625" style="66" hidden="1" customWidth="1"/>
    <col min="32" max="33" width="11.5" style="66" hidden="1" customWidth="1"/>
    <col min="34" max="71" width="0" style="66" hidden="1" customWidth="1"/>
    <col min="72" max="72" width="19.6640625" style="66" hidden="1" customWidth="1"/>
    <col min="73" max="73" width="9.33203125" style="66"/>
    <col min="74" max="74" width="17" style="66" bestFit="1" customWidth="1"/>
    <col min="75" max="79" width="9.33203125" style="66" customWidth="1"/>
    <col min="80" max="80" width="9.33203125" style="66"/>
    <col min="81" max="81" width="20.1640625" style="66" bestFit="1" customWidth="1"/>
    <col min="82" max="82" width="20" style="66" bestFit="1" customWidth="1"/>
    <col min="83" max="86" width="9.33203125" style="66"/>
    <col min="87" max="87" width="11.1640625" style="66" bestFit="1" customWidth="1"/>
    <col min="88" max="93" width="9.33203125" style="66"/>
    <col min="94" max="94" width="20.1640625" style="66" hidden="1" customWidth="1"/>
    <col min="95" max="95" width="19" style="66" hidden="1" customWidth="1"/>
    <col min="96" max="16384" width="9.33203125" style="66"/>
  </cols>
  <sheetData>
    <row r="1" spans="1:95" s="51" customFormat="1" ht="12" x14ac:dyDescent="0.2">
      <c r="A1" s="923"/>
      <c r="B1" s="924"/>
      <c r="C1" s="924"/>
      <c r="D1" s="924"/>
      <c r="E1" s="929" t="s">
        <v>2052</v>
      </c>
      <c r="F1" s="929"/>
      <c r="G1" s="929"/>
      <c r="H1" s="929"/>
      <c r="I1" s="929"/>
      <c r="J1" s="929"/>
      <c r="K1" s="929"/>
      <c r="L1" s="929"/>
      <c r="M1" s="929"/>
      <c r="N1" s="929"/>
      <c r="O1" s="929"/>
      <c r="P1" s="930"/>
      <c r="S1" s="188"/>
      <c r="T1" s="188"/>
    </row>
    <row r="2" spans="1:95" s="51" customFormat="1" ht="12" x14ac:dyDescent="0.2">
      <c r="A2" s="925"/>
      <c r="B2" s="926"/>
      <c r="C2" s="926"/>
      <c r="D2" s="926"/>
      <c r="E2" s="931"/>
      <c r="F2" s="931"/>
      <c r="G2" s="931"/>
      <c r="H2" s="931"/>
      <c r="I2" s="931"/>
      <c r="J2" s="931"/>
      <c r="K2" s="931"/>
      <c r="L2" s="931"/>
      <c r="M2" s="931"/>
      <c r="N2" s="931"/>
      <c r="O2" s="931"/>
      <c r="P2" s="932"/>
      <c r="S2" s="188"/>
      <c r="T2" s="188"/>
    </row>
    <row r="3" spans="1:95" s="51" customFormat="1" ht="12" x14ac:dyDescent="0.2">
      <c r="A3" s="925"/>
      <c r="B3" s="926"/>
      <c r="C3" s="926"/>
      <c r="D3" s="926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1"/>
      <c r="P3" s="932"/>
      <c r="S3" s="188"/>
      <c r="T3" s="188"/>
    </row>
    <row r="4" spans="1:95" s="51" customFormat="1" ht="12" x14ac:dyDescent="0.2">
      <c r="A4" s="925"/>
      <c r="B4" s="926"/>
      <c r="C4" s="926"/>
      <c r="D4" s="926"/>
      <c r="E4" s="931"/>
      <c r="F4" s="931"/>
      <c r="G4" s="931"/>
      <c r="H4" s="931"/>
      <c r="I4" s="931"/>
      <c r="J4" s="931"/>
      <c r="K4" s="931"/>
      <c r="L4" s="931"/>
      <c r="M4" s="931"/>
      <c r="N4" s="931"/>
      <c r="O4" s="931"/>
      <c r="P4" s="932"/>
      <c r="S4" s="188"/>
      <c r="T4" s="188"/>
    </row>
    <row r="5" spans="1:95" s="51" customFormat="1" ht="35.25" customHeight="1" thickBot="1" x14ac:dyDescent="0.25">
      <c r="A5" s="927"/>
      <c r="B5" s="928"/>
      <c r="C5" s="928"/>
      <c r="D5" s="928"/>
      <c r="E5" s="933"/>
      <c r="F5" s="933"/>
      <c r="G5" s="933"/>
      <c r="H5" s="933"/>
      <c r="I5" s="933"/>
      <c r="J5" s="933"/>
      <c r="K5" s="933"/>
      <c r="L5" s="933"/>
      <c r="M5" s="933"/>
      <c r="N5" s="933"/>
      <c r="O5" s="933"/>
      <c r="P5" s="934"/>
      <c r="S5" s="188"/>
      <c r="T5" s="188"/>
      <c r="BV5" s="372"/>
      <c r="BW5" s="372"/>
    </row>
    <row r="6" spans="1:95" s="51" customFormat="1" ht="23.25" x14ac:dyDescent="0.2">
      <c r="A6" s="764"/>
      <c r="B6" s="764"/>
      <c r="C6" s="764"/>
      <c r="D6" s="764"/>
      <c r="E6" s="765"/>
      <c r="F6" s="765"/>
      <c r="G6" s="765"/>
      <c r="H6" s="765"/>
      <c r="I6" s="765"/>
      <c r="J6" s="765"/>
      <c r="K6" s="765"/>
      <c r="L6" s="765"/>
      <c r="M6" s="765"/>
      <c r="N6" s="765"/>
      <c r="O6" s="773"/>
      <c r="P6" s="765"/>
      <c r="S6" s="188">
        <v>30999.574999999997</v>
      </c>
      <c r="T6" s="188" t="s">
        <v>1288</v>
      </c>
      <c r="Z6" s="64">
        <v>30999.574999999997</v>
      </c>
      <c r="AB6" s="64">
        <v>44898.842499999999</v>
      </c>
      <c r="AE6" s="791">
        <v>38575.583824999994</v>
      </c>
      <c r="AF6" s="372">
        <f>AE6-I7</f>
        <v>38575.583824999994</v>
      </c>
      <c r="BV6" s="372"/>
    </row>
    <row r="7" spans="1:95" s="51" customFormat="1" ht="23.25" x14ac:dyDescent="0.2">
      <c r="A7" s="945" t="s">
        <v>1320</v>
      </c>
      <c r="B7" s="945"/>
      <c r="C7" s="945"/>
      <c r="D7" s="945"/>
      <c r="E7" s="955" t="s">
        <v>2019</v>
      </c>
      <c r="F7" s="955"/>
      <c r="G7" s="955"/>
      <c r="H7" s="786" t="s">
        <v>1323</v>
      </c>
      <c r="I7" s="774"/>
      <c r="J7" s="954" t="s">
        <v>2029</v>
      </c>
      <c r="K7" s="954"/>
      <c r="L7" s="776">
        <f>M14/L14</f>
        <v>0.16496012116023495</v>
      </c>
      <c r="M7" s="765"/>
      <c r="N7" s="796" t="s">
        <v>2051</v>
      </c>
      <c r="O7" s="787">
        <v>43658</v>
      </c>
      <c r="P7" s="778"/>
      <c r="S7" s="188">
        <v>203365.995</v>
      </c>
      <c r="T7" s="188" t="s">
        <v>1309</v>
      </c>
      <c r="AB7" s="64">
        <v>152813.08250000002</v>
      </c>
    </row>
    <row r="8" spans="1:95" s="51" customFormat="1" ht="23.25" x14ac:dyDescent="0.2">
      <c r="A8" s="945" t="s">
        <v>2014</v>
      </c>
      <c r="B8" s="945"/>
      <c r="C8" s="945"/>
      <c r="D8" s="945"/>
      <c r="E8" s="946" t="s">
        <v>2020</v>
      </c>
      <c r="F8" s="946"/>
      <c r="G8" s="946"/>
      <c r="H8" s="779">
        <f>664297.16</f>
        <v>664297.16</v>
      </c>
      <c r="I8" s="774"/>
      <c r="J8" s="954" t="s">
        <v>2028</v>
      </c>
      <c r="K8" s="954"/>
      <c r="L8" s="776">
        <f>P14</f>
        <v>0.79672774756405695</v>
      </c>
      <c r="M8" s="765"/>
      <c r="N8" s="788" t="s">
        <v>3</v>
      </c>
      <c r="O8" s="794">
        <v>0.27139999999999997</v>
      </c>
      <c r="P8" s="778"/>
      <c r="Q8" s="534"/>
      <c r="R8" s="534"/>
      <c r="S8" s="535">
        <v>485968.91500000004</v>
      </c>
      <c r="T8" s="535" t="s">
        <v>1294</v>
      </c>
      <c r="U8" s="534"/>
      <c r="V8" s="534"/>
      <c r="W8" s="534"/>
      <c r="X8" s="534"/>
      <c r="Y8" s="534"/>
      <c r="Z8" s="534"/>
      <c r="AA8" s="534"/>
      <c r="AB8" s="64">
        <v>511484.07750000001</v>
      </c>
      <c r="AC8" s="534"/>
      <c r="AD8" s="534"/>
      <c r="AE8" s="536" t="e">
        <f>H8/I9</f>
        <v>#DIV/0!</v>
      </c>
      <c r="AF8" s="534"/>
      <c r="AG8" s="534"/>
      <c r="AH8" s="534"/>
      <c r="AI8" s="534"/>
      <c r="AJ8" s="534"/>
      <c r="AK8" s="534"/>
      <c r="AL8" s="534"/>
      <c r="AM8" s="534"/>
      <c r="AN8" s="534"/>
      <c r="AO8" s="534"/>
      <c r="AP8" s="534"/>
      <c r="AQ8" s="534"/>
      <c r="AR8" s="534"/>
      <c r="AS8" s="534"/>
      <c r="AT8" s="534"/>
      <c r="AU8" s="534"/>
      <c r="AV8" s="534"/>
      <c r="AW8" s="534"/>
      <c r="AX8" s="534"/>
      <c r="AY8" s="534"/>
      <c r="AZ8" s="534"/>
      <c r="BA8" s="534"/>
      <c r="BB8" s="534"/>
      <c r="BC8" s="534"/>
      <c r="BD8" s="534"/>
      <c r="BE8" s="534"/>
      <c r="BF8" s="534"/>
      <c r="BG8" s="534"/>
      <c r="BH8" s="534"/>
      <c r="BI8" s="534"/>
      <c r="BJ8" s="534"/>
      <c r="BK8" s="534"/>
      <c r="BL8" s="534"/>
      <c r="BM8" s="534"/>
      <c r="BN8" s="534"/>
      <c r="BO8" s="534"/>
      <c r="BP8" s="534"/>
      <c r="BQ8" s="534"/>
      <c r="BR8" s="534"/>
      <c r="BS8" s="534"/>
      <c r="BT8" s="534"/>
      <c r="CP8" s="490">
        <v>102520.2</v>
      </c>
      <c r="CQ8" s="753">
        <f>CP8-M14</f>
        <v>-7062.3399999999965</v>
      </c>
    </row>
    <row r="9" spans="1:95" s="51" customFormat="1" ht="23.25" x14ac:dyDescent="0.2">
      <c r="A9" s="945" t="s">
        <v>2017</v>
      </c>
      <c r="B9" s="945"/>
      <c r="C9" s="945"/>
      <c r="D9" s="945"/>
      <c r="E9" s="946" t="s">
        <v>2027</v>
      </c>
      <c r="F9" s="946"/>
      <c r="G9" s="946"/>
      <c r="H9" s="780">
        <v>44041</v>
      </c>
      <c r="I9" s="780"/>
      <c r="J9" s="947" t="s">
        <v>2030</v>
      </c>
      <c r="K9" s="947"/>
      <c r="L9" s="782">
        <v>44196</v>
      </c>
      <c r="M9" s="765"/>
      <c r="N9" s="795" t="s">
        <v>2016</v>
      </c>
      <c r="O9" s="795" t="s">
        <v>2053</v>
      </c>
      <c r="P9" s="793"/>
      <c r="Q9" s="534"/>
      <c r="R9" s="534"/>
      <c r="S9" s="535"/>
      <c r="T9" s="535"/>
      <c r="U9" s="534"/>
      <c r="V9" s="534"/>
      <c r="W9" s="534"/>
      <c r="X9" s="534"/>
      <c r="Y9" s="534"/>
      <c r="Z9" s="534"/>
      <c r="AA9" s="534"/>
      <c r="AB9" s="485"/>
      <c r="AC9" s="534"/>
      <c r="AD9" s="534"/>
      <c r="AE9" s="537"/>
      <c r="AF9" s="534"/>
      <c r="AG9" s="534"/>
      <c r="AH9" s="534"/>
      <c r="AI9" s="534"/>
      <c r="AJ9" s="534"/>
      <c r="AK9" s="534"/>
      <c r="AL9" s="534"/>
      <c r="AM9" s="534"/>
      <c r="AN9" s="534"/>
      <c r="AO9" s="534"/>
      <c r="AP9" s="534"/>
      <c r="AQ9" s="534"/>
      <c r="AR9" s="534"/>
      <c r="AS9" s="534"/>
      <c r="AT9" s="534"/>
      <c r="AU9" s="534"/>
      <c r="AV9" s="534"/>
      <c r="AW9" s="534"/>
      <c r="AX9" s="534"/>
      <c r="AY9" s="534"/>
      <c r="AZ9" s="534"/>
      <c r="BA9" s="534"/>
      <c r="BB9" s="534"/>
      <c r="BC9" s="534"/>
      <c r="BD9" s="534"/>
      <c r="BE9" s="534"/>
      <c r="BF9" s="534"/>
      <c r="BG9" s="534"/>
      <c r="BH9" s="534"/>
      <c r="BI9" s="534"/>
      <c r="BJ9" s="534"/>
      <c r="BK9" s="534"/>
      <c r="BL9" s="534"/>
      <c r="BM9" s="534"/>
      <c r="BN9" s="534"/>
      <c r="BO9" s="534"/>
      <c r="BP9" s="534"/>
      <c r="BQ9" s="534"/>
      <c r="BR9" s="534"/>
      <c r="BS9" s="534"/>
      <c r="BT9" s="538"/>
    </row>
    <row r="10" spans="1:95" s="51" customFormat="1" ht="13.5" thickBot="1" x14ac:dyDescent="0.25">
      <c r="A10" s="793"/>
      <c r="B10" s="793"/>
      <c r="C10" s="793"/>
      <c r="D10" s="793"/>
      <c r="E10" s="793"/>
      <c r="F10" s="768"/>
      <c r="G10" s="796"/>
      <c r="H10" s="777"/>
      <c r="I10" s="774"/>
      <c r="J10" s="783"/>
      <c r="K10" s="784"/>
      <c r="L10" s="777"/>
      <c r="M10" s="793"/>
      <c r="N10" s="793"/>
      <c r="O10" s="778"/>
      <c r="P10" s="784"/>
      <c r="S10" s="188"/>
      <c r="T10" s="188"/>
      <c r="BT10" s="372"/>
    </row>
    <row r="11" spans="1:95" ht="29.25" customHeight="1" thickBot="1" x14ac:dyDescent="0.25">
      <c r="A11" s="770"/>
      <c r="B11" s="770"/>
      <c r="C11" s="770"/>
      <c r="D11" s="770"/>
      <c r="E11" s="771"/>
      <c r="F11" s="771"/>
      <c r="G11" s="772"/>
      <c r="H11" s="948" t="s">
        <v>2008</v>
      </c>
      <c r="I11" s="949"/>
      <c r="J11" s="949"/>
      <c r="K11" s="950"/>
      <c r="L11" s="951" t="s">
        <v>2009</v>
      </c>
      <c r="M11" s="952"/>
      <c r="N11" s="952"/>
      <c r="O11" s="952"/>
      <c r="P11" s="953"/>
      <c r="Q11" s="71"/>
      <c r="R11" s="71"/>
      <c r="S11" s="533"/>
      <c r="T11" s="533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66" t="s">
        <v>2033</v>
      </c>
      <c r="CD11" s="393">
        <f>N14-M14</f>
        <v>419681.44</v>
      </c>
    </row>
    <row r="12" spans="1:95" ht="36.75" customHeight="1" thickBot="1" x14ac:dyDescent="0.25">
      <c r="A12" s="758" t="s">
        <v>1325</v>
      </c>
      <c r="B12" s="758" t="s">
        <v>1326</v>
      </c>
      <c r="C12" s="758" t="s">
        <v>1327</v>
      </c>
      <c r="D12" s="758" t="s">
        <v>5</v>
      </c>
      <c r="E12" s="758" t="s">
        <v>6</v>
      </c>
      <c r="F12" s="763" t="s">
        <v>2050</v>
      </c>
      <c r="G12" s="760" t="s">
        <v>2049</v>
      </c>
      <c r="H12" s="758" t="s">
        <v>2018</v>
      </c>
      <c r="I12" s="759" t="s">
        <v>2013</v>
      </c>
      <c r="J12" s="759" t="s">
        <v>1819</v>
      </c>
      <c r="K12" s="758" t="s">
        <v>1295</v>
      </c>
      <c r="L12" s="760" t="s">
        <v>2018</v>
      </c>
      <c r="M12" s="761" t="s">
        <v>2013</v>
      </c>
      <c r="N12" s="761" t="s">
        <v>1819</v>
      </c>
      <c r="O12" s="762" t="s">
        <v>1295</v>
      </c>
      <c r="P12" s="758" t="s">
        <v>1296</v>
      </c>
      <c r="Q12" s="71"/>
      <c r="R12" s="71"/>
      <c r="S12" s="533"/>
      <c r="T12" s="533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1"/>
      <c r="AP12" s="71"/>
      <c r="AQ12" s="71"/>
      <c r="AR12" s="71"/>
      <c r="AS12" s="71"/>
      <c r="AT12" s="71"/>
      <c r="AU12" s="71"/>
      <c r="AV12" s="71"/>
      <c r="AW12" s="71"/>
      <c r="AX12" s="71"/>
      <c r="AY12" s="71"/>
      <c r="AZ12" s="71"/>
      <c r="BA12" s="71"/>
      <c r="BB12" s="71"/>
      <c r="BC12" s="71"/>
      <c r="BD12" s="71"/>
      <c r="BE12" s="71"/>
      <c r="BF12" s="71"/>
      <c r="BG12" s="71"/>
      <c r="BH12" s="71"/>
      <c r="BI12" s="71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</row>
    <row r="13" spans="1:95" ht="36.75" customHeight="1" x14ac:dyDescent="0.2">
      <c r="A13" s="797"/>
      <c r="B13" s="798"/>
      <c r="C13" s="798"/>
      <c r="D13" s="798"/>
      <c r="E13" s="798"/>
      <c r="F13" s="799"/>
      <c r="G13" s="800"/>
      <c r="H13" s="798"/>
      <c r="I13" s="801"/>
      <c r="J13" s="801"/>
      <c r="K13" s="798"/>
      <c r="L13" s="800"/>
      <c r="M13" s="801"/>
      <c r="N13" s="801"/>
      <c r="O13" s="802"/>
      <c r="P13" s="798"/>
      <c r="Q13" s="71"/>
      <c r="R13" s="71"/>
      <c r="S13" s="533"/>
      <c r="T13" s="533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  <c r="AX13" s="71"/>
      <c r="AY13" s="71"/>
      <c r="AZ13" s="71"/>
      <c r="BA13" s="71"/>
      <c r="BB13" s="71"/>
      <c r="BC13" s="71"/>
      <c r="BD13" s="71"/>
      <c r="BE13" s="71"/>
      <c r="BF13" s="71"/>
      <c r="BG13" s="71"/>
      <c r="BH13" s="71"/>
      <c r="BI13" s="71"/>
      <c r="BJ13" s="71"/>
      <c r="BK13" s="71"/>
      <c r="BL13" s="71"/>
      <c r="BM13" s="71"/>
      <c r="BN13" s="71"/>
      <c r="BO13" s="71"/>
      <c r="BP13" s="71"/>
      <c r="BQ13" s="71"/>
      <c r="BR13" s="71"/>
      <c r="BS13" s="71"/>
      <c r="BT13" s="71"/>
    </row>
    <row r="14" spans="1:95" s="539" customFormat="1" ht="33" customHeight="1" x14ac:dyDescent="0.2">
      <c r="A14" s="546"/>
      <c r="B14" s="548"/>
      <c r="C14" s="548"/>
      <c r="D14" s="548" t="s">
        <v>2010</v>
      </c>
      <c r="E14" s="549"/>
      <c r="F14" s="550"/>
      <c r="G14" s="551"/>
      <c r="H14" s="552"/>
      <c r="I14" s="553"/>
      <c r="J14" s="553"/>
      <c r="K14" s="553"/>
      <c r="L14" s="706">
        <f>ROUND(L15+L27+L33+L46+L70+L78+L93+L96+L99+L110+L121+L130+L169+L191+L195+L209+L215+L260+L269+L279,2)</f>
        <v>664297.16</v>
      </c>
      <c r="M14" s="706">
        <f>ROUND(M15+M27+M33+M46+M70+M78+M93+M96+M99+M110+M121+M130+M169+M191+M195+M209+M215+M260+M269+M279,2)</f>
        <v>109582.54</v>
      </c>
      <c r="N14" s="706">
        <f>ROUND(N15+N27+N33+N46+N70+N78+N93+N96+N99+N110+N121+N130+N169+N191+N195+N209+N215+N260+N269+N279,2)-0.01</f>
        <v>529263.98</v>
      </c>
      <c r="O14" s="706">
        <f>ROUND(O15+O27+O33+O46+O70+O78+O93+O96+O99+O110+O121+O130+O169+O191+O195+O209+O215+O260+O269+O279,2)+0.02</f>
        <v>135033.16999999998</v>
      </c>
      <c r="P14" s="785">
        <f>N14/L14</f>
        <v>0.79672774756405695</v>
      </c>
      <c r="Q14" s="660"/>
      <c r="R14" s="490"/>
      <c r="S14" s="490"/>
      <c r="T14" s="490"/>
      <c r="U14" s="490"/>
      <c r="V14" s="490"/>
      <c r="W14" s="490"/>
      <c r="X14" s="490"/>
      <c r="Y14" s="490"/>
      <c r="Z14" s="490"/>
      <c r="AA14" s="490"/>
      <c r="AB14" s="490"/>
      <c r="AC14" s="490"/>
      <c r="AD14" s="490"/>
      <c r="AE14" s="490"/>
      <c r="AF14" s="490"/>
      <c r="AG14" s="490"/>
      <c r="AH14" s="490"/>
      <c r="AI14" s="490"/>
      <c r="AJ14" s="490"/>
      <c r="AK14" s="490"/>
      <c r="AL14" s="490"/>
      <c r="AM14" s="490"/>
      <c r="AN14" s="490"/>
      <c r="AO14" s="490"/>
      <c r="AP14" s="490"/>
      <c r="AQ14" s="490"/>
      <c r="AR14" s="490"/>
      <c r="AS14" s="490"/>
      <c r="AT14" s="490"/>
      <c r="AU14" s="490"/>
      <c r="AV14" s="490"/>
      <c r="AW14" s="490"/>
      <c r="AX14" s="490"/>
      <c r="AY14" s="490"/>
      <c r="AZ14" s="490"/>
      <c r="BA14" s="490"/>
      <c r="BB14" s="490"/>
      <c r="BC14" s="490"/>
      <c r="BD14" s="490"/>
      <c r="BE14" s="490"/>
      <c r="BF14" s="490"/>
      <c r="BG14" s="490"/>
      <c r="BH14" s="490"/>
      <c r="BI14" s="490"/>
      <c r="BJ14" s="490"/>
      <c r="BK14" s="490"/>
      <c r="BL14" s="490"/>
      <c r="BM14" s="490"/>
      <c r="BN14" s="490"/>
      <c r="BO14" s="490"/>
      <c r="BP14" s="490"/>
      <c r="BQ14" s="490"/>
      <c r="BR14" s="490"/>
      <c r="BS14" s="490"/>
      <c r="BT14" s="490"/>
      <c r="BU14" s="539">
        <v>9</v>
      </c>
      <c r="BV14" s="539">
        <v>8</v>
      </c>
      <c r="BW14" s="539">
        <v>7</v>
      </c>
      <c r="BX14" s="539">
        <v>6</v>
      </c>
      <c r="BY14" s="539">
        <v>5</v>
      </c>
      <c r="BZ14" s="539">
        <v>4</v>
      </c>
      <c r="CA14" s="539">
        <v>3</v>
      </c>
      <c r="CB14" s="539">
        <v>2</v>
      </c>
      <c r="CI14" s="539" t="s">
        <v>2023</v>
      </c>
    </row>
    <row r="15" spans="1:95" ht="15.75" x14ac:dyDescent="0.2">
      <c r="A15" s="600">
        <v>1</v>
      </c>
      <c r="B15" s="558"/>
      <c r="C15" s="558"/>
      <c r="D15" s="558" t="s">
        <v>9</v>
      </c>
      <c r="E15" s="626"/>
      <c r="F15" s="560"/>
      <c r="G15" s="565"/>
      <c r="H15" s="641"/>
      <c r="I15" s="563">
        <v>0</v>
      </c>
      <c r="J15" s="564"/>
      <c r="K15" s="563"/>
      <c r="L15" s="707">
        <f>SUM(L16:L26)</f>
        <v>32660.889999999992</v>
      </c>
      <c r="M15" s="707">
        <f>SUM(M16:M26)</f>
        <v>0</v>
      </c>
      <c r="N15" s="707">
        <f>SUM(N16:N26)</f>
        <v>32660.889999999992</v>
      </c>
      <c r="O15" s="717">
        <f>SUM(O16:O26)</f>
        <v>0</v>
      </c>
      <c r="P15" s="604">
        <f t="shared" ref="P15:P78" si="0">N15/L15</f>
        <v>1</v>
      </c>
      <c r="Q15" s="525">
        <f>I15-'[9]8'!I14</f>
        <v>0</v>
      </c>
      <c r="BT15" s="525"/>
      <c r="BU15" s="523"/>
      <c r="BV15" s="523"/>
      <c r="BW15" s="523"/>
      <c r="BX15" s="523"/>
      <c r="BY15" s="523">
        <v>0</v>
      </c>
      <c r="BZ15" s="523">
        <v>0</v>
      </c>
      <c r="CA15" s="523">
        <v>0</v>
      </c>
      <c r="CB15" s="523"/>
      <c r="CC15" s="523"/>
      <c r="CD15" s="523"/>
      <c r="CE15" s="523"/>
      <c r="CF15" s="523"/>
      <c r="CG15" s="523"/>
      <c r="CH15" s="523"/>
      <c r="CI15" s="523">
        <f>SUM(BU15:CH15)</f>
        <v>0</v>
      </c>
    </row>
    <row r="16" spans="1:95" ht="15" x14ac:dyDescent="0.2">
      <c r="A16" s="680" t="s">
        <v>10</v>
      </c>
      <c r="B16" s="569" t="s">
        <v>1328</v>
      </c>
      <c r="C16" s="569" t="s">
        <v>1324</v>
      </c>
      <c r="D16" s="569" t="s">
        <v>1329</v>
      </c>
      <c r="E16" s="681" t="s">
        <v>14</v>
      </c>
      <c r="F16" s="571"/>
      <c r="G16" s="682">
        <v>232.25</v>
      </c>
      <c r="H16" s="681">
        <v>10</v>
      </c>
      <c r="I16" s="573">
        <f>BU16</f>
        <v>0</v>
      </c>
      <c r="J16" s="574">
        <f>CI16</f>
        <v>10</v>
      </c>
      <c r="K16" s="573">
        <f>H16-J16</f>
        <v>0</v>
      </c>
      <c r="L16" s="708">
        <f>ROUND(H16*$G16,2)</f>
        <v>2322.5</v>
      </c>
      <c r="M16" s="708">
        <f t="shared" ref="M16:O26" si="1">ROUND(I16*$G16,2)</f>
        <v>0</v>
      </c>
      <c r="N16" s="708">
        <f t="shared" si="1"/>
        <v>2322.5</v>
      </c>
      <c r="O16" s="718">
        <f t="shared" si="1"/>
        <v>0</v>
      </c>
      <c r="P16" s="617">
        <f t="shared" si="0"/>
        <v>1</v>
      </c>
      <c r="Q16" s="525">
        <f>I16-'[9]8'!I15</f>
        <v>0</v>
      </c>
      <c r="BT16" s="525"/>
      <c r="BU16" s="523"/>
      <c r="BV16" s="523"/>
      <c r="BW16" s="523"/>
      <c r="BX16" s="523"/>
      <c r="BY16" s="523">
        <v>0</v>
      </c>
      <c r="BZ16" s="523">
        <v>0</v>
      </c>
      <c r="CA16" s="523">
        <v>0</v>
      </c>
      <c r="CB16" s="523">
        <v>0</v>
      </c>
      <c r="CC16" s="523">
        <v>10</v>
      </c>
      <c r="CD16" s="523"/>
      <c r="CE16" s="523"/>
      <c r="CF16" s="523"/>
      <c r="CG16" s="523"/>
      <c r="CH16" s="523"/>
      <c r="CI16" s="523">
        <f t="shared" ref="CI16:CI79" si="2">SUM(BU16:CH16)</f>
        <v>10</v>
      </c>
    </row>
    <row r="17" spans="1:87" ht="15" x14ac:dyDescent="0.2">
      <c r="A17" s="680" t="s">
        <v>1330</v>
      </c>
      <c r="B17" s="569" t="s">
        <v>1331</v>
      </c>
      <c r="C17" s="569" t="s">
        <v>1324</v>
      </c>
      <c r="D17" s="569" t="s">
        <v>1332</v>
      </c>
      <c r="E17" s="681" t="s">
        <v>14</v>
      </c>
      <c r="F17" s="644">
        <v>595.62</v>
      </c>
      <c r="G17" s="682">
        <v>39.78</v>
      </c>
      <c r="H17" s="681">
        <v>312.39999999999998</v>
      </c>
      <c r="I17" s="573">
        <f t="shared" ref="I17:I80" si="3">BU17</f>
        <v>0</v>
      </c>
      <c r="J17" s="574">
        <f t="shared" ref="J17:J80" si="4">CI17</f>
        <v>312.39999999999998</v>
      </c>
      <c r="K17" s="573">
        <f t="shared" ref="K17:K32" si="5">H17-J17</f>
        <v>0</v>
      </c>
      <c r="L17" s="708">
        <f t="shared" ref="L17:L26" si="6">ROUND(H17*$G17,2)</f>
        <v>12427.27</v>
      </c>
      <c r="M17" s="708">
        <f t="shared" si="1"/>
        <v>0</v>
      </c>
      <c r="N17" s="708">
        <f t="shared" si="1"/>
        <v>12427.27</v>
      </c>
      <c r="O17" s="718">
        <f t="shared" si="1"/>
        <v>0</v>
      </c>
      <c r="P17" s="617">
        <f t="shared" si="0"/>
        <v>1</v>
      </c>
      <c r="Q17" s="525">
        <f>I17-'[9]8'!I16</f>
        <v>0</v>
      </c>
      <c r="BT17" s="525"/>
      <c r="BU17" s="523"/>
      <c r="BV17" s="523"/>
      <c r="BW17" s="523"/>
      <c r="BX17" s="523"/>
      <c r="BY17" s="523">
        <v>0</v>
      </c>
      <c r="BZ17" s="523">
        <v>0</v>
      </c>
      <c r="CA17" s="523">
        <v>0</v>
      </c>
      <c r="CB17" s="523">
        <v>203.49999999999997</v>
      </c>
      <c r="CC17" s="523">
        <v>108.9</v>
      </c>
      <c r="CD17" s="523"/>
      <c r="CE17" s="523"/>
      <c r="CF17" s="523"/>
      <c r="CG17" s="523"/>
      <c r="CH17" s="523"/>
      <c r="CI17" s="523">
        <f t="shared" si="2"/>
        <v>312.39999999999998</v>
      </c>
    </row>
    <row r="18" spans="1:87" ht="30" x14ac:dyDescent="0.2">
      <c r="A18" s="680" t="s">
        <v>1333</v>
      </c>
      <c r="B18" s="569">
        <v>9540</v>
      </c>
      <c r="C18" s="569" t="s">
        <v>1324</v>
      </c>
      <c r="D18" s="569" t="s">
        <v>1334</v>
      </c>
      <c r="E18" s="681" t="s">
        <v>102</v>
      </c>
      <c r="F18" s="644">
        <v>256.73</v>
      </c>
      <c r="G18" s="682">
        <v>783.05</v>
      </c>
      <c r="H18" s="681">
        <v>1</v>
      </c>
      <c r="I18" s="573">
        <f t="shared" si="3"/>
        <v>0</v>
      </c>
      <c r="J18" s="574">
        <f t="shared" si="4"/>
        <v>1</v>
      </c>
      <c r="K18" s="573">
        <f t="shared" si="5"/>
        <v>0</v>
      </c>
      <c r="L18" s="708">
        <f t="shared" si="6"/>
        <v>783.05</v>
      </c>
      <c r="M18" s="708">
        <f t="shared" si="1"/>
        <v>0</v>
      </c>
      <c r="N18" s="708">
        <f t="shared" si="1"/>
        <v>783.05</v>
      </c>
      <c r="O18" s="718">
        <f t="shared" si="1"/>
        <v>0</v>
      </c>
      <c r="P18" s="617">
        <f t="shared" si="0"/>
        <v>1</v>
      </c>
      <c r="Q18" s="525">
        <f>I18-'[9]8'!I17</f>
        <v>0</v>
      </c>
      <c r="BT18" s="525"/>
      <c r="BU18" s="523"/>
      <c r="BV18" s="523"/>
      <c r="BW18" s="523"/>
      <c r="BX18" s="523"/>
      <c r="BY18" s="523">
        <v>0</v>
      </c>
      <c r="BZ18" s="523">
        <v>0</v>
      </c>
      <c r="CA18" s="523">
        <v>0</v>
      </c>
      <c r="CB18" s="523">
        <v>1</v>
      </c>
      <c r="CC18" s="523">
        <v>0</v>
      </c>
      <c r="CD18" s="523"/>
      <c r="CE18" s="523"/>
      <c r="CF18" s="523"/>
      <c r="CG18" s="523"/>
      <c r="CH18" s="523"/>
      <c r="CI18" s="523">
        <f t="shared" si="2"/>
        <v>1</v>
      </c>
    </row>
    <row r="19" spans="1:87" ht="15" x14ac:dyDescent="0.2">
      <c r="A19" s="680" t="s">
        <v>1335</v>
      </c>
      <c r="B19" s="569" t="s">
        <v>1336</v>
      </c>
      <c r="C19" s="569" t="s">
        <v>1324</v>
      </c>
      <c r="D19" s="569" t="s">
        <v>1337</v>
      </c>
      <c r="E19" s="681" t="s">
        <v>102</v>
      </c>
      <c r="F19" s="644">
        <v>49.62</v>
      </c>
      <c r="G19" s="682">
        <v>1344.39</v>
      </c>
      <c r="H19" s="681">
        <v>1</v>
      </c>
      <c r="I19" s="573">
        <f t="shared" si="3"/>
        <v>0</v>
      </c>
      <c r="J19" s="574">
        <f t="shared" si="4"/>
        <v>1</v>
      </c>
      <c r="K19" s="573">
        <f t="shared" si="5"/>
        <v>0</v>
      </c>
      <c r="L19" s="708">
        <f t="shared" si="6"/>
        <v>1344.39</v>
      </c>
      <c r="M19" s="708">
        <f t="shared" si="1"/>
        <v>0</v>
      </c>
      <c r="N19" s="708">
        <f t="shared" si="1"/>
        <v>1344.39</v>
      </c>
      <c r="O19" s="718">
        <f t="shared" si="1"/>
        <v>0</v>
      </c>
      <c r="P19" s="617">
        <f t="shared" si="0"/>
        <v>1</v>
      </c>
      <c r="Q19" s="525">
        <f>I19-'[9]8'!I18</f>
        <v>0</v>
      </c>
      <c r="BT19" s="525"/>
      <c r="BU19" s="523"/>
      <c r="BV19" s="523"/>
      <c r="BW19" s="523"/>
      <c r="BX19" s="523"/>
      <c r="BY19" s="523">
        <v>0</v>
      </c>
      <c r="BZ19" s="523">
        <v>0</v>
      </c>
      <c r="CA19" s="523">
        <v>0</v>
      </c>
      <c r="CB19" s="523">
        <v>1</v>
      </c>
      <c r="CC19" s="523">
        <v>0</v>
      </c>
      <c r="CD19" s="523"/>
      <c r="CE19" s="523"/>
      <c r="CF19" s="523"/>
      <c r="CG19" s="523"/>
      <c r="CH19" s="523"/>
      <c r="CI19" s="523">
        <f t="shared" si="2"/>
        <v>1</v>
      </c>
    </row>
    <row r="20" spans="1:87" ht="15" x14ac:dyDescent="0.2">
      <c r="A20" s="680" t="s">
        <v>1338</v>
      </c>
      <c r="B20" s="569" t="s">
        <v>2007</v>
      </c>
      <c r="C20" s="569" t="s">
        <v>1339</v>
      </c>
      <c r="D20" s="569" t="s">
        <v>1340</v>
      </c>
      <c r="E20" s="681" t="s">
        <v>102</v>
      </c>
      <c r="F20" s="644">
        <v>5.2</v>
      </c>
      <c r="G20" s="682">
        <v>823.61</v>
      </c>
      <c r="H20" s="681">
        <v>1</v>
      </c>
      <c r="I20" s="573">
        <f t="shared" si="3"/>
        <v>0</v>
      </c>
      <c r="J20" s="574">
        <f t="shared" si="4"/>
        <v>1</v>
      </c>
      <c r="K20" s="573">
        <f t="shared" si="5"/>
        <v>0</v>
      </c>
      <c r="L20" s="708">
        <f t="shared" si="6"/>
        <v>823.61</v>
      </c>
      <c r="M20" s="708">
        <f t="shared" si="1"/>
        <v>0</v>
      </c>
      <c r="N20" s="708">
        <f t="shared" si="1"/>
        <v>823.61</v>
      </c>
      <c r="O20" s="718">
        <f t="shared" si="1"/>
        <v>0</v>
      </c>
      <c r="P20" s="617">
        <f t="shared" si="0"/>
        <v>1</v>
      </c>
      <c r="Q20" s="525">
        <f>I20-'[9]8'!I19</f>
        <v>0</v>
      </c>
      <c r="BT20" s="525"/>
      <c r="BU20" s="523"/>
      <c r="BV20" s="523"/>
      <c r="BW20" s="523"/>
      <c r="BX20" s="523"/>
      <c r="BY20" s="523">
        <v>0</v>
      </c>
      <c r="BZ20" s="523">
        <v>0</v>
      </c>
      <c r="CA20" s="523">
        <v>0</v>
      </c>
      <c r="CB20" s="523">
        <v>1</v>
      </c>
      <c r="CC20" s="523">
        <v>0</v>
      </c>
      <c r="CD20" s="523"/>
      <c r="CE20" s="523"/>
      <c r="CF20" s="523"/>
      <c r="CG20" s="523"/>
      <c r="CH20" s="523"/>
      <c r="CI20" s="523">
        <f t="shared" si="2"/>
        <v>1</v>
      </c>
    </row>
    <row r="21" spans="1:87" ht="30" x14ac:dyDescent="0.2">
      <c r="A21" s="680" t="s">
        <v>1341</v>
      </c>
      <c r="B21" s="569" t="s">
        <v>1342</v>
      </c>
      <c r="C21" s="569" t="s">
        <v>1343</v>
      </c>
      <c r="D21" s="569" t="s">
        <v>1344</v>
      </c>
      <c r="E21" s="681" t="s">
        <v>102</v>
      </c>
      <c r="F21" s="578"/>
      <c r="G21" s="682">
        <v>174.71</v>
      </c>
      <c r="H21" s="681">
        <v>1</v>
      </c>
      <c r="I21" s="573">
        <f t="shared" si="3"/>
        <v>0</v>
      </c>
      <c r="J21" s="574">
        <f t="shared" si="4"/>
        <v>1</v>
      </c>
      <c r="K21" s="573">
        <f t="shared" si="5"/>
        <v>0</v>
      </c>
      <c r="L21" s="708">
        <f t="shared" si="6"/>
        <v>174.71</v>
      </c>
      <c r="M21" s="708">
        <f t="shared" si="1"/>
        <v>0</v>
      </c>
      <c r="N21" s="708">
        <f t="shared" si="1"/>
        <v>174.71</v>
      </c>
      <c r="O21" s="718">
        <f t="shared" si="1"/>
        <v>0</v>
      </c>
      <c r="P21" s="617">
        <f t="shared" si="0"/>
        <v>1</v>
      </c>
      <c r="Q21" s="525">
        <f>I21-'[9]8'!I20</f>
        <v>0</v>
      </c>
      <c r="R21" s="525"/>
      <c r="S21" s="525"/>
      <c r="T21" s="525"/>
      <c r="U21" s="525"/>
      <c r="V21" s="525"/>
      <c r="W21" s="525"/>
      <c r="X21" s="525"/>
      <c r="Y21" s="525"/>
      <c r="Z21" s="525"/>
      <c r="AA21" s="525"/>
      <c r="AB21" s="525"/>
      <c r="AC21" s="525"/>
      <c r="AD21" s="525"/>
      <c r="AE21" s="525"/>
      <c r="AF21" s="525"/>
      <c r="AG21" s="525"/>
      <c r="AH21" s="525"/>
      <c r="AI21" s="525"/>
      <c r="AJ21" s="525"/>
      <c r="AK21" s="525"/>
      <c r="AL21" s="525"/>
      <c r="AM21" s="525"/>
      <c r="AN21" s="525"/>
      <c r="AO21" s="525"/>
      <c r="AP21" s="525"/>
      <c r="AQ21" s="525"/>
      <c r="AR21" s="525"/>
      <c r="AS21" s="525"/>
      <c r="AT21" s="525"/>
      <c r="AU21" s="525"/>
      <c r="AV21" s="525"/>
      <c r="AW21" s="525"/>
      <c r="AX21" s="525"/>
      <c r="AY21" s="525"/>
      <c r="AZ21" s="525"/>
      <c r="BA21" s="525"/>
      <c r="BB21" s="525"/>
      <c r="BC21" s="525"/>
      <c r="BD21" s="525"/>
      <c r="BE21" s="525"/>
      <c r="BF21" s="525"/>
      <c r="BG21" s="525"/>
      <c r="BH21" s="525"/>
      <c r="BI21" s="525"/>
      <c r="BJ21" s="525"/>
      <c r="BK21" s="525"/>
      <c r="BL21" s="525"/>
      <c r="BM21" s="525"/>
      <c r="BN21" s="525"/>
      <c r="BO21" s="525"/>
      <c r="BP21" s="525"/>
      <c r="BQ21" s="525"/>
      <c r="BR21" s="525"/>
      <c r="BS21" s="525"/>
      <c r="BT21" s="525"/>
      <c r="BU21" s="523"/>
      <c r="BV21" s="523"/>
      <c r="BW21" s="523"/>
      <c r="BX21" s="523"/>
      <c r="BY21" s="523">
        <v>0</v>
      </c>
      <c r="BZ21" s="523">
        <v>0</v>
      </c>
      <c r="CA21" s="523">
        <v>0</v>
      </c>
      <c r="CB21" s="523">
        <v>1</v>
      </c>
      <c r="CC21" s="523">
        <v>0</v>
      </c>
      <c r="CD21" s="523"/>
      <c r="CE21" s="523"/>
      <c r="CF21" s="523"/>
      <c r="CG21" s="523"/>
      <c r="CH21" s="523"/>
      <c r="CI21" s="523">
        <f t="shared" si="2"/>
        <v>1</v>
      </c>
    </row>
    <row r="22" spans="1:87" ht="30" x14ac:dyDescent="0.2">
      <c r="A22" s="680" t="s">
        <v>1345</v>
      </c>
      <c r="B22" s="569" t="s">
        <v>1346</v>
      </c>
      <c r="C22" s="569" t="s">
        <v>1324</v>
      </c>
      <c r="D22" s="569" t="s">
        <v>1347</v>
      </c>
      <c r="E22" s="681" t="s">
        <v>102</v>
      </c>
      <c r="F22" s="571"/>
      <c r="G22" s="682">
        <v>1343.12</v>
      </c>
      <c r="H22" s="681">
        <v>1</v>
      </c>
      <c r="I22" s="573">
        <f t="shared" si="3"/>
        <v>0</v>
      </c>
      <c r="J22" s="574">
        <f t="shared" si="4"/>
        <v>1</v>
      </c>
      <c r="K22" s="573">
        <f t="shared" si="5"/>
        <v>0</v>
      </c>
      <c r="L22" s="708">
        <f t="shared" si="6"/>
        <v>1343.12</v>
      </c>
      <c r="M22" s="708">
        <f t="shared" si="1"/>
        <v>0</v>
      </c>
      <c r="N22" s="708">
        <f t="shared" si="1"/>
        <v>1343.12</v>
      </c>
      <c r="O22" s="718">
        <f t="shared" si="1"/>
        <v>0</v>
      </c>
      <c r="P22" s="617">
        <f t="shared" si="0"/>
        <v>1</v>
      </c>
      <c r="Q22" s="525">
        <f>I22-'[9]8'!I21</f>
        <v>0</v>
      </c>
      <c r="BT22" s="525"/>
      <c r="BU22" s="523"/>
      <c r="BV22" s="523"/>
      <c r="BW22" s="523"/>
      <c r="BX22" s="523"/>
      <c r="BY22" s="523">
        <v>0</v>
      </c>
      <c r="BZ22" s="523">
        <v>0</v>
      </c>
      <c r="CA22" s="523">
        <v>0</v>
      </c>
      <c r="CB22" s="523">
        <v>1</v>
      </c>
      <c r="CC22" s="523">
        <v>0</v>
      </c>
      <c r="CD22" s="523"/>
      <c r="CE22" s="523"/>
      <c r="CF22" s="523"/>
      <c r="CG22" s="523"/>
      <c r="CH22" s="523"/>
      <c r="CI22" s="523">
        <f t="shared" si="2"/>
        <v>1</v>
      </c>
    </row>
    <row r="23" spans="1:87" ht="15" x14ac:dyDescent="0.2">
      <c r="A23" s="680" t="s">
        <v>1348</v>
      </c>
      <c r="B23" s="569" t="s">
        <v>1349</v>
      </c>
      <c r="C23" s="569" t="s">
        <v>1324</v>
      </c>
      <c r="D23" s="569" t="s">
        <v>1350</v>
      </c>
      <c r="E23" s="681" t="s">
        <v>14</v>
      </c>
      <c r="F23" s="571"/>
      <c r="G23" s="682">
        <v>390.47</v>
      </c>
      <c r="H23" s="681">
        <v>20</v>
      </c>
      <c r="I23" s="573">
        <f t="shared" si="3"/>
        <v>0</v>
      </c>
      <c r="J23" s="574">
        <f t="shared" si="4"/>
        <v>20</v>
      </c>
      <c r="K23" s="573">
        <f t="shared" si="5"/>
        <v>0</v>
      </c>
      <c r="L23" s="708">
        <f t="shared" si="6"/>
        <v>7809.4</v>
      </c>
      <c r="M23" s="708">
        <f t="shared" si="1"/>
        <v>0</v>
      </c>
      <c r="N23" s="708">
        <f>ROUND(J23*$G23,2)</f>
        <v>7809.4</v>
      </c>
      <c r="O23" s="718">
        <f t="shared" si="1"/>
        <v>0</v>
      </c>
      <c r="P23" s="617">
        <f t="shared" si="0"/>
        <v>1</v>
      </c>
      <c r="Q23" s="525">
        <f>I23-'[9]8'!I22</f>
        <v>0</v>
      </c>
      <c r="BT23" s="525"/>
      <c r="BU23" s="523"/>
      <c r="BV23" s="523"/>
      <c r="BW23" s="523"/>
      <c r="BX23" s="523"/>
      <c r="BY23" s="523">
        <v>0</v>
      </c>
      <c r="BZ23" s="523">
        <v>0</v>
      </c>
      <c r="CA23" s="523">
        <v>0</v>
      </c>
      <c r="CB23" s="523">
        <v>10</v>
      </c>
      <c r="CC23" s="523">
        <v>10</v>
      </c>
      <c r="CD23" s="523"/>
      <c r="CE23" s="523"/>
      <c r="CF23" s="523"/>
      <c r="CG23" s="523"/>
      <c r="CH23" s="523"/>
      <c r="CI23" s="523">
        <f t="shared" si="2"/>
        <v>20</v>
      </c>
    </row>
    <row r="24" spans="1:87" ht="15" x14ac:dyDescent="0.2">
      <c r="A24" s="680" t="s">
        <v>1351</v>
      </c>
      <c r="B24" s="569" t="s">
        <v>1352</v>
      </c>
      <c r="C24" s="569" t="s">
        <v>1324</v>
      </c>
      <c r="D24" s="569" t="s">
        <v>1353</v>
      </c>
      <c r="E24" s="681" t="s">
        <v>14</v>
      </c>
      <c r="F24" s="644">
        <v>302.64</v>
      </c>
      <c r="G24" s="682">
        <v>4.0999999999999996</v>
      </c>
      <c r="H24" s="681">
        <v>785</v>
      </c>
      <c r="I24" s="573">
        <f t="shared" si="3"/>
        <v>0</v>
      </c>
      <c r="J24" s="574">
        <f t="shared" si="4"/>
        <v>785</v>
      </c>
      <c r="K24" s="573">
        <f t="shared" si="5"/>
        <v>0</v>
      </c>
      <c r="L24" s="708">
        <f t="shared" si="6"/>
        <v>3218.5</v>
      </c>
      <c r="M24" s="708">
        <f t="shared" si="1"/>
        <v>0</v>
      </c>
      <c r="N24" s="708">
        <f t="shared" si="1"/>
        <v>3218.5</v>
      </c>
      <c r="O24" s="718">
        <f t="shared" si="1"/>
        <v>0</v>
      </c>
      <c r="P24" s="617">
        <f t="shared" si="0"/>
        <v>1</v>
      </c>
      <c r="Q24" s="525">
        <f>I24-'[9]8'!I23</f>
        <v>0</v>
      </c>
      <c r="BT24" s="525"/>
      <c r="BU24" s="523"/>
      <c r="BV24" s="523"/>
      <c r="BW24" s="523"/>
      <c r="BX24" s="523"/>
      <c r="BY24" s="523">
        <v>0</v>
      </c>
      <c r="BZ24" s="523">
        <v>0</v>
      </c>
      <c r="CA24" s="523">
        <v>0</v>
      </c>
      <c r="CB24" s="523">
        <v>0</v>
      </c>
      <c r="CC24" s="523">
        <v>785</v>
      </c>
      <c r="CD24" s="523"/>
      <c r="CE24" s="523"/>
      <c r="CF24" s="523"/>
      <c r="CG24" s="523"/>
      <c r="CH24" s="523"/>
      <c r="CI24" s="523">
        <f t="shared" si="2"/>
        <v>785</v>
      </c>
    </row>
    <row r="25" spans="1:87" ht="31.5" customHeight="1" x14ac:dyDescent="0.2">
      <c r="A25" s="680" t="s">
        <v>1354</v>
      </c>
      <c r="B25" s="569" t="s">
        <v>1355</v>
      </c>
      <c r="C25" s="569" t="s">
        <v>1343</v>
      </c>
      <c r="D25" s="569" t="s">
        <v>1356</v>
      </c>
      <c r="E25" s="681" t="s">
        <v>81</v>
      </c>
      <c r="F25" s="644">
        <v>135.94</v>
      </c>
      <c r="G25" s="682">
        <v>46.26</v>
      </c>
      <c r="H25" s="681">
        <v>49</v>
      </c>
      <c r="I25" s="573">
        <f t="shared" si="3"/>
        <v>0</v>
      </c>
      <c r="J25" s="574">
        <f t="shared" si="4"/>
        <v>49</v>
      </c>
      <c r="K25" s="573">
        <f t="shared" si="5"/>
        <v>0</v>
      </c>
      <c r="L25" s="708">
        <f t="shared" si="6"/>
        <v>2266.7399999999998</v>
      </c>
      <c r="M25" s="708">
        <f t="shared" si="1"/>
        <v>0</v>
      </c>
      <c r="N25" s="708">
        <f t="shared" si="1"/>
        <v>2266.7399999999998</v>
      </c>
      <c r="O25" s="718">
        <f t="shared" si="1"/>
        <v>0</v>
      </c>
      <c r="P25" s="617">
        <f t="shared" si="0"/>
        <v>1</v>
      </c>
      <c r="Q25" s="525">
        <f>I25-'[9]8'!I24</f>
        <v>0</v>
      </c>
      <c r="BT25" s="525"/>
      <c r="BU25" s="523"/>
      <c r="BV25" s="523"/>
      <c r="BW25" s="523"/>
      <c r="BX25" s="523"/>
      <c r="BY25" s="523">
        <v>0</v>
      </c>
      <c r="BZ25" s="523">
        <v>0</v>
      </c>
      <c r="CA25" s="523">
        <v>0</v>
      </c>
      <c r="CB25" s="523">
        <v>0</v>
      </c>
      <c r="CC25" s="523">
        <v>49</v>
      </c>
      <c r="CD25" s="523"/>
      <c r="CE25" s="523"/>
      <c r="CF25" s="523"/>
      <c r="CG25" s="523"/>
      <c r="CH25" s="523"/>
      <c r="CI25" s="523">
        <f t="shared" si="2"/>
        <v>49</v>
      </c>
    </row>
    <row r="26" spans="1:87" s="790" customFormat="1" ht="15" x14ac:dyDescent="0.2">
      <c r="A26" s="680" t="s">
        <v>1357</v>
      </c>
      <c r="B26" s="569">
        <v>72213</v>
      </c>
      <c r="C26" s="569" t="s">
        <v>1324</v>
      </c>
      <c r="D26" s="569" t="s">
        <v>1358</v>
      </c>
      <c r="E26" s="681" t="s">
        <v>14</v>
      </c>
      <c r="F26" s="644">
        <v>5.86</v>
      </c>
      <c r="G26" s="682">
        <v>0.12</v>
      </c>
      <c r="H26" s="681">
        <v>1230</v>
      </c>
      <c r="I26" s="573">
        <f t="shared" si="3"/>
        <v>0</v>
      </c>
      <c r="J26" s="574">
        <f t="shared" si="4"/>
        <v>1230</v>
      </c>
      <c r="K26" s="573">
        <f t="shared" si="5"/>
        <v>0</v>
      </c>
      <c r="L26" s="708">
        <f t="shared" si="6"/>
        <v>147.6</v>
      </c>
      <c r="M26" s="708">
        <f t="shared" si="1"/>
        <v>0</v>
      </c>
      <c r="N26" s="708">
        <f t="shared" si="1"/>
        <v>147.6</v>
      </c>
      <c r="O26" s="718">
        <f t="shared" si="1"/>
        <v>0</v>
      </c>
      <c r="P26" s="617">
        <f t="shared" si="0"/>
        <v>1</v>
      </c>
      <c r="Q26" s="525">
        <f>I26-'[9]8'!I25</f>
        <v>0</v>
      </c>
      <c r="S26" s="190"/>
      <c r="T26" s="190"/>
      <c r="BT26" s="525"/>
      <c r="BU26" s="523"/>
      <c r="BV26" s="523"/>
      <c r="BW26" s="523"/>
      <c r="BX26" s="523"/>
      <c r="BY26" s="523">
        <v>0</v>
      </c>
      <c r="BZ26" s="523">
        <v>0</v>
      </c>
      <c r="CA26" s="523">
        <v>0</v>
      </c>
      <c r="CB26" s="523">
        <v>0</v>
      </c>
      <c r="CC26" s="523">
        <v>1230</v>
      </c>
      <c r="CD26" s="523"/>
      <c r="CE26" s="523"/>
      <c r="CF26" s="523"/>
      <c r="CG26" s="523"/>
      <c r="CH26" s="523"/>
      <c r="CI26" s="523">
        <f t="shared" si="2"/>
        <v>1230</v>
      </c>
    </row>
    <row r="27" spans="1:87" ht="15.75" x14ac:dyDescent="0.2">
      <c r="A27" s="600">
        <v>2</v>
      </c>
      <c r="B27" s="558"/>
      <c r="C27" s="558"/>
      <c r="D27" s="558" t="s">
        <v>1359</v>
      </c>
      <c r="E27" s="626"/>
      <c r="F27" s="560"/>
      <c r="G27" s="565"/>
      <c r="H27" s="565"/>
      <c r="I27" s="565"/>
      <c r="J27" s="565"/>
      <c r="K27" s="563"/>
      <c r="L27" s="709">
        <f>SUM(L28:L32)</f>
        <v>11015.16</v>
      </c>
      <c r="M27" s="728">
        <f>SUM(M28:M32)</f>
        <v>0</v>
      </c>
      <c r="N27" s="709">
        <f>SUM(N28:N32)</f>
        <v>11015.16</v>
      </c>
      <c r="O27" s="719">
        <f>SUM(O28:O32)</f>
        <v>0</v>
      </c>
      <c r="P27" s="604">
        <f t="shared" si="0"/>
        <v>1</v>
      </c>
      <c r="Q27" s="525">
        <f>I27-'[9]8'!I26</f>
        <v>0</v>
      </c>
      <c r="BT27" s="525"/>
      <c r="BU27" s="523"/>
      <c r="BV27" s="523"/>
      <c r="BW27" s="523"/>
      <c r="BX27" s="523"/>
      <c r="BY27" s="523">
        <v>0</v>
      </c>
      <c r="BZ27" s="523">
        <v>0</v>
      </c>
      <c r="CA27" s="523">
        <v>62.89</v>
      </c>
      <c r="CB27" s="523">
        <v>194.56</v>
      </c>
      <c r="CC27" s="523">
        <v>158.464</v>
      </c>
      <c r="CD27" s="523"/>
      <c r="CE27" s="523"/>
      <c r="CF27" s="523"/>
      <c r="CG27" s="523"/>
      <c r="CH27" s="523"/>
      <c r="CI27" s="523">
        <f t="shared" si="2"/>
        <v>415.91399999999999</v>
      </c>
    </row>
    <row r="28" spans="1:87" ht="15" x14ac:dyDescent="0.2">
      <c r="A28" s="680" t="s">
        <v>27</v>
      </c>
      <c r="B28" s="569">
        <v>55835</v>
      </c>
      <c r="C28" s="569" t="s">
        <v>1324</v>
      </c>
      <c r="D28" s="569" t="s">
        <v>1360</v>
      </c>
      <c r="E28" s="681" t="s">
        <v>48</v>
      </c>
      <c r="F28" s="571"/>
      <c r="G28" s="682">
        <v>29.27</v>
      </c>
      <c r="H28" s="681">
        <v>154.94</v>
      </c>
      <c r="I28" s="573">
        <f t="shared" si="3"/>
        <v>0</v>
      </c>
      <c r="J28" s="574">
        <f t="shared" si="4"/>
        <v>154.94</v>
      </c>
      <c r="K28" s="573">
        <f t="shared" si="5"/>
        <v>0</v>
      </c>
      <c r="L28" s="708">
        <f t="shared" ref="L28:O32" si="7">ROUND(H28*$G28,2)</f>
        <v>4535.09</v>
      </c>
      <c r="M28" s="708">
        <f t="shared" si="7"/>
        <v>0</v>
      </c>
      <c r="N28" s="708">
        <f t="shared" si="7"/>
        <v>4535.09</v>
      </c>
      <c r="O28" s="718">
        <f t="shared" si="7"/>
        <v>0</v>
      </c>
      <c r="P28" s="617">
        <f t="shared" si="0"/>
        <v>1</v>
      </c>
      <c r="Q28" s="525">
        <f>I28-'[9]8'!I27</f>
        <v>0</v>
      </c>
      <c r="BT28" s="525"/>
      <c r="BU28" s="523"/>
      <c r="BV28" s="523"/>
      <c r="BW28" s="523"/>
      <c r="BX28" s="523"/>
      <c r="BY28" s="523">
        <v>0</v>
      </c>
      <c r="BZ28" s="523">
        <v>0</v>
      </c>
      <c r="CA28" s="523">
        <v>0</v>
      </c>
      <c r="CB28" s="523">
        <v>154.94</v>
      </c>
      <c r="CC28" s="523">
        <v>0</v>
      </c>
      <c r="CD28" s="523"/>
      <c r="CE28" s="523"/>
      <c r="CF28" s="523"/>
      <c r="CG28" s="523"/>
      <c r="CH28" s="523"/>
      <c r="CI28" s="523">
        <f t="shared" si="2"/>
        <v>154.94</v>
      </c>
    </row>
    <row r="29" spans="1:87" ht="15" x14ac:dyDescent="0.2">
      <c r="A29" s="680" t="s">
        <v>1263</v>
      </c>
      <c r="B29" s="569">
        <v>79478</v>
      </c>
      <c r="C29" s="569" t="s">
        <v>1324</v>
      </c>
      <c r="D29" s="569" t="s">
        <v>1361</v>
      </c>
      <c r="E29" s="681" t="s">
        <v>48</v>
      </c>
      <c r="F29" s="644">
        <v>302.64</v>
      </c>
      <c r="G29" s="682">
        <v>46.94</v>
      </c>
      <c r="H29" s="681">
        <v>83.25</v>
      </c>
      <c r="I29" s="573">
        <f t="shared" si="3"/>
        <v>0</v>
      </c>
      <c r="J29" s="574">
        <f t="shared" si="4"/>
        <v>83.250000000000014</v>
      </c>
      <c r="K29" s="573">
        <f t="shared" si="5"/>
        <v>0</v>
      </c>
      <c r="L29" s="708">
        <f t="shared" si="7"/>
        <v>3907.76</v>
      </c>
      <c r="M29" s="708">
        <f t="shared" si="7"/>
        <v>0</v>
      </c>
      <c r="N29" s="708">
        <f t="shared" si="7"/>
        <v>3907.76</v>
      </c>
      <c r="O29" s="718">
        <f t="shared" si="7"/>
        <v>0</v>
      </c>
      <c r="P29" s="617">
        <f t="shared" si="0"/>
        <v>1</v>
      </c>
      <c r="Q29" s="525">
        <f>I29-'[9]8'!I28</f>
        <v>0</v>
      </c>
      <c r="BT29" s="525"/>
      <c r="BU29" s="523"/>
      <c r="BV29" s="523"/>
      <c r="BW29" s="523"/>
      <c r="BX29" s="523"/>
      <c r="BY29" s="523">
        <v>0</v>
      </c>
      <c r="BZ29" s="523">
        <v>0</v>
      </c>
      <c r="CA29" s="523">
        <v>0</v>
      </c>
      <c r="CB29" s="523">
        <v>16.650000000000006</v>
      </c>
      <c r="CC29" s="523">
        <v>66.600000000000009</v>
      </c>
      <c r="CD29" s="523"/>
      <c r="CE29" s="523"/>
      <c r="CF29" s="523"/>
      <c r="CG29" s="523"/>
      <c r="CH29" s="523"/>
      <c r="CI29" s="523">
        <f t="shared" si="2"/>
        <v>83.250000000000014</v>
      </c>
    </row>
    <row r="30" spans="1:87" ht="15" x14ac:dyDescent="0.2">
      <c r="A30" s="680" t="s">
        <v>1362</v>
      </c>
      <c r="B30" s="569">
        <v>79483</v>
      </c>
      <c r="C30" s="569" t="s">
        <v>1324</v>
      </c>
      <c r="D30" s="569" t="s">
        <v>1363</v>
      </c>
      <c r="E30" s="681" t="s">
        <v>14</v>
      </c>
      <c r="F30" s="644">
        <v>135.94</v>
      </c>
      <c r="G30" s="682">
        <v>5.4</v>
      </c>
      <c r="H30" s="681">
        <v>114.83</v>
      </c>
      <c r="I30" s="573">
        <f t="shared" si="3"/>
        <v>0</v>
      </c>
      <c r="J30" s="574">
        <f t="shared" si="4"/>
        <v>114.83</v>
      </c>
      <c r="K30" s="581">
        <f t="shared" si="5"/>
        <v>0</v>
      </c>
      <c r="L30" s="708">
        <f t="shared" si="7"/>
        <v>620.08000000000004</v>
      </c>
      <c r="M30" s="729">
        <f t="shared" si="7"/>
        <v>0</v>
      </c>
      <c r="N30" s="708">
        <f t="shared" si="7"/>
        <v>620.08000000000004</v>
      </c>
      <c r="O30" s="718">
        <f t="shared" si="7"/>
        <v>0</v>
      </c>
      <c r="P30" s="617">
        <f t="shared" si="0"/>
        <v>1</v>
      </c>
      <c r="Q30" s="525">
        <f>I30-'[9]8'!I29</f>
        <v>0</v>
      </c>
      <c r="BT30" s="525"/>
      <c r="BU30" s="523"/>
      <c r="BV30" s="523"/>
      <c r="BW30" s="523"/>
      <c r="BX30" s="523"/>
      <c r="BY30" s="523">
        <v>-4.0000000000000001E-3</v>
      </c>
      <c r="BZ30" s="523">
        <v>0</v>
      </c>
      <c r="CA30" s="523">
        <v>0</v>
      </c>
      <c r="CB30" s="523">
        <v>22.97</v>
      </c>
      <c r="CC30" s="523">
        <v>91.864000000000004</v>
      </c>
      <c r="CD30" s="523"/>
      <c r="CE30" s="523"/>
      <c r="CF30" s="523"/>
      <c r="CG30" s="523"/>
      <c r="CH30" s="523"/>
      <c r="CI30" s="523">
        <f t="shared" si="2"/>
        <v>114.83</v>
      </c>
    </row>
    <row r="31" spans="1:87" ht="15" x14ac:dyDescent="0.2">
      <c r="A31" s="680" t="s">
        <v>1364</v>
      </c>
      <c r="B31" s="569">
        <v>53527</v>
      </c>
      <c r="C31" s="569" t="s">
        <v>1324</v>
      </c>
      <c r="D31" s="569" t="s">
        <v>1365</v>
      </c>
      <c r="E31" s="681" t="s">
        <v>48</v>
      </c>
      <c r="F31" s="644">
        <v>5.86</v>
      </c>
      <c r="G31" s="682">
        <v>20.57</v>
      </c>
      <c r="H31" s="681">
        <v>62.89</v>
      </c>
      <c r="I31" s="573">
        <f t="shared" si="3"/>
        <v>0</v>
      </c>
      <c r="J31" s="574">
        <f t="shared" si="4"/>
        <v>62.89</v>
      </c>
      <c r="K31" s="573">
        <f t="shared" si="5"/>
        <v>0</v>
      </c>
      <c r="L31" s="708">
        <f t="shared" si="7"/>
        <v>1293.6500000000001</v>
      </c>
      <c r="M31" s="708">
        <f t="shared" si="7"/>
        <v>0</v>
      </c>
      <c r="N31" s="708">
        <f t="shared" si="7"/>
        <v>1293.6500000000001</v>
      </c>
      <c r="O31" s="718">
        <f t="shared" si="7"/>
        <v>0</v>
      </c>
      <c r="P31" s="617">
        <f t="shared" si="0"/>
        <v>1</v>
      </c>
      <c r="Q31" s="525">
        <f>I31-'[9]8'!I30</f>
        <v>0</v>
      </c>
      <c r="BT31" s="525"/>
      <c r="BU31" s="523"/>
      <c r="BV31" s="523"/>
      <c r="BW31" s="523"/>
      <c r="BX31" s="523"/>
      <c r="BY31" s="523">
        <v>0</v>
      </c>
      <c r="BZ31" s="523">
        <v>0</v>
      </c>
      <c r="CA31" s="523">
        <v>62.89</v>
      </c>
      <c r="CB31" s="523"/>
      <c r="CC31" s="523">
        <v>0</v>
      </c>
      <c r="CD31" s="523"/>
      <c r="CE31" s="523"/>
      <c r="CF31" s="523"/>
      <c r="CG31" s="523"/>
      <c r="CH31" s="523"/>
      <c r="CI31" s="523">
        <f t="shared" si="2"/>
        <v>62.89</v>
      </c>
    </row>
    <row r="32" spans="1:87" s="790" customFormat="1" ht="15" x14ac:dyDescent="0.2">
      <c r="A32" s="680" t="s">
        <v>1366</v>
      </c>
      <c r="B32" s="569">
        <v>55835</v>
      </c>
      <c r="C32" s="569" t="s">
        <v>1324</v>
      </c>
      <c r="D32" s="569" t="s">
        <v>1367</v>
      </c>
      <c r="E32" s="681" t="s">
        <v>48</v>
      </c>
      <c r="F32" s="644">
        <v>59.37</v>
      </c>
      <c r="G32" s="682">
        <v>29.27</v>
      </c>
      <c r="H32" s="681">
        <v>22.5</v>
      </c>
      <c r="I32" s="573">
        <f t="shared" si="3"/>
        <v>0</v>
      </c>
      <c r="J32" s="574">
        <f t="shared" si="4"/>
        <v>22.5</v>
      </c>
      <c r="K32" s="573">
        <f t="shared" si="5"/>
        <v>0</v>
      </c>
      <c r="L32" s="708">
        <f t="shared" si="7"/>
        <v>658.58</v>
      </c>
      <c r="M32" s="708">
        <f t="shared" si="7"/>
        <v>0</v>
      </c>
      <c r="N32" s="708">
        <f t="shared" si="7"/>
        <v>658.58</v>
      </c>
      <c r="O32" s="718">
        <f t="shared" si="7"/>
        <v>0</v>
      </c>
      <c r="P32" s="617">
        <f t="shared" si="0"/>
        <v>1</v>
      </c>
      <c r="Q32" s="525">
        <f>I32-'[9]8'!I31</f>
        <v>-5.625</v>
      </c>
      <c r="S32" s="190"/>
      <c r="T32" s="190"/>
      <c r="BT32" s="525"/>
      <c r="BU32" s="659"/>
      <c r="BV32" s="523">
        <v>5.625</v>
      </c>
      <c r="BW32" s="523">
        <v>16.875</v>
      </c>
      <c r="BX32" s="523"/>
      <c r="BY32" s="523">
        <v>0</v>
      </c>
      <c r="BZ32" s="523">
        <v>0</v>
      </c>
      <c r="CA32" s="523">
        <v>0</v>
      </c>
      <c r="CB32" s="523">
        <v>0</v>
      </c>
      <c r="CC32" s="523">
        <v>0</v>
      </c>
      <c r="CD32" s="523"/>
      <c r="CE32" s="523"/>
      <c r="CF32" s="523"/>
      <c r="CG32" s="523"/>
      <c r="CH32" s="523"/>
      <c r="CI32" s="523">
        <f t="shared" si="2"/>
        <v>22.5</v>
      </c>
    </row>
    <row r="33" spans="1:87" s="790" customFormat="1" ht="15.75" x14ac:dyDescent="0.2">
      <c r="A33" s="600">
        <v>3</v>
      </c>
      <c r="B33" s="558"/>
      <c r="C33" s="558"/>
      <c r="D33" s="558" t="s">
        <v>1368</v>
      </c>
      <c r="E33" s="626"/>
      <c r="F33" s="560"/>
      <c r="G33" s="565"/>
      <c r="H33" s="565"/>
      <c r="I33" s="565"/>
      <c r="J33" s="565"/>
      <c r="K33" s="565"/>
      <c r="L33" s="709">
        <f>SUM(L34,L40)</f>
        <v>35418.720000000001</v>
      </c>
      <c r="M33" s="730">
        <f>SUM(M34,M40)</f>
        <v>0</v>
      </c>
      <c r="N33" s="709">
        <f>SUM(N34,N40)</f>
        <v>35418.720000000001</v>
      </c>
      <c r="O33" s="719">
        <f>SUM(O34,O40)</f>
        <v>0</v>
      </c>
      <c r="P33" s="604">
        <f t="shared" si="0"/>
        <v>1</v>
      </c>
      <c r="Q33" s="525">
        <f>I33-'[9]8'!I32</f>
        <v>0</v>
      </c>
      <c r="S33" s="190"/>
      <c r="T33" s="190"/>
      <c r="BT33" s="525"/>
      <c r="BU33" s="523"/>
      <c r="BV33" s="523"/>
      <c r="BW33" s="523"/>
      <c r="BX33" s="523"/>
      <c r="BY33" s="523">
        <v>0</v>
      </c>
      <c r="BZ33" s="523">
        <v>0</v>
      </c>
      <c r="CA33" s="523">
        <v>679.56999999999994</v>
      </c>
      <c r="CB33" s="523">
        <v>504.28000000000003</v>
      </c>
      <c r="CC33" s="523">
        <v>727.32</v>
      </c>
      <c r="CD33" s="523"/>
      <c r="CE33" s="523"/>
      <c r="CF33" s="523"/>
      <c r="CG33" s="523"/>
      <c r="CH33" s="523"/>
      <c r="CI33" s="523">
        <f t="shared" si="2"/>
        <v>1911.17</v>
      </c>
    </row>
    <row r="34" spans="1:87" ht="15.75" x14ac:dyDescent="0.2">
      <c r="A34" s="605" t="s">
        <v>41</v>
      </c>
      <c r="B34" s="586"/>
      <c r="C34" s="586"/>
      <c r="D34" s="586" t="s">
        <v>1369</v>
      </c>
      <c r="E34" s="683"/>
      <c r="F34" s="588"/>
      <c r="G34" s="590"/>
      <c r="H34" s="590"/>
      <c r="I34" s="590"/>
      <c r="J34" s="590"/>
      <c r="K34" s="590"/>
      <c r="L34" s="710">
        <f>SUM(L35:L39)</f>
        <v>16448.150000000001</v>
      </c>
      <c r="M34" s="731">
        <f>SUM(M35:M39)</f>
        <v>0</v>
      </c>
      <c r="N34" s="710">
        <f>SUM(N35:N39)</f>
        <v>16448.150000000001</v>
      </c>
      <c r="O34" s="720">
        <f>SUM(O35:O39)</f>
        <v>0</v>
      </c>
      <c r="P34" s="611">
        <f t="shared" si="0"/>
        <v>1</v>
      </c>
      <c r="Q34" s="525">
        <f>I34-'[9]8'!I33</f>
        <v>0</v>
      </c>
      <c r="BT34" s="525"/>
      <c r="BU34" s="523"/>
      <c r="BV34" s="523"/>
      <c r="BW34" s="523"/>
      <c r="BX34" s="523"/>
      <c r="BY34" s="523">
        <v>0</v>
      </c>
      <c r="BZ34" s="523">
        <v>0</v>
      </c>
      <c r="CA34" s="523">
        <v>0</v>
      </c>
      <c r="CB34" s="523">
        <v>504.28000000000003</v>
      </c>
      <c r="CC34" s="523">
        <v>727.32</v>
      </c>
      <c r="CD34" s="523"/>
      <c r="CE34" s="523"/>
      <c r="CF34" s="523"/>
      <c r="CG34" s="523"/>
      <c r="CH34" s="523"/>
      <c r="CI34" s="523">
        <f t="shared" si="2"/>
        <v>1231.6000000000001</v>
      </c>
    </row>
    <row r="35" spans="1:87" ht="15.75" x14ac:dyDescent="0.2">
      <c r="A35" s="684" t="s">
        <v>43</v>
      </c>
      <c r="B35" s="569">
        <v>83532</v>
      </c>
      <c r="C35" s="569" t="s">
        <v>1324</v>
      </c>
      <c r="D35" s="569" t="s">
        <v>1370</v>
      </c>
      <c r="E35" s="681" t="s">
        <v>48</v>
      </c>
      <c r="F35" s="571"/>
      <c r="G35" s="682">
        <v>19.86</v>
      </c>
      <c r="H35" s="685">
        <v>3.77</v>
      </c>
      <c r="I35" s="573">
        <f t="shared" si="3"/>
        <v>0</v>
      </c>
      <c r="J35" s="574">
        <f t="shared" si="4"/>
        <v>3.77</v>
      </c>
      <c r="K35" s="573">
        <f t="shared" ref="K35:K45" si="8">H35-J35</f>
        <v>0</v>
      </c>
      <c r="L35" s="708">
        <f t="shared" ref="L35:O39" si="9">ROUND(H35*$G35,2)</f>
        <v>74.87</v>
      </c>
      <c r="M35" s="708">
        <f t="shared" si="9"/>
        <v>0</v>
      </c>
      <c r="N35" s="708">
        <f t="shared" si="9"/>
        <v>74.87</v>
      </c>
      <c r="O35" s="718">
        <f t="shared" si="9"/>
        <v>0</v>
      </c>
      <c r="P35" s="617">
        <f t="shared" si="0"/>
        <v>1</v>
      </c>
      <c r="Q35" s="525">
        <f>I35-'[9]8'!I34</f>
        <v>0</v>
      </c>
      <c r="BT35" s="525"/>
      <c r="BU35" s="523"/>
      <c r="BV35" s="523"/>
      <c r="BW35" s="523"/>
      <c r="BX35" s="523"/>
      <c r="BY35" s="523">
        <v>0</v>
      </c>
      <c r="BZ35" s="523">
        <v>0</v>
      </c>
      <c r="CA35" s="523">
        <v>0</v>
      </c>
      <c r="CB35" s="523">
        <v>3.77</v>
      </c>
      <c r="CC35" s="523">
        <v>0</v>
      </c>
      <c r="CD35" s="523"/>
      <c r="CE35" s="523"/>
      <c r="CF35" s="523"/>
      <c r="CG35" s="523"/>
      <c r="CH35" s="523"/>
      <c r="CI35" s="523">
        <f t="shared" si="2"/>
        <v>3.77</v>
      </c>
    </row>
    <row r="36" spans="1:87" ht="15.75" x14ac:dyDescent="0.2">
      <c r="A36" s="684" t="s">
        <v>45</v>
      </c>
      <c r="B36" s="569">
        <v>5970</v>
      </c>
      <c r="C36" s="569" t="s">
        <v>1324</v>
      </c>
      <c r="D36" s="569" t="s">
        <v>1371</v>
      </c>
      <c r="E36" s="681" t="s">
        <v>14</v>
      </c>
      <c r="F36" s="644">
        <v>60.66</v>
      </c>
      <c r="G36" s="682">
        <v>93.42</v>
      </c>
      <c r="H36" s="685">
        <v>63.02</v>
      </c>
      <c r="I36" s="573">
        <f t="shared" si="3"/>
        <v>0</v>
      </c>
      <c r="J36" s="574">
        <f t="shared" si="4"/>
        <v>63.019999999999996</v>
      </c>
      <c r="K36" s="581">
        <f t="shared" si="8"/>
        <v>0</v>
      </c>
      <c r="L36" s="708">
        <f t="shared" si="9"/>
        <v>5887.33</v>
      </c>
      <c r="M36" s="732">
        <f t="shared" si="9"/>
        <v>0</v>
      </c>
      <c r="N36" s="708">
        <f t="shared" si="9"/>
        <v>5887.33</v>
      </c>
      <c r="O36" s="718">
        <f t="shared" si="9"/>
        <v>0</v>
      </c>
      <c r="P36" s="617">
        <f t="shared" si="0"/>
        <v>1</v>
      </c>
      <c r="Q36" s="525">
        <f>I36-'[9]8'!I35</f>
        <v>0</v>
      </c>
      <c r="BT36" s="525"/>
      <c r="BU36" s="523"/>
      <c r="BV36" s="523"/>
      <c r="BW36" s="523"/>
      <c r="BX36" s="523"/>
      <c r="BY36" s="523">
        <v>-2E-3</v>
      </c>
      <c r="BZ36" s="523">
        <v>0</v>
      </c>
      <c r="CA36" s="523">
        <v>0</v>
      </c>
      <c r="CB36" s="523">
        <v>25.21</v>
      </c>
      <c r="CC36" s="523">
        <v>37.811999999999998</v>
      </c>
      <c r="CD36" s="523"/>
      <c r="CE36" s="523"/>
      <c r="CF36" s="523"/>
      <c r="CG36" s="523"/>
      <c r="CH36" s="523"/>
      <c r="CI36" s="523">
        <f t="shared" si="2"/>
        <v>63.019999999999996</v>
      </c>
    </row>
    <row r="37" spans="1:87" ht="15.75" x14ac:dyDescent="0.2">
      <c r="A37" s="684" t="s">
        <v>47</v>
      </c>
      <c r="B37" s="569">
        <v>92793</v>
      </c>
      <c r="C37" s="569" t="s">
        <v>1324</v>
      </c>
      <c r="D37" s="569" t="s">
        <v>1372</v>
      </c>
      <c r="E37" s="681" t="s">
        <v>35</v>
      </c>
      <c r="F37" s="644">
        <v>5.86</v>
      </c>
      <c r="G37" s="682">
        <v>4.6500000000000004</v>
      </c>
      <c r="H37" s="685">
        <v>1094.27</v>
      </c>
      <c r="I37" s="573">
        <f t="shared" si="3"/>
        <v>0</v>
      </c>
      <c r="J37" s="574">
        <f t="shared" si="4"/>
        <v>1094.27</v>
      </c>
      <c r="K37" s="581">
        <f t="shared" si="8"/>
        <v>0</v>
      </c>
      <c r="L37" s="708">
        <f t="shared" si="9"/>
        <v>5088.3599999999997</v>
      </c>
      <c r="M37" s="729">
        <f t="shared" si="9"/>
        <v>0</v>
      </c>
      <c r="N37" s="708">
        <f t="shared" si="9"/>
        <v>5088.3599999999997</v>
      </c>
      <c r="O37" s="718">
        <f t="shared" si="9"/>
        <v>0</v>
      </c>
      <c r="P37" s="617">
        <f t="shared" si="0"/>
        <v>1</v>
      </c>
      <c r="Q37" s="525">
        <f>I37-'[9]8'!I36</f>
        <v>0</v>
      </c>
      <c r="BT37" s="525"/>
      <c r="BU37" s="523"/>
      <c r="BV37" s="523"/>
      <c r="BW37" s="523"/>
      <c r="BX37" s="523"/>
      <c r="BY37" s="523">
        <v>-2E-3</v>
      </c>
      <c r="BZ37" s="532">
        <v>0</v>
      </c>
      <c r="CA37" s="532">
        <v>0</v>
      </c>
      <c r="CB37" s="523">
        <v>437.71000000000004</v>
      </c>
      <c r="CC37" s="523">
        <v>656.56200000000001</v>
      </c>
      <c r="CD37" s="523"/>
      <c r="CE37" s="523"/>
      <c r="CF37" s="523"/>
      <c r="CG37" s="523"/>
      <c r="CH37" s="523"/>
      <c r="CI37" s="523">
        <f t="shared" si="2"/>
        <v>1094.27</v>
      </c>
    </row>
    <row r="38" spans="1:87" ht="15.75" x14ac:dyDescent="0.2">
      <c r="A38" s="684" t="s">
        <v>49</v>
      </c>
      <c r="B38" s="569">
        <v>92791</v>
      </c>
      <c r="C38" s="569" t="s">
        <v>1324</v>
      </c>
      <c r="D38" s="569" t="s">
        <v>1373</v>
      </c>
      <c r="E38" s="681" t="s">
        <v>35</v>
      </c>
      <c r="F38" s="644">
        <v>302.64</v>
      </c>
      <c r="G38" s="682">
        <v>6.11</v>
      </c>
      <c r="H38" s="685">
        <v>54.91</v>
      </c>
      <c r="I38" s="573">
        <f t="shared" si="3"/>
        <v>0</v>
      </c>
      <c r="J38" s="574">
        <f t="shared" si="4"/>
        <v>54.91</v>
      </c>
      <c r="K38" s="596">
        <f t="shared" si="8"/>
        <v>0</v>
      </c>
      <c r="L38" s="708">
        <f t="shared" si="9"/>
        <v>335.5</v>
      </c>
      <c r="M38" s="729">
        <f t="shared" si="9"/>
        <v>0</v>
      </c>
      <c r="N38" s="708">
        <f t="shared" si="9"/>
        <v>335.5</v>
      </c>
      <c r="O38" s="718">
        <f t="shared" si="9"/>
        <v>0</v>
      </c>
      <c r="P38" s="617">
        <f t="shared" si="0"/>
        <v>1</v>
      </c>
      <c r="Q38" s="525">
        <f>I38-'[9]8'!I37</f>
        <v>0</v>
      </c>
      <c r="BT38" s="525"/>
      <c r="BU38" s="523"/>
      <c r="BV38" s="523"/>
      <c r="BW38" s="523"/>
      <c r="BX38" s="523"/>
      <c r="BY38" s="523">
        <v>4.0000000000000001E-3</v>
      </c>
      <c r="BZ38" s="532">
        <v>0</v>
      </c>
      <c r="CA38" s="532">
        <v>0</v>
      </c>
      <c r="CB38" s="523">
        <v>21.959999999999994</v>
      </c>
      <c r="CC38" s="523">
        <v>32.945999999999998</v>
      </c>
      <c r="CD38" s="523"/>
      <c r="CE38" s="523"/>
      <c r="CF38" s="523"/>
      <c r="CG38" s="523"/>
      <c r="CH38" s="523"/>
      <c r="CI38" s="523">
        <f t="shared" si="2"/>
        <v>54.91</v>
      </c>
    </row>
    <row r="39" spans="1:87" s="790" customFormat="1" ht="15.75" x14ac:dyDescent="0.2">
      <c r="A39" s="684" t="s">
        <v>1374</v>
      </c>
      <c r="B39" s="569">
        <v>92720</v>
      </c>
      <c r="C39" s="569" t="s">
        <v>1324</v>
      </c>
      <c r="D39" s="569" t="s">
        <v>1375</v>
      </c>
      <c r="E39" s="681" t="s">
        <v>48</v>
      </c>
      <c r="F39" s="644">
        <v>135.94</v>
      </c>
      <c r="G39" s="682">
        <v>323.87</v>
      </c>
      <c r="H39" s="685">
        <v>15.63</v>
      </c>
      <c r="I39" s="573">
        <f t="shared" si="3"/>
        <v>0</v>
      </c>
      <c r="J39" s="574">
        <f t="shared" si="4"/>
        <v>15.63</v>
      </c>
      <c r="K39" s="573">
        <f t="shared" si="8"/>
        <v>0</v>
      </c>
      <c r="L39" s="708">
        <f t="shared" si="9"/>
        <v>5062.09</v>
      </c>
      <c r="M39" s="708">
        <f t="shared" si="9"/>
        <v>0</v>
      </c>
      <c r="N39" s="708">
        <f t="shared" si="9"/>
        <v>5062.09</v>
      </c>
      <c r="O39" s="718">
        <f t="shared" si="9"/>
        <v>0</v>
      </c>
      <c r="P39" s="617">
        <f t="shared" si="0"/>
        <v>1</v>
      </c>
      <c r="Q39" s="525">
        <f>I39-'[9]8'!I38</f>
        <v>0</v>
      </c>
      <c r="S39" s="190"/>
      <c r="T39" s="190"/>
      <c r="BT39" s="525"/>
      <c r="BU39" s="523"/>
      <c r="BV39" s="523"/>
      <c r="BW39" s="523"/>
      <c r="BX39" s="523"/>
      <c r="BY39" s="523">
        <v>0</v>
      </c>
      <c r="BZ39" s="523">
        <v>0</v>
      </c>
      <c r="CA39" s="523">
        <v>0</v>
      </c>
      <c r="CB39" s="523">
        <v>15.63</v>
      </c>
      <c r="CC39" s="523">
        <v>0</v>
      </c>
      <c r="CD39" s="523"/>
      <c r="CE39" s="523"/>
      <c r="CF39" s="523"/>
      <c r="CG39" s="523"/>
      <c r="CH39" s="523"/>
      <c r="CI39" s="523">
        <f t="shared" si="2"/>
        <v>15.63</v>
      </c>
    </row>
    <row r="40" spans="1:87" ht="15.75" x14ac:dyDescent="0.2">
      <c r="A40" s="605" t="s">
        <v>50</v>
      </c>
      <c r="B40" s="586"/>
      <c r="C40" s="586"/>
      <c r="D40" s="586" t="s">
        <v>1376</v>
      </c>
      <c r="E40" s="683"/>
      <c r="F40" s="588"/>
      <c r="G40" s="590"/>
      <c r="H40" s="686"/>
      <c r="I40" s="598">
        <f t="shared" si="3"/>
        <v>0</v>
      </c>
      <c r="J40" s="599"/>
      <c r="K40" s="598">
        <v>0</v>
      </c>
      <c r="L40" s="710">
        <f>SUM(L41:L45)</f>
        <v>18970.57</v>
      </c>
      <c r="M40" s="710">
        <f>SUM(M41:M45)</f>
        <v>0</v>
      </c>
      <c r="N40" s="710">
        <f>SUM(N41:N45)</f>
        <v>18970.57</v>
      </c>
      <c r="O40" s="720">
        <f>SUM(O41:O45)</f>
        <v>0</v>
      </c>
      <c r="P40" s="611">
        <f t="shared" si="0"/>
        <v>1</v>
      </c>
      <c r="Q40" s="525">
        <f>I40-'[9]8'!I39</f>
        <v>0</v>
      </c>
      <c r="BT40" s="525"/>
      <c r="BU40" s="523"/>
      <c r="BV40" s="523"/>
      <c r="BW40" s="523"/>
      <c r="BX40" s="523"/>
      <c r="BY40" s="523">
        <v>0</v>
      </c>
      <c r="BZ40" s="523">
        <v>0</v>
      </c>
      <c r="CA40" s="523">
        <v>679.56999999999994</v>
      </c>
      <c r="CB40" s="523">
        <v>0</v>
      </c>
      <c r="CC40" s="523">
        <v>0</v>
      </c>
      <c r="CD40" s="523"/>
      <c r="CE40" s="523"/>
      <c r="CF40" s="523"/>
      <c r="CG40" s="523"/>
      <c r="CH40" s="523"/>
      <c r="CI40" s="523">
        <f t="shared" si="2"/>
        <v>679.56999999999994</v>
      </c>
    </row>
    <row r="41" spans="1:87" ht="15" x14ac:dyDescent="0.2">
      <c r="A41" s="680" t="s">
        <v>52</v>
      </c>
      <c r="B41" s="569">
        <v>83532</v>
      </c>
      <c r="C41" s="569" t="s">
        <v>1324</v>
      </c>
      <c r="D41" s="569" t="s">
        <v>1370</v>
      </c>
      <c r="E41" s="681" t="s">
        <v>48</v>
      </c>
      <c r="F41" s="644">
        <v>60.66</v>
      </c>
      <c r="G41" s="682">
        <v>19.86</v>
      </c>
      <c r="H41" s="685">
        <v>2.58</v>
      </c>
      <c r="I41" s="573">
        <f t="shared" si="3"/>
        <v>0</v>
      </c>
      <c r="J41" s="574">
        <f t="shared" si="4"/>
        <v>2.58</v>
      </c>
      <c r="K41" s="573">
        <f t="shared" si="8"/>
        <v>0</v>
      </c>
      <c r="L41" s="708">
        <f t="shared" ref="L41:O45" si="10">ROUND(H41*$G41,2)</f>
        <v>51.24</v>
      </c>
      <c r="M41" s="708">
        <f t="shared" si="10"/>
        <v>0</v>
      </c>
      <c r="N41" s="708">
        <f t="shared" si="10"/>
        <v>51.24</v>
      </c>
      <c r="O41" s="718">
        <f t="shared" si="10"/>
        <v>0</v>
      </c>
      <c r="P41" s="617">
        <f t="shared" si="0"/>
        <v>1</v>
      </c>
      <c r="Q41" s="525">
        <f>I41-'[9]8'!I40</f>
        <v>0</v>
      </c>
      <c r="BT41" s="525"/>
      <c r="BU41" s="523"/>
      <c r="BV41" s="523"/>
      <c r="BW41" s="523"/>
      <c r="BX41" s="523"/>
      <c r="BY41" s="523">
        <v>0</v>
      </c>
      <c r="BZ41" s="523">
        <v>0</v>
      </c>
      <c r="CA41" s="523">
        <v>2.58</v>
      </c>
      <c r="CB41" s="523">
        <v>0</v>
      </c>
      <c r="CC41" s="523">
        <v>0</v>
      </c>
      <c r="CD41" s="523"/>
      <c r="CE41" s="523"/>
      <c r="CF41" s="523"/>
      <c r="CG41" s="523"/>
      <c r="CH41" s="523"/>
      <c r="CI41" s="523">
        <f t="shared" si="2"/>
        <v>2.58</v>
      </c>
    </row>
    <row r="42" spans="1:87" ht="15" x14ac:dyDescent="0.2">
      <c r="A42" s="680" t="s">
        <v>53</v>
      </c>
      <c r="B42" s="569">
        <v>5970</v>
      </c>
      <c r="C42" s="569" t="s">
        <v>1324</v>
      </c>
      <c r="D42" s="569" t="s">
        <v>1371</v>
      </c>
      <c r="E42" s="681" t="s">
        <v>14</v>
      </c>
      <c r="F42" s="644">
        <v>5.86</v>
      </c>
      <c r="G42" s="682">
        <v>93.42</v>
      </c>
      <c r="H42" s="685">
        <v>139.57</v>
      </c>
      <c r="I42" s="573">
        <f t="shared" si="3"/>
        <v>0</v>
      </c>
      <c r="J42" s="574">
        <f t="shared" si="4"/>
        <v>139.57</v>
      </c>
      <c r="K42" s="573">
        <f t="shared" si="8"/>
        <v>0</v>
      </c>
      <c r="L42" s="708">
        <f t="shared" si="10"/>
        <v>13038.63</v>
      </c>
      <c r="M42" s="708">
        <f t="shared" si="10"/>
        <v>0</v>
      </c>
      <c r="N42" s="708">
        <f t="shared" si="10"/>
        <v>13038.63</v>
      </c>
      <c r="O42" s="718">
        <f t="shared" si="10"/>
        <v>0</v>
      </c>
      <c r="P42" s="617">
        <f t="shared" si="0"/>
        <v>1</v>
      </c>
      <c r="Q42" s="525">
        <f>I42-'[9]8'!I41</f>
        <v>0</v>
      </c>
      <c r="BT42" s="525"/>
      <c r="BU42" s="523"/>
      <c r="BV42" s="523"/>
      <c r="BW42" s="523"/>
      <c r="BX42" s="523"/>
      <c r="BY42" s="523">
        <v>0</v>
      </c>
      <c r="BZ42" s="523">
        <v>0</v>
      </c>
      <c r="CA42" s="523">
        <v>139.57</v>
      </c>
      <c r="CB42" s="523">
        <v>0</v>
      </c>
      <c r="CC42" s="523">
        <v>0</v>
      </c>
      <c r="CD42" s="523"/>
      <c r="CE42" s="523"/>
      <c r="CF42" s="523"/>
      <c r="CG42" s="523"/>
      <c r="CH42" s="523"/>
      <c r="CI42" s="523">
        <f t="shared" si="2"/>
        <v>139.57</v>
      </c>
    </row>
    <row r="43" spans="1:87" ht="15" x14ac:dyDescent="0.2">
      <c r="A43" s="680" t="s">
        <v>54</v>
      </c>
      <c r="B43" s="569">
        <v>92793</v>
      </c>
      <c r="C43" s="569" t="s">
        <v>1324</v>
      </c>
      <c r="D43" s="569" t="s">
        <v>1372</v>
      </c>
      <c r="E43" s="681" t="s">
        <v>35</v>
      </c>
      <c r="F43" s="644">
        <v>302.64</v>
      </c>
      <c r="G43" s="682">
        <v>4.6500000000000004</v>
      </c>
      <c r="H43" s="685">
        <v>389.64</v>
      </c>
      <c r="I43" s="573">
        <f t="shared" si="3"/>
        <v>0</v>
      </c>
      <c r="J43" s="574">
        <f t="shared" si="4"/>
        <v>389.64</v>
      </c>
      <c r="K43" s="573">
        <f t="shared" si="8"/>
        <v>0</v>
      </c>
      <c r="L43" s="708">
        <f t="shared" si="10"/>
        <v>1811.83</v>
      </c>
      <c r="M43" s="708">
        <f t="shared" si="10"/>
        <v>0</v>
      </c>
      <c r="N43" s="708">
        <f t="shared" si="10"/>
        <v>1811.83</v>
      </c>
      <c r="O43" s="718">
        <f t="shared" si="10"/>
        <v>0</v>
      </c>
      <c r="P43" s="617">
        <f t="shared" si="0"/>
        <v>1</v>
      </c>
      <c r="Q43" s="525">
        <f>I43-'[9]8'!I42</f>
        <v>0</v>
      </c>
      <c r="S43" s="189">
        <v>0</v>
      </c>
      <c r="T43" s="189">
        <v>137.72999999999999</v>
      </c>
      <c r="BT43" s="525"/>
      <c r="BU43" s="523"/>
      <c r="BV43" s="523"/>
      <c r="BW43" s="523"/>
      <c r="BX43" s="523"/>
      <c r="BY43" s="523">
        <v>0</v>
      </c>
      <c r="BZ43" s="523">
        <v>0</v>
      </c>
      <c r="CA43" s="523">
        <v>389.64</v>
      </c>
      <c r="CB43" s="523">
        <v>0</v>
      </c>
      <c r="CC43" s="523">
        <v>0</v>
      </c>
      <c r="CD43" s="523"/>
      <c r="CE43" s="523"/>
      <c r="CF43" s="523"/>
      <c r="CG43" s="523"/>
      <c r="CH43" s="523"/>
      <c r="CI43" s="523">
        <f t="shared" si="2"/>
        <v>389.64</v>
      </c>
    </row>
    <row r="44" spans="1:87" ht="15" x14ac:dyDescent="0.2">
      <c r="A44" s="680" t="s">
        <v>55</v>
      </c>
      <c r="B44" s="569">
        <v>92791</v>
      </c>
      <c r="C44" s="569" t="s">
        <v>1324</v>
      </c>
      <c r="D44" s="569" t="s">
        <v>1373</v>
      </c>
      <c r="E44" s="681" t="s">
        <v>35</v>
      </c>
      <c r="F44" s="644">
        <v>135.94</v>
      </c>
      <c r="G44" s="682">
        <v>5.91</v>
      </c>
      <c r="H44" s="685">
        <v>137.72999999999999</v>
      </c>
      <c r="I44" s="573">
        <f t="shared" si="3"/>
        <v>0</v>
      </c>
      <c r="J44" s="574">
        <f t="shared" si="4"/>
        <v>137.72999999999999</v>
      </c>
      <c r="K44" s="573">
        <f t="shared" si="8"/>
        <v>0</v>
      </c>
      <c r="L44" s="708">
        <f t="shared" si="10"/>
        <v>813.98</v>
      </c>
      <c r="M44" s="708">
        <f t="shared" si="10"/>
        <v>0</v>
      </c>
      <c r="N44" s="708">
        <f t="shared" si="10"/>
        <v>813.98</v>
      </c>
      <c r="O44" s="718">
        <f t="shared" si="10"/>
        <v>0</v>
      </c>
      <c r="P44" s="617">
        <f t="shared" si="0"/>
        <v>1</v>
      </c>
      <c r="Q44" s="525">
        <f>I44-'[9]8'!I43</f>
        <v>0</v>
      </c>
      <c r="S44" s="189">
        <v>0</v>
      </c>
      <c r="T44" s="189">
        <v>10.050000000000001</v>
      </c>
      <c r="BT44" s="525"/>
      <c r="BU44" s="523"/>
      <c r="BV44" s="523"/>
      <c r="BW44" s="523"/>
      <c r="BX44" s="523"/>
      <c r="BY44" s="523">
        <v>0</v>
      </c>
      <c r="BZ44" s="523">
        <v>0</v>
      </c>
      <c r="CA44" s="523">
        <v>137.72999999999999</v>
      </c>
      <c r="CB44" s="523">
        <v>0</v>
      </c>
      <c r="CC44" s="523">
        <v>0</v>
      </c>
      <c r="CD44" s="523"/>
      <c r="CE44" s="523"/>
      <c r="CF44" s="523"/>
      <c r="CG44" s="523"/>
      <c r="CH44" s="523"/>
      <c r="CI44" s="523">
        <f t="shared" si="2"/>
        <v>137.72999999999999</v>
      </c>
    </row>
    <row r="45" spans="1:87" s="789" customFormat="1" ht="15" x14ac:dyDescent="0.2">
      <c r="A45" s="680" t="s">
        <v>1377</v>
      </c>
      <c r="B45" s="569">
        <v>92720</v>
      </c>
      <c r="C45" s="569" t="s">
        <v>1324</v>
      </c>
      <c r="D45" s="569" t="s">
        <v>1375</v>
      </c>
      <c r="E45" s="681" t="s">
        <v>48</v>
      </c>
      <c r="F45" s="571"/>
      <c r="G45" s="682">
        <v>323.87</v>
      </c>
      <c r="H45" s="685">
        <v>10.050000000000001</v>
      </c>
      <c r="I45" s="573">
        <f t="shared" si="3"/>
        <v>0</v>
      </c>
      <c r="J45" s="574">
        <f t="shared" si="4"/>
        <v>10.050000000000001</v>
      </c>
      <c r="K45" s="573">
        <f t="shared" si="8"/>
        <v>0</v>
      </c>
      <c r="L45" s="708">
        <f t="shared" si="10"/>
        <v>3254.89</v>
      </c>
      <c r="M45" s="708">
        <f t="shared" si="10"/>
        <v>0</v>
      </c>
      <c r="N45" s="708">
        <f t="shared" si="10"/>
        <v>3254.89</v>
      </c>
      <c r="O45" s="718">
        <f t="shared" si="10"/>
        <v>0</v>
      </c>
      <c r="P45" s="617">
        <f t="shared" si="0"/>
        <v>1</v>
      </c>
      <c r="Q45" s="525">
        <f>I45-'[9]8'!I44</f>
        <v>0</v>
      </c>
      <c r="S45" s="191">
        <v>0</v>
      </c>
      <c r="T45" s="191">
        <v>0</v>
      </c>
      <c r="BT45" s="525"/>
      <c r="BU45" s="523"/>
      <c r="BV45" s="523"/>
      <c r="BW45" s="523"/>
      <c r="BX45" s="523"/>
      <c r="BY45" s="523">
        <v>0</v>
      </c>
      <c r="BZ45" s="523">
        <v>0</v>
      </c>
      <c r="CA45" s="523">
        <v>10.050000000000001</v>
      </c>
      <c r="CB45" s="523">
        <v>0</v>
      </c>
      <c r="CC45" s="523">
        <v>0</v>
      </c>
      <c r="CD45" s="523"/>
      <c r="CE45" s="523"/>
      <c r="CF45" s="523"/>
      <c r="CG45" s="523"/>
      <c r="CH45" s="523"/>
      <c r="CI45" s="523">
        <f t="shared" si="2"/>
        <v>10.050000000000001</v>
      </c>
    </row>
    <row r="46" spans="1:87" s="789" customFormat="1" ht="15.75" x14ac:dyDescent="0.2">
      <c r="A46" s="600">
        <v>4</v>
      </c>
      <c r="B46" s="601"/>
      <c r="C46" s="601"/>
      <c r="D46" s="602" t="s">
        <v>1378</v>
      </c>
      <c r="E46" s="626"/>
      <c r="F46" s="560"/>
      <c r="G46" s="565"/>
      <c r="H46" s="641"/>
      <c r="I46" s="563">
        <f t="shared" si="3"/>
        <v>0</v>
      </c>
      <c r="J46" s="564"/>
      <c r="K46" s="563"/>
      <c r="L46" s="628">
        <f>SUM(L47,L52,L58,L63,L68)</f>
        <v>88897.260000000009</v>
      </c>
      <c r="M46" s="628">
        <f>SUM(M47,M52,M58,M63,M68)</f>
        <v>23465.25</v>
      </c>
      <c r="N46" s="628">
        <f>SUM(N47,N52,N58,N63,N68)</f>
        <v>88897.260000000009</v>
      </c>
      <c r="O46" s="721">
        <f>SUM(O47,O52,O58,O63,O68)</f>
        <v>0</v>
      </c>
      <c r="P46" s="604">
        <f t="shared" si="0"/>
        <v>1</v>
      </c>
      <c r="Q46" s="525">
        <f>I46-'[9]8'!I45</f>
        <v>0</v>
      </c>
      <c r="S46" s="191">
        <v>0</v>
      </c>
      <c r="T46" s="191">
        <v>0</v>
      </c>
      <c r="BT46" s="525"/>
      <c r="BU46" s="523"/>
      <c r="BV46" s="523"/>
      <c r="BW46" s="523"/>
      <c r="BX46" s="523"/>
      <c r="BY46" s="523">
        <v>0</v>
      </c>
      <c r="BZ46" s="523">
        <v>354.95380799999998</v>
      </c>
      <c r="CA46" s="523"/>
      <c r="CB46" s="523"/>
      <c r="CC46" s="523"/>
      <c r="CD46" s="523"/>
      <c r="CE46" s="523"/>
      <c r="CF46" s="523"/>
      <c r="CG46" s="523"/>
      <c r="CH46" s="523"/>
      <c r="CI46" s="523">
        <f t="shared" si="2"/>
        <v>354.95380799999998</v>
      </c>
    </row>
    <row r="47" spans="1:87" s="110" customFormat="1" ht="15.75" x14ac:dyDescent="0.2">
      <c r="A47" s="605" t="s">
        <v>74</v>
      </c>
      <c r="B47" s="606"/>
      <c r="C47" s="606"/>
      <c r="D47" s="607" t="s">
        <v>1379</v>
      </c>
      <c r="E47" s="608"/>
      <c r="F47" s="683">
        <f>SUM(F48:F51)</f>
        <v>499.24</v>
      </c>
      <c r="G47" s="609"/>
      <c r="H47" s="608"/>
      <c r="I47" s="599">
        <f t="shared" si="3"/>
        <v>0</v>
      </c>
      <c r="J47" s="599"/>
      <c r="K47" s="599">
        <v>0</v>
      </c>
      <c r="L47" s="710">
        <f>SUM(L48:L51)</f>
        <v>17368.48</v>
      </c>
      <c r="M47" s="710">
        <f>SUM(M48:M51)</f>
        <v>0</v>
      </c>
      <c r="N47" s="710">
        <f>SUM(N48:N51)</f>
        <v>17368.48</v>
      </c>
      <c r="O47" s="720">
        <f>SUM(O48:O51)</f>
        <v>0</v>
      </c>
      <c r="P47" s="611">
        <f t="shared" si="0"/>
        <v>1</v>
      </c>
      <c r="Q47" s="525">
        <f>I47-'[9]8'!I46</f>
        <v>0</v>
      </c>
      <c r="S47" s="192">
        <v>22.81</v>
      </c>
      <c r="T47" s="192">
        <v>126.72</v>
      </c>
      <c r="BT47" s="525"/>
      <c r="BU47" s="523"/>
      <c r="BV47" s="523"/>
      <c r="BW47" s="523"/>
      <c r="BX47" s="523"/>
      <c r="BY47" s="523">
        <v>0</v>
      </c>
      <c r="BZ47" s="523">
        <v>132.10999999999999</v>
      </c>
      <c r="CA47" s="523"/>
      <c r="CB47" s="523"/>
      <c r="CC47" s="523"/>
      <c r="CD47" s="523"/>
      <c r="CE47" s="523"/>
      <c r="CF47" s="523"/>
      <c r="CG47" s="523"/>
      <c r="CH47" s="523"/>
      <c r="CI47" s="523">
        <f t="shared" si="2"/>
        <v>132.10999999999999</v>
      </c>
    </row>
    <row r="48" spans="1:87" s="110" customFormat="1" ht="15" x14ac:dyDescent="0.2">
      <c r="A48" s="745" t="s">
        <v>76</v>
      </c>
      <c r="B48" s="613">
        <v>92448</v>
      </c>
      <c r="C48" s="613" t="s">
        <v>1324</v>
      </c>
      <c r="D48" s="614" t="s">
        <v>1380</v>
      </c>
      <c r="E48" s="615" t="s">
        <v>14</v>
      </c>
      <c r="F48" s="644">
        <v>302.64</v>
      </c>
      <c r="G48" s="616">
        <v>93.42</v>
      </c>
      <c r="H48" s="615">
        <v>126.72</v>
      </c>
      <c r="I48" s="573">
        <f t="shared" si="3"/>
        <v>0</v>
      </c>
      <c r="J48" s="574">
        <f t="shared" si="4"/>
        <v>126.72</v>
      </c>
      <c r="K48" s="573">
        <f t="shared" ref="K48:K69" si="11">H48-J48</f>
        <v>0</v>
      </c>
      <c r="L48" s="708">
        <f t="shared" ref="L48:O51" si="12">ROUND(H48*$G48,2)</f>
        <v>11838.18</v>
      </c>
      <c r="M48" s="708">
        <f t="shared" si="12"/>
        <v>0</v>
      </c>
      <c r="N48" s="708">
        <f t="shared" si="12"/>
        <v>11838.18</v>
      </c>
      <c r="O48" s="718">
        <f t="shared" si="12"/>
        <v>0</v>
      </c>
      <c r="P48" s="617">
        <f t="shared" si="0"/>
        <v>1</v>
      </c>
      <c r="Q48" s="525">
        <f>I48-'[9]8'!I47</f>
        <v>0</v>
      </c>
      <c r="S48" s="192">
        <v>78.55</v>
      </c>
      <c r="T48" s="192">
        <v>428.55</v>
      </c>
      <c r="BT48" s="525"/>
      <c r="BU48" s="523"/>
      <c r="BV48" s="523"/>
      <c r="BW48" s="523"/>
      <c r="BX48" s="523"/>
      <c r="BY48" s="523">
        <v>22.809799999999996</v>
      </c>
      <c r="BZ48" s="523">
        <v>103.9102</v>
      </c>
      <c r="CA48" s="523">
        <v>0</v>
      </c>
      <c r="CB48" s="523">
        <v>0</v>
      </c>
      <c r="CC48" s="523"/>
      <c r="CD48" s="523"/>
      <c r="CE48" s="523"/>
      <c r="CF48" s="523"/>
      <c r="CG48" s="523"/>
      <c r="CH48" s="523"/>
      <c r="CI48" s="523">
        <f t="shared" si="2"/>
        <v>126.72</v>
      </c>
    </row>
    <row r="49" spans="1:87" s="110" customFormat="1" ht="15" x14ac:dyDescent="0.2">
      <c r="A49" s="745" t="s">
        <v>79</v>
      </c>
      <c r="B49" s="613">
        <v>92793</v>
      </c>
      <c r="C49" s="613" t="s">
        <v>1324</v>
      </c>
      <c r="D49" s="614" t="s">
        <v>1372</v>
      </c>
      <c r="E49" s="615" t="s">
        <v>35</v>
      </c>
      <c r="F49" s="644">
        <v>135.94</v>
      </c>
      <c r="G49" s="616">
        <v>4.6500000000000004</v>
      </c>
      <c r="H49" s="615">
        <v>428.55</v>
      </c>
      <c r="I49" s="573">
        <f t="shared" si="3"/>
        <v>0</v>
      </c>
      <c r="J49" s="574">
        <f t="shared" si="4"/>
        <v>428.55</v>
      </c>
      <c r="K49" s="573">
        <f t="shared" si="11"/>
        <v>0</v>
      </c>
      <c r="L49" s="708">
        <f t="shared" si="12"/>
        <v>1992.76</v>
      </c>
      <c r="M49" s="708">
        <f t="shared" si="12"/>
        <v>0</v>
      </c>
      <c r="N49" s="708">
        <f t="shared" si="12"/>
        <v>1992.76</v>
      </c>
      <c r="O49" s="718">
        <f t="shared" si="12"/>
        <v>0</v>
      </c>
      <c r="P49" s="617">
        <f t="shared" si="0"/>
        <v>1</v>
      </c>
      <c r="Q49" s="525">
        <f>I49-'[9]8'!I48</f>
        <v>0</v>
      </c>
      <c r="S49" s="192">
        <v>23.16</v>
      </c>
      <c r="T49" s="192">
        <v>127.36</v>
      </c>
      <c r="BT49" s="525"/>
      <c r="BU49" s="523"/>
      <c r="BV49" s="523"/>
      <c r="BW49" s="523"/>
      <c r="BX49" s="523">
        <v>21.35</v>
      </c>
      <c r="BY49" s="523">
        <v>57.2</v>
      </c>
      <c r="BZ49" s="523">
        <v>0</v>
      </c>
      <c r="CA49" s="523">
        <v>350</v>
      </c>
      <c r="CB49" s="523">
        <v>0</v>
      </c>
      <c r="CC49" s="523"/>
      <c r="CD49" s="523"/>
      <c r="CE49" s="523"/>
      <c r="CF49" s="523"/>
      <c r="CG49" s="523"/>
      <c r="CH49" s="523"/>
      <c r="CI49" s="523">
        <f t="shared" si="2"/>
        <v>428.55</v>
      </c>
    </row>
    <row r="50" spans="1:87" s="110" customFormat="1" ht="15" x14ac:dyDescent="0.2">
      <c r="A50" s="745" t="s">
        <v>83</v>
      </c>
      <c r="B50" s="613">
        <v>92791</v>
      </c>
      <c r="C50" s="613" t="s">
        <v>1324</v>
      </c>
      <c r="D50" s="614" t="s">
        <v>1373</v>
      </c>
      <c r="E50" s="615" t="s">
        <v>35</v>
      </c>
      <c r="F50" s="571"/>
      <c r="G50" s="616">
        <v>6.11</v>
      </c>
      <c r="H50" s="615">
        <v>127.36</v>
      </c>
      <c r="I50" s="573">
        <f t="shared" si="3"/>
        <v>0</v>
      </c>
      <c r="J50" s="574">
        <f t="shared" si="4"/>
        <v>127.36</v>
      </c>
      <c r="K50" s="573">
        <f t="shared" si="11"/>
        <v>0</v>
      </c>
      <c r="L50" s="708">
        <f t="shared" si="12"/>
        <v>778.17</v>
      </c>
      <c r="M50" s="708">
        <f t="shared" si="12"/>
        <v>0</v>
      </c>
      <c r="N50" s="708">
        <f t="shared" si="12"/>
        <v>778.17</v>
      </c>
      <c r="O50" s="718">
        <f t="shared" si="12"/>
        <v>0</v>
      </c>
      <c r="P50" s="617">
        <f t="shared" si="0"/>
        <v>1</v>
      </c>
      <c r="Q50" s="525">
        <f>I50-'[9]8'!I49</f>
        <v>0</v>
      </c>
      <c r="S50" s="192">
        <v>4.5199999999999996</v>
      </c>
      <c r="T50" s="192">
        <v>8.52</v>
      </c>
      <c r="BT50" s="525"/>
      <c r="BU50" s="523"/>
      <c r="BV50" s="523"/>
      <c r="BW50" s="523"/>
      <c r="BX50" s="523">
        <v>6.31</v>
      </c>
      <c r="BY50" s="523">
        <v>16.850000000000001</v>
      </c>
      <c r="BZ50" s="523">
        <v>24.2</v>
      </c>
      <c r="CA50" s="523">
        <v>80</v>
      </c>
      <c r="CB50" s="523">
        <v>0</v>
      </c>
      <c r="CC50" s="523"/>
      <c r="CD50" s="523"/>
      <c r="CE50" s="523"/>
      <c r="CF50" s="523"/>
      <c r="CG50" s="523"/>
      <c r="CH50" s="523"/>
      <c r="CI50" s="523">
        <f t="shared" si="2"/>
        <v>127.36</v>
      </c>
    </row>
    <row r="51" spans="1:87" s="789" customFormat="1" ht="15" x14ac:dyDescent="0.2">
      <c r="A51" s="745" t="s">
        <v>86</v>
      </c>
      <c r="B51" s="613">
        <v>92720</v>
      </c>
      <c r="C51" s="613" t="s">
        <v>1324</v>
      </c>
      <c r="D51" s="614" t="s">
        <v>1375</v>
      </c>
      <c r="E51" s="615" t="s">
        <v>48</v>
      </c>
      <c r="F51" s="644">
        <v>60.66</v>
      </c>
      <c r="G51" s="616">
        <v>323.87</v>
      </c>
      <c r="H51" s="615">
        <v>8.52</v>
      </c>
      <c r="I51" s="573">
        <f t="shared" si="3"/>
        <v>0</v>
      </c>
      <c r="J51" s="574">
        <f t="shared" si="4"/>
        <v>8.52</v>
      </c>
      <c r="K51" s="573">
        <f t="shared" si="11"/>
        <v>0</v>
      </c>
      <c r="L51" s="708">
        <f t="shared" si="12"/>
        <v>2759.37</v>
      </c>
      <c r="M51" s="708">
        <f t="shared" si="12"/>
        <v>0</v>
      </c>
      <c r="N51" s="708">
        <f t="shared" si="12"/>
        <v>2759.37</v>
      </c>
      <c r="O51" s="718">
        <f t="shared" si="12"/>
        <v>0</v>
      </c>
      <c r="P51" s="617">
        <f t="shared" si="0"/>
        <v>1</v>
      </c>
      <c r="Q51" s="525">
        <f>I51-'[9]8'!I50</f>
        <v>0</v>
      </c>
      <c r="S51" s="191">
        <v>0</v>
      </c>
      <c r="T51" s="191">
        <v>0</v>
      </c>
      <c r="BT51" s="525"/>
      <c r="BU51" s="523"/>
      <c r="BV51" s="523"/>
      <c r="BW51" s="523"/>
      <c r="BX51" s="523">
        <v>1.7</v>
      </c>
      <c r="BY51" s="523">
        <v>2.82</v>
      </c>
      <c r="BZ51" s="523">
        <v>4</v>
      </c>
      <c r="CA51" s="523">
        <v>0</v>
      </c>
      <c r="CB51" s="523">
        <v>0</v>
      </c>
      <c r="CC51" s="523"/>
      <c r="CD51" s="523"/>
      <c r="CE51" s="523"/>
      <c r="CF51" s="523"/>
      <c r="CG51" s="523"/>
      <c r="CH51" s="523"/>
      <c r="CI51" s="523">
        <f t="shared" si="2"/>
        <v>8.52</v>
      </c>
    </row>
    <row r="52" spans="1:87" s="110" customFormat="1" ht="15.75" x14ac:dyDescent="0.2">
      <c r="A52" s="605" t="s">
        <v>1381</v>
      </c>
      <c r="B52" s="606"/>
      <c r="C52" s="606"/>
      <c r="D52" s="607" t="s">
        <v>1382</v>
      </c>
      <c r="E52" s="609"/>
      <c r="F52" s="687"/>
      <c r="G52" s="609"/>
      <c r="H52" s="609"/>
      <c r="I52" s="609"/>
      <c r="J52" s="610"/>
      <c r="K52" s="610"/>
      <c r="L52" s="711">
        <f>SUM(L53:L57)</f>
        <v>33356.590000000004</v>
      </c>
      <c r="M52" s="711">
        <f>SUM(M53:M57)</f>
        <v>0</v>
      </c>
      <c r="N52" s="711">
        <f>SUM(N53:N57)</f>
        <v>33356.590000000004</v>
      </c>
      <c r="O52" s="722">
        <f>SUM(O53:O57)</f>
        <v>0</v>
      </c>
      <c r="P52" s="619">
        <f t="shared" si="0"/>
        <v>1</v>
      </c>
      <c r="Q52" s="525">
        <f>I52-'[9]8'!I51</f>
        <v>0</v>
      </c>
      <c r="S52" s="192">
        <v>30.35</v>
      </c>
      <c r="T52" s="192">
        <v>0</v>
      </c>
      <c r="BT52" s="525"/>
      <c r="BU52" s="523"/>
      <c r="BV52" s="523"/>
      <c r="BW52" s="523"/>
      <c r="BX52" s="523"/>
      <c r="BY52" s="523">
        <v>0</v>
      </c>
      <c r="BZ52" s="523">
        <v>188.94380799999999</v>
      </c>
      <c r="CA52" s="523"/>
      <c r="CB52" s="523"/>
      <c r="CC52" s="523"/>
      <c r="CD52" s="523"/>
      <c r="CE52" s="523"/>
      <c r="CF52" s="523"/>
      <c r="CG52" s="523"/>
      <c r="CH52" s="523"/>
      <c r="CI52" s="523">
        <f t="shared" si="2"/>
        <v>188.94380799999999</v>
      </c>
    </row>
    <row r="53" spans="1:87" s="110" customFormat="1" ht="15" x14ac:dyDescent="0.2">
      <c r="A53" s="745" t="s">
        <v>1383</v>
      </c>
      <c r="B53" s="613">
        <v>92510</v>
      </c>
      <c r="C53" s="613" t="s">
        <v>1324</v>
      </c>
      <c r="D53" s="614" t="s">
        <v>1384</v>
      </c>
      <c r="E53" s="615" t="s">
        <v>14</v>
      </c>
      <c r="F53" s="644">
        <v>302.64</v>
      </c>
      <c r="G53" s="616">
        <v>93.42</v>
      </c>
      <c r="H53" s="615">
        <v>155.72999999999999</v>
      </c>
      <c r="I53" s="573">
        <f t="shared" si="3"/>
        <v>0</v>
      </c>
      <c r="J53" s="574">
        <f t="shared" si="4"/>
        <v>155.72999999999999</v>
      </c>
      <c r="K53" s="573">
        <f t="shared" si="11"/>
        <v>0</v>
      </c>
      <c r="L53" s="708">
        <f t="shared" ref="L53:O57" si="13">ROUND(H53*$G53,2)</f>
        <v>14548.3</v>
      </c>
      <c r="M53" s="708">
        <f t="shared" si="13"/>
        <v>0</v>
      </c>
      <c r="N53" s="708">
        <f t="shared" si="13"/>
        <v>14548.3</v>
      </c>
      <c r="O53" s="718">
        <f t="shared" si="13"/>
        <v>0</v>
      </c>
      <c r="P53" s="617">
        <f t="shared" si="0"/>
        <v>1</v>
      </c>
      <c r="Q53" s="525">
        <f>I53-'[9]8'!I52</f>
        <v>0</v>
      </c>
      <c r="S53" s="192">
        <v>95.84</v>
      </c>
      <c r="T53" s="192">
        <v>0</v>
      </c>
      <c r="BT53" s="525"/>
      <c r="BU53" s="523"/>
      <c r="BV53" s="523"/>
      <c r="BW53" s="523"/>
      <c r="BX53" s="523">
        <v>28.846009999999993</v>
      </c>
      <c r="BY53" s="523">
        <v>1.5</v>
      </c>
      <c r="BZ53" s="523">
        <v>25.383990000000001</v>
      </c>
      <c r="CA53" s="523">
        <v>100</v>
      </c>
      <c r="CB53" s="523">
        <v>0</v>
      </c>
      <c r="CC53" s="523"/>
      <c r="CD53" s="523"/>
      <c r="CE53" s="523"/>
      <c r="CF53" s="523"/>
      <c r="CG53" s="523"/>
      <c r="CH53" s="523"/>
      <c r="CI53" s="523">
        <f t="shared" si="2"/>
        <v>155.72999999999999</v>
      </c>
    </row>
    <row r="54" spans="1:87" s="110" customFormat="1" ht="15" x14ac:dyDescent="0.2">
      <c r="A54" s="745" t="s">
        <v>1385</v>
      </c>
      <c r="B54" s="613">
        <v>92793</v>
      </c>
      <c r="C54" s="613" t="s">
        <v>1324</v>
      </c>
      <c r="D54" s="614" t="s">
        <v>1372</v>
      </c>
      <c r="E54" s="615" t="s">
        <v>35</v>
      </c>
      <c r="F54" s="644">
        <v>135.94</v>
      </c>
      <c r="G54" s="616">
        <v>4.6500000000000004</v>
      </c>
      <c r="H54" s="615">
        <v>1946.45</v>
      </c>
      <c r="I54" s="573">
        <f t="shared" si="3"/>
        <v>0</v>
      </c>
      <c r="J54" s="574">
        <f t="shared" si="4"/>
        <v>1946.45</v>
      </c>
      <c r="K54" s="573">
        <f t="shared" si="11"/>
        <v>0</v>
      </c>
      <c r="L54" s="708">
        <f t="shared" si="13"/>
        <v>9050.99</v>
      </c>
      <c r="M54" s="708">
        <f t="shared" si="13"/>
        <v>0</v>
      </c>
      <c r="N54" s="708">
        <f t="shared" si="13"/>
        <v>9050.99</v>
      </c>
      <c r="O54" s="718">
        <f t="shared" si="13"/>
        <v>0</v>
      </c>
      <c r="P54" s="617">
        <f t="shared" si="0"/>
        <v>1</v>
      </c>
      <c r="Q54" s="525">
        <f>I54-'[9]8'!I53</f>
        <v>0</v>
      </c>
      <c r="S54" s="192">
        <v>11.599999999999994</v>
      </c>
      <c r="T54" s="192">
        <v>0</v>
      </c>
      <c r="BT54" s="525"/>
      <c r="BU54" s="523"/>
      <c r="BV54" s="523"/>
      <c r="BW54" s="523"/>
      <c r="BX54" s="523">
        <v>77.842300000000023</v>
      </c>
      <c r="BY54" s="523">
        <v>18</v>
      </c>
      <c r="BZ54" s="523">
        <v>50.607700000000001</v>
      </c>
      <c r="CA54" s="523">
        <v>1800</v>
      </c>
      <c r="CB54" s="523">
        <v>0</v>
      </c>
      <c r="CC54" s="523"/>
      <c r="CD54" s="523"/>
      <c r="CE54" s="523"/>
      <c r="CF54" s="523"/>
      <c r="CG54" s="523"/>
      <c r="CH54" s="523"/>
      <c r="CI54" s="523">
        <f t="shared" si="2"/>
        <v>1946.45</v>
      </c>
    </row>
    <row r="55" spans="1:87" s="110" customFormat="1" ht="15.75" x14ac:dyDescent="0.2">
      <c r="A55" s="745" t="s">
        <v>1386</v>
      </c>
      <c r="B55" s="613">
        <v>92791</v>
      </c>
      <c r="C55" s="613" t="s">
        <v>1324</v>
      </c>
      <c r="D55" s="614" t="s">
        <v>1373</v>
      </c>
      <c r="E55" s="615" t="s">
        <v>35</v>
      </c>
      <c r="F55" s="578"/>
      <c r="G55" s="616">
        <v>6.11</v>
      </c>
      <c r="H55" s="615">
        <v>240.18</v>
      </c>
      <c r="I55" s="573">
        <f t="shared" si="3"/>
        <v>0</v>
      </c>
      <c r="J55" s="574">
        <f t="shared" si="4"/>
        <v>240.18</v>
      </c>
      <c r="K55" s="573">
        <f t="shared" si="11"/>
        <v>0</v>
      </c>
      <c r="L55" s="708">
        <f t="shared" si="13"/>
        <v>1467.5</v>
      </c>
      <c r="M55" s="708">
        <f t="shared" si="13"/>
        <v>0</v>
      </c>
      <c r="N55" s="708">
        <f t="shared" si="13"/>
        <v>1467.5</v>
      </c>
      <c r="O55" s="718">
        <f t="shared" si="13"/>
        <v>0</v>
      </c>
      <c r="P55" s="617">
        <f t="shared" si="0"/>
        <v>1</v>
      </c>
      <c r="Q55" s="525">
        <f>I55-'[9]8'!I54</f>
        <v>0</v>
      </c>
      <c r="S55" s="192">
        <v>2.6700000000000017</v>
      </c>
      <c r="T55" s="192">
        <v>10.71</v>
      </c>
      <c r="BT55" s="525"/>
      <c r="BU55" s="523"/>
      <c r="BV55" s="523"/>
      <c r="BW55" s="523"/>
      <c r="BX55" s="523">
        <v>9.5985799999999983</v>
      </c>
      <c r="BY55" s="523">
        <v>2</v>
      </c>
      <c r="BZ55" s="523">
        <v>28.581419999999998</v>
      </c>
      <c r="CA55" s="523">
        <v>200</v>
      </c>
      <c r="CB55" s="523">
        <v>0</v>
      </c>
      <c r="CC55" s="523"/>
      <c r="CD55" s="523"/>
      <c r="CE55" s="523"/>
      <c r="CF55" s="523"/>
      <c r="CG55" s="523"/>
      <c r="CH55" s="523"/>
      <c r="CI55" s="523">
        <f t="shared" si="2"/>
        <v>240.18</v>
      </c>
    </row>
    <row r="56" spans="1:87" ht="15" x14ac:dyDescent="0.2">
      <c r="A56" s="745" t="s">
        <v>1387</v>
      </c>
      <c r="B56" s="613">
        <v>92720</v>
      </c>
      <c r="C56" s="613" t="s">
        <v>1324</v>
      </c>
      <c r="D56" s="614" t="s">
        <v>1375</v>
      </c>
      <c r="E56" s="615" t="s">
        <v>48</v>
      </c>
      <c r="F56" s="571"/>
      <c r="G56" s="616">
        <v>323.87</v>
      </c>
      <c r="H56" s="615">
        <v>10.71</v>
      </c>
      <c r="I56" s="573">
        <f t="shared" si="3"/>
        <v>0</v>
      </c>
      <c r="J56" s="574">
        <f t="shared" si="4"/>
        <v>10.71</v>
      </c>
      <c r="K56" s="573">
        <f t="shared" si="11"/>
        <v>0</v>
      </c>
      <c r="L56" s="708">
        <f t="shared" si="13"/>
        <v>3468.65</v>
      </c>
      <c r="M56" s="708">
        <f t="shared" si="13"/>
        <v>0</v>
      </c>
      <c r="N56" s="708">
        <f t="shared" si="13"/>
        <v>3468.65</v>
      </c>
      <c r="O56" s="718">
        <f t="shared" si="13"/>
        <v>0</v>
      </c>
      <c r="P56" s="617">
        <f t="shared" si="0"/>
        <v>1</v>
      </c>
      <c r="Q56" s="525">
        <f>I56-'[9]8'!I55</f>
        <v>0</v>
      </c>
      <c r="S56" s="189">
        <v>0</v>
      </c>
      <c r="T56" s="189">
        <v>84.33</v>
      </c>
      <c r="BT56" s="525"/>
      <c r="BU56" s="523"/>
      <c r="BV56" s="523"/>
      <c r="BW56" s="523"/>
      <c r="BX56" s="523">
        <v>2.1423020000000008</v>
      </c>
      <c r="BY56" s="523">
        <v>0.52700000000000002</v>
      </c>
      <c r="BZ56" s="523">
        <v>4.0698000000000005E-2</v>
      </c>
      <c r="CA56" s="523">
        <v>8</v>
      </c>
      <c r="CB56" s="523">
        <v>0</v>
      </c>
      <c r="CC56" s="523"/>
      <c r="CD56" s="523"/>
      <c r="CE56" s="523"/>
      <c r="CF56" s="523"/>
      <c r="CG56" s="523"/>
      <c r="CH56" s="523"/>
      <c r="CI56" s="523">
        <f t="shared" si="2"/>
        <v>10.71</v>
      </c>
    </row>
    <row r="57" spans="1:87" s="790" customFormat="1" ht="15" x14ac:dyDescent="0.2">
      <c r="A57" s="680" t="s">
        <v>1388</v>
      </c>
      <c r="B57" s="569" t="s">
        <v>1389</v>
      </c>
      <c r="C57" s="569" t="s">
        <v>1324</v>
      </c>
      <c r="D57" s="569" t="s">
        <v>1390</v>
      </c>
      <c r="E57" s="681" t="s">
        <v>14</v>
      </c>
      <c r="F57" s="571"/>
      <c r="G57" s="682">
        <v>57.17</v>
      </c>
      <c r="H57" s="681">
        <v>84.33</v>
      </c>
      <c r="I57" s="573">
        <f t="shared" si="3"/>
        <v>0</v>
      </c>
      <c r="J57" s="574">
        <f t="shared" si="4"/>
        <v>84.33</v>
      </c>
      <c r="K57" s="573">
        <f t="shared" si="11"/>
        <v>0</v>
      </c>
      <c r="L57" s="708">
        <f t="shared" si="13"/>
        <v>4821.1499999999996</v>
      </c>
      <c r="M57" s="708">
        <f t="shared" si="13"/>
        <v>0</v>
      </c>
      <c r="N57" s="708">
        <f t="shared" si="13"/>
        <v>4821.1499999999996</v>
      </c>
      <c r="O57" s="718">
        <f t="shared" si="13"/>
        <v>0</v>
      </c>
      <c r="P57" s="617">
        <f t="shared" si="0"/>
        <v>1</v>
      </c>
      <c r="Q57" s="525">
        <f>I57-'[9]8'!I56</f>
        <v>0</v>
      </c>
      <c r="S57" s="190">
        <v>0</v>
      </c>
      <c r="T57" s="190">
        <v>0</v>
      </c>
      <c r="BT57" s="525"/>
      <c r="BU57" s="523"/>
      <c r="BV57" s="523"/>
      <c r="BW57" s="523"/>
      <c r="BX57" s="523"/>
      <c r="BY57" s="523">
        <v>0</v>
      </c>
      <c r="BZ57" s="523">
        <v>84.33</v>
      </c>
      <c r="CA57" s="523">
        <v>0</v>
      </c>
      <c r="CB57" s="523">
        <v>0</v>
      </c>
      <c r="CC57" s="523"/>
      <c r="CD57" s="523"/>
      <c r="CE57" s="523"/>
      <c r="CF57" s="523"/>
      <c r="CG57" s="523"/>
      <c r="CH57" s="523"/>
      <c r="CI57" s="523">
        <f t="shared" si="2"/>
        <v>84.33</v>
      </c>
    </row>
    <row r="58" spans="1:87" ht="15.75" x14ac:dyDescent="0.2">
      <c r="A58" s="605" t="s">
        <v>1391</v>
      </c>
      <c r="B58" s="586"/>
      <c r="C58" s="586"/>
      <c r="D58" s="586" t="s">
        <v>1392</v>
      </c>
      <c r="E58" s="609"/>
      <c r="F58" s="687"/>
      <c r="G58" s="609"/>
      <c r="H58" s="609"/>
      <c r="I58" s="609"/>
      <c r="J58" s="610"/>
      <c r="K58" s="620"/>
      <c r="L58" s="711">
        <f>SUM(L59:L62)</f>
        <v>13794.349999999999</v>
      </c>
      <c r="M58" s="711">
        <f>SUM(M59:M62)</f>
        <v>0</v>
      </c>
      <c r="N58" s="711">
        <f>SUM(N59:N62)</f>
        <v>13794.349999999999</v>
      </c>
      <c r="O58" s="722">
        <f>SUM(O59:O62)</f>
        <v>0</v>
      </c>
      <c r="P58" s="611">
        <f t="shared" si="0"/>
        <v>1</v>
      </c>
      <c r="Q58" s="525">
        <f>I58-'[9]8'!I57</f>
        <v>0</v>
      </c>
      <c r="S58" s="189">
        <v>0</v>
      </c>
      <c r="T58" s="189">
        <v>0</v>
      </c>
      <c r="BT58" s="525"/>
      <c r="BU58" s="523"/>
      <c r="BV58" s="523"/>
      <c r="BW58" s="523"/>
      <c r="BX58" s="523"/>
      <c r="BY58" s="523">
        <v>0</v>
      </c>
      <c r="BZ58" s="523">
        <v>0</v>
      </c>
      <c r="CA58" s="523"/>
      <c r="CB58" s="523"/>
      <c r="CC58" s="523"/>
      <c r="CD58" s="523"/>
      <c r="CE58" s="523"/>
      <c r="CF58" s="523"/>
      <c r="CG58" s="523"/>
      <c r="CH58" s="523"/>
      <c r="CI58" s="523">
        <f t="shared" si="2"/>
        <v>0</v>
      </c>
    </row>
    <row r="59" spans="1:87" ht="15" x14ac:dyDescent="0.2">
      <c r="A59" s="680" t="s">
        <v>1393</v>
      </c>
      <c r="B59" s="569">
        <v>92510</v>
      </c>
      <c r="C59" s="569" t="s">
        <v>1324</v>
      </c>
      <c r="D59" s="569" t="s">
        <v>1384</v>
      </c>
      <c r="E59" s="681" t="s">
        <v>14</v>
      </c>
      <c r="F59" s="644">
        <v>41.64</v>
      </c>
      <c r="G59" s="682">
        <v>93.42</v>
      </c>
      <c r="H59" s="681">
        <v>111.8</v>
      </c>
      <c r="I59" s="573">
        <f t="shared" si="3"/>
        <v>0</v>
      </c>
      <c r="J59" s="574">
        <f t="shared" si="4"/>
        <v>111.8</v>
      </c>
      <c r="K59" s="573">
        <f t="shared" si="11"/>
        <v>0</v>
      </c>
      <c r="L59" s="708">
        <f t="shared" ref="L59:O62" si="14">ROUND(H59*$G59,2)</f>
        <v>10444.36</v>
      </c>
      <c r="M59" s="708">
        <f t="shared" si="14"/>
        <v>0</v>
      </c>
      <c r="N59" s="708">
        <f t="shared" si="14"/>
        <v>10444.36</v>
      </c>
      <c r="O59" s="718">
        <f t="shared" si="14"/>
        <v>0</v>
      </c>
      <c r="P59" s="617">
        <f t="shared" si="0"/>
        <v>1</v>
      </c>
      <c r="Q59" s="525">
        <f>I59-'[9]8'!I58</f>
        <v>-27.950000000000003</v>
      </c>
      <c r="S59" s="189">
        <v>0</v>
      </c>
      <c r="T59" s="189">
        <v>0</v>
      </c>
      <c r="BT59" s="525"/>
      <c r="BU59" s="659"/>
      <c r="BV59" s="523">
        <v>27.950000000000003</v>
      </c>
      <c r="BW59" s="523">
        <v>83.85</v>
      </c>
      <c r="BX59" s="523"/>
      <c r="BY59" s="523">
        <v>0</v>
      </c>
      <c r="BZ59" s="523">
        <v>0</v>
      </c>
      <c r="CA59" s="523">
        <v>0</v>
      </c>
      <c r="CB59" s="523">
        <v>0</v>
      </c>
      <c r="CC59" s="523"/>
      <c r="CD59" s="523"/>
      <c r="CE59" s="523"/>
      <c r="CF59" s="523"/>
      <c r="CG59" s="523"/>
      <c r="CH59" s="523"/>
      <c r="CI59" s="523">
        <f t="shared" si="2"/>
        <v>111.8</v>
      </c>
    </row>
    <row r="60" spans="1:87" ht="15" x14ac:dyDescent="0.2">
      <c r="A60" s="680" t="s">
        <v>1394</v>
      </c>
      <c r="B60" s="569">
        <v>92793</v>
      </c>
      <c r="C60" s="569" t="s">
        <v>1324</v>
      </c>
      <c r="D60" s="569" t="s">
        <v>1372</v>
      </c>
      <c r="E60" s="681" t="s">
        <v>35</v>
      </c>
      <c r="F60" s="644">
        <v>7.91</v>
      </c>
      <c r="G60" s="682">
        <v>4.6500000000000004</v>
      </c>
      <c r="H60" s="681">
        <v>135.38999999999999</v>
      </c>
      <c r="I60" s="573">
        <f t="shared" si="3"/>
        <v>0</v>
      </c>
      <c r="J60" s="574">
        <f t="shared" si="4"/>
        <v>135.38999999999999</v>
      </c>
      <c r="K60" s="573">
        <f t="shared" si="11"/>
        <v>0</v>
      </c>
      <c r="L60" s="708">
        <f t="shared" si="14"/>
        <v>629.55999999999995</v>
      </c>
      <c r="M60" s="708">
        <f t="shared" si="14"/>
        <v>0</v>
      </c>
      <c r="N60" s="708">
        <f t="shared" si="14"/>
        <v>629.55999999999995</v>
      </c>
      <c r="O60" s="718">
        <f t="shared" si="14"/>
        <v>0</v>
      </c>
      <c r="P60" s="617">
        <f t="shared" si="0"/>
        <v>1</v>
      </c>
      <c r="Q60" s="525">
        <f>I60-'[9]8'!I59</f>
        <v>-33.847499999999997</v>
      </c>
      <c r="S60" s="189">
        <v>0</v>
      </c>
      <c r="T60" s="189">
        <v>0</v>
      </c>
      <c r="BT60" s="525"/>
      <c r="BU60" s="659"/>
      <c r="BV60" s="523">
        <v>33.847499999999997</v>
      </c>
      <c r="BW60" s="523">
        <v>101.54249999999999</v>
      </c>
      <c r="BX60" s="523"/>
      <c r="BY60" s="523">
        <v>0</v>
      </c>
      <c r="BZ60" s="523">
        <v>0</v>
      </c>
      <c r="CA60" s="523">
        <v>0</v>
      </c>
      <c r="CB60" s="523">
        <v>0</v>
      </c>
      <c r="CC60" s="523"/>
      <c r="CD60" s="523"/>
      <c r="CE60" s="523"/>
      <c r="CF60" s="523"/>
      <c r="CG60" s="523"/>
      <c r="CH60" s="523"/>
      <c r="CI60" s="523">
        <f t="shared" si="2"/>
        <v>135.38999999999999</v>
      </c>
    </row>
    <row r="61" spans="1:87" ht="15" x14ac:dyDescent="0.2">
      <c r="A61" s="680" t="s">
        <v>1395</v>
      </c>
      <c r="B61" s="569">
        <v>92791</v>
      </c>
      <c r="C61" s="569" t="s">
        <v>1324</v>
      </c>
      <c r="D61" s="569" t="s">
        <v>1373</v>
      </c>
      <c r="E61" s="681" t="s">
        <v>35</v>
      </c>
      <c r="F61" s="644">
        <v>53.52</v>
      </c>
      <c r="G61" s="682">
        <v>6.11</v>
      </c>
      <c r="H61" s="681">
        <v>95.93</v>
      </c>
      <c r="I61" s="573">
        <f t="shared" si="3"/>
        <v>0</v>
      </c>
      <c r="J61" s="574">
        <f t="shared" si="4"/>
        <v>95.93</v>
      </c>
      <c r="K61" s="573">
        <f t="shared" si="11"/>
        <v>0</v>
      </c>
      <c r="L61" s="708">
        <f t="shared" si="14"/>
        <v>586.13</v>
      </c>
      <c r="M61" s="708">
        <f t="shared" si="14"/>
        <v>0</v>
      </c>
      <c r="N61" s="708">
        <f t="shared" si="14"/>
        <v>586.13</v>
      </c>
      <c r="O61" s="718">
        <f t="shared" si="14"/>
        <v>0</v>
      </c>
      <c r="P61" s="617">
        <f t="shared" si="0"/>
        <v>1</v>
      </c>
      <c r="Q61" s="525">
        <f>I61-'[9]8'!I60</f>
        <v>-23.982500000000002</v>
      </c>
      <c r="S61" s="189">
        <v>0</v>
      </c>
      <c r="T61" s="189">
        <v>0</v>
      </c>
      <c r="BT61" s="525"/>
      <c r="BU61" s="659"/>
      <c r="BV61" s="523">
        <v>23.982500000000002</v>
      </c>
      <c r="BW61" s="523">
        <v>71.947500000000005</v>
      </c>
      <c r="BX61" s="523"/>
      <c r="BY61" s="523">
        <v>0</v>
      </c>
      <c r="BZ61" s="523">
        <v>0</v>
      </c>
      <c r="CA61" s="523">
        <v>0</v>
      </c>
      <c r="CB61" s="523">
        <v>0</v>
      </c>
      <c r="CC61" s="523"/>
      <c r="CD61" s="523"/>
      <c r="CE61" s="523"/>
      <c r="CF61" s="523"/>
      <c r="CG61" s="523"/>
      <c r="CH61" s="523"/>
      <c r="CI61" s="523">
        <f t="shared" si="2"/>
        <v>95.93</v>
      </c>
    </row>
    <row r="62" spans="1:87" s="790" customFormat="1" ht="15" x14ac:dyDescent="0.2">
      <c r="A62" s="680" t="s">
        <v>1396</v>
      </c>
      <c r="B62" s="569">
        <v>92720</v>
      </c>
      <c r="C62" s="569" t="s">
        <v>1324</v>
      </c>
      <c r="D62" s="569" t="s">
        <v>1375</v>
      </c>
      <c r="E62" s="681" t="s">
        <v>48</v>
      </c>
      <c r="F62" s="644">
        <v>203.72</v>
      </c>
      <c r="G62" s="682">
        <v>323.87</v>
      </c>
      <c r="H62" s="681">
        <v>6.59</v>
      </c>
      <c r="I62" s="573">
        <f t="shared" si="3"/>
        <v>0</v>
      </c>
      <c r="J62" s="574">
        <f t="shared" si="4"/>
        <v>6.59</v>
      </c>
      <c r="K62" s="573">
        <f t="shared" si="11"/>
        <v>0</v>
      </c>
      <c r="L62" s="708">
        <f t="shared" si="14"/>
        <v>2134.3000000000002</v>
      </c>
      <c r="M62" s="708">
        <f t="shared" si="14"/>
        <v>0</v>
      </c>
      <c r="N62" s="708">
        <f t="shared" si="14"/>
        <v>2134.3000000000002</v>
      </c>
      <c r="O62" s="718">
        <f t="shared" si="14"/>
        <v>0</v>
      </c>
      <c r="P62" s="617">
        <f t="shared" si="0"/>
        <v>1</v>
      </c>
      <c r="Q62" s="525">
        <f>I62-'[9]8'!I61</f>
        <v>-1.6475</v>
      </c>
      <c r="S62" s="190">
        <v>0</v>
      </c>
      <c r="T62" s="190">
        <v>0</v>
      </c>
      <c r="BT62" s="525"/>
      <c r="BU62" s="659"/>
      <c r="BV62" s="523">
        <v>1.6475</v>
      </c>
      <c r="BW62" s="523">
        <v>4.9424999999999999</v>
      </c>
      <c r="BX62" s="523"/>
      <c r="BY62" s="523">
        <v>0</v>
      </c>
      <c r="BZ62" s="523">
        <v>0</v>
      </c>
      <c r="CA62" s="523">
        <v>0</v>
      </c>
      <c r="CB62" s="523">
        <v>0</v>
      </c>
      <c r="CC62" s="523"/>
      <c r="CD62" s="523"/>
      <c r="CE62" s="523"/>
      <c r="CF62" s="523"/>
      <c r="CG62" s="523"/>
      <c r="CH62" s="523"/>
      <c r="CI62" s="523">
        <f t="shared" si="2"/>
        <v>6.59</v>
      </c>
    </row>
    <row r="63" spans="1:87" ht="15.75" x14ac:dyDescent="0.2">
      <c r="A63" s="605" t="s">
        <v>1397</v>
      </c>
      <c r="B63" s="586"/>
      <c r="C63" s="586"/>
      <c r="D63" s="586" t="s">
        <v>1398</v>
      </c>
      <c r="E63" s="609"/>
      <c r="F63" s="609"/>
      <c r="G63" s="609"/>
      <c r="H63" s="609"/>
      <c r="I63" s="609"/>
      <c r="J63" s="609"/>
      <c r="K63" s="609"/>
      <c r="L63" s="733">
        <f>SUM(L64:L67)</f>
        <v>23465.25</v>
      </c>
      <c r="M63" s="733">
        <f>SUM(M64:M67)</f>
        <v>23465.25</v>
      </c>
      <c r="N63" s="733">
        <f>SUM(N64:N67)</f>
        <v>23465.25</v>
      </c>
      <c r="O63" s="722">
        <f>SUM(O64:O67)</f>
        <v>0</v>
      </c>
      <c r="P63" s="611">
        <f t="shared" si="0"/>
        <v>1</v>
      </c>
      <c r="Q63" s="525">
        <f>I63-'[9]8'!I62</f>
        <v>0</v>
      </c>
      <c r="S63" s="189">
        <v>0</v>
      </c>
      <c r="T63" s="189">
        <v>0</v>
      </c>
      <c r="BT63" s="525"/>
      <c r="BU63" s="523"/>
      <c r="BV63" s="523"/>
      <c r="BW63" s="523"/>
      <c r="BX63" s="523"/>
      <c r="BY63" s="523">
        <v>0</v>
      </c>
      <c r="BZ63" s="523">
        <v>0</v>
      </c>
      <c r="CA63" s="523"/>
      <c r="CB63" s="523"/>
      <c r="CC63" s="523"/>
      <c r="CD63" s="523"/>
      <c r="CE63" s="523"/>
      <c r="CF63" s="523"/>
      <c r="CG63" s="523"/>
      <c r="CH63" s="523"/>
      <c r="CI63" s="523">
        <f t="shared" si="2"/>
        <v>0</v>
      </c>
    </row>
    <row r="64" spans="1:87" ht="15" x14ac:dyDescent="0.2">
      <c r="A64" s="680" t="s">
        <v>1399</v>
      </c>
      <c r="B64" s="569">
        <v>92422</v>
      </c>
      <c r="C64" s="569" t="s">
        <v>1324</v>
      </c>
      <c r="D64" s="569" t="s">
        <v>1384</v>
      </c>
      <c r="E64" s="681" t="s">
        <v>14</v>
      </c>
      <c r="F64" s="644">
        <v>52.6</v>
      </c>
      <c r="G64" s="682">
        <v>93.42</v>
      </c>
      <c r="H64" s="681">
        <v>10.8</v>
      </c>
      <c r="I64" s="573">
        <f t="shared" si="3"/>
        <v>10.8</v>
      </c>
      <c r="J64" s="574">
        <f t="shared" si="4"/>
        <v>10.8</v>
      </c>
      <c r="K64" s="573">
        <f t="shared" si="11"/>
        <v>0</v>
      </c>
      <c r="L64" s="708">
        <f t="shared" ref="L64:O67" si="15">ROUND(H64*$G64,2)</f>
        <v>1008.94</v>
      </c>
      <c r="M64" s="708">
        <f t="shared" si="15"/>
        <v>1008.94</v>
      </c>
      <c r="N64" s="708">
        <f t="shared" si="15"/>
        <v>1008.94</v>
      </c>
      <c r="O64" s="718">
        <f t="shared" si="15"/>
        <v>0</v>
      </c>
      <c r="P64" s="617">
        <f t="shared" si="0"/>
        <v>1</v>
      </c>
      <c r="Q64" s="525">
        <f>I64-'[9]8'!I63</f>
        <v>10.8</v>
      </c>
      <c r="S64" s="189">
        <v>0</v>
      </c>
      <c r="T64" s="189">
        <v>0</v>
      </c>
      <c r="BT64" s="525"/>
      <c r="BU64" s="659">
        <v>10.8</v>
      </c>
      <c r="BV64" s="523"/>
      <c r="BW64" s="523"/>
      <c r="BX64" s="523"/>
      <c r="BY64" s="523">
        <v>0</v>
      </c>
      <c r="BZ64" s="523">
        <v>0</v>
      </c>
      <c r="CA64" s="523">
        <v>0</v>
      </c>
      <c r="CB64" s="523">
        <v>0</v>
      </c>
      <c r="CC64" s="523"/>
      <c r="CD64" s="523"/>
      <c r="CE64" s="523"/>
      <c r="CF64" s="523"/>
      <c r="CG64" s="523"/>
      <c r="CH64" s="523"/>
      <c r="CI64" s="523">
        <f t="shared" si="2"/>
        <v>10.8</v>
      </c>
    </row>
    <row r="65" spans="1:87" ht="15" x14ac:dyDescent="0.2">
      <c r="A65" s="680" t="s">
        <v>1400</v>
      </c>
      <c r="B65" s="569" t="s">
        <v>1401</v>
      </c>
      <c r="C65" s="569" t="s">
        <v>1324</v>
      </c>
      <c r="D65" s="569" t="s">
        <v>1402</v>
      </c>
      <c r="E65" s="681" t="s">
        <v>48</v>
      </c>
      <c r="F65" s="644">
        <v>49.48</v>
      </c>
      <c r="G65" s="682">
        <v>98.55</v>
      </c>
      <c r="H65" s="681">
        <v>33.83</v>
      </c>
      <c r="I65" s="573">
        <f t="shared" si="3"/>
        <v>33.83</v>
      </c>
      <c r="J65" s="574">
        <f t="shared" si="4"/>
        <v>33.83</v>
      </c>
      <c r="K65" s="573">
        <f t="shared" si="11"/>
        <v>0</v>
      </c>
      <c r="L65" s="708">
        <f t="shared" si="15"/>
        <v>3333.95</v>
      </c>
      <c r="M65" s="708">
        <f t="shared" si="15"/>
        <v>3333.95</v>
      </c>
      <c r="N65" s="708">
        <f t="shared" si="15"/>
        <v>3333.95</v>
      </c>
      <c r="O65" s="718">
        <f t="shared" si="15"/>
        <v>0</v>
      </c>
      <c r="P65" s="617">
        <f t="shared" si="0"/>
        <v>1</v>
      </c>
      <c r="Q65" s="525">
        <f>I65-'[9]8'!I64</f>
        <v>33.83</v>
      </c>
      <c r="S65" s="189">
        <v>0</v>
      </c>
      <c r="T65" s="189">
        <v>0</v>
      </c>
      <c r="BT65" s="525"/>
      <c r="BU65" s="523">
        <v>33.83</v>
      </c>
      <c r="BV65" s="523"/>
      <c r="BW65" s="523"/>
      <c r="BX65" s="523"/>
      <c r="BY65" s="523">
        <v>0</v>
      </c>
      <c r="BZ65" s="523">
        <v>0</v>
      </c>
      <c r="CA65" s="523">
        <v>0</v>
      </c>
      <c r="CB65" s="523">
        <v>0</v>
      </c>
      <c r="CC65" s="523"/>
      <c r="CD65" s="523"/>
      <c r="CE65" s="523"/>
      <c r="CF65" s="523"/>
      <c r="CG65" s="523"/>
      <c r="CH65" s="523"/>
      <c r="CI65" s="523">
        <f t="shared" si="2"/>
        <v>33.83</v>
      </c>
    </row>
    <row r="66" spans="1:87" ht="15.75" x14ac:dyDescent="0.2">
      <c r="A66" s="680" t="s">
        <v>1403</v>
      </c>
      <c r="B66" s="569">
        <v>85662</v>
      </c>
      <c r="C66" s="569" t="s">
        <v>1324</v>
      </c>
      <c r="D66" s="569" t="s">
        <v>1404</v>
      </c>
      <c r="E66" s="681" t="s">
        <v>14</v>
      </c>
      <c r="F66" s="578"/>
      <c r="G66" s="682">
        <v>10.34</v>
      </c>
      <c r="H66" s="681">
        <v>1001.47</v>
      </c>
      <c r="I66" s="573">
        <f t="shared" si="3"/>
        <v>1001.47</v>
      </c>
      <c r="J66" s="574">
        <f t="shared" si="4"/>
        <v>1001.47</v>
      </c>
      <c r="K66" s="573">
        <f t="shared" si="11"/>
        <v>0</v>
      </c>
      <c r="L66" s="708">
        <f t="shared" si="15"/>
        <v>10355.200000000001</v>
      </c>
      <c r="M66" s="708">
        <f t="shared" si="15"/>
        <v>10355.200000000001</v>
      </c>
      <c r="N66" s="708">
        <f t="shared" si="15"/>
        <v>10355.200000000001</v>
      </c>
      <c r="O66" s="718">
        <f t="shared" si="15"/>
        <v>0</v>
      </c>
      <c r="P66" s="617">
        <f t="shared" si="0"/>
        <v>1</v>
      </c>
      <c r="Q66" s="525">
        <f>I66-'[9]8'!I65</f>
        <v>1001.47</v>
      </c>
      <c r="S66" s="189">
        <v>0</v>
      </c>
      <c r="T66" s="189">
        <v>0</v>
      </c>
      <c r="BT66" s="525"/>
      <c r="BU66" s="523">
        <v>1001.47</v>
      </c>
      <c r="BV66" s="523"/>
      <c r="BW66" s="523"/>
      <c r="BX66" s="523"/>
      <c r="BY66" s="523">
        <v>0</v>
      </c>
      <c r="BZ66" s="523">
        <v>0</v>
      </c>
      <c r="CA66" s="523">
        <v>0</v>
      </c>
      <c r="CB66" s="523">
        <v>0</v>
      </c>
      <c r="CC66" s="523"/>
      <c r="CD66" s="523"/>
      <c r="CE66" s="523"/>
      <c r="CF66" s="523"/>
      <c r="CG66" s="523"/>
      <c r="CH66" s="523"/>
      <c r="CI66" s="523">
        <f t="shared" si="2"/>
        <v>1001.47</v>
      </c>
    </row>
    <row r="67" spans="1:87" s="790" customFormat="1" ht="15" x14ac:dyDescent="0.2">
      <c r="A67" s="680" t="s">
        <v>1405</v>
      </c>
      <c r="B67" s="569">
        <v>92720</v>
      </c>
      <c r="C67" s="569" t="s">
        <v>1324</v>
      </c>
      <c r="D67" s="569" t="s">
        <v>1375</v>
      </c>
      <c r="E67" s="681" t="s">
        <v>48</v>
      </c>
      <c r="F67" s="571"/>
      <c r="G67" s="682">
        <v>323.87</v>
      </c>
      <c r="H67" s="681">
        <v>27.07</v>
      </c>
      <c r="I67" s="573">
        <f t="shared" si="3"/>
        <v>27.07</v>
      </c>
      <c r="J67" s="574">
        <f t="shared" si="4"/>
        <v>27.07</v>
      </c>
      <c r="K67" s="573">
        <f t="shared" si="11"/>
        <v>0</v>
      </c>
      <c r="L67" s="708">
        <f t="shared" si="15"/>
        <v>8767.16</v>
      </c>
      <c r="M67" s="708">
        <f t="shared" si="15"/>
        <v>8767.16</v>
      </c>
      <c r="N67" s="708">
        <f t="shared" si="15"/>
        <v>8767.16</v>
      </c>
      <c r="O67" s="718">
        <f t="shared" si="15"/>
        <v>0</v>
      </c>
      <c r="P67" s="617">
        <f t="shared" si="0"/>
        <v>1</v>
      </c>
      <c r="Q67" s="525">
        <f>I67-'[9]8'!I66</f>
        <v>27.07</v>
      </c>
      <c r="S67" s="190">
        <v>0</v>
      </c>
      <c r="T67" s="190">
        <v>33.9</v>
      </c>
      <c r="BT67" s="525"/>
      <c r="BU67" s="523">
        <v>27.07</v>
      </c>
      <c r="BV67" s="523"/>
      <c r="BW67" s="523"/>
      <c r="BX67" s="523"/>
      <c r="BY67" s="523">
        <v>0</v>
      </c>
      <c r="BZ67" s="523">
        <v>0</v>
      </c>
      <c r="CA67" s="523">
        <v>0</v>
      </c>
      <c r="CB67" s="523">
        <v>0</v>
      </c>
      <c r="CC67" s="523"/>
      <c r="CD67" s="523"/>
      <c r="CE67" s="523"/>
      <c r="CF67" s="523"/>
      <c r="CG67" s="523"/>
      <c r="CH67" s="523"/>
      <c r="CI67" s="523">
        <f t="shared" si="2"/>
        <v>27.07</v>
      </c>
    </row>
    <row r="68" spans="1:87" ht="15.75" x14ac:dyDescent="0.2">
      <c r="A68" s="605" t="s">
        <v>1406</v>
      </c>
      <c r="B68" s="586"/>
      <c r="C68" s="586"/>
      <c r="D68" s="586" t="s">
        <v>1407</v>
      </c>
      <c r="E68" s="609"/>
      <c r="F68" s="609"/>
      <c r="G68" s="609"/>
      <c r="H68" s="609"/>
      <c r="I68" s="609"/>
      <c r="J68" s="609"/>
      <c r="K68" s="609"/>
      <c r="L68" s="733">
        <f>L69</f>
        <v>912.59</v>
      </c>
      <c r="M68" s="733">
        <f>M69</f>
        <v>0</v>
      </c>
      <c r="N68" s="733">
        <f>N69</f>
        <v>912.59</v>
      </c>
      <c r="O68" s="722">
        <f>O69</f>
        <v>0</v>
      </c>
      <c r="P68" s="611">
        <f t="shared" si="0"/>
        <v>1</v>
      </c>
      <c r="Q68" s="525">
        <f>I68-'[9]8'!I67</f>
        <v>0</v>
      </c>
      <c r="S68" s="189">
        <v>0</v>
      </c>
      <c r="T68" s="189">
        <v>33.9</v>
      </c>
      <c r="BT68" s="525"/>
      <c r="BU68" s="523"/>
      <c r="BV68" s="523"/>
      <c r="BW68" s="523"/>
      <c r="BX68" s="523"/>
      <c r="BY68" s="523">
        <v>0</v>
      </c>
      <c r="BZ68" s="523">
        <v>33.9</v>
      </c>
      <c r="CA68" s="523"/>
      <c r="CB68" s="523"/>
      <c r="CC68" s="523"/>
      <c r="CD68" s="523"/>
      <c r="CE68" s="523"/>
      <c r="CF68" s="523"/>
      <c r="CG68" s="523"/>
      <c r="CH68" s="523"/>
      <c r="CI68" s="523">
        <f t="shared" si="2"/>
        <v>33.9</v>
      </c>
    </row>
    <row r="69" spans="1:87" s="790" customFormat="1" ht="15" x14ac:dyDescent="0.2">
      <c r="A69" s="680" t="s">
        <v>1408</v>
      </c>
      <c r="B69" s="569" t="s">
        <v>1409</v>
      </c>
      <c r="C69" s="569" t="s">
        <v>1324</v>
      </c>
      <c r="D69" s="569" t="s">
        <v>1410</v>
      </c>
      <c r="E69" s="681" t="s">
        <v>81</v>
      </c>
      <c r="F69" s="644">
        <v>329.55</v>
      </c>
      <c r="G69" s="682">
        <v>26.92</v>
      </c>
      <c r="H69" s="681">
        <v>33.9</v>
      </c>
      <c r="I69" s="573">
        <f t="shared" si="3"/>
        <v>0</v>
      </c>
      <c r="J69" s="574">
        <f t="shared" si="4"/>
        <v>33.9</v>
      </c>
      <c r="K69" s="573">
        <f t="shared" si="11"/>
        <v>0</v>
      </c>
      <c r="L69" s="708">
        <f>ROUND(H69*$G69,2)</f>
        <v>912.59</v>
      </c>
      <c r="M69" s="708">
        <f>ROUND(I69*$G69,2)</f>
        <v>0</v>
      </c>
      <c r="N69" s="708">
        <f>ROUND(J69*$G69,2)</f>
        <v>912.59</v>
      </c>
      <c r="O69" s="718">
        <f>ROUND(K69*$G69,2)</f>
        <v>0</v>
      </c>
      <c r="P69" s="617">
        <f t="shared" si="0"/>
        <v>1</v>
      </c>
      <c r="Q69" s="525">
        <f>I69-'[9]8'!I68</f>
        <v>0</v>
      </c>
      <c r="S69" s="190">
        <v>0</v>
      </c>
      <c r="T69" s="190">
        <v>0</v>
      </c>
      <c r="BT69" s="525"/>
      <c r="BU69" s="659"/>
      <c r="BV69" s="523"/>
      <c r="BW69" s="523"/>
      <c r="BX69" s="523"/>
      <c r="BY69" s="523">
        <v>0</v>
      </c>
      <c r="BZ69" s="523">
        <v>33.9</v>
      </c>
      <c r="CA69" s="523">
        <v>0</v>
      </c>
      <c r="CB69" s="523">
        <v>0</v>
      </c>
      <c r="CC69" s="523"/>
      <c r="CD69" s="523"/>
      <c r="CE69" s="523"/>
      <c r="CF69" s="523"/>
      <c r="CG69" s="523"/>
      <c r="CH69" s="523"/>
      <c r="CI69" s="523">
        <f t="shared" si="2"/>
        <v>33.9</v>
      </c>
    </row>
    <row r="70" spans="1:87" s="790" customFormat="1" ht="15.75" x14ac:dyDescent="0.2">
      <c r="A70" s="600">
        <v>5</v>
      </c>
      <c r="B70" s="558"/>
      <c r="C70" s="558"/>
      <c r="D70" s="558" t="s">
        <v>1411</v>
      </c>
      <c r="E70" s="626"/>
      <c r="F70" s="626"/>
      <c r="G70" s="626"/>
      <c r="H70" s="626"/>
      <c r="I70" s="626"/>
      <c r="J70" s="626"/>
      <c r="K70" s="626"/>
      <c r="L70" s="709">
        <f>SUM(L71,L73,L76)</f>
        <v>31428.92</v>
      </c>
      <c r="M70" s="709">
        <f>SUM(M71,M73,M76)</f>
        <v>0</v>
      </c>
      <c r="N70" s="709">
        <f>SUM(N71,N73,N76)</f>
        <v>31428.92</v>
      </c>
      <c r="O70" s="719">
        <f>SUM(O71,O73,O76)</f>
        <v>0</v>
      </c>
      <c r="P70" s="604">
        <f>N70/L70</f>
        <v>1</v>
      </c>
      <c r="Q70" s="525">
        <f>I70-'[9]8'!I69</f>
        <v>0</v>
      </c>
      <c r="S70" s="190">
        <v>0</v>
      </c>
      <c r="T70" s="190">
        <v>0</v>
      </c>
      <c r="BT70" s="525"/>
      <c r="BU70" s="523"/>
      <c r="BV70" s="523"/>
      <c r="BW70" s="523"/>
      <c r="BX70" s="523"/>
      <c r="BY70" s="523">
        <v>0</v>
      </c>
      <c r="BZ70" s="523">
        <v>0</v>
      </c>
      <c r="CA70" s="523"/>
      <c r="CB70" s="523"/>
      <c r="CC70" s="523"/>
      <c r="CD70" s="523"/>
      <c r="CE70" s="523"/>
      <c r="CF70" s="523"/>
      <c r="CG70" s="523"/>
      <c r="CH70" s="523"/>
      <c r="CI70" s="523">
        <f t="shared" si="2"/>
        <v>0</v>
      </c>
    </row>
    <row r="71" spans="1:87" ht="15.75" x14ac:dyDescent="0.2">
      <c r="A71" s="605" t="s">
        <v>98</v>
      </c>
      <c r="B71" s="586"/>
      <c r="C71" s="586"/>
      <c r="D71" s="586" t="s">
        <v>1412</v>
      </c>
      <c r="E71" s="609"/>
      <c r="F71" s="609"/>
      <c r="G71" s="609"/>
      <c r="H71" s="609"/>
      <c r="I71" s="609"/>
      <c r="J71" s="609"/>
      <c r="K71" s="609"/>
      <c r="L71" s="733">
        <f>L72</f>
        <v>7200.78</v>
      </c>
      <c r="M71" s="733">
        <f>M72</f>
        <v>0</v>
      </c>
      <c r="N71" s="733">
        <f>N72</f>
        <v>7200.78</v>
      </c>
      <c r="O71" s="722">
        <f>O72</f>
        <v>0</v>
      </c>
      <c r="P71" s="611">
        <f t="shared" si="0"/>
        <v>1</v>
      </c>
      <c r="Q71" s="525">
        <f>I71-'[9]8'!I70</f>
        <v>0</v>
      </c>
      <c r="S71" s="189">
        <v>0</v>
      </c>
      <c r="T71" s="189">
        <v>0</v>
      </c>
      <c r="BT71" s="525"/>
      <c r="BU71" s="523"/>
      <c r="BV71" s="523"/>
      <c r="BW71" s="523"/>
      <c r="BX71" s="523"/>
      <c r="BY71" s="523">
        <v>0</v>
      </c>
      <c r="BZ71" s="523">
        <v>0</v>
      </c>
      <c r="CA71" s="523"/>
      <c r="CB71" s="523"/>
      <c r="CC71" s="523"/>
      <c r="CD71" s="523"/>
      <c r="CE71" s="523"/>
      <c r="CF71" s="523"/>
      <c r="CG71" s="523"/>
      <c r="CH71" s="523"/>
      <c r="CI71" s="523">
        <f t="shared" si="2"/>
        <v>0</v>
      </c>
    </row>
    <row r="72" spans="1:87" s="790" customFormat="1" ht="15" x14ac:dyDescent="0.2">
      <c r="A72" s="680" t="s">
        <v>100</v>
      </c>
      <c r="B72" s="569" t="s">
        <v>1413</v>
      </c>
      <c r="C72" s="569" t="s">
        <v>1324</v>
      </c>
      <c r="D72" s="569" t="s">
        <v>1414</v>
      </c>
      <c r="E72" s="681" t="s">
        <v>14</v>
      </c>
      <c r="F72" s="644">
        <v>222.6</v>
      </c>
      <c r="G72" s="682">
        <v>53.45</v>
      </c>
      <c r="H72" s="681">
        <v>134.72</v>
      </c>
      <c r="I72" s="573">
        <f t="shared" si="3"/>
        <v>0</v>
      </c>
      <c r="J72" s="574">
        <f t="shared" si="4"/>
        <v>134.72</v>
      </c>
      <c r="K72" s="644">
        <f>H72-J72</f>
        <v>0</v>
      </c>
      <c r="L72" s="708">
        <f>ROUND(H72*$G72,2)</f>
        <v>7200.78</v>
      </c>
      <c r="M72" s="708">
        <f>ROUND(I72*$G72,2)</f>
        <v>0</v>
      </c>
      <c r="N72" s="708">
        <f>ROUND(J72*$G72,2)</f>
        <v>7200.78</v>
      </c>
      <c r="O72" s="718">
        <f>ROUND(K72*$G72,2)</f>
        <v>0</v>
      </c>
      <c r="P72" s="617">
        <f t="shared" si="0"/>
        <v>1</v>
      </c>
      <c r="Q72" s="525">
        <f>I72-'[9]8'!I71</f>
        <v>-40.416000000000011</v>
      </c>
      <c r="S72" s="190">
        <v>0</v>
      </c>
      <c r="T72" s="190">
        <v>328.62</v>
      </c>
      <c r="BT72" s="525"/>
      <c r="BU72" s="659"/>
      <c r="BV72" s="523">
        <v>40.416000000000011</v>
      </c>
      <c r="BW72" s="523">
        <v>94.303999999999988</v>
      </c>
      <c r="BX72" s="523"/>
      <c r="BY72" s="523">
        <v>0</v>
      </c>
      <c r="BZ72" s="523">
        <v>0</v>
      </c>
      <c r="CA72" s="523">
        <v>0</v>
      </c>
      <c r="CB72" s="523">
        <v>0</v>
      </c>
      <c r="CC72" s="523"/>
      <c r="CD72" s="523"/>
      <c r="CE72" s="523"/>
      <c r="CF72" s="523"/>
      <c r="CG72" s="523"/>
      <c r="CH72" s="523"/>
      <c r="CI72" s="523">
        <f t="shared" si="2"/>
        <v>134.72</v>
      </c>
    </row>
    <row r="73" spans="1:87" ht="15.75" x14ac:dyDescent="0.2">
      <c r="A73" s="605" t="s">
        <v>116</v>
      </c>
      <c r="B73" s="586"/>
      <c r="C73" s="586"/>
      <c r="D73" s="586" t="s">
        <v>1415</v>
      </c>
      <c r="E73" s="609"/>
      <c r="F73" s="609"/>
      <c r="G73" s="609"/>
      <c r="H73" s="609"/>
      <c r="I73" s="609"/>
      <c r="J73" s="609"/>
      <c r="K73" s="609"/>
      <c r="L73" s="711">
        <f>SUM(L74:L75)</f>
        <v>15726.869999999999</v>
      </c>
      <c r="M73" s="711">
        <f>SUM(M74:M75)</f>
        <v>0</v>
      </c>
      <c r="N73" s="711">
        <f>SUM(N74:N75)</f>
        <v>15726.869999999999</v>
      </c>
      <c r="O73" s="722">
        <f>SUM(O74:O75)</f>
        <v>0</v>
      </c>
      <c r="P73" s="611">
        <f t="shared" si="0"/>
        <v>1</v>
      </c>
      <c r="Q73" s="525">
        <f>I73-'[9]8'!I72</f>
        <v>0</v>
      </c>
      <c r="S73" s="189">
        <v>0</v>
      </c>
      <c r="T73" s="189">
        <v>259.22000000000003</v>
      </c>
      <c r="BT73" s="525"/>
      <c r="BU73" s="523"/>
      <c r="BV73" s="523"/>
      <c r="BW73" s="523"/>
      <c r="BX73" s="523"/>
      <c r="BY73" s="523">
        <v>0</v>
      </c>
      <c r="BZ73" s="523">
        <v>224.93</v>
      </c>
      <c r="CA73" s="523"/>
      <c r="CB73" s="523"/>
      <c r="CC73" s="523"/>
      <c r="CD73" s="523"/>
      <c r="CE73" s="523"/>
      <c r="CF73" s="523"/>
      <c r="CG73" s="523"/>
      <c r="CH73" s="523"/>
      <c r="CI73" s="523">
        <f t="shared" si="2"/>
        <v>224.93</v>
      </c>
    </row>
    <row r="74" spans="1:87" ht="27.75" customHeight="1" x14ac:dyDescent="0.2">
      <c r="A74" s="680" t="s">
        <v>118</v>
      </c>
      <c r="B74" s="569">
        <v>87519</v>
      </c>
      <c r="C74" s="569" t="s">
        <v>1324</v>
      </c>
      <c r="D74" s="569" t="s">
        <v>1416</v>
      </c>
      <c r="E74" s="681" t="s">
        <v>14</v>
      </c>
      <c r="F74" s="644">
        <v>378.98</v>
      </c>
      <c r="G74" s="682">
        <v>56.29</v>
      </c>
      <c r="H74" s="681">
        <v>259.22000000000003</v>
      </c>
      <c r="I74" s="573">
        <f t="shared" si="3"/>
        <v>0</v>
      </c>
      <c r="J74" s="574">
        <f t="shared" si="4"/>
        <v>259.22000000000003</v>
      </c>
      <c r="K74" s="573">
        <f t="shared" ref="K74:K75" si="16">H74-J74</f>
        <v>0</v>
      </c>
      <c r="L74" s="708">
        <f t="shared" ref="L74:O75" si="17">ROUND(H74*$G74,2)</f>
        <v>14591.49</v>
      </c>
      <c r="M74" s="708">
        <f t="shared" si="17"/>
        <v>0</v>
      </c>
      <c r="N74" s="708">
        <f t="shared" si="17"/>
        <v>14591.49</v>
      </c>
      <c r="O74" s="718">
        <f t="shared" si="17"/>
        <v>0</v>
      </c>
      <c r="P74" s="617">
        <f t="shared" si="0"/>
        <v>1</v>
      </c>
      <c r="Q74" s="525">
        <f>I74-'[9]8'!I73</f>
        <v>0</v>
      </c>
      <c r="S74" s="189">
        <v>0</v>
      </c>
      <c r="T74" s="189">
        <v>69.400000000000006</v>
      </c>
      <c r="BT74" s="525"/>
      <c r="BU74" s="659"/>
      <c r="BV74" s="523"/>
      <c r="BW74" s="523"/>
      <c r="BX74" s="523">
        <v>2.0000000000095497E-3</v>
      </c>
      <c r="BY74" s="523">
        <v>0</v>
      </c>
      <c r="BZ74" s="523">
        <v>155.53</v>
      </c>
      <c r="CA74" s="523">
        <v>103.68800000000002</v>
      </c>
      <c r="CB74" s="523">
        <v>0</v>
      </c>
      <c r="CC74" s="523"/>
      <c r="CD74" s="523"/>
      <c r="CE74" s="523"/>
      <c r="CF74" s="523"/>
      <c r="CG74" s="523"/>
      <c r="CH74" s="523"/>
      <c r="CI74" s="523">
        <f t="shared" si="2"/>
        <v>259.22000000000003</v>
      </c>
    </row>
    <row r="75" spans="1:87" s="790" customFormat="1" ht="30" x14ac:dyDescent="0.2">
      <c r="A75" s="680" t="s">
        <v>123</v>
      </c>
      <c r="B75" s="569" t="s">
        <v>1417</v>
      </c>
      <c r="C75" s="569" t="s">
        <v>1324</v>
      </c>
      <c r="D75" s="569" t="s">
        <v>1418</v>
      </c>
      <c r="E75" s="681" t="s">
        <v>81</v>
      </c>
      <c r="F75" s="644">
        <v>421.82</v>
      </c>
      <c r="G75" s="682">
        <v>16.36</v>
      </c>
      <c r="H75" s="681">
        <v>69.400000000000006</v>
      </c>
      <c r="I75" s="573">
        <f t="shared" si="3"/>
        <v>0</v>
      </c>
      <c r="J75" s="574">
        <f t="shared" si="4"/>
        <v>69.400000000000006</v>
      </c>
      <c r="K75" s="573">
        <f t="shared" si="16"/>
        <v>0</v>
      </c>
      <c r="L75" s="708">
        <f t="shared" si="17"/>
        <v>1135.3800000000001</v>
      </c>
      <c r="M75" s="708">
        <f t="shared" si="17"/>
        <v>0</v>
      </c>
      <c r="N75" s="708">
        <f t="shared" si="17"/>
        <v>1135.3800000000001</v>
      </c>
      <c r="O75" s="718">
        <f t="shared" si="17"/>
        <v>0</v>
      </c>
      <c r="P75" s="617">
        <f t="shared" si="0"/>
        <v>1</v>
      </c>
      <c r="Q75" s="525">
        <f>I75-'[9]8'!I74</f>
        <v>0</v>
      </c>
      <c r="S75" s="190">
        <v>0</v>
      </c>
      <c r="T75" s="190">
        <v>0</v>
      </c>
      <c r="BT75" s="525"/>
      <c r="BU75" s="523"/>
      <c r="BV75" s="523"/>
      <c r="BW75" s="523"/>
      <c r="BX75" s="523"/>
      <c r="BY75" s="523">
        <v>0</v>
      </c>
      <c r="BZ75" s="523">
        <v>69.400000000000006</v>
      </c>
      <c r="CA75" s="523">
        <v>0</v>
      </c>
      <c r="CB75" s="523">
        <v>0</v>
      </c>
      <c r="CC75" s="523"/>
      <c r="CD75" s="523"/>
      <c r="CE75" s="523"/>
      <c r="CF75" s="523"/>
      <c r="CG75" s="523"/>
      <c r="CH75" s="523"/>
      <c r="CI75" s="523">
        <f t="shared" si="2"/>
        <v>69.400000000000006</v>
      </c>
    </row>
    <row r="76" spans="1:87" ht="15.75" x14ac:dyDescent="0.2">
      <c r="A76" s="605" t="s">
        <v>1419</v>
      </c>
      <c r="B76" s="586"/>
      <c r="C76" s="586"/>
      <c r="D76" s="586" t="s">
        <v>1420</v>
      </c>
      <c r="E76" s="609"/>
      <c r="F76" s="609"/>
      <c r="G76" s="609"/>
      <c r="H76" s="609"/>
      <c r="I76" s="609"/>
      <c r="J76" s="609"/>
      <c r="K76" s="609"/>
      <c r="L76" s="711">
        <f>L77</f>
        <v>8501.27</v>
      </c>
      <c r="M76" s="711">
        <f>M77</f>
        <v>0</v>
      </c>
      <c r="N76" s="711">
        <f>N77</f>
        <v>8501.27</v>
      </c>
      <c r="O76" s="722">
        <f>O77</f>
        <v>0</v>
      </c>
      <c r="P76" s="611">
        <f t="shared" si="0"/>
        <v>1</v>
      </c>
      <c r="Q76" s="525">
        <f>I76-'[9]8'!I75</f>
        <v>0</v>
      </c>
      <c r="S76" s="189">
        <v>0</v>
      </c>
      <c r="T76" s="189">
        <v>0</v>
      </c>
      <c r="BT76" s="525"/>
      <c r="BU76" s="523"/>
      <c r="BV76" s="523"/>
      <c r="BW76" s="523"/>
      <c r="BX76" s="523"/>
      <c r="BY76" s="523">
        <v>0</v>
      </c>
      <c r="BZ76" s="523">
        <v>0</v>
      </c>
      <c r="CA76" s="523"/>
      <c r="CB76" s="523"/>
      <c r="CC76" s="523"/>
      <c r="CD76" s="523"/>
      <c r="CE76" s="523"/>
      <c r="CF76" s="523"/>
      <c r="CG76" s="523"/>
      <c r="CH76" s="523"/>
      <c r="CI76" s="523">
        <f t="shared" si="2"/>
        <v>0</v>
      </c>
    </row>
    <row r="77" spans="1:87" ht="27.75" customHeight="1" x14ac:dyDescent="0.2">
      <c r="A77" s="680" t="s">
        <v>1421</v>
      </c>
      <c r="B77" s="569" t="s">
        <v>1422</v>
      </c>
      <c r="C77" s="569" t="s">
        <v>1324</v>
      </c>
      <c r="D77" s="569" t="s">
        <v>1423</v>
      </c>
      <c r="E77" s="681" t="s">
        <v>14</v>
      </c>
      <c r="F77" s="578"/>
      <c r="G77" s="682">
        <v>57.41</v>
      </c>
      <c r="H77" s="681">
        <v>148.08000000000001</v>
      </c>
      <c r="I77" s="573">
        <f t="shared" si="3"/>
        <v>0</v>
      </c>
      <c r="J77" s="574">
        <f t="shared" si="4"/>
        <v>148.08000000000001</v>
      </c>
      <c r="K77" s="644">
        <f>H77-J77</f>
        <v>0</v>
      </c>
      <c r="L77" s="708">
        <f>ROUND(H77*$G77,2)</f>
        <v>8501.27</v>
      </c>
      <c r="M77" s="708">
        <f>ROUND(I77*$G77,2)</f>
        <v>0</v>
      </c>
      <c r="N77" s="708">
        <f>ROUND(J77*$G77,2)</f>
        <v>8501.27</v>
      </c>
      <c r="O77" s="718">
        <f>ROUND(K77*$G77,2)</f>
        <v>0</v>
      </c>
      <c r="P77" s="617">
        <f t="shared" si="0"/>
        <v>1</v>
      </c>
      <c r="Q77" s="525">
        <f>I77-'[9]8'!I76</f>
        <v>-37.019999999999996</v>
      </c>
      <c r="S77" s="189">
        <v>0</v>
      </c>
      <c r="T77" s="189">
        <v>0</v>
      </c>
      <c r="BT77" s="525"/>
      <c r="BU77" s="659"/>
      <c r="BV77" s="659">
        <v>37.019999999999996</v>
      </c>
      <c r="BW77" s="523">
        <v>81.444000000000017</v>
      </c>
      <c r="BX77" s="523">
        <v>29.616000000000003</v>
      </c>
      <c r="BY77" s="523">
        <v>0</v>
      </c>
      <c r="BZ77" s="523">
        <v>0</v>
      </c>
      <c r="CA77" s="523">
        <v>0</v>
      </c>
      <c r="CB77" s="523">
        <v>0</v>
      </c>
      <c r="CC77" s="523"/>
      <c r="CD77" s="523"/>
      <c r="CE77" s="523"/>
      <c r="CF77" s="523"/>
      <c r="CG77" s="523"/>
      <c r="CH77" s="523"/>
      <c r="CI77" s="523">
        <f t="shared" si="2"/>
        <v>148.08000000000001</v>
      </c>
    </row>
    <row r="78" spans="1:87" s="790" customFormat="1" ht="15.75" x14ac:dyDescent="0.2">
      <c r="A78" s="600">
        <v>6</v>
      </c>
      <c r="B78" s="558"/>
      <c r="C78" s="558"/>
      <c r="D78" s="558" t="s">
        <v>97</v>
      </c>
      <c r="E78" s="626"/>
      <c r="F78" s="626"/>
      <c r="G78" s="626"/>
      <c r="H78" s="626"/>
      <c r="I78" s="626"/>
      <c r="J78" s="626"/>
      <c r="K78" s="626"/>
      <c r="L78" s="628">
        <f>SUM(L79,L84,L88,L91)</f>
        <v>10373.979999999998</v>
      </c>
      <c r="M78" s="628">
        <f>SUM(M79,M84,M88,M91)</f>
        <v>0</v>
      </c>
      <c r="N78" s="628">
        <f>SUM(N79,N84,N88,N91)</f>
        <v>0</v>
      </c>
      <c r="O78" s="721">
        <f>SUM(O79,O84,O88,O91)</f>
        <v>10373.979999999998</v>
      </c>
      <c r="P78" s="604">
        <f t="shared" si="0"/>
        <v>0</v>
      </c>
      <c r="Q78" s="525">
        <f>I78-'[9]8'!I77</f>
        <v>0</v>
      </c>
      <c r="S78" s="190">
        <v>0</v>
      </c>
      <c r="T78" s="190">
        <v>0</v>
      </c>
      <c r="BT78" s="525"/>
      <c r="BU78" s="523"/>
      <c r="BV78" s="523"/>
      <c r="BW78" s="523"/>
      <c r="BX78" s="523"/>
      <c r="BY78" s="523">
        <v>0</v>
      </c>
      <c r="BZ78" s="523">
        <v>0</v>
      </c>
      <c r="CA78" s="523"/>
      <c r="CB78" s="523"/>
      <c r="CC78" s="523"/>
      <c r="CD78" s="523"/>
      <c r="CE78" s="523"/>
      <c r="CF78" s="523"/>
      <c r="CG78" s="523"/>
      <c r="CH78" s="523"/>
      <c r="CI78" s="523">
        <f t="shared" si="2"/>
        <v>0</v>
      </c>
    </row>
    <row r="79" spans="1:87" ht="15.75" x14ac:dyDescent="0.2">
      <c r="A79" s="605" t="s">
        <v>186</v>
      </c>
      <c r="B79" s="586"/>
      <c r="C79" s="586"/>
      <c r="D79" s="586" t="s">
        <v>1424</v>
      </c>
      <c r="E79" s="609"/>
      <c r="F79" s="609"/>
      <c r="G79" s="609"/>
      <c r="H79" s="609"/>
      <c r="I79" s="609"/>
      <c r="J79" s="609"/>
      <c r="K79" s="609"/>
      <c r="L79" s="711">
        <f>SUM(L80:L83)</f>
        <v>7440.7899999999991</v>
      </c>
      <c r="M79" s="711">
        <f>SUM(M80:M83)</f>
        <v>0</v>
      </c>
      <c r="N79" s="711">
        <f>SUM(N80:N83)</f>
        <v>0</v>
      </c>
      <c r="O79" s="722">
        <f>SUM(O80:O83)</f>
        <v>7440.7899999999991</v>
      </c>
      <c r="P79" s="611">
        <f t="shared" ref="P79:P88" si="18">N79/L79</f>
        <v>0</v>
      </c>
      <c r="Q79" s="525">
        <f>I79-'[9]8'!I78</f>
        <v>0</v>
      </c>
      <c r="S79" s="189">
        <v>0</v>
      </c>
      <c r="T79" s="189">
        <v>0</v>
      </c>
      <c r="BT79" s="525"/>
      <c r="BU79" s="523"/>
      <c r="BV79" s="523"/>
      <c r="BW79" s="523"/>
      <c r="BX79" s="523"/>
      <c r="BY79" s="523">
        <v>0</v>
      </c>
      <c r="BZ79" s="523">
        <v>0</v>
      </c>
      <c r="CA79" s="523"/>
      <c r="CB79" s="523"/>
      <c r="CC79" s="523"/>
      <c r="CD79" s="523"/>
      <c r="CE79" s="523"/>
      <c r="CF79" s="523"/>
      <c r="CG79" s="523"/>
      <c r="CH79" s="523"/>
      <c r="CI79" s="523">
        <f t="shared" si="2"/>
        <v>0</v>
      </c>
    </row>
    <row r="80" spans="1:87" ht="30" x14ac:dyDescent="0.2">
      <c r="A80" s="680" t="s">
        <v>1425</v>
      </c>
      <c r="B80" s="569">
        <v>90843</v>
      </c>
      <c r="C80" s="569" t="s">
        <v>1324</v>
      </c>
      <c r="D80" s="569" t="s">
        <v>1426</v>
      </c>
      <c r="E80" s="681" t="s">
        <v>102</v>
      </c>
      <c r="F80" s="571"/>
      <c r="G80" s="682">
        <v>688.65</v>
      </c>
      <c r="H80" s="681">
        <v>2</v>
      </c>
      <c r="I80" s="573">
        <f t="shared" si="3"/>
        <v>0</v>
      </c>
      <c r="J80" s="574">
        <f t="shared" si="4"/>
        <v>0</v>
      </c>
      <c r="K80" s="644">
        <f>H80-J80</f>
        <v>2</v>
      </c>
      <c r="L80" s="708">
        <f t="shared" ref="L80:O83" si="19">ROUND(H80*$G80,2)</f>
        <v>1377.3</v>
      </c>
      <c r="M80" s="708">
        <f t="shared" si="19"/>
        <v>0</v>
      </c>
      <c r="N80" s="708">
        <f t="shared" si="19"/>
        <v>0</v>
      </c>
      <c r="O80" s="718">
        <f t="shared" si="19"/>
        <v>1377.3</v>
      </c>
      <c r="P80" s="617">
        <f t="shared" si="18"/>
        <v>0</v>
      </c>
      <c r="Q80" s="525">
        <f>I80-'[9]8'!I79</f>
        <v>0</v>
      </c>
      <c r="S80" s="189">
        <v>0</v>
      </c>
      <c r="T80" s="189">
        <v>0</v>
      </c>
      <c r="BT80" s="525"/>
      <c r="BU80" s="523"/>
      <c r="BV80" s="523"/>
      <c r="BW80" s="523"/>
      <c r="BX80" s="523"/>
      <c r="BY80" s="523">
        <v>0</v>
      </c>
      <c r="BZ80" s="523">
        <v>0</v>
      </c>
      <c r="CA80" s="523">
        <v>0</v>
      </c>
      <c r="CB80" s="523">
        <v>0</v>
      </c>
      <c r="CC80" s="523"/>
      <c r="CD80" s="523"/>
      <c r="CE80" s="523"/>
      <c r="CF80" s="523"/>
      <c r="CG80" s="523"/>
      <c r="CH80" s="523"/>
      <c r="CI80" s="523">
        <f t="shared" ref="CI80:CI143" si="20">SUM(BU80:CH80)</f>
        <v>0</v>
      </c>
    </row>
    <row r="81" spans="1:87" ht="30" x14ac:dyDescent="0.2">
      <c r="A81" s="680" t="s">
        <v>1427</v>
      </c>
      <c r="B81" s="569">
        <v>90844</v>
      </c>
      <c r="C81" s="569" t="s">
        <v>1324</v>
      </c>
      <c r="D81" s="569" t="s">
        <v>1428</v>
      </c>
      <c r="E81" s="681" t="s">
        <v>102</v>
      </c>
      <c r="F81" s="644">
        <v>179.33</v>
      </c>
      <c r="G81" s="682">
        <v>926.13</v>
      </c>
      <c r="H81" s="681">
        <v>1</v>
      </c>
      <c r="I81" s="622">
        <f t="shared" ref="I81:I144" si="21">BU81</f>
        <v>0</v>
      </c>
      <c r="J81" s="574">
        <f t="shared" ref="J81:J144" si="22">CI81</f>
        <v>0</v>
      </c>
      <c r="K81" s="644">
        <f>H81-J81</f>
        <v>1</v>
      </c>
      <c r="L81" s="708">
        <f t="shared" si="19"/>
        <v>926.13</v>
      </c>
      <c r="M81" s="708">
        <f t="shared" si="19"/>
        <v>0</v>
      </c>
      <c r="N81" s="708">
        <f t="shared" si="19"/>
        <v>0</v>
      </c>
      <c r="O81" s="718">
        <f t="shared" si="19"/>
        <v>926.13</v>
      </c>
      <c r="P81" s="617">
        <f t="shared" si="18"/>
        <v>0</v>
      </c>
      <c r="Q81" s="525">
        <f>I81-'[9]8'!I80</f>
        <v>0</v>
      </c>
      <c r="S81" s="189">
        <v>0</v>
      </c>
      <c r="T81" s="189">
        <v>0</v>
      </c>
      <c r="BT81" s="525"/>
      <c r="BU81" s="523"/>
      <c r="BV81" s="523"/>
      <c r="BW81" s="523"/>
      <c r="BX81" s="523"/>
      <c r="BY81" s="523">
        <v>0</v>
      </c>
      <c r="BZ81" s="523">
        <v>0</v>
      </c>
      <c r="CA81" s="523">
        <v>0</v>
      </c>
      <c r="CB81" s="523">
        <v>0</v>
      </c>
      <c r="CC81" s="523"/>
      <c r="CD81" s="523"/>
      <c r="CE81" s="523"/>
      <c r="CF81" s="523"/>
      <c r="CG81" s="523"/>
      <c r="CH81" s="523"/>
      <c r="CI81" s="523">
        <f t="shared" si="20"/>
        <v>0</v>
      </c>
    </row>
    <row r="82" spans="1:87" ht="30" x14ac:dyDescent="0.2">
      <c r="A82" s="680" t="s">
        <v>1429</v>
      </c>
      <c r="B82" s="569" t="s">
        <v>1430</v>
      </c>
      <c r="C82" s="569" t="s">
        <v>1324</v>
      </c>
      <c r="D82" s="569" t="s">
        <v>1431</v>
      </c>
      <c r="E82" s="681" t="s">
        <v>102</v>
      </c>
      <c r="F82" s="644">
        <v>268.98</v>
      </c>
      <c r="G82" s="682">
        <v>825.22</v>
      </c>
      <c r="H82" s="681">
        <v>4</v>
      </c>
      <c r="I82" s="622">
        <f t="shared" si="21"/>
        <v>0</v>
      </c>
      <c r="J82" s="574">
        <f t="shared" si="22"/>
        <v>0</v>
      </c>
      <c r="K82" s="644">
        <f>H82-J82</f>
        <v>4</v>
      </c>
      <c r="L82" s="708">
        <f t="shared" si="19"/>
        <v>3300.88</v>
      </c>
      <c r="M82" s="708">
        <f t="shared" si="19"/>
        <v>0</v>
      </c>
      <c r="N82" s="708">
        <f t="shared" si="19"/>
        <v>0</v>
      </c>
      <c r="O82" s="718">
        <f t="shared" si="19"/>
        <v>3300.88</v>
      </c>
      <c r="P82" s="617">
        <f t="shared" si="18"/>
        <v>0</v>
      </c>
      <c r="Q82" s="525">
        <f>I82-'[9]8'!I81</f>
        <v>0</v>
      </c>
      <c r="S82" s="189">
        <v>0</v>
      </c>
      <c r="T82" s="189">
        <v>0</v>
      </c>
      <c r="BT82" s="525"/>
      <c r="BU82" s="523"/>
      <c r="BV82" s="523"/>
      <c r="BW82" s="523"/>
      <c r="BX82" s="523"/>
      <c r="BY82" s="523">
        <v>0</v>
      </c>
      <c r="BZ82" s="523">
        <v>0</v>
      </c>
      <c r="CA82" s="523">
        <v>0</v>
      </c>
      <c r="CB82" s="523">
        <v>0</v>
      </c>
      <c r="CC82" s="523"/>
      <c r="CD82" s="523"/>
      <c r="CE82" s="523"/>
      <c r="CF82" s="523"/>
      <c r="CG82" s="523"/>
      <c r="CH82" s="523"/>
      <c r="CI82" s="523">
        <f t="shared" si="20"/>
        <v>0</v>
      </c>
    </row>
    <row r="83" spans="1:87" s="790" customFormat="1" ht="30" x14ac:dyDescent="0.2">
      <c r="A83" s="680" t="s">
        <v>1432</v>
      </c>
      <c r="B83" s="569" t="s">
        <v>1433</v>
      </c>
      <c r="C83" s="569" t="s">
        <v>1324</v>
      </c>
      <c r="D83" s="569" t="s">
        <v>1434</v>
      </c>
      <c r="E83" s="681" t="s">
        <v>102</v>
      </c>
      <c r="F83" s="644">
        <v>134.49</v>
      </c>
      <c r="G83" s="682">
        <v>918.24</v>
      </c>
      <c r="H83" s="681">
        <v>2</v>
      </c>
      <c r="I83" s="622">
        <f t="shared" si="21"/>
        <v>0</v>
      </c>
      <c r="J83" s="574">
        <f t="shared" si="22"/>
        <v>0</v>
      </c>
      <c r="K83" s="644">
        <f>H83-J83</f>
        <v>2</v>
      </c>
      <c r="L83" s="708">
        <f t="shared" si="19"/>
        <v>1836.48</v>
      </c>
      <c r="M83" s="708">
        <f t="shared" si="19"/>
        <v>0</v>
      </c>
      <c r="N83" s="708">
        <f t="shared" si="19"/>
        <v>0</v>
      </c>
      <c r="O83" s="718">
        <f t="shared" si="19"/>
        <v>1836.48</v>
      </c>
      <c r="P83" s="617">
        <f t="shared" si="18"/>
        <v>0</v>
      </c>
      <c r="Q83" s="525">
        <f>I83-'[9]8'!I82</f>
        <v>0</v>
      </c>
      <c r="S83" s="190">
        <v>0</v>
      </c>
      <c r="T83" s="190">
        <v>0</v>
      </c>
      <c r="BT83" s="525"/>
      <c r="BU83" s="523"/>
      <c r="BV83" s="523"/>
      <c r="BW83" s="523"/>
      <c r="BX83" s="523"/>
      <c r="BY83" s="523">
        <v>0</v>
      </c>
      <c r="BZ83" s="523">
        <v>0</v>
      </c>
      <c r="CA83" s="523">
        <v>0</v>
      </c>
      <c r="CB83" s="523">
        <v>0</v>
      </c>
      <c r="CC83" s="523"/>
      <c r="CD83" s="523"/>
      <c r="CE83" s="523"/>
      <c r="CF83" s="523"/>
      <c r="CG83" s="523"/>
      <c r="CH83" s="523"/>
      <c r="CI83" s="523">
        <f t="shared" si="20"/>
        <v>0</v>
      </c>
    </row>
    <row r="84" spans="1:87" ht="15.75" x14ac:dyDescent="0.2">
      <c r="A84" s="605" t="s">
        <v>188</v>
      </c>
      <c r="B84" s="586"/>
      <c r="C84" s="586"/>
      <c r="D84" s="586" t="s">
        <v>1435</v>
      </c>
      <c r="E84" s="609"/>
      <c r="F84" s="609"/>
      <c r="G84" s="609"/>
      <c r="H84" s="609"/>
      <c r="I84" s="609"/>
      <c r="J84" s="609"/>
      <c r="K84" s="609"/>
      <c r="L84" s="733">
        <f>SUM(L85:L87)</f>
        <v>773.29</v>
      </c>
      <c r="M84" s="733">
        <f>SUM(M85:M87)</f>
        <v>0</v>
      </c>
      <c r="N84" s="733">
        <f>SUM(N85:N87)</f>
        <v>0</v>
      </c>
      <c r="O84" s="722">
        <f>SUM(O85:O87)</f>
        <v>773.29</v>
      </c>
      <c r="P84" s="611">
        <f t="shared" si="18"/>
        <v>0</v>
      </c>
      <c r="Q84" s="525">
        <f>I84-'[9]8'!I83</f>
        <v>0</v>
      </c>
      <c r="S84" s="189">
        <v>0</v>
      </c>
      <c r="T84" s="189">
        <v>0</v>
      </c>
      <c r="BT84" s="525"/>
      <c r="BU84" s="523"/>
      <c r="BV84" s="523"/>
      <c r="BW84" s="523"/>
      <c r="BX84" s="523"/>
      <c r="BY84" s="523">
        <v>0</v>
      </c>
      <c r="BZ84" s="523">
        <v>0</v>
      </c>
      <c r="CA84" s="523"/>
      <c r="CB84" s="523"/>
      <c r="CC84" s="523"/>
      <c r="CD84" s="523"/>
      <c r="CE84" s="523"/>
      <c r="CF84" s="523"/>
      <c r="CG84" s="523"/>
      <c r="CH84" s="523"/>
      <c r="CI84" s="523">
        <f t="shared" si="20"/>
        <v>0</v>
      </c>
    </row>
    <row r="85" spans="1:87" ht="15" x14ac:dyDescent="0.2">
      <c r="A85" s="680" t="s">
        <v>1436</v>
      </c>
      <c r="B85" s="569" t="s">
        <v>2007</v>
      </c>
      <c r="C85" s="569" t="s">
        <v>1339</v>
      </c>
      <c r="D85" s="569" t="s">
        <v>1437</v>
      </c>
      <c r="E85" s="681" t="s">
        <v>81</v>
      </c>
      <c r="F85" s="644">
        <v>627.62</v>
      </c>
      <c r="G85" s="682">
        <v>48.24</v>
      </c>
      <c r="H85" s="681">
        <v>11.6</v>
      </c>
      <c r="I85" s="622">
        <f t="shared" si="21"/>
        <v>0</v>
      </c>
      <c r="J85" s="574">
        <f t="shared" si="22"/>
        <v>0</v>
      </c>
      <c r="K85" s="644">
        <f t="shared" ref="K85:K92" si="23">H85-J85</f>
        <v>11.6</v>
      </c>
      <c r="L85" s="708">
        <f t="shared" ref="L85:O87" si="24">ROUND(H85*$G85,2)</f>
        <v>559.58000000000004</v>
      </c>
      <c r="M85" s="708">
        <f t="shared" si="24"/>
        <v>0</v>
      </c>
      <c r="N85" s="708">
        <f t="shared" si="24"/>
        <v>0</v>
      </c>
      <c r="O85" s="718">
        <f t="shared" si="24"/>
        <v>559.58000000000004</v>
      </c>
      <c r="P85" s="617">
        <f t="shared" si="18"/>
        <v>0</v>
      </c>
      <c r="Q85" s="525">
        <f>I85-'[9]8'!I84</f>
        <v>0</v>
      </c>
      <c r="S85" s="189">
        <v>0</v>
      </c>
      <c r="T85" s="189">
        <v>0</v>
      </c>
      <c r="BT85" s="525"/>
      <c r="BU85" s="523"/>
      <c r="BV85" s="523"/>
      <c r="BW85" s="523"/>
      <c r="BX85" s="523"/>
      <c r="BY85" s="523">
        <v>0</v>
      </c>
      <c r="BZ85" s="523">
        <v>0</v>
      </c>
      <c r="CA85" s="523">
        <v>0</v>
      </c>
      <c r="CB85" s="523">
        <v>0</v>
      </c>
      <c r="CC85" s="523"/>
      <c r="CD85" s="523"/>
      <c r="CE85" s="523"/>
      <c r="CF85" s="523"/>
      <c r="CG85" s="523"/>
      <c r="CH85" s="523"/>
      <c r="CI85" s="523">
        <f t="shared" si="20"/>
        <v>0</v>
      </c>
    </row>
    <row r="86" spans="1:87" ht="15" x14ac:dyDescent="0.2">
      <c r="A86" s="680" t="s">
        <v>1438</v>
      </c>
      <c r="B86" s="569" t="s">
        <v>2007</v>
      </c>
      <c r="C86" s="569" t="s">
        <v>1339</v>
      </c>
      <c r="D86" s="569" t="s">
        <v>1439</v>
      </c>
      <c r="E86" s="681" t="s">
        <v>14</v>
      </c>
      <c r="F86" s="644">
        <v>358.64</v>
      </c>
      <c r="G86" s="682">
        <v>5.44</v>
      </c>
      <c r="H86" s="681">
        <v>4.3</v>
      </c>
      <c r="I86" s="622">
        <f t="shared" si="21"/>
        <v>0</v>
      </c>
      <c r="J86" s="574">
        <f t="shared" si="22"/>
        <v>0</v>
      </c>
      <c r="K86" s="644">
        <f t="shared" si="23"/>
        <v>4.3</v>
      </c>
      <c r="L86" s="708">
        <f t="shared" si="24"/>
        <v>23.39</v>
      </c>
      <c r="M86" s="708">
        <f t="shared" si="24"/>
        <v>0</v>
      </c>
      <c r="N86" s="708">
        <f t="shared" si="24"/>
        <v>0</v>
      </c>
      <c r="O86" s="718">
        <f t="shared" si="24"/>
        <v>23.39</v>
      </c>
      <c r="P86" s="617">
        <f t="shared" si="18"/>
        <v>0</v>
      </c>
      <c r="Q86" s="525">
        <f>I86-'[9]8'!I85</f>
        <v>0</v>
      </c>
      <c r="S86" s="189">
        <v>0</v>
      </c>
      <c r="T86" s="189">
        <v>0</v>
      </c>
      <c r="BT86" s="525"/>
      <c r="BU86" s="523"/>
      <c r="BV86" s="523"/>
      <c r="BW86" s="523"/>
      <c r="BX86" s="523"/>
      <c r="BY86" s="523">
        <v>0</v>
      </c>
      <c r="BZ86" s="523">
        <v>0</v>
      </c>
      <c r="CA86" s="523">
        <v>0</v>
      </c>
      <c r="CB86" s="523">
        <v>0</v>
      </c>
      <c r="CC86" s="523"/>
      <c r="CD86" s="523"/>
      <c r="CE86" s="523"/>
      <c r="CF86" s="523"/>
      <c r="CG86" s="523"/>
      <c r="CH86" s="523"/>
      <c r="CI86" s="523">
        <f t="shared" si="20"/>
        <v>0</v>
      </c>
    </row>
    <row r="87" spans="1:87" s="790" customFormat="1" ht="15" x14ac:dyDescent="0.2">
      <c r="A87" s="680" t="s">
        <v>1440</v>
      </c>
      <c r="B87" s="569" t="s">
        <v>1441</v>
      </c>
      <c r="C87" s="569" t="s">
        <v>1324</v>
      </c>
      <c r="D87" s="569" t="s">
        <v>1442</v>
      </c>
      <c r="E87" s="681" t="s">
        <v>102</v>
      </c>
      <c r="F87" s="644">
        <v>448.3</v>
      </c>
      <c r="G87" s="682">
        <v>31.72</v>
      </c>
      <c r="H87" s="681">
        <v>6</v>
      </c>
      <c r="I87" s="622">
        <f t="shared" si="21"/>
        <v>0</v>
      </c>
      <c r="J87" s="574">
        <f t="shared" si="22"/>
        <v>0</v>
      </c>
      <c r="K87" s="644">
        <f t="shared" si="23"/>
        <v>6</v>
      </c>
      <c r="L87" s="708">
        <f t="shared" si="24"/>
        <v>190.32</v>
      </c>
      <c r="M87" s="708">
        <f t="shared" si="24"/>
        <v>0</v>
      </c>
      <c r="N87" s="708">
        <f t="shared" si="24"/>
        <v>0</v>
      </c>
      <c r="O87" s="718">
        <f t="shared" si="24"/>
        <v>190.32</v>
      </c>
      <c r="P87" s="617">
        <f t="shared" si="18"/>
        <v>0</v>
      </c>
      <c r="Q87" s="525">
        <f>I87-'[9]8'!I86</f>
        <v>0</v>
      </c>
      <c r="S87" s="190">
        <v>0</v>
      </c>
      <c r="T87" s="190">
        <v>0</v>
      </c>
      <c r="BT87" s="525"/>
      <c r="BU87" s="523"/>
      <c r="BV87" s="523"/>
      <c r="BW87" s="523"/>
      <c r="BX87" s="523"/>
      <c r="BY87" s="523">
        <v>0</v>
      </c>
      <c r="BZ87" s="523">
        <v>0</v>
      </c>
      <c r="CA87" s="523">
        <v>0</v>
      </c>
      <c r="CB87" s="523">
        <v>0</v>
      </c>
      <c r="CC87" s="523"/>
      <c r="CD87" s="523"/>
      <c r="CE87" s="523"/>
      <c r="CF87" s="523"/>
      <c r="CG87" s="523"/>
      <c r="CH87" s="523"/>
      <c r="CI87" s="523">
        <f t="shared" si="20"/>
        <v>0</v>
      </c>
    </row>
    <row r="88" spans="1:87" ht="15.75" x14ac:dyDescent="0.2">
      <c r="A88" s="605" t="s">
        <v>1443</v>
      </c>
      <c r="B88" s="586"/>
      <c r="C88" s="586"/>
      <c r="D88" s="586" t="s">
        <v>1444</v>
      </c>
      <c r="E88" s="609"/>
      <c r="F88" s="609"/>
      <c r="G88" s="609"/>
      <c r="H88" s="609"/>
      <c r="I88" s="609"/>
      <c r="J88" s="609"/>
      <c r="K88" s="609"/>
      <c r="L88" s="712">
        <f>L90</f>
        <v>331.68</v>
      </c>
      <c r="M88" s="712">
        <f>M90</f>
        <v>0</v>
      </c>
      <c r="N88" s="712">
        <f>N90</f>
        <v>0</v>
      </c>
      <c r="O88" s="723">
        <f>O90</f>
        <v>331.68</v>
      </c>
      <c r="P88" s="611">
        <f t="shared" si="18"/>
        <v>0</v>
      </c>
      <c r="Q88" s="525">
        <f>I88-'[9]8'!I87</f>
        <v>0</v>
      </c>
      <c r="S88" s="189">
        <v>0</v>
      </c>
      <c r="T88" s="189">
        <v>0</v>
      </c>
      <c r="BT88" s="525"/>
      <c r="BU88" s="523"/>
      <c r="BV88" s="523"/>
      <c r="BW88" s="523"/>
      <c r="BX88" s="523"/>
      <c r="BY88" s="523">
        <v>0</v>
      </c>
      <c r="BZ88" s="523">
        <v>0</v>
      </c>
      <c r="CA88" s="523"/>
      <c r="CB88" s="523"/>
      <c r="CC88" s="523"/>
      <c r="CD88" s="523"/>
      <c r="CE88" s="523"/>
      <c r="CF88" s="523"/>
      <c r="CG88" s="523"/>
      <c r="CH88" s="523"/>
      <c r="CI88" s="523">
        <f t="shared" si="20"/>
        <v>0</v>
      </c>
    </row>
    <row r="89" spans="1:87" ht="15" x14ac:dyDescent="0.2">
      <c r="A89" s="680" t="s">
        <v>1445</v>
      </c>
      <c r="B89" s="569">
        <v>68052</v>
      </c>
      <c r="C89" s="569" t="s">
        <v>1324</v>
      </c>
      <c r="D89" s="624" t="s">
        <v>1446</v>
      </c>
      <c r="E89" s="681" t="s">
        <v>14</v>
      </c>
      <c r="F89" s="644">
        <v>390.13</v>
      </c>
      <c r="G89" s="682">
        <v>0</v>
      </c>
      <c r="H89" s="681">
        <v>10.8</v>
      </c>
      <c r="I89" s="622">
        <f t="shared" si="21"/>
        <v>0</v>
      </c>
      <c r="J89" s="574">
        <f t="shared" si="22"/>
        <v>0</v>
      </c>
      <c r="K89" s="644">
        <f t="shared" si="23"/>
        <v>10.8</v>
      </c>
      <c r="L89" s="708">
        <f t="shared" ref="L89:O90" si="25">ROUND(H89*$G89,2)</f>
        <v>0</v>
      </c>
      <c r="M89" s="708">
        <f t="shared" si="25"/>
        <v>0</v>
      </c>
      <c r="N89" s="708">
        <f t="shared" si="25"/>
        <v>0</v>
      </c>
      <c r="O89" s="718">
        <f t="shared" si="25"/>
        <v>0</v>
      </c>
      <c r="P89" s="617">
        <v>1</v>
      </c>
      <c r="Q89" s="525">
        <f>I89-'[9]8'!I88</f>
        <v>0</v>
      </c>
      <c r="S89" s="189">
        <v>0</v>
      </c>
      <c r="T89" s="189">
        <v>0</v>
      </c>
      <c r="BT89" s="525"/>
      <c r="BU89" s="523"/>
      <c r="BV89" s="523"/>
      <c r="BW89" s="523"/>
      <c r="BX89" s="523"/>
      <c r="BY89" s="523">
        <v>0</v>
      </c>
      <c r="BZ89" s="523">
        <v>0</v>
      </c>
      <c r="CA89" s="523">
        <v>0</v>
      </c>
      <c r="CB89" s="523">
        <v>0</v>
      </c>
      <c r="CC89" s="523"/>
      <c r="CD89" s="523"/>
      <c r="CE89" s="523"/>
      <c r="CF89" s="523"/>
      <c r="CG89" s="523"/>
      <c r="CH89" s="523"/>
      <c r="CI89" s="523">
        <f t="shared" si="20"/>
        <v>0</v>
      </c>
    </row>
    <row r="90" spans="1:87" s="790" customFormat="1" ht="15" x14ac:dyDescent="0.2">
      <c r="A90" s="680" t="s">
        <v>1447</v>
      </c>
      <c r="B90" s="569">
        <v>85010</v>
      </c>
      <c r="C90" s="569" t="s">
        <v>1324</v>
      </c>
      <c r="D90" s="569" t="s">
        <v>1448</v>
      </c>
      <c r="E90" s="681" t="s">
        <v>14</v>
      </c>
      <c r="F90" s="644">
        <v>975.33</v>
      </c>
      <c r="G90" s="682">
        <v>159.46</v>
      </c>
      <c r="H90" s="681">
        <v>2.08</v>
      </c>
      <c r="I90" s="622">
        <f t="shared" si="21"/>
        <v>0</v>
      </c>
      <c r="J90" s="574">
        <f t="shared" si="22"/>
        <v>0</v>
      </c>
      <c r="K90" s="644">
        <f t="shared" si="23"/>
        <v>2.08</v>
      </c>
      <c r="L90" s="708">
        <f t="shared" si="25"/>
        <v>331.68</v>
      </c>
      <c r="M90" s="708">
        <f t="shared" si="25"/>
        <v>0</v>
      </c>
      <c r="N90" s="708">
        <f t="shared" si="25"/>
        <v>0</v>
      </c>
      <c r="O90" s="718">
        <f t="shared" si="25"/>
        <v>331.68</v>
      </c>
      <c r="P90" s="617">
        <f t="shared" ref="P90:P140" si="26">N90/L90</f>
        <v>0</v>
      </c>
      <c r="Q90" s="525">
        <f>I90-'[9]8'!I89</f>
        <v>0</v>
      </c>
      <c r="S90" s="190">
        <v>0</v>
      </c>
      <c r="T90" s="190">
        <v>0</v>
      </c>
      <c r="BT90" s="525"/>
      <c r="BU90" s="523"/>
      <c r="BV90" s="523"/>
      <c r="BW90" s="523"/>
      <c r="BX90" s="523"/>
      <c r="BY90" s="523">
        <v>0</v>
      </c>
      <c r="BZ90" s="523">
        <v>0</v>
      </c>
      <c r="CA90" s="523">
        <v>0</v>
      </c>
      <c r="CB90" s="523">
        <v>0</v>
      </c>
      <c r="CC90" s="523"/>
      <c r="CD90" s="523"/>
      <c r="CE90" s="523"/>
      <c r="CF90" s="523"/>
      <c r="CG90" s="523"/>
      <c r="CH90" s="523"/>
      <c r="CI90" s="523">
        <f t="shared" si="20"/>
        <v>0</v>
      </c>
    </row>
    <row r="91" spans="1:87" ht="15.75" x14ac:dyDescent="0.2">
      <c r="A91" s="605" t="s">
        <v>1449</v>
      </c>
      <c r="B91" s="586"/>
      <c r="C91" s="586"/>
      <c r="D91" s="586" t="s">
        <v>184</v>
      </c>
      <c r="E91" s="609"/>
      <c r="F91" s="609"/>
      <c r="G91" s="609"/>
      <c r="H91" s="609"/>
      <c r="I91" s="609"/>
      <c r="J91" s="609"/>
      <c r="K91" s="609"/>
      <c r="L91" s="712">
        <f>L92</f>
        <v>1828.22</v>
      </c>
      <c r="M91" s="712">
        <f>M92</f>
        <v>0</v>
      </c>
      <c r="N91" s="712">
        <f>N92</f>
        <v>0</v>
      </c>
      <c r="O91" s="723">
        <f>O92</f>
        <v>1828.22</v>
      </c>
      <c r="P91" s="611">
        <f t="shared" si="26"/>
        <v>0</v>
      </c>
      <c r="Q91" s="525">
        <f>I91-'[9]8'!I90</f>
        <v>0</v>
      </c>
      <c r="S91" s="189">
        <v>0</v>
      </c>
      <c r="T91" s="189">
        <v>0</v>
      </c>
      <c r="BT91" s="525"/>
      <c r="BU91" s="523"/>
      <c r="BV91" s="523"/>
      <c r="BW91" s="523"/>
      <c r="BX91" s="523"/>
      <c r="BY91" s="523">
        <v>0</v>
      </c>
      <c r="BZ91" s="523">
        <v>0</v>
      </c>
      <c r="CA91" s="523"/>
      <c r="CB91" s="523"/>
      <c r="CC91" s="523"/>
      <c r="CD91" s="523"/>
      <c r="CE91" s="523"/>
      <c r="CF91" s="523"/>
      <c r="CG91" s="523"/>
      <c r="CH91" s="523"/>
      <c r="CI91" s="523">
        <f t="shared" si="20"/>
        <v>0</v>
      </c>
    </row>
    <row r="92" spans="1:87" ht="15" x14ac:dyDescent="0.2">
      <c r="A92" s="680" t="s">
        <v>1450</v>
      </c>
      <c r="B92" s="569" t="s">
        <v>1451</v>
      </c>
      <c r="C92" s="569" t="s">
        <v>1324</v>
      </c>
      <c r="D92" s="569" t="s">
        <v>1452</v>
      </c>
      <c r="E92" s="681" t="s">
        <v>14</v>
      </c>
      <c r="F92" s="644">
        <v>877.8</v>
      </c>
      <c r="G92" s="682">
        <v>423.2</v>
      </c>
      <c r="H92" s="681">
        <v>4.32</v>
      </c>
      <c r="I92" s="622">
        <f t="shared" si="21"/>
        <v>0</v>
      </c>
      <c r="J92" s="574">
        <f t="shared" si="22"/>
        <v>0</v>
      </c>
      <c r="K92" s="644">
        <f t="shared" si="23"/>
        <v>4.32</v>
      </c>
      <c r="L92" s="708">
        <f>ROUND(H92*$G92,2)</f>
        <v>1828.22</v>
      </c>
      <c r="M92" s="708">
        <f>ROUND(I92*$G92,2)</f>
        <v>0</v>
      </c>
      <c r="N92" s="708">
        <f>ROUND(J92*$G92,2)</f>
        <v>0</v>
      </c>
      <c r="O92" s="718">
        <f>ROUND(K92*$G92,2)</f>
        <v>1828.22</v>
      </c>
      <c r="P92" s="617">
        <f t="shared" si="26"/>
        <v>0</v>
      </c>
      <c r="Q92" s="525">
        <f>I92-'[9]8'!I91</f>
        <v>0</v>
      </c>
      <c r="S92" s="189">
        <v>0</v>
      </c>
      <c r="T92" s="189">
        <v>0</v>
      </c>
      <c r="BT92" s="525"/>
      <c r="BU92" s="523"/>
      <c r="BV92" s="523"/>
      <c r="BW92" s="523"/>
      <c r="BX92" s="523"/>
      <c r="BY92" s="523">
        <v>0</v>
      </c>
      <c r="BZ92" s="523">
        <v>0</v>
      </c>
      <c r="CA92" s="523">
        <v>0</v>
      </c>
      <c r="CB92" s="523">
        <v>0</v>
      </c>
      <c r="CC92" s="523"/>
      <c r="CD92" s="523"/>
      <c r="CE92" s="523"/>
      <c r="CF92" s="523"/>
      <c r="CG92" s="523"/>
      <c r="CH92" s="523"/>
      <c r="CI92" s="523">
        <f t="shared" si="20"/>
        <v>0</v>
      </c>
    </row>
    <row r="93" spans="1:87" ht="15.75" x14ac:dyDescent="0.2">
      <c r="A93" s="600">
        <v>7</v>
      </c>
      <c r="B93" s="558"/>
      <c r="C93" s="558"/>
      <c r="D93" s="558" t="s">
        <v>1453</v>
      </c>
      <c r="E93" s="626"/>
      <c r="F93" s="626"/>
      <c r="G93" s="626"/>
      <c r="H93" s="626"/>
      <c r="I93" s="626"/>
      <c r="J93" s="626"/>
      <c r="K93" s="626"/>
      <c r="L93" s="628">
        <f>SUM(L94:L95)</f>
        <v>173274.06</v>
      </c>
      <c r="M93" s="628">
        <f>SUM(M94:M95)</f>
        <v>3817.13</v>
      </c>
      <c r="N93" s="628">
        <f>SUM(N94:N95)</f>
        <v>173274.06</v>
      </c>
      <c r="O93" s="721">
        <f>SUM(O94:O95)</f>
        <v>0</v>
      </c>
      <c r="P93" s="604">
        <f t="shared" si="26"/>
        <v>1</v>
      </c>
      <c r="Q93" s="525">
        <f>I93-'[9]8'!I92</f>
        <v>0</v>
      </c>
      <c r="S93" s="189">
        <v>0</v>
      </c>
      <c r="T93" s="189">
        <v>0</v>
      </c>
      <c r="BT93" s="525"/>
      <c r="BU93" s="523"/>
      <c r="BV93" s="523"/>
      <c r="BW93" s="523"/>
      <c r="BX93" s="523"/>
      <c r="BY93" s="523">
        <v>0</v>
      </c>
      <c r="BZ93" s="523">
        <v>0</v>
      </c>
      <c r="CA93" s="523"/>
      <c r="CB93" s="523"/>
      <c r="CC93" s="523"/>
      <c r="CD93" s="523"/>
      <c r="CE93" s="523"/>
      <c r="CF93" s="523"/>
      <c r="CG93" s="523"/>
      <c r="CH93" s="523"/>
      <c r="CI93" s="523">
        <f t="shared" si="20"/>
        <v>0</v>
      </c>
    </row>
    <row r="94" spans="1:87" ht="15" x14ac:dyDescent="0.2">
      <c r="A94" s="680" t="s">
        <v>193</v>
      </c>
      <c r="B94" s="569" t="s">
        <v>1454</v>
      </c>
      <c r="C94" s="569" t="s">
        <v>1324</v>
      </c>
      <c r="D94" s="569" t="s">
        <v>1455</v>
      </c>
      <c r="E94" s="681" t="s">
        <v>14</v>
      </c>
      <c r="F94" s="688">
        <v>1560.54</v>
      </c>
      <c r="G94" s="682">
        <v>51.14</v>
      </c>
      <c r="H94" s="681">
        <v>1030.4000000000001</v>
      </c>
      <c r="I94" s="622">
        <f t="shared" si="21"/>
        <v>74.640700000000152</v>
      </c>
      <c r="J94" s="574">
        <f t="shared" si="22"/>
        <v>1030.4000000000001</v>
      </c>
      <c r="K94" s="644">
        <f>H94-J94</f>
        <v>0</v>
      </c>
      <c r="L94" s="708">
        <f t="shared" ref="L94:O95" si="27">ROUND(H94*$G94,2)</f>
        <v>52694.66</v>
      </c>
      <c r="M94" s="708">
        <f t="shared" si="27"/>
        <v>3817.13</v>
      </c>
      <c r="N94" s="708">
        <f t="shared" si="27"/>
        <v>52694.66</v>
      </c>
      <c r="O94" s="718">
        <f t="shared" si="27"/>
        <v>0</v>
      </c>
      <c r="P94" s="617">
        <f t="shared" si="26"/>
        <v>1</v>
      </c>
      <c r="Q94" s="525">
        <f>I94-'[9]8'!I93</f>
        <v>-654.55929999999989</v>
      </c>
      <c r="S94" s="189">
        <v>0</v>
      </c>
      <c r="T94" s="189">
        <v>0</v>
      </c>
      <c r="BT94" s="525"/>
      <c r="BU94" s="659">
        <v>74.640700000000152</v>
      </c>
      <c r="BV94" s="659">
        <v>654.55930000000001</v>
      </c>
      <c r="BW94" s="523">
        <v>301.2</v>
      </c>
      <c r="BX94" s="523"/>
      <c r="BY94" s="523">
        <v>0</v>
      </c>
      <c r="BZ94" s="523">
        <v>0</v>
      </c>
      <c r="CA94" s="523">
        <v>0</v>
      </c>
      <c r="CB94" s="523">
        <v>0</v>
      </c>
      <c r="CC94" s="523"/>
      <c r="CD94" s="523"/>
      <c r="CE94" s="523"/>
      <c r="CF94" s="523"/>
      <c r="CG94" s="523"/>
      <c r="CH94" s="523"/>
      <c r="CI94" s="523">
        <f t="shared" si="20"/>
        <v>1030.4000000000001</v>
      </c>
    </row>
    <row r="95" spans="1:87" s="110" customFormat="1" ht="15" x14ac:dyDescent="0.2">
      <c r="A95" s="680" t="s">
        <v>195</v>
      </c>
      <c r="B95" s="569">
        <v>72112</v>
      </c>
      <c r="C95" s="569" t="s">
        <v>1324</v>
      </c>
      <c r="D95" s="569" t="s">
        <v>1456</v>
      </c>
      <c r="E95" s="681" t="s">
        <v>14</v>
      </c>
      <c r="F95" s="688">
        <v>1950.67</v>
      </c>
      <c r="G95" s="682">
        <v>122.99</v>
      </c>
      <c r="H95" s="681">
        <v>980.4</v>
      </c>
      <c r="I95" s="622">
        <f t="shared" si="21"/>
        <v>0</v>
      </c>
      <c r="J95" s="574">
        <f t="shared" si="22"/>
        <v>980.40000000000009</v>
      </c>
      <c r="K95" s="644">
        <f>H95-J95</f>
        <v>0</v>
      </c>
      <c r="L95" s="708">
        <f t="shared" si="27"/>
        <v>120579.4</v>
      </c>
      <c r="M95" s="708">
        <f t="shared" si="27"/>
        <v>0</v>
      </c>
      <c r="N95" s="708">
        <f t="shared" si="27"/>
        <v>120579.4</v>
      </c>
      <c r="O95" s="718">
        <f t="shared" si="27"/>
        <v>0</v>
      </c>
      <c r="P95" s="617">
        <f t="shared" si="26"/>
        <v>1</v>
      </c>
      <c r="Q95" s="525">
        <f>I95-'[9]8'!I94</f>
        <v>-146.96163999999999</v>
      </c>
      <c r="S95" s="192">
        <v>0</v>
      </c>
      <c r="T95" s="192">
        <v>0</v>
      </c>
      <c r="BT95" s="525"/>
      <c r="BU95" s="659"/>
      <c r="BV95" s="659">
        <v>146.96163999999999</v>
      </c>
      <c r="BW95" s="523">
        <v>383.23836</v>
      </c>
      <c r="BX95" s="523">
        <v>450.2</v>
      </c>
      <c r="BY95" s="523">
        <v>0</v>
      </c>
      <c r="BZ95" s="523">
        <v>0</v>
      </c>
      <c r="CA95" s="523">
        <v>0</v>
      </c>
      <c r="CB95" s="523">
        <v>0</v>
      </c>
      <c r="CC95" s="523"/>
      <c r="CD95" s="523"/>
      <c r="CE95" s="523"/>
      <c r="CF95" s="523"/>
      <c r="CG95" s="523"/>
      <c r="CH95" s="523"/>
      <c r="CI95" s="523">
        <f t="shared" si="20"/>
        <v>980.40000000000009</v>
      </c>
    </row>
    <row r="96" spans="1:87" s="110" customFormat="1" ht="15.75" x14ac:dyDescent="0.2">
      <c r="A96" s="600">
        <v>8</v>
      </c>
      <c r="B96" s="601"/>
      <c r="C96" s="601"/>
      <c r="D96" s="602" t="s">
        <v>208</v>
      </c>
      <c r="E96" s="626"/>
      <c r="F96" s="626"/>
      <c r="G96" s="626"/>
      <c r="H96" s="626"/>
      <c r="I96" s="626"/>
      <c r="J96" s="626"/>
      <c r="K96" s="626"/>
      <c r="L96" s="734">
        <f>SUM(L97:L98)</f>
        <v>5634.27</v>
      </c>
      <c r="M96" s="628">
        <f>SUM(M97:M98)</f>
        <v>3376.58</v>
      </c>
      <c r="N96" s="707">
        <f>SUM(N97:N98)</f>
        <v>5634.27</v>
      </c>
      <c r="O96" s="721">
        <f>SUM(O97:O98)</f>
        <v>0</v>
      </c>
      <c r="P96" s="604">
        <f t="shared" si="26"/>
        <v>1</v>
      </c>
      <c r="Q96" s="525">
        <f>I96-'[9]8'!I95</f>
        <v>0</v>
      </c>
      <c r="S96" s="192">
        <v>265.61</v>
      </c>
      <c r="T96" s="192">
        <v>265.61</v>
      </c>
      <c r="BT96" s="525"/>
      <c r="BU96" s="523"/>
      <c r="BV96" s="523"/>
      <c r="BW96" s="523"/>
      <c r="BX96" s="523"/>
      <c r="BY96" s="523">
        <v>241</v>
      </c>
      <c r="BZ96" s="523">
        <v>0</v>
      </c>
      <c r="CA96" s="523"/>
      <c r="CB96" s="523"/>
      <c r="CC96" s="523"/>
      <c r="CD96" s="523"/>
      <c r="CE96" s="523"/>
      <c r="CF96" s="523"/>
      <c r="CG96" s="523"/>
      <c r="CH96" s="523"/>
      <c r="CI96" s="523">
        <f t="shared" si="20"/>
        <v>241</v>
      </c>
    </row>
    <row r="97" spans="1:87" ht="15" x14ac:dyDescent="0.2">
      <c r="A97" s="612" t="s">
        <v>210</v>
      </c>
      <c r="B97" s="613" t="s">
        <v>1457</v>
      </c>
      <c r="C97" s="613" t="s">
        <v>1324</v>
      </c>
      <c r="D97" s="614" t="s">
        <v>1458</v>
      </c>
      <c r="E97" s="615" t="s">
        <v>14</v>
      </c>
      <c r="F97" s="688">
        <v>3121.08</v>
      </c>
      <c r="G97" s="616">
        <v>8.5</v>
      </c>
      <c r="H97" s="615">
        <v>265.61</v>
      </c>
      <c r="I97" s="574">
        <f t="shared" si="21"/>
        <v>0</v>
      </c>
      <c r="J97" s="574">
        <f t="shared" si="22"/>
        <v>265.61</v>
      </c>
      <c r="K97" s="644">
        <f>H97-J97</f>
        <v>0</v>
      </c>
      <c r="L97" s="708">
        <f t="shared" ref="L97:O98" si="28">ROUND(H97*$G97,2)</f>
        <v>2257.69</v>
      </c>
      <c r="M97" s="708">
        <f t="shared" si="28"/>
        <v>0</v>
      </c>
      <c r="N97" s="708">
        <f t="shared" si="28"/>
        <v>2257.69</v>
      </c>
      <c r="O97" s="718">
        <f t="shared" si="28"/>
        <v>0</v>
      </c>
      <c r="P97" s="617">
        <f t="shared" si="26"/>
        <v>1</v>
      </c>
      <c r="Q97" s="525">
        <f>I97-'[9]8'!I96</f>
        <v>0</v>
      </c>
      <c r="S97" s="189">
        <v>0</v>
      </c>
      <c r="T97" s="189">
        <v>0</v>
      </c>
      <c r="BT97" s="525"/>
      <c r="BU97" s="746"/>
      <c r="BV97" s="523">
        <v>0</v>
      </c>
      <c r="BW97" s="523">
        <v>24.61</v>
      </c>
      <c r="BX97" s="523"/>
      <c r="BY97" s="523">
        <v>241</v>
      </c>
      <c r="BZ97" s="523">
        <v>0</v>
      </c>
      <c r="CA97" s="523">
        <v>0</v>
      </c>
      <c r="CB97" s="523">
        <v>0</v>
      </c>
      <c r="CC97" s="523"/>
      <c r="CD97" s="523"/>
      <c r="CE97" s="523"/>
      <c r="CF97" s="523"/>
      <c r="CG97" s="523"/>
      <c r="CH97" s="523"/>
      <c r="CI97" s="523">
        <f t="shared" si="20"/>
        <v>265.61</v>
      </c>
    </row>
    <row r="98" spans="1:87" s="789" customFormat="1" ht="15" x14ac:dyDescent="0.2">
      <c r="A98" s="680" t="s">
        <v>213</v>
      </c>
      <c r="B98" s="569">
        <v>68053</v>
      </c>
      <c r="C98" s="569" t="s">
        <v>1324</v>
      </c>
      <c r="D98" s="569" t="s">
        <v>1459</v>
      </c>
      <c r="E98" s="681" t="s">
        <v>14</v>
      </c>
      <c r="F98" s="688">
        <v>1137.9000000000001</v>
      </c>
      <c r="G98" s="682">
        <v>4.99</v>
      </c>
      <c r="H98" s="681">
        <v>676.67</v>
      </c>
      <c r="I98" s="622">
        <f t="shared" si="21"/>
        <v>676.67</v>
      </c>
      <c r="J98" s="574">
        <f t="shared" si="22"/>
        <v>676.67</v>
      </c>
      <c r="K98" s="644">
        <f>H98-J98</f>
        <v>0</v>
      </c>
      <c r="L98" s="708">
        <f t="shared" si="28"/>
        <v>3376.58</v>
      </c>
      <c r="M98" s="708">
        <f t="shared" si="28"/>
        <v>3376.58</v>
      </c>
      <c r="N98" s="708">
        <f t="shared" si="28"/>
        <v>3376.58</v>
      </c>
      <c r="O98" s="718">
        <f t="shared" si="28"/>
        <v>0</v>
      </c>
      <c r="P98" s="617">
        <f t="shared" si="26"/>
        <v>1</v>
      </c>
      <c r="Q98" s="525">
        <f>I98-'[9]8'!I97</f>
        <v>676.67</v>
      </c>
      <c r="S98" s="191">
        <v>0</v>
      </c>
      <c r="T98" s="191">
        <v>0</v>
      </c>
      <c r="BT98" s="525"/>
      <c r="BU98" s="523">
        <v>676.67</v>
      </c>
      <c r="BV98" s="523"/>
      <c r="BW98" s="523"/>
      <c r="BX98" s="523"/>
      <c r="BY98" s="523">
        <v>0</v>
      </c>
      <c r="BZ98" s="523">
        <v>0</v>
      </c>
      <c r="CA98" s="523">
        <v>0</v>
      </c>
      <c r="CB98" s="523">
        <v>0</v>
      </c>
      <c r="CC98" s="523"/>
      <c r="CD98" s="523"/>
      <c r="CE98" s="523"/>
      <c r="CF98" s="523"/>
      <c r="CG98" s="523"/>
      <c r="CH98" s="523"/>
      <c r="CI98" s="523">
        <f t="shared" si="20"/>
        <v>676.67</v>
      </c>
    </row>
    <row r="99" spans="1:87" ht="15.75" x14ac:dyDescent="0.2">
      <c r="A99" s="600">
        <v>9</v>
      </c>
      <c r="B99" s="601"/>
      <c r="C99" s="601"/>
      <c r="D99" s="602" t="s">
        <v>1460</v>
      </c>
      <c r="E99" s="626"/>
      <c r="F99" s="626"/>
      <c r="G99" s="626"/>
      <c r="H99" s="626"/>
      <c r="I99" s="626"/>
      <c r="J99" s="626"/>
      <c r="K99" s="626"/>
      <c r="L99" s="734">
        <f>SUM(L100:L109)</f>
        <v>51794.2</v>
      </c>
      <c r="M99" s="734">
        <f>SUM(M100:M109)</f>
        <v>466.38</v>
      </c>
      <c r="N99" s="734">
        <f>SUM(N100:N109)</f>
        <v>51268.09</v>
      </c>
      <c r="O99" s="721">
        <f>SUM(O100:O109)</f>
        <v>526.1</v>
      </c>
      <c r="P99" s="604">
        <f t="shared" si="26"/>
        <v>0.98984229894466946</v>
      </c>
      <c r="Q99" s="525">
        <f>I99-'[9]8'!I98</f>
        <v>0</v>
      </c>
      <c r="S99" s="189">
        <v>0</v>
      </c>
      <c r="T99" s="189">
        <v>803.09</v>
      </c>
      <c r="BT99" s="525"/>
      <c r="BU99" s="523"/>
      <c r="BV99" s="523"/>
      <c r="BW99" s="523"/>
      <c r="BX99" s="523"/>
      <c r="BY99" s="523">
        <v>0</v>
      </c>
      <c r="BZ99" s="523">
        <v>803.09</v>
      </c>
      <c r="CA99" s="523"/>
      <c r="CB99" s="523"/>
      <c r="CC99" s="523"/>
      <c r="CD99" s="523"/>
      <c r="CE99" s="523"/>
      <c r="CF99" s="523"/>
      <c r="CG99" s="523"/>
      <c r="CH99" s="523"/>
      <c r="CI99" s="523">
        <f t="shared" si="20"/>
        <v>803.09</v>
      </c>
    </row>
    <row r="100" spans="1:87" ht="15" x14ac:dyDescent="0.2">
      <c r="A100" s="680" t="s">
        <v>223</v>
      </c>
      <c r="B100" s="569">
        <v>87905</v>
      </c>
      <c r="C100" s="569" t="s">
        <v>1324</v>
      </c>
      <c r="D100" s="569" t="s">
        <v>1461</v>
      </c>
      <c r="E100" s="681" t="s">
        <v>14</v>
      </c>
      <c r="F100" s="644">
        <v>582.46</v>
      </c>
      <c r="G100" s="682">
        <v>6.11</v>
      </c>
      <c r="H100" s="681">
        <v>803.09</v>
      </c>
      <c r="I100" s="622">
        <f t="shared" si="21"/>
        <v>0</v>
      </c>
      <c r="J100" s="574">
        <f t="shared" si="22"/>
        <v>803.09</v>
      </c>
      <c r="K100" s="644">
        <f>H100-J100</f>
        <v>0</v>
      </c>
      <c r="L100" s="708">
        <f t="shared" ref="L100:O109" si="29">ROUND(H100*$G100,2)</f>
        <v>4906.88</v>
      </c>
      <c r="M100" s="708">
        <f t="shared" si="29"/>
        <v>0</v>
      </c>
      <c r="N100" s="708">
        <f t="shared" si="29"/>
        <v>4906.88</v>
      </c>
      <c r="O100" s="718">
        <f t="shared" si="29"/>
        <v>0</v>
      </c>
      <c r="P100" s="617">
        <f t="shared" si="26"/>
        <v>1</v>
      </c>
      <c r="Q100" s="525">
        <f>I100-'[9]8'!I99</f>
        <v>0</v>
      </c>
      <c r="S100" s="189">
        <v>0</v>
      </c>
      <c r="T100" s="189">
        <v>0</v>
      </c>
      <c r="BT100" s="525"/>
      <c r="BU100" s="523"/>
      <c r="BV100" s="523"/>
      <c r="BW100" s="523"/>
      <c r="BX100" s="523"/>
      <c r="BY100" s="523">
        <v>0</v>
      </c>
      <c r="BZ100" s="523">
        <v>803.09</v>
      </c>
      <c r="CA100" s="523">
        <v>0</v>
      </c>
      <c r="CB100" s="523">
        <v>0</v>
      </c>
      <c r="CC100" s="523"/>
      <c r="CD100" s="523"/>
      <c r="CE100" s="523"/>
      <c r="CF100" s="523"/>
      <c r="CG100" s="523"/>
      <c r="CH100" s="523"/>
      <c r="CI100" s="523">
        <f t="shared" si="20"/>
        <v>803.09</v>
      </c>
    </row>
    <row r="101" spans="1:87" s="110" customFormat="1" ht="15" x14ac:dyDescent="0.2">
      <c r="A101" s="680" t="s">
        <v>239</v>
      </c>
      <c r="B101" s="569">
        <v>87882</v>
      </c>
      <c r="C101" s="569" t="s">
        <v>1324</v>
      </c>
      <c r="D101" s="569" t="s">
        <v>1462</v>
      </c>
      <c r="E101" s="681" t="s">
        <v>14</v>
      </c>
      <c r="F101" s="571"/>
      <c r="G101" s="682">
        <v>4.03</v>
      </c>
      <c r="H101" s="681">
        <v>84.33</v>
      </c>
      <c r="I101" s="622">
        <f t="shared" si="21"/>
        <v>0</v>
      </c>
      <c r="J101" s="574">
        <f t="shared" si="22"/>
        <v>84.33</v>
      </c>
      <c r="K101" s="644">
        <f t="shared" ref="K101:K109" si="30">H101-J101</f>
        <v>0</v>
      </c>
      <c r="L101" s="708">
        <f t="shared" si="29"/>
        <v>339.85</v>
      </c>
      <c r="M101" s="708">
        <f t="shared" si="29"/>
        <v>0</v>
      </c>
      <c r="N101" s="708">
        <f t="shared" si="29"/>
        <v>339.85</v>
      </c>
      <c r="O101" s="718">
        <f t="shared" si="29"/>
        <v>0</v>
      </c>
      <c r="P101" s="617">
        <f t="shared" si="26"/>
        <v>1</v>
      </c>
      <c r="Q101" s="525">
        <f>I101-'[9]8'!I100</f>
        <v>0</v>
      </c>
      <c r="S101" s="192">
        <v>600</v>
      </c>
      <c r="T101" s="192">
        <v>600</v>
      </c>
      <c r="BT101" s="659"/>
      <c r="BU101" s="659"/>
      <c r="BV101" s="659"/>
      <c r="BW101" s="523">
        <v>42.33</v>
      </c>
      <c r="BX101" s="523">
        <v>42</v>
      </c>
      <c r="BY101" s="523">
        <v>0</v>
      </c>
      <c r="BZ101" s="523">
        <v>0</v>
      </c>
      <c r="CA101" s="523">
        <v>0</v>
      </c>
      <c r="CB101" s="523">
        <v>0</v>
      </c>
      <c r="CC101" s="523"/>
      <c r="CD101" s="523"/>
      <c r="CE101" s="523"/>
      <c r="CF101" s="523"/>
      <c r="CG101" s="523"/>
      <c r="CH101" s="523"/>
      <c r="CI101" s="523">
        <f t="shared" si="20"/>
        <v>84.33</v>
      </c>
    </row>
    <row r="102" spans="1:87" s="110" customFormat="1" ht="15" x14ac:dyDescent="0.2">
      <c r="A102" s="612" t="s">
        <v>1463</v>
      </c>
      <c r="B102" s="613">
        <v>87531</v>
      </c>
      <c r="C102" s="613" t="s">
        <v>1324</v>
      </c>
      <c r="D102" s="614" t="s">
        <v>1464</v>
      </c>
      <c r="E102" s="615" t="s">
        <v>14</v>
      </c>
      <c r="F102" s="644">
        <v>180.11</v>
      </c>
      <c r="G102" s="616">
        <v>26.27</v>
      </c>
      <c r="H102" s="615">
        <v>743.93</v>
      </c>
      <c r="I102" s="574">
        <f t="shared" si="21"/>
        <v>0</v>
      </c>
      <c r="J102" s="574">
        <f t="shared" si="22"/>
        <v>743.93</v>
      </c>
      <c r="K102" s="644">
        <f t="shared" si="30"/>
        <v>0</v>
      </c>
      <c r="L102" s="708">
        <f t="shared" si="29"/>
        <v>19543.04</v>
      </c>
      <c r="M102" s="708">
        <f t="shared" si="29"/>
        <v>0</v>
      </c>
      <c r="N102" s="708">
        <f t="shared" si="29"/>
        <v>19543.04</v>
      </c>
      <c r="O102" s="718">
        <f t="shared" si="29"/>
        <v>0</v>
      </c>
      <c r="P102" s="617">
        <f t="shared" si="26"/>
        <v>1</v>
      </c>
      <c r="Q102" s="525">
        <f>I102-'[9]8'!I101</f>
        <v>0</v>
      </c>
      <c r="S102" s="192">
        <v>358.92</v>
      </c>
      <c r="T102" s="192">
        <v>358.92</v>
      </c>
      <c r="BT102" s="659"/>
      <c r="BU102" s="659"/>
      <c r="BV102" s="659"/>
      <c r="BW102" s="523">
        <v>37.92999999999995</v>
      </c>
      <c r="BX102" s="523">
        <v>36</v>
      </c>
      <c r="BY102" s="523">
        <v>670</v>
      </c>
      <c r="BZ102" s="523">
        <v>0</v>
      </c>
      <c r="CA102" s="523">
        <v>0</v>
      </c>
      <c r="CB102" s="523">
        <v>0</v>
      </c>
      <c r="CC102" s="523"/>
      <c r="CD102" s="523"/>
      <c r="CE102" s="523"/>
      <c r="CF102" s="523"/>
      <c r="CG102" s="523"/>
      <c r="CH102" s="523"/>
      <c r="CI102" s="523">
        <f t="shared" si="20"/>
        <v>743.93</v>
      </c>
    </row>
    <row r="103" spans="1:87" ht="15" x14ac:dyDescent="0.2">
      <c r="A103" s="612" t="s">
        <v>1465</v>
      </c>
      <c r="B103" s="613" t="s">
        <v>1466</v>
      </c>
      <c r="C103" s="613" t="s">
        <v>1324</v>
      </c>
      <c r="D103" s="614" t="s">
        <v>1467</v>
      </c>
      <c r="E103" s="615" t="s">
        <v>14</v>
      </c>
      <c r="F103" s="644">
        <v>327.47000000000003</v>
      </c>
      <c r="G103" s="616">
        <v>12.12</v>
      </c>
      <c r="H103" s="615">
        <v>445.04</v>
      </c>
      <c r="I103" s="574">
        <f t="shared" si="21"/>
        <v>0</v>
      </c>
      <c r="J103" s="574">
        <f t="shared" si="22"/>
        <v>445.04</v>
      </c>
      <c r="K103" s="644">
        <f t="shared" si="30"/>
        <v>0</v>
      </c>
      <c r="L103" s="708">
        <f t="shared" si="29"/>
        <v>5393.88</v>
      </c>
      <c r="M103" s="708">
        <f t="shared" si="29"/>
        <v>0</v>
      </c>
      <c r="N103" s="708">
        <f t="shared" si="29"/>
        <v>5393.88</v>
      </c>
      <c r="O103" s="718">
        <f t="shared" si="29"/>
        <v>0</v>
      </c>
      <c r="P103" s="617">
        <f t="shared" si="26"/>
        <v>1</v>
      </c>
      <c r="Q103" s="525">
        <f>I103-'[9]8'!I102</f>
        <v>0</v>
      </c>
      <c r="S103" s="189">
        <v>0</v>
      </c>
      <c r="T103" s="189">
        <v>0</v>
      </c>
      <c r="BT103" s="659"/>
      <c r="BU103" s="659"/>
      <c r="BV103" s="659"/>
      <c r="BW103" s="523">
        <v>44.04000000000002</v>
      </c>
      <c r="BX103" s="523">
        <v>21</v>
      </c>
      <c r="BY103" s="523">
        <v>380</v>
      </c>
      <c r="BZ103" s="523">
        <v>0</v>
      </c>
      <c r="CA103" s="523">
        <v>0</v>
      </c>
      <c r="CB103" s="523">
        <v>0</v>
      </c>
      <c r="CC103" s="523"/>
      <c r="CD103" s="523"/>
      <c r="CE103" s="523"/>
      <c r="CF103" s="523"/>
      <c r="CG103" s="523"/>
      <c r="CH103" s="523"/>
      <c r="CI103" s="523">
        <f t="shared" si="20"/>
        <v>445.04</v>
      </c>
    </row>
    <row r="104" spans="1:87" ht="15" x14ac:dyDescent="0.2">
      <c r="A104" s="680" t="s">
        <v>1468</v>
      </c>
      <c r="B104" s="569" t="s">
        <v>1466</v>
      </c>
      <c r="C104" s="569" t="s">
        <v>1324</v>
      </c>
      <c r="D104" s="569" t="s">
        <v>1469</v>
      </c>
      <c r="E104" s="681" t="s">
        <v>14</v>
      </c>
      <c r="F104" s="644">
        <v>381.87</v>
      </c>
      <c r="G104" s="682">
        <v>14.08</v>
      </c>
      <c r="H104" s="681">
        <v>84.33</v>
      </c>
      <c r="I104" s="622">
        <f t="shared" si="21"/>
        <v>0</v>
      </c>
      <c r="J104" s="574">
        <f t="shared" si="22"/>
        <v>84.33</v>
      </c>
      <c r="K104" s="644">
        <f t="shared" si="30"/>
        <v>0</v>
      </c>
      <c r="L104" s="708">
        <f t="shared" si="29"/>
        <v>1187.3699999999999</v>
      </c>
      <c r="M104" s="708">
        <f t="shared" si="29"/>
        <v>0</v>
      </c>
      <c r="N104" s="708">
        <f t="shared" si="29"/>
        <v>1187.3699999999999</v>
      </c>
      <c r="O104" s="718">
        <f t="shared" si="29"/>
        <v>0</v>
      </c>
      <c r="P104" s="617">
        <f t="shared" si="26"/>
        <v>1</v>
      </c>
      <c r="Q104" s="525">
        <f>I104-'[9]8'!I103</f>
        <v>0</v>
      </c>
      <c r="S104" s="189">
        <v>0</v>
      </c>
      <c r="T104" s="189">
        <v>0</v>
      </c>
      <c r="BT104" s="659"/>
      <c r="BU104" s="659"/>
      <c r="BV104" s="659"/>
      <c r="BW104" s="523">
        <v>4.3299999999999983</v>
      </c>
      <c r="BX104" s="523">
        <v>80</v>
      </c>
      <c r="BY104" s="523">
        <v>0</v>
      </c>
      <c r="BZ104" s="523">
        <v>0</v>
      </c>
      <c r="CA104" s="523">
        <v>0</v>
      </c>
      <c r="CB104" s="523">
        <v>0</v>
      </c>
      <c r="CC104" s="523"/>
      <c r="CD104" s="523"/>
      <c r="CE104" s="523"/>
      <c r="CF104" s="523"/>
      <c r="CG104" s="523"/>
      <c r="CH104" s="523"/>
      <c r="CI104" s="523">
        <f t="shared" si="20"/>
        <v>84.33</v>
      </c>
    </row>
    <row r="105" spans="1:87" ht="15.75" x14ac:dyDescent="0.2">
      <c r="A105" s="680" t="s">
        <v>1470</v>
      </c>
      <c r="B105" s="569">
        <v>87905</v>
      </c>
      <c r="C105" s="569" t="s">
        <v>1324</v>
      </c>
      <c r="D105" s="569" t="s">
        <v>1471</v>
      </c>
      <c r="E105" s="681" t="s">
        <v>14</v>
      </c>
      <c r="F105" s="578"/>
      <c r="G105" s="682">
        <v>6.11</v>
      </c>
      <c r="H105" s="681">
        <v>140.33000000000001</v>
      </c>
      <c r="I105" s="622">
        <f t="shared" si="21"/>
        <v>-4.8299999999983356E-3</v>
      </c>
      <c r="J105" s="574">
        <f t="shared" si="22"/>
        <v>140.33000000000001</v>
      </c>
      <c r="K105" s="644">
        <f t="shared" si="30"/>
        <v>0</v>
      </c>
      <c r="L105" s="708">
        <f t="shared" si="29"/>
        <v>857.42</v>
      </c>
      <c r="M105" s="708">
        <f t="shared" si="29"/>
        <v>-0.03</v>
      </c>
      <c r="N105" s="708">
        <f t="shared" si="29"/>
        <v>857.42</v>
      </c>
      <c r="O105" s="718">
        <f t="shared" si="29"/>
        <v>0</v>
      </c>
      <c r="P105" s="617">
        <f t="shared" si="26"/>
        <v>1</v>
      </c>
      <c r="Q105" s="525">
        <f>I105-'[9]8'!I104</f>
        <v>-34.984829999999995</v>
      </c>
      <c r="S105" s="189">
        <v>0</v>
      </c>
      <c r="T105" s="189">
        <v>0</v>
      </c>
      <c r="BT105" s="659"/>
      <c r="BU105" s="659">
        <v>-4.8299999999983356E-3</v>
      </c>
      <c r="BV105" s="659">
        <v>34.979999999999997</v>
      </c>
      <c r="BW105" s="523">
        <v>91.354830000000007</v>
      </c>
      <c r="BX105" s="523">
        <v>14</v>
      </c>
      <c r="BY105" s="523">
        <v>0</v>
      </c>
      <c r="BZ105" s="523">
        <v>0</v>
      </c>
      <c r="CA105" s="523">
        <v>0</v>
      </c>
      <c r="CB105" s="523">
        <v>0</v>
      </c>
      <c r="CC105" s="523"/>
      <c r="CD105" s="523"/>
      <c r="CE105" s="523"/>
      <c r="CF105" s="523"/>
      <c r="CG105" s="523"/>
      <c r="CH105" s="523"/>
      <c r="CI105" s="523">
        <f t="shared" si="20"/>
        <v>140.33000000000001</v>
      </c>
    </row>
    <row r="106" spans="1:87" ht="15.75" x14ac:dyDescent="0.2">
      <c r="A106" s="680" t="s">
        <v>1472</v>
      </c>
      <c r="B106" s="569">
        <v>87531</v>
      </c>
      <c r="C106" s="569" t="s">
        <v>1324</v>
      </c>
      <c r="D106" s="569" t="s">
        <v>1473</v>
      </c>
      <c r="E106" s="681" t="s">
        <v>14</v>
      </c>
      <c r="F106" s="578"/>
      <c r="G106" s="682">
        <v>26.27</v>
      </c>
      <c r="H106" s="681">
        <v>140.33000000000001</v>
      </c>
      <c r="I106" s="622">
        <f>BU106</f>
        <v>2.3600000000101318E-4</v>
      </c>
      <c r="J106" s="574">
        <f t="shared" si="22"/>
        <v>140.33000000000001</v>
      </c>
      <c r="K106" s="644">
        <f t="shared" si="30"/>
        <v>0</v>
      </c>
      <c r="L106" s="708">
        <f t="shared" si="29"/>
        <v>3686.47</v>
      </c>
      <c r="M106" s="708">
        <f>ROUND(I106*$G106,2)</f>
        <v>0.01</v>
      </c>
      <c r="N106" s="708">
        <f t="shared" si="29"/>
        <v>3686.47</v>
      </c>
      <c r="O106" s="718">
        <f t="shared" si="29"/>
        <v>0</v>
      </c>
      <c r="P106" s="617">
        <f t="shared" si="26"/>
        <v>1</v>
      </c>
      <c r="Q106" s="525">
        <f>I106-'[9]8'!I105</f>
        <v>-34.969763999999998</v>
      </c>
      <c r="S106" s="189">
        <v>0</v>
      </c>
      <c r="T106" s="189">
        <v>0</v>
      </c>
      <c r="BT106" s="525"/>
      <c r="BU106" s="659">
        <v>2.3600000000101318E-4</v>
      </c>
      <c r="BV106" s="523">
        <v>34.97</v>
      </c>
      <c r="BW106" s="523">
        <v>105.35976400000001</v>
      </c>
      <c r="BX106" s="523"/>
      <c r="BY106" s="523">
        <v>0</v>
      </c>
      <c r="BZ106" s="523">
        <v>0</v>
      </c>
      <c r="CA106" s="523">
        <v>0</v>
      </c>
      <c r="CB106" s="523">
        <v>0</v>
      </c>
      <c r="CC106" s="523"/>
      <c r="CD106" s="523"/>
      <c r="CE106" s="523"/>
      <c r="CF106" s="523"/>
      <c r="CG106" s="523"/>
      <c r="CH106" s="523"/>
      <c r="CI106" s="523">
        <f t="shared" si="20"/>
        <v>140.33000000000001</v>
      </c>
    </row>
    <row r="107" spans="1:87" ht="15.75" x14ac:dyDescent="0.2">
      <c r="A107" s="680" t="s">
        <v>1474</v>
      </c>
      <c r="B107" s="569" t="s">
        <v>1466</v>
      </c>
      <c r="C107" s="569" t="s">
        <v>1324</v>
      </c>
      <c r="D107" s="569" t="s">
        <v>1475</v>
      </c>
      <c r="E107" s="681" t="s">
        <v>14</v>
      </c>
      <c r="F107" s="578"/>
      <c r="G107" s="682">
        <v>16.23</v>
      </c>
      <c r="H107" s="681">
        <v>140.33000000000001</v>
      </c>
      <c r="I107" s="622">
        <f t="shared" si="21"/>
        <v>0</v>
      </c>
      <c r="J107" s="574">
        <f t="shared" si="22"/>
        <v>140.32976400000001</v>
      </c>
      <c r="K107" s="644">
        <f t="shared" si="30"/>
        <v>2.3600000000101318E-4</v>
      </c>
      <c r="L107" s="708">
        <f t="shared" si="29"/>
        <v>2277.56</v>
      </c>
      <c r="M107" s="708">
        <f t="shared" si="29"/>
        <v>0</v>
      </c>
      <c r="N107" s="708">
        <f t="shared" si="29"/>
        <v>2277.5500000000002</v>
      </c>
      <c r="O107" s="718">
        <f t="shared" si="29"/>
        <v>0</v>
      </c>
      <c r="P107" s="617">
        <f t="shared" si="26"/>
        <v>0.99999560933630738</v>
      </c>
      <c r="Q107" s="525">
        <f>I107-'[9]8'!I106</f>
        <v>-34.97</v>
      </c>
      <c r="S107" s="189">
        <v>0</v>
      </c>
      <c r="T107" s="189">
        <v>0</v>
      </c>
      <c r="BT107" s="525"/>
      <c r="BU107" s="659"/>
      <c r="BV107" s="523">
        <v>34.97</v>
      </c>
      <c r="BW107" s="523">
        <v>105.35976400000001</v>
      </c>
      <c r="BX107" s="523"/>
      <c r="BY107" s="523">
        <v>0</v>
      </c>
      <c r="BZ107" s="523">
        <v>0</v>
      </c>
      <c r="CA107" s="523">
        <v>0</v>
      </c>
      <c r="CB107" s="523">
        <v>0</v>
      </c>
      <c r="CC107" s="523"/>
      <c r="CD107" s="523"/>
      <c r="CE107" s="523"/>
      <c r="CF107" s="523"/>
      <c r="CG107" s="523"/>
      <c r="CH107" s="523"/>
      <c r="CI107" s="523">
        <f t="shared" si="20"/>
        <v>140.32976400000001</v>
      </c>
    </row>
    <row r="108" spans="1:87" ht="30" x14ac:dyDescent="0.2">
      <c r="A108" s="680" t="s">
        <v>1476</v>
      </c>
      <c r="B108" s="569">
        <v>87272</v>
      </c>
      <c r="C108" s="569" t="s">
        <v>1324</v>
      </c>
      <c r="D108" s="569" t="s">
        <v>1477</v>
      </c>
      <c r="E108" s="681" t="s">
        <v>14</v>
      </c>
      <c r="F108" s="644">
        <v>319.5</v>
      </c>
      <c r="G108" s="682">
        <v>45.67</v>
      </c>
      <c r="H108" s="681">
        <v>210.5</v>
      </c>
      <c r="I108" s="622">
        <f t="shared" si="21"/>
        <v>0</v>
      </c>
      <c r="J108" s="574">
        <f t="shared" si="22"/>
        <v>210.5</v>
      </c>
      <c r="K108" s="644">
        <f t="shared" si="30"/>
        <v>0</v>
      </c>
      <c r="L108" s="708">
        <f t="shared" si="29"/>
        <v>9613.5400000000009</v>
      </c>
      <c r="M108" s="708">
        <f t="shared" si="29"/>
        <v>0</v>
      </c>
      <c r="N108" s="708">
        <f t="shared" si="29"/>
        <v>9613.5400000000009</v>
      </c>
      <c r="O108" s="718">
        <f t="shared" si="29"/>
        <v>0</v>
      </c>
      <c r="P108" s="617">
        <f t="shared" si="26"/>
        <v>1</v>
      </c>
      <c r="Q108" s="525">
        <f>I108-'[9]8'!I107</f>
        <v>-105.38</v>
      </c>
      <c r="S108" s="189">
        <v>0</v>
      </c>
      <c r="T108" s="189">
        <v>0</v>
      </c>
      <c r="BT108" s="525"/>
      <c r="BU108" s="523"/>
      <c r="BV108" s="523">
        <v>105.38</v>
      </c>
      <c r="BW108" s="523">
        <v>105.12</v>
      </c>
      <c r="BX108" s="523"/>
      <c r="BY108" s="523">
        <v>0</v>
      </c>
      <c r="BZ108" s="523">
        <v>0</v>
      </c>
      <c r="CA108" s="523">
        <v>0</v>
      </c>
      <c r="CB108" s="523">
        <v>0</v>
      </c>
      <c r="CC108" s="523"/>
      <c r="CD108" s="523"/>
      <c r="CE108" s="523"/>
      <c r="CF108" s="523"/>
      <c r="CG108" s="523"/>
      <c r="CH108" s="523"/>
      <c r="CI108" s="523">
        <f t="shared" si="20"/>
        <v>210.5</v>
      </c>
    </row>
    <row r="109" spans="1:87" ht="30" x14ac:dyDescent="0.2">
      <c r="A109" s="680" t="s">
        <v>1478</v>
      </c>
      <c r="B109" s="569">
        <v>87267</v>
      </c>
      <c r="C109" s="569" t="s">
        <v>1324</v>
      </c>
      <c r="D109" s="569" t="s">
        <v>1479</v>
      </c>
      <c r="E109" s="681" t="s">
        <v>14</v>
      </c>
      <c r="F109" s="644">
        <v>347.14</v>
      </c>
      <c r="G109" s="682">
        <v>46.64</v>
      </c>
      <c r="H109" s="681">
        <v>85.51</v>
      </c>
      <c r="I109" s="622">
        <f t="shared" si="21"/>
        <v>10</v>
      </c>
      <c r="J109" s="574">
        <f t="shared" si="22"/>
        <v>74.23</v>
      </c>
      <c r="K109" s="644">
        <f t="shared" si="30"/>
        <v>11.280000000000001</v>
      </c>
      <c r="L109" s="708">
        <f t="shared" si="29"/>
        <v>3988.19</v>
      </c>
      <c r="M109" s="708">
        <f t="shared" si="29"/>
        <v>466.4</v>
      </c>
      <c r="N109" s="708">
        <f t="shared" si="29"/>
        <v>3462.09</v>
      </c>
      <c r="O109" s="718">
        <f t="shared" si="29"/>
        <v>526.1</v>
      </c>
      <c r="P109" s="617">
        <f t="shared" si="26"/>
        <v>0.86808552250519666</v>
      </c>
      <c r="Q109" s="525">
        <f>I109-'[9]8'!I108</f>
        <v>-11.350000000000001</v>
      </c>
      <c r="S109" s="189">
        <v>0</v>
      </c>
      <c r="T109" s="189">
        <v>0</v>
      </c>
      <c r="BT109" s="525"/>
      <c r="BU109" s="523">
        <v>10</v>
      </c>
      <c r="BV109" s="523">
        <v>21.35</v>
      </c>
      <c r="BW109" s="523">
        <v>42.88</v>
      </c>
      <c r="BX109" s="523"/>
      <c r="BY109" s="523">
        <v>0</v>
      </c>
      <c r="BZ109" s="523">
        <v>0</v>
      </c>
      <c r="CA109" s="523">
        <v>0</v>
      </c>
      <c r="CB109" s="523">
        <v>0</v>
      </c>
      <c r="CC109" s="523"/>
      <c r="CD109" s="523"/>
      <c r="CE109" s="523"/>
      <c r="CF109" s="523"/>
      <c r="CG109" s="523"/>
      <c r="CH109" s="523"/>
      <c r="CI109" s="523">
        <f t="shared" si="20"/>
        <v>74.23</v>
      </c>
    </row>
    <row r="110" spans="1:87" s="790" customFormat="1" ht="15.75" x14ac:dyDescent="0.2">
      <c r="A110" s="600">
        <v>10</v>
      </c>
      <c r="B110" s="558"/>
      <c r="C110" s="558"/>
      <c r="D110" s="558" t="s">
        <v>1480</v>
      </c>
      <c r="E110" s="626"/>
      <c r="F110" s="626"/>
      <c r="G110" s="626"/>
      <c r="H110" s="626"/>
      <c r="I110" s="626"/>
      <c r="J110" s="626"/>
      <c r="K110" s="626"/>
      <c r="L110" s="734">
        <f>SUM(L111,L117)</f>
        <v>60566.09</v>
      </c>
      <c r="M110" s="734">
        <f>SUM(M111,M117)</f>
        <v>44624.75</v>
      </c>
      <c r="N110" s="734">
        <f>SUM(N111,N117)</f>
        <v>57540.19</v>
      </c>
      <c r="O110" s="721">
        <f>SUM(O111,O117)</f>
        <v>3025.8999999999996</v>
      </c>
      <c r="P110" s="604">
        <f t="shared" si="26"/>
        <v>0.95003970043303121</v>
      </c>
      <c r="Q110" s="525">
        <f>I110-'[9]8'!I109</f>
        <v>0</v>
      </c>
      <c r="S110" s="190">
        <v>0</v>
      </c>
      <c r="T110" s="190">
        <v>0</v>
      </c>
      <c r="BT110" s="525"/>
      <c r="BU110" s="523"/>
      <c r="BV110" s="523"/>
      <c r="BW110" s="523"/>
      <c r="BX110" s="523"/>
      <c r="BY110" s="523">
        <v>0</v>
      </c>
      <c r="BZ110" s="523">
        <v>0</v>
      </c>
      <c r="CA110" s="523"/>
      <c r="CB110" s="523"/>
      <c r="CC110" s="523"/>
      <c r="CD110" s="523"/>
      <c r="CE110" s="523"/>
      <c r="CF110" s="523"/>
      <c r="CG110" s="523"/>
      <c r="CH110" s="523"/>
      <c r="CI110" s="523">
        <f t="shared" si="20"/>
        <v>0</v>
      </c>
    </row>
    <row r="111" spans="1:87" ht="15.75" x14ac:dyDescent="0.2">
      <c r="A111" s="605" t="s">
        <v>254</v>
      </c>
      <c r="B111" s="586"/>
      <c r="C111" s="586"/>
      <c r="D111" s="586" t="s">
        <v>1481</v>
      </c>
      <c r="E111" s="609"/>
      <c r="F111" s="609"/>
      <c r="G111" s="609"/>
      <c r="H111" s="609"/>
      <c r="I111" s="609"/>
      <c r="J111" s="609"/>
      <c r="K111" s="609"/>
      <c r="L111" s="733">
        <f>SUM(L112:L116)</f>
        <v>54520.32</v>
      </c>
      <c r="M111" s="733">
        <f>SUM(M112:M116)</f>
        <v>44624.75</v>
      </c>
      <c r="N111" s="733">
        <f>SUM(N112:N116)</f>
        <v>53650.93</v>
      </c>
      <c r="O111" s="722">
        <f>SUM(O112:O116)</f>
        <v>869.3900000000001</v>
      </c>
      <c r="P111" s="611">
        <f t="shared" si="26"/>
        <v>0.98405383534065827</v>
      </c>
      <c r="Q111" s="525">
        <f>I111-'[9]8'!I110</f>
        <v>0</v>
      </c>
      <c r="BT111" s="525"/>
      <c r="BU111" s="523"/>
      <c r="BV111" s="523"/>
      <c r="BW111" s="523"/>
      <c r="BX111" s="523"/>
      <c r="BY111" s="523">
        <v>0</v>
      </c>
      <c r="BZ111" s="523">
        <v>0</v>
      </c>
      <c r="CA111" s="523"/>
      <c r="CB111" s="523"/>
      <c r="CC111" s="523"/>
      <c r="CD111" s="523"/>
      <c r="CE111" s="523"/>
      <c r="CF111" s="523"/>
      <c r="CG111" s="523"/>
      <c r="CH111" s="523"/>
      <c r="CI111" s="523">
        <f t="shared" si="20"/>
        <v>0</v>
      </c>
    </row>
    <row r="112" spans="1:87" ht="15" x14ac:dyDescent="0.2">
      <c r="A112" s="680" t="s">
        <v>1482</v>
      </c>
      <c r="B112" s="569" t="s">
        <v>2007</v>
      </c>
      <c r="C112" s="569" t="s">
        <v>1339</v>
      </c>
      <c r="D112" s="569" t="s">
        <v>1483</v>
      </c>
      <c r="E112" s="681" t="s">
        <v>14</v>
      </c>
      <c r="F112" s="644">
        <v>52.1</v>
      </c>
      <c r="G112" s="682">
        <v>30.94</v>
      </c>
      <c r="H112" s="681">
        <v>64.91</v>
      </c>
      <c r="I112" s="622">
        <f t="shared" si="21"/>
        <v>2.7999999999934744E-3</v>
      </c>
      <c r="J112" s="574">
        <f t="shared" si="22"/>
        <v>64.91</v>
      </c>
      <c r="K112" s="644">
        <f>H112-J112</f>
        <v>0</v>
      </c>
      <c r="L112" s="708">
        <f t="shared" ref="L112:O116" si="31">ROUND(H112*$G112,2)</f>
        <v>2008.32</v>
      </c>
      <c r="M112" s="708">
        <f t="shared" si="31"/>
        <v>0.09</v>
      </c>
      <c r="N112" s="708">
        <f t="shared" si="31"/>
        <v>2008.32</v>
      </c>
      <c r="O112" s="718">
        <f t="shared" si="31"/>
        <v>0</v>
      </c>
      <c r="P112" s="617">
        <f t="shared" si="26"/>
        <v>1</v>
      </c>
      <c r="Q112" s="525">
        <f>I112-'[9]8'!I111</f>
        <v>-5.1872000000000069</v>
      </c>
      <c r="BT112" s="525"/>
      <c r="BU112" s="659">
        <v>2.7999999999934744E-3</v>
      </c>
      <c r="BV112" s="659">
        <v>5.19</v>
      </c>
      <c r="BW112" s="523"/>
      <c r="BX112" s="523">
        <v>59.717199999999998</v>
      </c>
      <c r="BY112" s="523">
        <v>0</v>
      </c>
      <c r="BZ112" s="523">
        <v>0</v>
      </c>
      <c r="CA112" s="523">
        <v>0</v>
      </c>
      <c r="CB112" s="523">
        <v>0</v>
      </c>
      <c r="CC112" s="523"/>
      <c r="CD112" s="523"/>
      <c r="CE112" s="523"/>
      <c r="CF112" s="523"/>
      <c r="CG112" s="523"/>
      <c r="CH112" s="523"/>
      <c r="CI112" s="523">
        <f t="shared" si="20"/>
        <v>64.91</v>
      </c>
    </row>
    <row r="113" spans="1:87" ht="15" x14ac:dyDescent="0.2">
      <c r="A113" s="680" t="s">
        <v>1484</v>
      </c>
      <c r="B113" s="569">
        <v>87630</v>
      </c>
      <c r="C113" s="569" t="s">
        <v>1324</v>
      </c>
      <c r="D113" s="569" t="s">
        <v>1485</v>
      </c>
      <c r="E113" s="681" t="s">
        <v>14</v>
      </c>
      <c r="F113" s="644">
        <v>15.24</v>
      </c>
      <c r="G113" s="682">
        <v>30.71</v>
      </c>
      <c r="H113" s="681">
        <v>64.91</v>
      </c>
      <c r="I113" s="622">
        <f t="shared" si="21"/>
        <v>63.01</v>
      </c>
      <c r="J113" s="574">
        <f t="shared" si="22"/>
        <v>63.01</v>
      </c>
      <c r="K113" s="644">
        <f>H113-J113</f>
        <v>1.8999999999999986</v>
      </c>
      <c r="L113" s="708">
        <f t="shared" si="31"/>
        <v>1993.39</v>
      </c>
      <c r="M113" s="708">
        <f t="shared" si="31"/>
        <v>1935.04</v>
      </c>
      <c r="N113" s="708">
        <f t="shared" si="31"/>
        <v>1935.04</v>
      </c>
      <c r="O113" s="718">
        <f t="shared" si="31"/>
        <v>58.35</v>
      </c>
      <c r="P113" s="617">
        <f t="shared" si="26"/>
        <v>0.97072825688901809</v>
      </c>
      <c r="Q113" s="525">
        <f>I113-'[9]8'!I112</f>
        <v>63.01</v>
      </c>
      <c r="BT113" s="525"/>
      <c r="BU113" s="523">
        <v>63.01</v>
      </c>
      <c r="BV113" s="523"/>
      <c r="BW113" s="523"/>
      <c r="BX113" s="523"/>
      <c r="BY113" s="523">
        <v>0</v>
      </c>
      <c r="BZ113" s="523">
        <v>0</v>
      </c>
      <c r="CA113" s="523">
        <v>0</v>
      </c>
      <c r="CB113" s="523">
        <v>0</v>
      </c>
      <c r="CC113" s="523"/>
      <c r="CD113" s="523"/>
      <c r="CE113" s="523"/>
      <c r="CF113" s="523"/>
      <c r="CG113" s="523"/>
      <c r="CH113" s="523"/>
      <c r="CI113" s="523">
        <f t="shared" si="20"/>
        <v>63.01</v>
      </c>
    </row>
    <row r="114" spans="1:87" ht="30" x14ac:dyDescent="0.2">
      <c r="A114" s="680" t="s">
        <v>1486</v>
      </c>
      <c r="B114" s="569">
        <v>72136</v>
      </c>
      <c r="C114" s="569" t="s">
        <v>1324</v>
      </c>
      <c r="D114" s="569" t="s">
        <v>1487</v>
      </c>
      <c r="E114" s="681" t="s">
        <v>14</v>
      </c>
      <c r="F114" s="644">
        <v>584.54999999999995</v>
      </c>
      <c r="G114" s="682">
        <v>71.489999999999995</v>
      </c>
      <c r="H114" s="681">
        <v>676.67</v>
      </c>
      <c r="I114" s="622">
        <f t="shared" si="21"/>
        <v>568</v>
      </c>
      <c r="J114" s="574">
        <f t="shared" si="22"/>
        <v>666.16689999999994</v>
      </c>
      <c r="K114" s="644">
        <f>H114-J114</f>
        <v>10.503100000000018</v>
      </c>
      <c r="L114" s="708">
        <f t="shared" si="31"/>
        <v>48375.14</v>
      </c>
      <c r="M114" s="708">
        <f t="shared" si="31"/>
        <v>40606.32</v>
      </c>
      <c r="N114" s="708">
        <f t="shared" si="31"/>
        <v>47624.27</v>
      </c>
      <c r="O114" s="718">
        <f t="shared" si="31"/>
        <v>750.87</v>
      </c>
      <c r="P114" s="617">
        <f t="shared" si="26"/>
        <v>0.98447818445590018</v>
      </c>
      <c r="Q114" s="525">
        <f>I114-'[9]8'!I113</f>
        <v>568</v>
      </c>
      <c r="BT114" s="525"/>
      <c r="BU114" s="523">
        <v>568</v>
      </c>
      <c r="BV114" s="523"/>
      <c r="BW114" s="523"/>
      <c r="BX114" s="523"/>
      <c r="BY114" s="523">
        <v>98.166899999999998</v>
      </c>
      <c r="BZ114" s="523">
        <v>0</v>
      </c>
      <c r="CA114" s="523">
        <v>0</v>
      </c>
      <c r="CB114" s="523">
        <v>0</v>
      </c>
      <c r="CC114" s="523"/>
      <c r="CD114" s="523"/>
      <c r="CE114" s="523"/>
      <c r="CF114" s="523"/>
      <c r="CG114" s="523"/>
      <c r="CH114" s="523"/>
      <c r="CI114" s="523">
        <f t="shared" si="20"/>
        <v>666.16689999999994</v>
      </c>
    </row>
    <row r="115" spans="1:87" ht="15" x14ac:dyDescent="0.2">
      <c r="A115" s="680" t="s">
        <v>1488</v>
      </c>
      <c r="B115" s="569">
        <v>87251</v>
      </c>
      <c r="C115" s="569" t="s">
        <v>1324</v>
      </c>
      <c r="D115" s="569" t="s">
        <v>1489</v>
      </c>
      <c r="E115" s="681" t="s">
        <v>14</v>
      </c>
      <c r="F115" s="644">
        <v>18.86</v>
      </c>
      <c r="G115" s="682">
        <v>31.13</v>
      </c>
      <c r="H115" s="681">
        <v>64.91</v>
      </c>
      <c r="I115" s="622">
        <f t="shared" si="21"/>
        <v>64</v>
      </c>
      <c r="J115" s="574">
        <f t="shared" si="22"/>
        <v>64</v>
      </c>
      <c r="K115" s="644">
        <f>H115-J115</f>
        <v>0.90999999999999659</v>
      </c>
      <c r="L115" s="708">
        <f t="shared" si="31"/>
        <v>2020.65</v>
      </c>
      <c r="M115" s="708">
        <f t="shared" si="31"/>
        <v>1992.32</v>
      </c>
      <c r="N115" s="708">
        <f t="shared" si="31"/>
        <v>1992.32</v>
      </c>
      <c r="O115" s="718">
        <f t="shared" si="31"/>
        <v>28.33</v>
      </c>
      <c r="P115" s="617">
        <f t="shared" si="26"/>
        <v>0.98597975898844425</v>
      </c>
      <c r="Q115" s="525">
        <f>I115-'[9]8'!I114</f>
        <v>64</v>
      </c>
      <c r="BT115" s="525"/>
      <c r="BU115" s="523">
        <v>64</v>
      </c>
      <c r="BV115" s="523"/>
      <c r="BW115" s="523"/>
      <c r="BX115" s="523"/>
      <c r="BY115" s="523">
        <v>0</v>
      </c>
      <c r="BZ115" s="523">
        <v>0</v>
      </c>
      <c r="CA115" s="523">
        <v>0</v>
      </c>
      <c r="CB115" s="523">
        <v>0</v>
      </c>
      <c r="CC115" s="523"/>
      <c r="CD115" s="523"/>
      <c r="CE115" s="523"/>
      <c r="CF115" s="523"/>
      <c r="CG115" s="523"/>
      <c r="CH115" s="523"/>
      <c r="CI115" s="523">
        <f t="shared" si="20"/>
        <v>64</v>
      </c>
    </row>
    <row r="116" spans="1:87" s="790" customFormat="1" ht="15" x14ac:dyDescent="0.2">
      <c r="A116" s="680" t="s">
        <v>1490</v>
      </c>
      <c r="B116" s="569" t="s">
        <v>2007</v>
      </c>
      <c r="C116" s="569" t="s">
        <v>1339</v>
      </c>
      <c r="D116" s="569" t="s">
        <v>1491</v>
      </c>
      <c r="E116" s="681" t="s">
        <v>81</v>
      </c>
      <c r="F116" s="644">
        <v>42.78</v>
      </c>
      <c r="G116" s="682">
        <v>45.49</v>
      </c>
      <c r="H116" s="681">
        <v>2.7</v>
      </c>
      <c r="I116" s="622">
        <f t="shared" si="21"/>
        <v>2</v>
      </c>
      <c r="J116" s="574">
        <f t="shared" si="22"/>
        <v>2</v>
      </c>
      <c r="K116" s="644">
        <f>H116-J116</f>
        <v>0.70000000000000018</v>
      </c>
      <c r="L116" s="708">
        <f t="shared" si="31"/>
        <v>122.82</v>
      </c>
      <c r="M116" s="708">
        <f t="shared" si="31"/>
        <v>90.98</v>
      </c>
      <c r="N116" s="708">
        <f t="shared" si="31"/>
        <v>90.98</v>
      </c>
      <c r="O116" s="718">
        <f t="shared" si="31"/>
        <v>31.84</v>
      </c>
      <c r="P116" s="617">
        <f t="shared" si="26"/>
        <v>0.74075883406611309</v>
      </c>
      <c r="Q116" s="525">
        <f>I116-'[9]8'!I115</f>
        <v>2</v>
      </c>
      <c r="S116" s="190">
        <v>0</v>
      </c>
      <c r="T116" s="190">
        <v>0</v>
      </c>
      <c r="BT116" s="525"/>
      <c r="BU116" s="523">
        <v>2</v>
      </c>
      <c r="BV116" s="523"/>
      <c r="BW116" s="523"/>
      <c r="BX116" s="523"/>
      <c r="BY116" s="523">
        <v>0</v>
      </c>
      <c r="BZ116" s="523">
        <v>0</v>
      </c>
      <c r="CA116" s="523">
        <v>0</v>
      </c>
      <c r="CB116" s="523">
        <v>0</v>
      </c>
      <c r="CC116" s="523"/>
      <c r="CD116" s="523"/>
      <c r="CE116" s="523"/>
      <c r="CF116" s="523"/>
      <c r="CG116" s="523"/>
      <c r="CH116" s="523"/>
      <c r="CI116" s="523">
        <f t="shared" si="20"/>
        <v>2</v>
      </c>
    </row>
    <row r="117" spans="1:87" ht="15.75" x14ac:dyDescent="0.2">
      <c r="A117" s="605" t="s">
        <v>256</v>
      </c>
      <c r="B117" s="586"/>
      <c r="C117" s="586"/>
      <c r="D117" s="586" t="s">
        <v>1256</v>
      </c>
      <c r="E117" s="609"/>
      <c r="F117" s="609"/>
      <c r="G117" s="609"/>
      <c r="H117" s="609"/>
      <c r="I117" s="609"/>
      <c r="J117" s="609"/>
      <c r="K117" s="609"/>
      <c r="L117" s="733">
        <f>SUM(L118:L120)</f>
        <v>6045.77</v>
      </c>
      <c r="M117" s="733">
        <f>SUM(M118:M120)</f>
        <v>0</v>
      </c>
      <c r="N117" s="733">
        <f>SUM(N118:N120)</f>
        <v>3889.26</v>
      </c>
      <c r="O117" s="722">
        <f>SUM(O118:O120)</f>
        <v>2156.5099999999998</v>
      </c>
      <c r="P117" s="611">
        <f t="shared" si="26"/>
        <v>0.64330267277782649</v>
      </c>
      <c r="Q117" s="525">
        <f>I117-'[9]8'!I116</f>
        <v>0</v>
      </c>
      <c r="S117" s="189">
        <v>0</v>
      </c>
      <c r="T117" s="189">
        <v>0</v>
      </c>
      <c r="BT117" s="525"/>
      <c r="BU117" s="523"/>
      <c r="BV117" s="523"/>
      <c r="BW117" s="523"/>
      <c r="BX117" s="523"/>
      <c r="BY117" s="523">
        <v>0</v>
      </c>
      <c r="BZ117" s="523">
        <v>0</v>
      </c>
      <c r="CA117" s="523"/>
      <c r="CB117" s="523"/>
      <c r="CC117" s="523"/>
      <c r="CD117" s="523"/>
      <c r="CE117" s="523"/>
      <c r="CF117" s="523"/>
      <c r="CG117" s="523"/>
      <c r="CH117" s="523"/>
      <c r="CI117" s="523">
        <f t="shared" si="20"/>
        <v>0</v>
      </c>
    </row>
    <row r="118" spans="1:87" ht="15" x14ac:dyDescent="0.2">
      <c r="A118" s="680" t="s">
        <v>1492</v>
      </c>
      <c r="B118" s="569">
        <v>85181</v>
      </c>
      <c r="C118" s="569" t="s">
        <v>1324</v>
      </c>
      <c r="D118" s="569" t="s">
        <v>1493</v>
      </c>
      <c r="E118" s="681" t="s">
        <v>14</v>
      </c>
      <c r="F118" s="630"/>
      <c r="G118" s="682">
        <v>523.70000000000005</v>
      </c>
      <c r="H118" s="681">
        <v>9.7899999999999991</v>
      </c>
      <c r="I118" s="622">
        <f t="shared" si="21"/>
        <v>0</v>
      </c>
      <c r="J118" s="574">
        <f t="shared" si="22"/>
        <v>7.426499999999999</v>
      </c>
      <c r="K118" s="644">
        <f>H118-J118</f>
        <v>2.3635000000000002</v>
      </c>
      <c r="L118" s="708">
        <f t="shared" ref="L118:O120" si="32">ROUND(H118*$G118,2)</f>
        <v>5127.0200000000004</v>
      </c>
      <c r="M118" s="708">
        <f t="shared" si="32"/>
        <v>0</v>
      </c>
      <c r="N118" s="708">
        <f t="shared" si="32"/>
        <v>3889.26</v>
      </c>
      <c r="O118" s="718">
        <f t="shared" si="32"/>
        <v>1237.76</v>
      </c>
      <c r="P118" s="617">
        <f t="shared" si="26"/>
        <v>0.75858100807096518</v>
      </c>
      <c r="Q118" s="525">
        <f>I118-'[9]8'!I117</f>
        <v>-4</v>
      </c>
      <c r="S118" s="189">
        <v>0</v>
      </c>
      <c r="T118" s="189">
        <v>0</v>
      </c>
      <c r="BT118" s="525"/>
      <c r="BU118" s="659"/>
      <c r="BV118" s="523">
        <v>4</v>
      </c>
      <c r="BW118" s="523">
        <v>3.4264999999999994</v>
      </c>
      <c r="BX118" s="523"/>
      <c r="BY118" s="523">
        <v>0</v>
      </c>
      <c r="BZ118" s="523">
        <v>0</v>
      </c>
      <c r="CA118" s="523">
        <v>0</v>
      </c>
      <c r="CB118" s="523">
        <v>0</v>
      </c>
      <c r="CC118" s="523"/>
      <c r="CD118" s="523"/>
      <c r="CE118" s="523"/>
      <c r="CF118" s="523"/>
      <c r="CG118" s="523"/>
      <c r="CH118" s="523"/>
      <c r="CI118" s="523">
        <f t="shared" si="20"/>
        <v>7.426499999999999</v>
      </c>
    </row>
    <row r="119" spans="1:87" ht="15" x14ac:dyDescent="0.2">
      <c r="A119" s="680" t="s">
        <v>1494</v>
      </c>
      <c r="B119" s="569">
        <v>5652</v>
      </c>
      <c r="C119" s="569" t="s">
        <v>1324</v>
      </c>
      <c r="D119" s="569" t="s">
        <v>1495</v>
      </c>
      <c r="E119" s="681" t="s">
        <v>48</v>
      </c>
      <c r="F119" s="630"/>
      <c r="G119" s="682">
        <v>276.27</v>
      </c>
      <c r="H119" s="681">
        <v>1.82</v>
      </c>
      <c r="I119" s="622">
        <f t="shared" si="21"/>
        <v>0</v>
      </c>
      <c r="J119" s="574">
        <f t="shared" si="22"/>
        <v>0</v>
      </c>
      <c r="K119" s="644">
        <f>H119-J119</f>
        <v>1.82</v>
      </c>
      <c r="L119" s="708">
        <f t="shared" si="32"/>
        <v>502.81</v>
      </c>
      <c r="M119" s="708">
        <f t="shared" si="32"/>
        <v>0</v>
      </c>
      <c r="N119" s="708">
        <f t="shared" si="32"/>
        <v>0</v>
      </c>
      <c r="O119" s="718">
        <f t="shared" si="32"/>
        <v>502.81</v>
      </c>
      <c r="P119" s="617">
        <f t="shared" si="26"/>
        <v>0</v>
      </c>
      <c r="Q119" s="525">
        <f>I119-'[9]8'!I118</f>
        <v>0</v>
      </c>
      <c r="S119" s="189">
        <v>0</v>
      </c>
      <c r="T119" s="189">
        <v>0</v>
      </c>
      <c r="BT119" s="525"/>
      <c r="BU119" s="523"/>
      <c r="BV119" s="523"/>
      <c r="BW119" s="523"/>
      <c r="BX119" s="523"/>
      <c r="BY119" s="523">
        <v>0</v>
      </c>
      <c r="BZ119" s="523">
        <v>0</v>
      </c>
      <c r="CA119" s="523">
        <v>0</v>
      </c>
      <c r="CB119" s="523">
        <v>0</v>
      </c>
      <c r="CC119" s="523"/>
      <c r="CD119" s="523"/>
      <c r="CE119" s="523"/>
      <c r="CF119" s="523"/>
      <c r="CG119" s="523"/>
      <c r="CH119" s="523"/>
      <c r="CI119" s="523">
        <f t="shared" si="20"/>
        <v>0</v>
      </c>
    </row>
    <row r="120" spans="1:87" s="790" customFormat="1" ht="30" x14ac:dyDescent="0.2">
      <c r="A120" s="680" t="s">
        <v>1496</v>
      </c>
      <c r="B120" s="569" t="s">
        <v>2007</v>
      </c>
      <c r="C120" s="569" t="s">
        <v>1339</v>
      </c>
      <c r="D120" s="569" t="s">
        <v>1497</v>
      </c>
      <c r="E120" s="681" t="s">
        <v>14</v>
      </c>
      <c r="F120" s="644">
        <v>7.73</v>
      </c>
      <c r="G120" s="682">
        <v>71.099999999999994</v>
      </c>
      <c r="H120" s="681">
        <v>5.85</v>
      </c>
      <c r="I120" s="622">
        <f t="shared" si="21"/>
        <v>0</v>
      </c>
      <c r="J120" s="574">
        <f t="shared" si="22"/>
        <v>0</v>
      </c>
      <c r="K120" s="644">
        <f>H120-J120</f>
        <v>5.85</v>
      </c>
      <c r="L120" s="708">
        <f t="shared" si="32"/>
        <v>415.94</v>
      </c>
      <c r="M120" s="708">
        <f t="shared" si="32"/>
        <v>0</v>
      </c>
      <c r="N120" s="708">
        <f t="shared" si="32"/>
        <v>0</v>
      </c>
      <c r="O120" s="718">
        <f t="shared" si="32"/>
        <v>415.94</v>
      </c>
      <c r="P120" s="617">
        <f t="shared" si="26"/>
        <v>0</v>
      </c>
      <c r="Q120" s="525">
        <f>I120-'[9]8'!I119</f>
        <v>0</v>
      </c>
      <c r="S120" s="190">
        <v>0</v>
      </c>
      <c r="T120" s="190">
        <v>0</v>
      </c>
      <c r="BT120" s="525"/>
      <c r="BU120" s="523"/>
      <c r="BV120" s="523"/>
      <c r="BW120" s="523"/>
      <c r="BX120" s="523"/>
      <c r="BY120" s="523">
        <v>0</v>
      </c>
      <c r="BZ120" s="523">
        <v>0</v>
      </c>
      <c r="CA120" s="523">
        <v>0</v>
      </c>
      <c r="CB120" s="523">
        <v>0</v>
      </c>
      <c r="CC120" s="523"/>
      <c r="CD120" s="523"/>
      <c r="CE120" s="523"/>
      <c r="CF120" s="523"/>
      <c r="CG120" s="523"/>
      <c r="CH120" s="523"/>
      <c r="CI120" s="523">
        <f t="shared" si="20"/>
        <v>0</v>
      </c>
    </row>
    <row r="121" spans="1:87" ht="15.75" x14ac:dyDescent="0.2">
      <c r="A121" s="600">
        <v>11</v>
      </c>
      <c r="B121" s="558"/>
      <c r="C121" s="558"/>
      <c r="D121" s="558" t="s">
        <v>1498</v>
      </c>
      <c r="E121" s="626"/>
      <c r="F121" s="626"/>
      <c r="G121" s="626"/>
      <c r="H121" s="626"/>
      <c r="I121" s="626"/>
      <c r="J121" s="626"/>
      <c r="K121" s="626"/>
      <c r="L121" s="628">
        <f>SUM(L122:L129)</f>
        <v>62088.5</v>
      </c>
      <c r="M121" s="628">
        <f>SUM(M122:M129)</f>
        <v>21721.01</v>
      </c>
      <c r="N121" s="628">
        <f>SUM(N122:N129)</f>
        <v>21721.01</v>
      </c>
      <c r="O121" s="721">
        <f>SUM(O122:O129)</f>
        <v>40367.480000000003</v>
      </c>
      <c r="P121" s="604">
        <f t="shared" si="26"/>
        <v>0.34983950328965907</v>
      </c>
      <c r="Q121" s="525">
        <f>I121-'[9]8'!I120</f>
        <v>0</v>
      </c>
      <c r="S121" s="189">
        <v>0</v>
      </c>
      <c r="T121" s="189">
        <v>0</v>
      </c>
      <c r="BT121" s="525"/>
      <c r="BU121" s="523"/>
      <c r="BV121" s="523"/>
      <c r="BW121" s="523"/>
      <c r="BX121" s="523"/>
      <c r="BY121" s="523">
        <v>0</v>
      </c>
      <c r="BZ121" s="523">
        <v>0</v>
      </c>
      <c r="CA121" s="523"/>
      <c r="CB121" s="523"/>
      <c r="CC121" s="523"/>
      <c r="CD121" s="523"/>
      <c r="CE121" s="523"/>
      <c r="CF121" s="523"/>
      <c r="CG121" s="523"/>
      <c r="CH121" s="523"/>
      <c r="CI121" s="523">
        <f t="shared" si="20"/>
        <v>0</v>
      </c>
    </row>
    <row r="122" spans="1:87" ht="15" x14ac:dyDescent="0.2">
      <c r="A122" s="680" t="s">
        <v>274</v>
      </c>
      <c r="B122" s="569" t="s">
        <v>2007</v>
      </c>
      <c r="C122" s="569" t="s">
        <v>1339</v>
      </c>
      <c r="D122" s="569" t="s">
        <v>1499</v>
      </c>
      <c r="E122" s="681" t="s">
        <v>14</v>
      </c>
      <c r="F122" s="644">
        <v>14.07</v>
      </c>
      <c r="G122" s="682">
        <v>7.03</v>
      </c>
      <c r="H122" s="681">
        <v>529.37</v>
      </c>
      <c r="I122" s="622">
        <f t="shared" si="21"/>
        <v>250</v>
      </c>
      <c r="J122" s="574">
        <f t="shared" si="22"/>
        <v>250</v>
      </c>
      <c r="K122" s="644">
        <f t="shared" ref="K122:K129" si="33">H122-J122</f>
        <v>279.37</v>
      </c>
      <c r="L122" s="708">
        <f t="shared" ref="L122:O129" si="34">ROUND(H122*$G122,2)</f>
        <v>3721.47</v>
      </c>
      <c r="M122" s="708">
        <f t="shared" si="34"/>
        <v>1757.5</v>
      </c>
      <c r="N122" s="708">
        <f t="shared" si="34"/>
        <v>1757.5</v>
      </c>
      <c r="O122" s="718">
        <f t="shared" si="34"/>
        <v>1963.97</v>
      </c>
      <c r="P122" s="617">
        <f t="shared" si="26"/>
        <v>0.47225961783918724</v>
      </c>
      <c r="Q122" s="525">
        <f>I122-'[9]8'!I121</f>
        <v>250</v>
      </c>
      <c r="S122" s="189">
        <v>0</v>
      </c>
      <c r="T122" s="189">
        <v>0</v>
      </c>
      <c r="BT122" s="525"/>
      <c r="BU122" s="523">
        <v>250</v>
      </c>
      <c r="BV122" s="523"/>
      <c r="BW122" s="523"/>
      <c r="BX122" s="523"/>
      <c r="BY122" s="523">
        <v>0</v>
      </c>
      <c r="BZ122" s="523">
        <v>0</v>
      </c>
      <c r="CA122" s="523">
        <v>0</v>
      </c>
      <c r="CB122" s="523">
        <v>0</v>
      </c>
      <c r="CC122" s="523"/>
      <c r="CD122" s="523"/>
      <c r="CE122" s="523"/>
      <c r="CF122" s="523"/>
      <c r="CG122" s="523"/>
      <c r="CH122" s="523"/>
      <c r="CI122" s="523">
        <f t="shared" si="20"/>
        <v>250</v>
      </c>
    </row>
    <row r="123" spans="1:87" ht="15" x14ac:dyDescent="0.2">
      <c r="A123" s="680" t="s">
        <v>276</v>
      </c>
      <c r="B123" s="569">
        <v>88489</v>
      </c>
      <c r="C123" s="569" t="s">
        <v>1324</v>
      </c>
      <c r="D123" s="569" t="s">
        <v>1500</v>
      </c>
      <c r="E123" s="681" t="s">
        <v>14</v>
      </c>
      <c r="F123" s="644">
        <v>14.07</v>
      </c>
      <c r="G123" s="682">
        <v>9.48</v>
      </c>
      <c r="H123" s="681">
        <v>445.04</v>
      </c>
      <c r="I123" s="622">
        <f t="shared" si="21"/>
        <v>220</v>
      </c>
      <c r="J123" s="574">
        <f t="shared" si="22"/>
        <v>220</v>
      </c>
      <c r="K123" s="644">
        <f t="shared" si="33"/>
        <v>225.04000000000002</v>
      </c>
      <c r="L123" s="708">
        <f t="shared" si="34"/>
        <v>4218.9799999999996</v>
      </c>
      <c r="M123" s="708">
        <f t="shared" si="34"/>
        <v>2085.6</v>
      </c>
      <c r="N123" s="708">
        <f t="shared" si="34"/>
        <v>2085.6</v>
      </c>
      <c r="O123" s="718">
        <f t="shared" si="34"/>
        <v>2133.38</v>
      </c>
      <c r="P123" s="617">
        <f t="shared" si="26"/>
        <v>0.49433749389662907</v>
      </c>
      <c r="Q123" s="525">
        <f>I123-'[9]8'!I122</f>
        <v>220</v>
      </c>
      <c r="S123" s="189">
        <v>0</v>
      </c>
      <c r="T123" s="189">
        <v>0</v>
      </c>
      <c r="BT123" s="525"/>
      <c r="BU123" s="523">
        <v>220</v>
      </c>
      <c r="BV123" s="523"/>
      <c r="BW123" s="523"/>
      <c r="BX123" s="523"/>
      <c r="BY123" s="523">
        <v>0</v>
      </c>
      <c r="BZ123" s="523">
        <v>0</v>
      </c>
      <c r="CA123" s="523">
        <v>0</v>
      </c>
      <c r="CB123" s="523">
        <v>0</v>
      </c>
      <c r="CC123" s="523"/>
      <c r="CD123" s="523"/>
      <c r="CE123" s="523"/>
      <c r="CF123" s="523"/>
      <c r="CG123" s="523"/>
      <c r="CH123" s="523"/>
      <c r="CI123" s="523">
        <f t="shared" si="20"/>
        <v>220</v>
      </c>
    </row>
    <row r="124" spans="1:87" ht="15.75" x14ac:dyDescent="0.2">
      <c r="A124" s="680" t="s">
        <v>278</v>
      </c>
      <c r="B124" s="569">
        <v>88486</v>
      </c>
      <c r="C124" s="569" t="s">
        <v>1324</v>
      </c>
      <c r="D124" s="569" t="s">
        <v>1501</v>
      </c>
      <c r="E124" s="681" t="s">
        <v>14</v>
      </c>
      <c r="F124" s="578"/>
      <c r="G124" s="682">
        <v>8.2899999999999991</v>
      </c>
      <c r="H124" s="681">
        <v>84.33</v>
      </c>
      <c r="I124" s="622">
        <f t="shared" si="21"/>
        <v>44</v>
      </c>
      <c r="J124" s="574">
        <f t="shared" si="22"/>
        <v>44</v>
      </c>
      <c r="K124" s="644">
        <f t="shared" si="33"/>
        <v>40.33</v>
      </c>
      <c r="L124" s="708">
        <f t="shared" si="34"/>
        <v>699.1</v>
      </c>
      <c r="M124" s="708">
        <f t="shared" si="34"/>
        <v>364.76</v>
      </c>
      <c r="N124" s="708">
        <f t="shared" si="34"/>
        <v>364.76</v>
      </c>
      <c r="O124" s="718">
        <f t="shared" si="34"/>
        <v>334.34</v>
      </c>
      <c r="P124" s="617">
        <f t="shared" si="26"/>
        <v>0.52175654412816475</v>
      </c>
      <c r="Q124" s="525">
        <f>I124-'[9]8'!I123</f>
        <v>44</v>
      </c>
      <c r="S124" s="189">
        <v>0</v>
      </c>
      <c r="T124" s="189">
        <v>0</v>
      </c>
      <c r="BT124" s="525"/>
      <c r="BU124" s="523">
        <v>44</v>
      </c>
      <c r="BV124" s="523"/>
      <c r="BW124" s="523"/>
      <c r="BX124" s="523"/>
      <c r="BY124" s="523">
        <v>0</v>
      </c>
      <c r="BZ124" s="523">
        <v>0</v>
      </c>
      <c r="CA124" s="523">
        <v>0</v>
      </c>
      <c r="CB124" s="523">
        <v>0</v>
      </c>
      <c r="CC124" s="523"/>
      <c r="CD124" s="523"/>
      <c r="CE124" s="523"/>
      <c r="CF124" s="523"/>
      <c r="CG124" s="523"/>
      <c r="CH124" s="523"/>
      <c r="CI124" s="523">
        <f t="shared" si="20"/>
        <v>44</v>
      </c>
    </row>
    <row r="125" spans="1:87" ht="15.75" x14ac:dyDescent="0.2">
      <c r="A125" s="680" t="s">
        <v>281</v>
      </c>
      <c r="B125" s="569">
        <v>72815</v>
      </c>
      <c r="C125" s="569" t="s">
        <v>1324</v>
      </c>
      <c r="D125" s="569" t="s">
        <v>1502</v>
      </c>
      <c r="E125" s="681" t="s">
        <v>14</v>
      </c>
      <c r="F125" s="578"/>
      <c r="G125" s="682">
        <v>43.08</v>
      </c>
      <c r="H125" s="681">
        <v>483.8</v>
      </c>
      <c r="I125" s="622">
        <f t="shared" si="21"/>
        <v>0</v>
      </c>
      <c r="J125" s="574">
        <f t="shared" si="22"/>
        <v>0</v>
      </c>
      <c r="K125" s="644">
        <f t="shared" si="33"/>
        <v>483.8</v>
      </c>
      <c r="L125" s="708">
        <f t="shared" si="34"/>
        <v>20842.099999999999</v>
      </c>
      <c r="M125" s="708">
        <f t="shared" si="34"/>
        <v>0</v>
      </c>
      <c r="N125" s="708">
        <f t="shared" si="34"/>
        <v>0</v>
      </c>
      <c r="O125" s="718">
        <f t="shared" si="34"/>
        <v>20842.099999999999</v>
      </c>
      <c r="P125" s="617">
        <f t="shared" si="26"/>
        <v>0</v>
      </c>
      <c r="Q125" s="525">
        <f>I125-'[9]8'!I124</f>
        <v>0</v>
      </c>
      <c r="S125" s="189">
        <v>0</v>
      </c>
      <c r="T125" s="189">
        <v>0</v>
      </c>
      <c r="BT125" s="525"/>
      <c r="BU125" s="523"/>
      <c r="BV125" s="523"/>
      <c r="BW125" s="523"/>
      <c r="BX125" s="523"/>
      <c r="BY125" s="523">
        <v>0</v>
      </c>
      <c r="BZ125" s="523">
        <v>0</v>
      </c>
      <c r="CA125" s="523">
        <v>0</v>
      </c>
      <c r="CB125" s="523">
        <v>0</v>
      </c>
      <c r="CC125" s="523"/>
      <c r="CD125" s="523"/>
      <c r="CE125" s="523"/>
      <c r="CF125" s="523"/>
      <c r="CG125" s="523"/>
      <c r="CH125" s="523"/>
      <c r="CI125" s="523">
        <f t="shared" si="20"/>
        <v>0</v>
      </c>
    </row>
    <row r="126" spans="1:87" ht="15.75" x14ac:dyDescent="0.2">
      <c r="A126" s="680" t="s">
        <v>1503</v>
      </c>
      <c r="B126" s="569">
        <v>41595</v>
      </c>
      <c r="C126" s="569" t="s">
        <v>1324</v>
      </c>
      <c r="D126" s="569" t="s">
        <v>1504</v>
      </c>
      <c r="E126" s="681" t="s">
        <v>81</v>
      </c>
      <c r="F126" s="578"/>
      <c r="G126" s="682">
        <v>8.86</v>
      </c>
      <c r="H126" s="681">
        <v>275.60000000000002</v>
      </c>
      <c r="I126" s="622">
        <f t="shared" si="21"/>
        <v>0</v>
      </c>
      <c r="J126" s="574">
        <f t="shared" si="22"/>
        <v>0</v>
      </c>
      <c r="K126" s="644">
        <f t="shared" si="33"/>
        <v>275.60000000000002</v>
      </c>
      <c r="L126" s="708">
        <f t="shared" si="34"/>
        <v>2441.8200000000002</v>
      </c>
      <c r="M126" s="708">
        <f t="shared" si="34"/>
        <v>0</v>
      </c>
      <c r="N126" s="708">
        <f t="shared" si="34"/>
        <v>0</v>
      </c>
      <c r="O126" s="718">
        <f t="shared" si="34"/>
        <v>2441.8200000000002</v>
      </c>
      <c r="P126" s="617">
        <f t="shared" si="26"/>
        <v>0</v>
      </c>
      <c r="Q126" s="525">
        <f>I126-'[9]8'!I125</f>
        <v>0</v>
      </c>
      <c r="S126" s="189">
        <v>0</v>
      </c>
      <c r="T126" s="189">
        <v>0</v>
      </c>
      <c r="BT126" s="525"/>
      <c r="BU126" s="523"/>
      <c r="BV126" s="523"/>
      <c r="BW126" s="523"/>
      <c r="BX126" s="523"/>
      <c r="BY126" s="523">
        <v>0</v>
      </c>
      <c r="BZ126" s="523">
        <v>0</v>
      </c>
      <c r="CA126" s="523">
        <v>0</v>
      </c>
      <c r="CB126" s="523">
        <v>0</v>
      </c>
      <c r="CC126" s="523"/>
      <c r="CD126" s="523"/>
      <c r="CE126" s="523"/>
      <c r="CF126" s="523"/>
      <c r="CG126" s="523"/>
      <c r="CH126" s="523"/>
      <c r="CI126" s="523">
        <f t="shared" si="20"/>
        <v>0</v>
      </c>
    </row>
    <row r="127" spans="1:87" ht="15" x14ac:dyDescent="0.2">
      <c r="A127" s="680" t="s">
        <v>1505</v>
      </c>
      <c r="B127" s="569" t="s">
        <v>1506</v>
      </c>
      <c r="C127" s="569" t="s">
        <v>1324</v>
      </c>
      <c r="D127" s="569" t="s">
        <v>1507</v>
      </c>
      <c r="E127" s="681" t="s">
        <v>14</v>
      </c>
      <c r="F127" s="571"/>
      <c r="G127" s="682">
        <v>7.25</v>
      </c>
      <c r="H127" s="681">
        <v>366.82</v>
      </c>
      <c r="I127" s="622">
        <f t="shared" si="21"/>
        <v>356.6</v>
      </c>
      <c r="J127" s="574">
        <f t="shared" si="22"/>
        <v>356.6</v>
      </c>
      <c r="K127" s="644">
        <f t="shared" si="33"/>
        <v>10.21999999999997</v>
      </c>
      <c r="L127" s="708">
        <f t="shared" si="34"/>
        <v>2659.45</v>
      </c>
      <c r="M127" s="708">
        <f t="shared" si="34"/>
        <v>2585.35</v>
      </c>
      <c r="N127" s="708">
        <f t="shared" si="34"/>
        <v>2585.35</v>
      </c>
      <c r="O127" s="718">
        <f t="shared" si="34"/>
        <v>74.09</v>
      </c>
      <c r="P127" s="617">
        <f t="shared" si="26"/>
        <v>0.97213709601609355</v>
      </c>
      <c r="Q127" s="525">
        <f>I127-'[9]8'!I126</f>
        <v>356.6</v>
      </c>
      <c r="S127" s="189">
        <v>0</v>
      </c>
      <c r="T127" s="189">
        <v>0</v>
      </c>
      <c r="BT127" s="525"/>
      <c r="BU127" s="523">
        <v>356.6</v>
      </c>
      <c r="BV127" s="523"/>
      <c r="BW127" s="523"/>
      <c r="BX127" s="523"/>
      <c r="BY127" s="523">
        <v>0</v>
      </c>
      <c r="BZ127" s="523">
        <v>0</v>
      </c>
      <c r="CA127" s="523">
        <v>0</v>
      </c>
      <c r="CB127" s="523">
        <v>0</v>
      </c>
      <c r="CC127" s="523"/>
      <c r="CD127" s="523"/>
      <c r="CE127" s="523"/>
      <c r="CF127" s="523"/>
      <c r="CG127" s="523"/>
      <c r="CH127" s="523"/>
      <c r="CI127" s="523">
        <f t="shared" si="20"/>
        <v>356.6</v>
      </c>
    </row>
    <row r="128" spans="1:87" ht="15" x14ac:dyDescent="0.2">
      <c r="A128" s="680" t="s">
        <v>1508</v>
      </c>
      <c r="B128" s="569" t="s">
        <v>1509</v>
      </c>
      <c r="C128" s="569" t="s">
        <v>1324</v>
      </c>
      <c r="D128" s="569" t="s">
        <v>1510</v>
      </c>
      <c r="E128" s="681" t="s">
        <v>14</v>
      </c>
      <c r="F128" s="644">
        <v>37.78</v>
      </c>
      <c r="G128" s="682">
        <v>21.62</v>
      </c>
      <c r="H128" s="681">
        <v>567.82000000000005</v>
      </c>
      <c r="I128" s="622">
        <f t="shared" si="21"/>
        <v>0</v>
      </c>
      <c r="J128" s="574">
        <f t="shared" si="22"/>
        <v>0</v>
      </c>
      <c r="K128" s="644">
        <f t="shared" si="33"/>
        <v>567.82000000000005</v>
      </c>
      <c r="L128" s="708">
        <f t="shared" si="34"/>
        <v>12276.27</v>
      </c>
      <c r="M128" s="708">
        <f t="shared" si="34"/>
        <v>0</v>
      </c>
      <c r="N128" s="708">
        <f t="shared" si="34"/>
        <v>0</v>
      </c>
      <c r="O128" s="718">
        <f t="shared" si="34"/>
        <v>12276.27</v>
      </c>
      <c r="P128" s="617">
        <f t="shared" si="26"/>
        <v>0</v>
      </c>
      <c r="Q128" s="525">
        <f>I128-'[9]8'!I127</f>
        <v>0</v>
      </c>
      <c r="S128" s="189">
        <v>0</v>
      </c>
      <c r="T128" s="189">
        <v>0</v>
      </c>
      <c r="BT128" s="525"/>
      <c r="BU128" s="523"/>
      <c r="BV128" s="523"/>
      <c r="BW128" s="523"/>
      <c r="BX128" s="523"/>
      <c r="BY128" s="523">
        <v>0</v>
      </c>
      <c r="BZ128" s="523">
        <v>0</v>
      </c>
      <c r="CA128" s="523">
        <v>0</v>
      </c>
      <c r="CB128" s="523">
        <v>0</v>
      </c>
      <c r="CC128" s="523"/>
      <c r="CD128" s="523"/>
      <c r="CE128" s="523"/>
      <c r="CF128" s="523"/>
      <c r="CG128" s="523"/>
      <c r="CH128" s="523"/>
      <c r="CI128" s="523">
        <f t="shared" si="20"/>
        <v>0</v>
      </c>
    </row>
    <row r="129" spans="1:87" ht="15" x14ac:dyDescent="0.2">
      <c r="A129" s="680" t="s">
        <v>1511</v>
      </c>
      <c r="B129" s="569" t="s">
        <v>1512</v>
      </c>
      <c r="C129" s="569" t="s">
        <v>1324</v>
      </c>
      <c r="D129" s="569" t="s">
        <v>1513</v>
      </c>
      <c r="E129" s="681" t="s">
        <v>14</v>
      </c>
      <c r="F129" s="644">
        <v>21.63</v>
      </c>
      <c r="G129" s="682">
        <v>14.78</v>
      </c>
      <c r="H129" s="681">
        <v>1030.4000000000001</v>
      </c>
      <c r="I129" s="622">
        <f t="shared" si="21"/>
        <v>1010</v>
      </c>
      <c r="J129" s="574">
        <f t="shared" si="22"/>
        <v>1010</v>
      </c>
      <c r="K129" s="644">
        <f t="shared" si="33"/>
        <v>20.400000000000091</v>
      </c>
      <c r="L129" s="708">
        <f t="shared" si="34"/>
        <v>15229.31</v>
      </c>
      <c r="M129" s="708">
        <f t="shared" si="34"/>
        <v>14927.8</v>
      </c>
      <c r="N129" s="708">
        <f t="shared" si="34"/>
        <v>14927.8</v>
      </c>
      <c r="O129" s="718">
        <f t="shared" si="34"/>
        <v>301.51</v>
      </c>
      <c r="P129" s="617">
        <f t="shared" si="26"/>
        <v>0.98020199207974623</v>
      </c>
      <c r="Q129" s="525">
        <f>I129-'[9]8'!I128</f>
        <v>1010</v>
      </c>
      <c r="S129" s="189">
        <v>0</v>
      </c>
      <c r="T129" s="189">
        <v>271</v>
      </c>
      <c r="BT129" s="525"/>
      <c r="BU129" s="523">
        <v>1010</v>
      </c>
      <c r="BV129" s="523"/>
      <c r="BW129" s="523"/>
      <c r="BX129" s="523"/>
      <c r="BY129" s="523">
        <v>0</v>
      </c>
      <c r="BZ129" s="523">
        <v>0</v>
      </c>
      <c r="CA129" s="523">
        <v>0</v>
      </c>
      <c r="CB129" s="523">
        <v>0</v>
      </c>
      <c r="CC129" s="523"/>
      <c r="CD129" s="523"/>
      <c r="CE129" s="523"/>
      <c r="CF129" s="523"/>
      <c r="CG129" s="523"/>
      <c r="CH129" s="523"/>
      <c r="CI129" s="523">
        <f t="shared" si="20"/>
        <v>1010</v>
      </c>
    </row>
    <row r="130" spans="1:87" s="790" customFormat="1" ht="15.75" x14ac:dyDescent="0.2">
      <c r="A130" s="600">
        <v>12</v>
      </c>
      <c r="B130" s="558"/>
      <c r="C130" s="558"/>
      <c r="D130" s="558" t="s">
        <v>1514</v>
      </c>
      <c r="E130" s="626"/>
      <c r="F130" s="626"/>
      <c r="G130" s="626"/>
      <c r="H130" s="626"/>
      <c r="I130" s="626"/>
      <c r="J130" s="626"/>
      <c r="K130" s="626"/>
      <c r="L130" s="734">
        <f>SUM(L131,L153)</f>
        <v>4556.04</v>
      </c>
      <c r="M130" s="734">
        <f>SUM(M131,M153)</f>
        <v>0</v>
      </c>
      <c r="N130" s="734">
        <f>SUM(N131,N153)</f>
        <v>3269.38</v>
      </c>
      <c r="O130" s="721">
        <f>SUM(O131,O153)</f>
        <v>1286.6600000000001</v>
      </c>
      <c r="P130" s="604">
        <f t="shared" si="26"/>
        <v>0.71759247065434018</v>
      </c>
      <c r="Q130" s="525">
        <f>I130-'[9]8'!I129</f>
        <v>0</v>
      </c>
      <c r="S130" s="190">
        <v>0</v>
      </c>
      <c r="T130" s="190">
        <v>237</v>
      </c>
      <c r="BT130" s="525"/>
      <c r="BU130" s="523"/>
      <c r="BV130" s="523"/>
      <c r="BW130" s="523"/>
      <c r="BX130" s="523"/>
      <c r="BY130" s="523">
        <v>0</v>
      </c>
      <c r="BZ130" s="523">
        <v>271</v>
      </c>
      <c r="CA130" s="523"/>
      <c r="CB130" s="523"/>
      <c r="CC130" s="523"/>
      <c r="CD130" s="523"/>
      <c r="CE130" s="523"/>
      <c r="CF130" s="523"/>
      <c r="CG130" s="523"/>
      <c r="CH130" s="523"/>
      <c r="CI130" s="523">
        <f t="shared" si="20"/>
        <v>271</v>
      </c>
    </row>
    <row r="131" spans="1:87" ht="15.75" x14ac:dyDescent="0.2">
      <c r="A131" s="605" t="s">
        <v>1515</v>
      </c>
      <c r="B131" s="586"/>
      <c r="C131" s="586"/>
      <c r="D131" s="586" t="s">
        <v>1516</v>
      </c>
      <c r="E131" s="609"/>
      <c r="F131" s="609"/>
      <c r="G131" s="609"/>
      <c r="H131" s="609"/>
      <c r="I131" s="609"/>
      <c r="J131" s="609"/>
      <c r="K131" s="609"/>
      <c r="L131" s="733">
        <f>SUM(L132:L152)</f>
        <v>1719.64</v>
      </c>
      <c r="M131" s="733">
        <f>SUM(M132:M152)</f>
        <v>0</v>
      </c>
      <c r="N131" s="733">
        <f>SUM(N132:N152)</f>
        <v>1719.64</v>
      </c>
      <c r="O131" s="722">
        <f>SUM(O132:O152)</f>
        <v>0</v>
      </c>
      <c r="P131" s="611">
        <f t="shared" si="26"/>
        <v>1</v>
      </c>
      <c r="Q131" s="525">
        <f>I131-'[9]8'!I130</f>
        <v>0</v>
      </c>
      <c r="S131" s="189">
        <v>0</v>
      </c>
      <c r="T131" s="189">
        <v>12</v>
      </c>
      <c r="BT131" s="525"/>
      <c r="BU131" s="523"/>
      <c r="BV131" s="523"/>
      <c r="BW131" s="523"/>
      <c r="BX131" s="523"/>
      <c r="BY131" s="523">
        <v>0</v>
      </c>
      <c r="BZ131" s="523">
        <v>237</v>
      </c>
      <c r="CA131" s="523"/>
      <c r="CB131" s="523"/>
      <c r="CC131" s="523"/>
      <c r="CD131" s="523"/>
      <c r="CE131" s="523"/>
      <c r="CF131" s="523"/>
      <c r="CG131" s="523"/>
      <c r="CH131" s="523"/>
      <c r="CI131" s="523">
        <f t="shared" si="20"/>
        <v>237</v>
      </c>
    </row>
    <row r="132" spans="1:87" ht="15" x14ac:dyDescent="0.2">
      <c r="A132" s="680" t="s">
        <v>1517</v>
      </c>
      <c r="B132" s="569">
        <v>89401</v>
      </c>
      <c r="C132" s="569" t="s">
        <v>1324</v>
      </c>
      <c r="D132" s="569" t="s">
        <v>1518</v>
      </c>
      <c r="E132" s="681" t="s">
        <v>81</v>
      </c>
      <c r="F132" s="644">
        <v>22.03</v>
      </c>
      <c r="G132" s="682">
        <v>5.29</v>
      </c>
      <c r="H132" s="681">
        <v>12</v>
      </c>
      <c r="I132" s="622">
        <f t="shared" si="21"/>
        <v>0</v>
      </c>
      <c r="J132" s="574">
        <f t="shared" si="22"/>
        <v>12</v>
      </c>
      <c r="K132" s="689">
        <f t="shared" ref="K132:K194" si="35">H132-J132</f>
        <v>0</v>
      </c>
      <c r="L132" s="708">
        <f t="shared" ref="L132:O152" si="36">ROUND(H132*$G132,2)</f>
        <v>63.48</v>
      </c>
      <c r="M132" s="708">
        <f t="shared" si="36"/>
        <v>0</v>
      </c>
      <c r="N132" s="708">
        <f t="shared" si="36"/>
        <v>63.48</v>
      </c>
      <c r="O132" s="718">
        <f t="shared" si="36"/>
        <v>0</v>
      </c>
      <c r="P132" s="617">
        <f t="shared" si="26"/>
        <v>1</v>
      </c>
      <c r="Q132" s="525">
        <f>I132-'[9]8'!I131</f>
        <v>0</v>
      </c>
      <c r="S132" s="189">
        <v>0</v>
      </c>
      <c r="T132" s="189">
        <v>42</v>
      </c>
      <c r="BT132" s="525"/>
      <c r="BU132" s="523"/>
      <c r="BV132" s="523"/>
      <c r="BW132" s="523"/>
      <c r="BX132" s="523"/>
      <c r="BY132" s="523">
        <v>0</v>
      </c>
      <c r="BZ132" s="523">
        <v>12</v>
      </c>
      <c r="CA132" s="523">
        <v>0</v>
      </c>
      <c r="CB132" s="523">
        <v>0</v>
      </c>
      <c r="CC132" s="523"/>
      <c r="CD132" s="523"/>
      <c r="CE132" s="523"/>
      <c r="CF132" s="523"/>
      <c r="CG132" s="523"/>
      <c r="CH132" s="523"/>
      <c r="CI132" s="523">
        <f t="shared" si="20"/>
        <v>12</v>
      </c>
    </row>
    <row r="133" spans="1:87" ht="15.75" x14ac:dyDescent="0.2">
      <c r="A133" s="680" t="s">
        <v>1519</v>
      </c>
      <c r="B133" s="569">
        <v>89446</v>
      </c>
      <c r="C133" s="569" t="s">
        <v>1324</v>
      </c>
      <c r="D133" s="569" t="s">
        <v>1520</v>
      </c>
      <c r="E133" s="681" t="s">
        <v>81</v>
      </c>
      <c r="F133" s="578"/>
      <c r="G133" s="682">
        <v>3.19</v>
      </c>
      <c r="H133" s="681">
        <v>42</v>
      </c>
      <c r="I133" s="622">
        <f t="shared" si="21"/>
        <v>0</v>
      </c>
      <c r="J133" s="574">
        <f t="shared" si="22"/>
        <v>42</v>
      </c>
      <c r="K133" s="681">
        <f t="shared" si="35"/>
        <v>0</v>
      </c>
      <c r="L133" s="708">
        <f t="shared" si="36"/>
        <v>133.97999999999999</v>
      </c>
      <c r="M133" s="708">
        <f t="shared" si="36"/>
        <v>0</v>
      </c>
      <c r="N133" s="708">
        <f t="shared" si="36"/>
        <v>133.97999999999999</v>
      </c>
      <c r="O133" s="718">
        <f t="shared" si="36"/>
        <v>0</v>
      </c>
      <c r="P133" s="617">
        <f t="shared" si="26"/>
        <v>1</v>
      </c>
      <c r="Q133" s="525">
        <f>I133-'[9]8'!I132</f>
        <v>0</v>
      </c>
      <c r="S133" s="189">
        <v>0</v>
      </c>
      <c r="T133" s="189">
        <v>28</v>
      </c>
      <c r="BT133" s="525"/>
      <c r="BU133" s="523"/>
      <c r="BV133" s="523"/>
      <c r="BW133" s="523"/>
      <c r="BX133" s="523"/>
      <c r="BY133" s="523">
        <v>0</v>
      </c>
      <c r="BZ133" s="523">
        <v>42</v>
      </c>
      <c r="CA133" s="523">
        <v>0</v>
      </c>
      <c r="CB133" s="523">
        <v>0</v>
      </c>
      <c r="CC133" s="523"/>
      <c r="CD133" s="523"/>
      <c r="CE133" s="523"/>
      <c r="CF133" s="523"/>
      <c r="CG133" s="523"/>
      <c r="CH133" s="523"/>
      <c r="CI133" s="523">
        <f t="shared" si="20"/>
        <v>42</v>
      </c>
    </row>
    <row r="134" spans="1:87" ht="15.75" x14ac:dyDescent="0.2">
      <c r="A134" s="680" t="s">
        <v>1521</v>
      </c>
      <c r="B134" s="569">
        <v>89447</v>
      </c>
      <c r="C134" s="569" t="s">
        <v>1324</v>
      </c>
      <c r="D134" s="569" t="s">
        <v>1522</v>
      </c>
      <c r="E134" s="681" t="s">
        <v>81</v>
      </c>
      <c r="F134" s="578"/>
      <c r="G134" s="682">
        <v>6.33</v>
      </c>
      <c r="H134" s="681">
        <v>28</v>
      </c>
      <c r="I134" s="622">
        <f t="shared" si="21"/>
        <v>0</v>
      </c>
      <c r="J134" s="574">
        <f t="shared" si="22"/>
        <v>28</v>
      </c>
      <c r="K134" s="681">
        <f t="shared" si="35"/>
        <v>0</v>
      </c>
      <c r="L134" s="708">
        <f t="shared" si="36"/>
        <v>177.24</v>
      </c>
      <c r="M134" s="708">
        <f t="shared" si="36"/>
        <v>0</v>
      </c>
      <c r="N134" s="708">
        <f t="shared" si="36"/>
        <v>177.24</v>
      </c>
      <c r="O134" s="718">
        <f t="shared" si="36"/>
        <v>0</v>
      </c>
      <c r="P134" s="617">
        <f t="shared" si="26"/>
        <v>1</v>
      </c>
      <c r="Q134" s="525">
        <f>I134-'[9]8'!I133</f>
        <v>0</v>
      </c>
      <c r="S134" s="189">
        <v>0</v>
      </c>
      <c r="T134" s="189">
        <v>30</v>
      </c>
      <c r="BT134" s="525"/>
      <c r="BU134" s="523"/>
      <c r="BV134" s="523"/>
      <c r="BW134" s="523"/>
      <c r="BX134" s="523"/>
      <c r="BY134" s="523">
        <v>0</v>
      </c>
      <c r="BZ134" s="523">
        <v>28</v>
      </c>
      <c r="CA134" s="523">
        <v>0</v>
      </c>
      <c r="CB134" s="523">
        <v>0</v>
      </c>
      <c r="CC134" s="523"/>
      <c r="CD134" s="523"/>
      <c r="CE134" s="523"/>
      <c r="CF134" s="523"/>
      <c r="CG134" s="523"/>
      <c r="CH134" s="523"/>
      <c r="CI134" s="523">
        <f t="shared" si="20"/>
        <v>28</v>
      </c>
    </row>
    <row r="135" spans="1:87" ht="15" x14ac:dyDescent="0.2">
      <c r="A135" s="680" t="s">
        <v>1523</v>
      </c>
      <c r="B135" s="569">
        <v>89448</v>
      </c>
      <c r="C135" s="569" t="s">
        <v>1324</v>
      </c>
      <c r="D135" s="569" t="s">
        <v>1524</v>
      </c>
      <c r="E135" s="681" t="s">
        <v>81</v>
      </c>
      <c r="F135" s="571"/>
      <c r="G135" s="682">
        <v>10.15</v>
      </c>
      <c r="H135" s="681">
        <v>30</v>
      </c>
      <c r="I135" s="622">
        <f t="shared" si="21"/>
        <v>0</v>
      </c>
      <c r="J135" s="574">
        <f t="shared" si="22"/>
        <v>30</v>
      </c>
      <c r="K135" s="681">
        <f t="shared" si="35"/>
        <v>0</v>
      </c>
      <c r="L135" s="708">
        <f t="shared" si="36"/>
        <v>304.5</v>
      </c>
      <c r="M135" s="708">
        <f t="shared" si="36"/>
        <v>0</v>
      </c>
      <c r="N135" s="708">
        <f t="shared" si="36"/>
        <v>304.5</v>
      </c>
      <c r="O135" s="718">
        <f t="shared" si="36"/>
        <v>0</v>
      </c>
      <c r="P135" s="617">
        <f t="shared" si="26"/>
        <v>1</v>
      </c>
      <c r="Q135" s="525">
        <f>I135-'[9]8'!I134</f>
        <v>0</v>
      </c>
      <c r="S135" s="189">
        <v>0</v>
      </c>
      <c r="T135" s="189">
        <v>36</v>
      </c>
      <c r="BT135" s="525"/>
      <c r="BU135" s="523"/>
      <c r="BV135" s="523"/>
      <c r="BW135" s="523"/>
      <c r="BX135" s="523"/>
      <c r="BY135" s="523">
        <v>0</v>
      </c>
      <c r="BZ135" s="523">
        <v>30</v>
      </c>
      <c r="CA135" s="523">
        <v>0</v>
      </c>
      <c r="CB135" s="523">
        <v>0</v>
      </c>
      <c r="CC135" s="523"/>
      <c r="CD135" s="523"/>
      <c r="CE135" s="523"/>
      <c r="CF135" s="523"/>
      <c r="CG135" s="523"/>
      <c r="CH135" s="523"/>
      <c r="CI135" s="523">
        <f t="shared" si="20"/>
        <v>30</v>
      </c>
    </row>
    <row r="136" spans="1:87" ht="15" x14ac:dyDescent="0.2">
      <c r="A136" s="680" t="s">
        <v>1525</v>
      </c>
      <c r="B136" s="569">
        <v>89449</v>
      </c>
      <c r="C136" s="569" t="s">
        <v>1324</v>
      </c>
      <c r="D136" s="569" t="s">
        <v>1526</v>
      </c>
      <c r="E136" s="681" t="s">
        <v>81</v>
      </c>
      <c r="F136" s="644">
        <v>5.81</v>
      </c>
      <c r="G136" s="682">
        <v>11.27</v>
      </c>
      <c r="H136" s="681">
        <v>36</v>
      </c>
      <c r="I136" s="622">
        <f t="shared" si="21"/>
        <v>0</v>
      </c>
      <c r="J136" s="574">
        <f t="shared" si="22"/>
        <v>36</v>
      </c>
      <c r="K136" s="681">
        <f t="shared" si="35"/>
        <v>0</v>
      </c>
      <c r="L136" s="708">
        <f t="shared" si="36"/>
        <v>405.72</v>
      </c>
      <c r="M136" s="708">
        <f t="shared" si="36"/>
        <v>0</v>
      </c>
      <c r="N136" s="708">
        <f t="shared" si="36"/>
        <v>405.72</v>
      </c>
      <c r="O136" s="718">
        <f t="shared" si="36"/>
        <v>0</v>
      </c>
      <c r="P136" s="617">
        <f t="shared" si="26"/>
        <v>1</v>
      </c>
      <c r="Q136" s="525">
        <f>I136-'[9]8'!I135</f>
        <v>0</v>
      </c>
      <c r="S136" s="189">
        <v>0</v>
      </c>
      <c r="T136" s="189">
        <v>15</v>
      </c>
      <c r="BT136" s="525"/>
      <c r="BU136" s="523"/>
      <c r="BV136" s="523"/>
      <c r="BW136" s="523"/>
      <c r="BX136" s="523"/>
      <c r="BY136" s="523">
        <v>0</v>
      </c>
      <c r="BZ136" s="523">
        <v>36</v>
      </c>
      <c r="CA136" s="523">
        <v>0</v>
      </c>
      <c r="CB136" s="523">
        <v>0</v>
      </c>
      <c r="CC136" s="523"/>
      <c r="CD136" s="523"/>
      <c r="CE136" s="523"/>
      <c r="CF136" s="523"/>
      <c r="CG136" s="523"/>
      <c r="CH136" s="523"/>
      <c r="CI136" s="523">
        <f t="shared" si="20"/>
        <v>36</v>
      </c>
    </row>
    <row r="137" spans="1:87" ht="15" x14ac:dyDescent="0.2">
      <c r="A137" s="680" t="s">
        <v>1527</v>
      </c>
      <c r="B137" s="569">
        <v>89408</v>
      </c>
      <c r="C137" s="569" t="s">
        <v>1324</v>
      </c>
      <c r="D137" s="569" t="s">
        <v>1528</v>
      </c>
      <c r="E137" s="681" t="s">
        <v>102</v>
      </c>
      <c r="F137" s="644">
        <v>37.78</v>
      </c>
      <c r="G137" s="682">
        <v>4.28</v>
      </c>
      <c r="H137" s="681">
        <v>15</v>
      </c>
      <c r="I137" s="622">
        <f t="shared" si="21"/>
        <v>0</v>
      </c>
      <c r="J137" s="574">
        <f t="shared" si="22"/>
        <v>15</v>
      </c>
      <c r="K137" s="681">
        <f t="shared" si="35"/>
        <v>0</v>
      </c>
      <c r="L137" s="708">
        <f t="shared" si="36"/>
        <v>64.2</v>
      </c>
      <c r="M137" s="708">
        <f t="shared" si="36"/>
        <v>0</v>
      </c>
      <c r="N137" s="708">
        <f t="shared" si="36"/>
        <v>64.2</v>
      </c>
      <c r="O137" s="718">
        <f t="shared" si="36"/>
        <v>0</v>
      </c>
      <c r="P137" s="617">
        <f t="shared" si="26"/>
        <v>1</v>
      </c>
      <c r="Q137" s="525">
        <f>I137-'[9]8'!I136</f>
        <v>0</v>
      </c>
      <c r="S137" s="189">
        <v>0</v>
      </c>
      <c r="T137" s="189">
        <v>8</v>
      </c>
      <c r="BT137" s="525"/>
      <c r="BU137" s="523"/>
      <c r="BV137" s="523"/>
      <c r="BW137" s="523"/>
      <c r="BX137" s="523"/>
      <c r="BY137" s="523">
        <v>0</v>
      </c>
      <c r="BZ137" s="523">
        <v>15</v>
      </c>
      <c r="CA137" s="523">
        <v>0</v>
      </c>
      <c r="CB137" s="523">
        <v>0</v>
      </c>
      <c r="CC137" s="523"/>
      <c r="CD137" s="523"/>
      <c r="CE137" s="523"/>
      <c r="CF137" s="523"/>
      <c r="CG137" s="523"/>
      <c r="CH137" s="523"/>
      <c r="CI137" s="523">
        <f t="shared" si="20"/>
        <v>15</v>
      </c>
    </row>
    <row r="138" spans="1:87" ht="15" x14ac:dyDescent="0.2">
      <c r="A138" s="690" t="s">
        <v>1529</v>
      </c>
      <c r="B138" s="624">
        <v>89492</v>
      </c>
      <c r="C138" s="624" t="s">
        <v>1324</v>
      </c>
      <c r="D138" s="624" t="s">
        <v>1530</v>
      </c>
      <c r="E138" s="691" t="s">
        <v>102</v>
      </c>
      <c r="F138" s="692">
        <v>21.63</v>
      </c>
      <c r="G138" s="693">
        <v>4.79</v>
      </c>
      <c r="H138" s="691">
        <v>8</v>
      </c>
      <c r="I138" s="636">
        <f t="shared" si="21"/>
        <v>0</v>
      </c>
      <c r="J138" s="637">
        <f t="shared" si="22"/>
        <v>8</v>
      </c>
      <c r="K138" s="691">
        <f t="shared" si="35"/>
        <v>0</v>
      </c>
      <c r="L138" s="708">
        <f t="shared" si="36"/>
        <v>38.32</v>
      </c>
      <c r="M138" s="708">
        <f t="shared" si="36"/>
        <v>0</v>
      </c>
      <c r="N138" s="708">
        <f t="shared" si="36"/>
        <v>38.32</v>
      </c>
      <c r="O138" s="718">
        <f t="shared" si="36"/>
        <v>0</v>
      </c>
      <c r="P138" s="694">
        <f t="shared" si="26"/>
        <v>1</v>
      </c>
      <c r="Q138" s="525">
        <f>I138-'[9]8'!I137</f>
        <v>0</v>
      </c>
      <c r="S138" s="189">
        <v>0</v>
      </c>
      <c r="T138" s="189">
        <v>6</v>
      </c>
      <c r="BT138" s="525"/>
      <c r="BU138" s="523"/>
      <c r="BV138" s="523"/>
      <c r="BW138" s="523"/>
      <c r="BX138" s="523"/>
      <c r="BY138" s="523">
        <v>0</v>
      </c>
      <c r="BZ138" s="523">
        <v>8</v>
      </c>
      <c r="CA138" s="523">
        <v>0</v>
      </c>
      <c r="CB138" s="523">
        <v>0</v>
      </c>
      <c r="CC138" s="523"/>
      <c r="CD138" s="523"/>
      <c r="CE138" s="523"/>
      <c r="CF138" s="523"/>
      <c r="CG138" s="523"/>
      <c r="CH138" s="523"/>
      <c r="CI138" s="523">
        <f t="shared" si="20"/>
        <v>8</v>
      </c>
    </row>
    <row r="139" spans="1:87" ht="15" x14ac:dyDescent="0.2">
      <c r="A139" s="690" t="s">
        <v>1531</v>
      </c>
      <c r="B139" s="624">
        <v>89501</v>
      </c>
      <c r="C139" s="624" t="s">
        <v>1324</v>
      </c>
      <c r="D139" s="624" t="s">
        <v>1532</v>
      </c>
      <c r="E139" s="691" t="s">
        <v>102</v>
      </c>
      <c r="F139" s="692">
        <v>38.770000000000003</v>
      </c>
      <c r="G139" s="693">
        <v>9.3800000000000008</v>
      </c>
      <c r="H139" s="691">
        <v>6</v>
      </c>
      <c r="I139" s="636">
        <f t="shared" si="21"/>
        <v>0</v>
      </c>
      <c r="J139" s="637">
        <f t="shared" si="22"/>
        <v>6</v>
      </c>
      <c r="K139" s="691">
        <f t="shared" si="35"/>
        <v>0</v>
      </c>
      <c r="L139" s="708">
        <f t="shared" si="36"/>
        <v>56.28</v>
      </c>
      <c r="M139" s="708">
        <f t="shared" si="36"/>
        <v>0</v>
      </c>
      <c r="N139" s="708">
        <f t="shared" si="36"/>
        <v>56.28</v>
      </c>
      <c r="O139" s="718">
        <f t="shared" si="36"/>
        <v>0</v>
      </c>
      <c r="P139" s="694">
        <f t="shared" si="26"/>
        <v>1</v>
      </c>
      <c r="Q139" s="525">
        <f>I139-'[9]8'!I138</f>
        <v>0</v>
      </c>
      <c r="S139" s="189">
        <v>0</v>
      </c>
      <c r="T139" s="189">
        <v>2</v>
      </c>
      <c r="BT139" s="525"/>
      <c r="BU139" s="523"/>
      <c r="BV139" s="523"/>
      <c r="BW139" s="523"/>
      <c r="BX139" s="523"/>
      <c r="BY139" s="523">
        <v>0</v>
      </c>
      <c r="BZ139" s="523">
        <v>6</v>
      </c>
      <c r="CA139" s="523">
        <v>0</v>
      </c>
      <c r="CB139" s="523">
        <v>0</v>
      </c>
      <c r="CC139" s="523"/>
      <c r="CD139" s="523"/>
      <c r="CE139" s="523"/>
      <c r="CF139" s="523"/>
      <c r="CG139" s="523"/>
      <c r="CH139" s="523"/>
      <c r="CI139" s="523">
        <f t="shared" si="20"/>
        <v>6</v>
      </c>
    </row>
    <row r="140" spans="1:87" ht="15.75" x14ac:dyDescent="0.2">
      <c r="A140" s="690" t="s">
        <v>1533</v>
      </c>
      <c r="B140" s="624">
        <v>90373</v>
      </c>
      <c r="C140" s="624" t="s">
        <v>1324</v>
      </c>
      <c r="D140" s="624" t="s">
        <v>1534</v>
      </c>
      <c r="E140" s="691" t="s">
        <v>102</v>
      </c>
      <c r="F140" s="578"/>
      <c r="G140" s="693">
        <v>10.06</v>
      </c>
      <c r="H140" s="691">
        <v>2</v>
      </c>
      <c r="I140" s="636">
        <f t="shared" si="21"/>
        <v>0</v>
      </c>
      <c r="J140" s="637">
        <f t="shared" si="22"/>
        <v>2</v>
      </c>
      <c r="K140" s="691">
        <f t="shared" si="35"/>
        <v>0</v>
      </c>
      <c r="L140" s="708">
        <f t="shared" si="36"/>
        <v>20.12</v>
      </c>
      <c r="M140" s="708">
        <f t="shared" si="36"/>
        <v>0</v>
      </c>
      <c r="N140" s="708">
        <f t="shared" si="36"/>
        <v>20.12</v>
      </c>
      <c r="O140" s="718">
        <f t="shared" si="36"/>
        <v>0</v>
      </c>
      <c r="P140" s="694">
        <f t="shared" si="26"/>
        <v>1</v>
      </c>
      <c r="Q140" s="525">
        <f>I140-'[9]8'!I139</f>
        <v>0</v>
      </c>
      <c r="S140" s="189">
        <v>0</v>
      </c>
      <c r="T140" s="189">
        <v>4</v>
      </c>
      <c r="BT140" s="525"/>
      <c r="BU140" s="523"/>
      <c r="BV140" s="523"/>
      <c r="BW140" s="523"/>
      <c r="BX140" s="523"/>
      <c r="BY140" s="523">
        <v>0</v>
      </c>
      <c r="BZ140" s="523">
        <v>2</v>
      </c>
      <c r="CA140" s="523">
        <v>0</v>
      </c>
      <c r="CB140" s="523">
        <v>0</v>
      </c>
      <c r="CC140" s="523"/>
      <c r="CD140" s="523"/>
      <c r="CE140" s="523"/>
      <c r="CF140" s="523"/>
      <c r="CG140" s="523"/>
      <c r="CH140" s="523"/>
      <c r="CI140" s="523">
        <f t="shared" si="20"/>
        <v>2</v>
      </c>
    </row>
    <row r="141" spans="1:87" ht="15.75" x14ac:dyDescent="0.2">
      <c r="A141" s="690" t="s">
        <v>1535</v>
      </c>
      <c r="B141" s="624" t="s">
        <v>2007</v>
      </c>
      <c r="C141" s="624" t="s">
        <v>1339</v>
      </c>
      <c r="D141" s="624" t="s">
        <v>1536</v>
      </c>
      <c r="E141" s="691" t="s">
        <v>102</v>
      </c>
      <c r="F141" s="578"/>
      <c r="G141" s="693">
        <v>0</v>
      </c>
      <c r="H141" s="691">
        <v>4</v>
      </c>
      <c r="I141" s="636">
        <f t="shared" si="21"/>
        <v>0</v>
      </c>
      <c r="J141" s="637">
        <f t="shared" si="22"/>
        <v>4</v>
      </c>
      <c r="K141" s="691">
        <f t="shared" si="35"/>
        <v>0</v>
      </c>
      <c r="L141" s="708">
        <f t="shared" si="36"/>
        <v>0</v>
      </c>
      <c r="M141" s="708">
        <f t="shared" si="36"/>
        <v>0</v>
      </c>
      <c r="N141" s="708">
        <f t="shared" si="36"/>
        <v>0</v>
      </c>
      <c r="O141" s="718">
        <f t="shared" si="36"/>
        <v>0</v>
      </c>
      <c r="P141" s="694">
        <v>1</v>
      </c>
      <c r="Q141" s="525">
        <f>I141-'[9]8'!I140</f>
        <v>0</v>
      </c>
      <c r="S141" s="189">
        <v>0</v>
      </c>
      <c r="T141" s="189">
        <v>16</v>
      </c>
      <c r="BT141" s="525"/>
      <c r="BU141" s="523"/>
      <c r="BV141" s="523"/>
      <c r="BW141" s="523"/>
      <c r="BX141" s="523"/>
      <c r="BY141" s="523">
        <v>0</v>
      </c>
      <c r="BZ141" s="523">
        <v>4</v>
      </c>
      <c r="CA141" s="523">
        <v>0</v>
      </c>
      <c r="CB141" s="523">
        <v>0</v>
      </c>
      <c r="CC141" s="523"/>
      <c r="CD141" s="523"/>
      <c r="CE141" s="523"/>
      <c r="CF141" s="523"/>
      <c r="CG141" s="523"/>
      <c r="CH141" s="523"/>
      <c r="CI141" s="523">
        <f t="shared" si="20"/>
        <v>4</v>
      </c>
    </row>
    <row r="142" spans="1:87" ht="30" x14ac:dyDescent="0.2">
      <c r="A142" s="690" t="s">
        <v>1537</v>
      </c>
      <c r="B142" s="624">
        <v>90373</v>
      </c>
      <c r="C142" s="624" t="s">
        <v>1324</v>
      </c>
      <c r="D142" s="624" t="s">
        <v>1538</v>
      </c>
      <c r="E142" s="691" t="s">
        <v>102</v>
      </c>
      <c r="F142" s="578"/>
      <c r="G142" s="693">
        <v>10.06</v>
      </c>
      <c r="H142" s="691">
        <v>16</v>
      </c>
      <c r="I142" s="636">
        <f t="shared" si="21"/>
        <v>0</v>
      </c>
      <c r="J142" s="637">
        <f t="shared" si="22"/>
        <v>16</v>
      </c>
      <c r="K142" s="691">
        <f t="shared" si="35"/>
        <v>0</v>
      </c>
      <c r="L142" s="708">
        <f t="shared" si="36"/>
        <v>160.96</v>
      </c>
      <c r="M142" s="708">
        <f t="shared" si="36"/>
        <v>0</v>
      </c>
      <c r="N142" s="708">
        <f t="shared" si="36"/>
        <v>160.96</v>
      </c>
      <c r="O142" s="718">
        <f t="shared" si="36"/>
        <v>0</v>
      </c>
      <c r="P142" s="694">
        <f t="shared" ref="P142:P205" si="37">N142/L142</f>
        <v>1</v>
      </c>
      <c r="Q142" s="525">
        <f>I142-'[9]8'!I141</f>
        <v>0</v>
      </c>
      <c r="S142" s="189">
        <v>0</v>
      </c>
      <c r="T142" s="189">
        <v>4</v>
      </c>
      <c r="BT142" s="525"/>
      <c r="BU142" s="523"/>
      <c r="BV142" s="523"/>
      <c r="BW142" s="523"/>
      <c r="BX142" s="523"/>
      <c r="BY142" s="523">
        <v>0</v>
      </c>
      <c r="BZ142" s="523">
        <v>16</v>
      </c>
      <c r="CA142" s="523">
        <v>0</v>
      </c>
      <c r="CB142" s="523">
        <v>0</v>
      </c>
      <c r="CC142" s="523"/>
      <c r="CD142" s="523"/>
      <c r="CE142" s="523"/>
      <c r="CF142" s="523"/>
      <c r="CG142" s="523"/>
      <c r="CH142" s="523"/>
      <c r="CI142" s="523">
        <f t="shared" si="20"/>
        <v>16</v>
      </c>
    </row>
    <row r="143" spans="1:87" ht="15" x14ac:dyDescent="0.2">
      <c r="A143" s="690" t="s">
        <v>1539</v>
      </c>
      <c r="B143" s="624">
        <v>89622</v>
      </c>
      <c r="C143" s="624" t="s">
        <v>1324</v>
      </c>
      <c r="D143" s="624" t="s">
        <v>1540</v>
      </c>
      <c r="E143" s="691" t="s">
        <v>102</v>
      </c>
      <c r="F143" s="692">
        <v>29.86</v>
      </c>
      <c r="G143" s="693">
        <v>9.23</v>
      </c>
      <c r="H143" s="691">
        <v>4</v>
      </c>
      <c r="I143" s="636">
        <f t="shared" si="21"/>
        <v>0</v>
      </c>
      <c r="J143" s="637">
        <f t="shared" si="22"/>
        <v>4</v>
      </c>
      <c r="K143" s="691">
        <f t="shared" si="35"/>
        <v>0</v>
      </c>
      <c r="L143" s="708">
        <f t="shared" si="36"/>
        <v>36.92</v>
      </c>
      <c r="M143" s="708">
        <f t="shared" si="36"/>
        <v>0</v>
      </c>
      <c r="N143" s="708">
        <f t="shared" si="36"/>
        <v>36.92</v>
      </c>
      <c r="O143" s="718">
        <f t="shared" si="36"/>
        <v>0</v>
      </c>
      <c r="P143" s="694">
        <f t="shared" si="37"/>
        <v>1</v>
      </c>
      <c r="Q143" s="525">
        <f>I143-'[9]8'!I142</f>
        <v>0</v>
      </c>
      <c r="S143" s="189">
        <v>0</v>
      </c>
      <c r="T143" s="189">
        <v>2</v>
      </c>
      <c r="BT143" s="525"/>
      <c r="BU143" s="523"/>
      <c r="BV143" s="523"/>
      <c r="BW143" s="523"/>
      <c r="BX143" s="523"/>
      <c r="BY143" s="523">
        <v>0</v>
      </c>
      <c r="BZ143" s="523">
        <v>4</v>
      </c>
      <c r="CA143" s="523">
        <v>0</v>
      </c>
      <c r="CB143" s="523">
        <v>0</v>
      </c>
      <c r="CC143" s="523"/>
      <c r="CD143" s="523"/>
      <c r="CE143" s="523"/>
      <c r="CF143" s="523"/>
      <c r="CG143" s="523"/>
      <c r="CH143" s="523"/>
      <c r="CI143" s="523">
        <f t="shared" si="20"/>
        <v>4</v>
      </c>
    </row>
    <row r="144" spans="1:87" ht="15" x14ac:dyDescent="0.2">
      <c r="A144" s="690" t="s">
        <v>1541</v>
      </c>
      <c r="B144" s="624">
        <v>89626</v>
      </c>
      <c r="C144" s="624" t="s">
        <v>1324</v>
      </c>
      <c r="D144" s="624" t="s">
        <v>1542</v>
      </c>
      <c r="E144" s="691" t="s">
        <v>102</v>
      </c>
      <c r="F144" s="692">
        <v>32.090000000000003</v>
      </c>
      <c r="G144" s="693">
        <v>17.79</v>
      </c>
      <c r="H144" s="691">
        <v>2</v>
      </c>
      <c r="I144" s="636">
        <f t="shared" si="21"/>
        <v>0</v>
      </c>
      <c r="J144" s="637">
        <f t="shared" si="22"/>
        <v>2</v>
      </c>
      <c r="K144" s="691">
        <f t="shared" si="35"/>
        <v>0</v>
      </c>
      <c r="L144" s="708">
        <f t="shared" si="36"/>
        <v>35.58</v>
      </c>
      <c r="M144" s="708">
        <f t="shared" si="36"/>
        <v>0</v>
      </c>
      <c r="N144" s="708">
        <f t="shared" si="36"/>
        <v>35.58</v>
      </c>
      <c r="O144" s="718">
        <f t="shared" si="36"/>
        <v>0</v>
      </c>
      <c r="P144" s="694">
        <f t="shared" si="37"/>
        <v>1</v>
      </c>
      <c r="Q144" s="525">
        <f>I144-'[9]8'!I143</f>
        <v>0</v>
      </c>
      <c r="S144" s="189">
        <v>0</v>
      </c>
      <c r="T144" s="189">
        <v>8</v>
      </c>
      <c r="BT144" s="525"/>
      <c r="BU144" s="523"/>
      <c r="BV144" s="523"/>
      <c r="BW144" s="523"/>
      <c r="BX144" s="523"/>
      <c r="BY144" s="523">
        <v>0</v>
      </c>
      <c r="BZ144" s="523">
        <v>2</v>
      </c>
      <c r="CA144" s="523">
        <v>0</v>
      </c>
      <c r="CB144" s="523">
        <v>0</v>
      </c>
      <c r="CC144" s="523"/>
      <c r="CD144" s="523"/>
      <c r="CE144" s="523"/>
      <c r="CF144" s="523"/>
      <c r="CG144" s="523"/>
      <c r="CH144" s="523"/>
      <c r="CI144" s="523">
        <f t="shared" ref="CI144:CI207" si="38">SUM(BU144:CH144)</f>
        <v>2</v>
      </c>
    </row>
    <row r="145" spans="1:87" ht="15" x14ac:dyDescent="0.2">
      <c r="A145" s="690" t="s">
        <v>1543</v>
      </c>
      <c r="B145" s="624">
        <v>89534</v>
      </c>
      <c r="C145" s="624" t="s">
        <v>1324</v>
      </c>
      <c r="D145" s="624" t="s">
        <v>1544</v>
      </c>
      <c r="E145" s="691" t="s">
        <v>102</v>
      </c>
      <c r="F145" s="692">
        <v>46.88</v>
      </c>
      <c r="G145" s="693">
        <v>2.9</v>
      </c>
      <c r="H145" s="691">
        <v>8</v>
      </c>
      <c r="I145" s="636">
        <f t="shared" ref="I145:I208" si="39">BU145</f>
        <v>0</v>
      </c>
      <c r="J145" s="637">
        <f t="shared" ref="J145:J208" si="40">CI145</f>
        <v>8</v>
      </c>
      <c r="K145" s="691">
        <f t="shared" si="35"/>
        <v>0</v>
      </c>
      <c r="L145" s="708">
        <f t="shared" si="36"/>
        <v>23.2</v>
      </c>
      <c r="M145" s="708">
        <f t="shared" si="36"/>
        <v>0</v>
      </c>
      <c r="N145" s="708">
        <f t="shared" si="36"/>
        <v>23.2</v>
      </c>
      <c r="O145" s="718">
        <f t="shared" si="36"/>
        <v>0</v>
      </c>
      <c r="P145" s="694">
        <f t="shared" si="37"/>
        <v>1</v>
      </c>
      <c r="Q145" s="525">
        <f>I145-'[9]8'!I144</f>
        <v>0</v>
      </c>
      <c r="S145" s="189">
        <v>0</v>
      </c>
      <c r="T145" s="189">
        <v>4</v>
      </c>
      <c r="BT145" s="525"/>
      <c r="BU145" s="523"/>
      <c r="BV145" s="523"/>
      <c r="BW145" s="523"/>
      <c r="BX145" s="523"/>
      <c r="BY145" s="523">
        <v>0</v>
      </c>
      <c r="BZ145" s="523">
        <v>8</v>
      </c>
      <c r="CA145" s="523">
        <v>0</v>
      </c>
      <c r="CB145" s="523">
        <v>0</v>
      </c>
      <c r="CC145" s="523"/>
      <c r="CD145" s="523"/>
      <c r="CE145" s="523"/>
      <c r="CF145" s="523"/>
      <c r="CG145" s="523"/>
      <c r="CH145" s="523"/>
      <c r="CI145" s="523">
        <f t="shared" si="38"/>
        <v>8</v>
      </c>
    </row>
    <row r="146" spans="1:87" ht="15" x14ac:dyDescent="0.2">
      <c r="A146" s="690" t="s">
        <v>1545</v>
      </c>
      <c r="B146" s="624">
        <v>89386</v>
      </c>
      <c r="C146" s="624" t="s">
        <v>1324</v>
      </c>
      <c r="D146" s="624" t="s">
        <v>1546</v>
      </c>
      <c r="E146" s="691" t="s">
        <v>102</v>
      </c>
      <c r="F146" s="692">
        <v>31.2</v>
      </c>
      <c r="G146" s="693">
        <v>6</v>
      </c>
      <c r="H146" s="691">
        <v>4</v>
      </c>
      <c r="I146" s="636">
        <f t="shared" si="39"/>
        <v>0</v>
      </c>
      <c r="J146" s="637">
        <f t="shared" si="40"/>
        <v>4</v>
      </c>
      <c r="K146" s="691">
        <f t="shared" si="35"/>
        <v>0</v>
      </c>
      <c r="L146" s="708">
        <f t="shared" si="36"/>
        <v>24</v>
      </c>
      <c r="M146" s="708">
        <f t="shared" si="36"/>
        <v>0</v>
      </c>
      <c r="N146" s="708">
        <f t="shared" si="36"/>
        <v>24</v>
      </c>
      <c r="O146" s="718">
        <f t="shared" si="36"/>
        <v>0</v>
      </c>
      <c r="P146" s="694">
        <f t="shared" si="37"/>
        <v>1</v>
      </c>
      <c r="Q146" s="525">
        <f>I146-'[9]8'!I145</f>
        <v>0</v>
      </c>
      <c r="S146" s="189">
        <v>0</v>
      </c>
      <c r="T146" s="189">
        <v>4</v>
      </c>
      <c r="BT146" s="525"/>
      <c r="BU146" s="523"/>
      <c r="BV146" s="523"/>
      <c r="BW146" s="523"/>
      <c r="BX146" s="523"/>
      <c r="BY146" s="523">
        <v>0</v>
      </c>
      <c r="BZ146" s="523">
        <v>4</v>
      </c>
      <c r="CA146" s="523">
        <v>0</v>
      </c>
      <c r="CB146" s="523">
        <v>0</v>
      </c>
      <c r="CC146" s="523"/>
      <c r="CD146" s="523"/>
      <c r="CE146" s="523"/>
      <c r="CF146" s="523"/>
      <c r="CG146" s="523"/>
      <c r="CH146" s="523"/>
      <c r="CI146" s="523">
        <f t="shared" si="38"/>
        <v>4</v>
      </c>
    </row>
    <row r="147" spans="1:87" ht="15" x14ac:dyDescent="0.2">
      <c r="A147" s="690" t="s">
        <v>1547</v>
      </c>
      <c r="B147" s="624">
        <v>89433</v>
      </c>
      <c r="C147" s="624" t="s">
        <v>1324</v>
      </c>
      <c r="D147" s="624" t="s">
        <v>1548</v>
      </c>
      <c r="E147" s="691" t="s">
        <v>102</v>
      </c>
      <c r="F147" s="692">
        <v>19.170000000000002</v>
      </c>
      <c r="G147" s="693">
        <v>5.63</v>
      </c>
      <c r="H147" s="691">
        <v>4</v>
      </c>
      <c r="I147" s="636">
        <f t="shared" si="39"/>
        <v>0</v>
      </c>
      <c r="J147" s="637">
        <f t="shared" si="40"/>
        <v>4</v>
      </c>
      <c r="K147" s="691">
        <f t="shared" si="35"/>
        <v>0</v>
      </c>
      <c r="L147" s="708">
        <f t="shared" si="36"/>
        <v>22.52</v>
      </c>
      <c r="M147" s="708">
        <f t="shared" si="36"/>
        <v>0</v>
      </c>
      <c r="N147" s="708">
        <f t="shared" si="36"/>
        <v>22.52</v>
      </c>
      <c r="O147" s="718">
        <f t="shared" si="36"/>
        <v>0</v>
      </c>
      <c r="P147" s="694">
        <f t="shared" si="37"/>
        <v>1</v>
      </c>
      <c r="Q147" s="525">
        <f>I147-'[9]8'!I146</f>
        <v>0</v>
      </c>
      <c r="S147" s="189">
        <v>0</v>
      </c>
      <c r="T147" s="189">
        <v>2</v>
      </c>
      <c r="BT147" s="525"/>
      <c r="BU147" s="523"/>
      <c r="BV147" s="523"/>
      <c r="BW147" s="523"/>
      <c r="BX147" s="523"/>
      <c r="BY147" s="523">
        <v>0</v>
      </c>
      <c r="BZ147" s="523">
        <v>4</v>
      </c>
      <c r="CA147" s="523">
        <v>0</v>
      </c>
      <c r="CB147" s="523">
        <v>0</v>
      </c>
      <c r="CC147" s="523"/>
      <c r="CD147" s="523"/>
      <c r="CE147" s="523"/>
      <c r="CF147" s="523"/>
      <c r="CG147" s="523"/>
      <c r="CH147" s="523"/>
      <c r="CI147" s="523">
        <f t="shared" si="38"/>
        <v>4</v>
      </c>
    </row>
    <row r="148" spans="1:87" ht="15" x14ac:dyDescent="0.2">
      <c r="A148" s="680" t="s">
        <v>1549</v>
      </c>
      <c r="B148" s="569">
        <v>89605</v>
      </c>
      <c r="C148" s="569" t="s">
        <v>1324</v>
      </c>
      <c r="D148" s="569" t="s">
        <v>1550</v>
      </c>
      <c r="E148" s="681" t="s">
        <v>102</v>
      </c>
      <c r="F148" s="644">
        <v>98.11</v>
      </c>
      <c r="G148" s="682">
        <v>11.65</v>
      </c>
      <c r="H148" s="681">
        <v>2</v>
      </c>
      <c r="I148" s="622">
        <f t="shared" si="39"/>
        <v>0</v>
      </c>
      <c r="J148" s="574">
        <f t="shared" si="40"/>
        <v>2</v>
      </c>
      <c r="K148" s="681">
        <f t="shared" si="35"/>
        <v>0</v>
      </c>
      <c r="L148" s="708">
        <f t="shared" si="36"/>
        <v>23.3</v>
      </c>
      <c r="M148" s="708">
        <f t="shared" si="36"/>
        <v>0</v>
      </c>
      <c r="N148" s="708">
        <f t="shared" si="36"/>
        <v>23.3</v>
      </c>
      <c r="O148" s="718">
        <f t="shared" si="36"/>
        <v>0</v>
      </c>
      <c r="P148" s="617">
        <f t="shared" si="37"/>
        <v>1</v>
      </c>
      <c r="Q148" s="525">
        <f>I148-'[9]8'!I147</f>
        <v>0</v>
      </c>
      <c r="S148" s="189">
        <v>0</v>
      </c>
      <c r="T148" s="189">
        <v>2</v>
      </c>
      <c r="BT148" s="525"/>
      <c r="BU148" s="523"/>
      <c r="BV148" s="523"/>
      <c r="BW148" s="523"/>
      <c r="BX148" s="523"/>
      <c r="BY148" s="523">
        <v>0</v>
      </c>
      <c r="BZ148" s="523">
        <v>2</v>
      </c>
      <c r="CA148" s="523">
        <v>0</v>
      </c>
      <c r="CB148" s="523">
        <v>0</v>
      </c>
      <c r="CC148" s="523"/>
      <c r="CD148" s="523"/>
      <c r="CE148" s="523"/>
      <c r="CF148" s="523"/>
      <c r="CG148" s="523"/>
      <c r="CH148" s="523"/>
      <c r="CI148" s="523">
        <f t="shared" si="38"/>
        <v>2</v>
      </c>
    </row>
    <row r="149" spans="1:87" ht="15" x14ac:dyDescent="0.2">
      <c r="A149" s="680" t="s">
        <v>1551</v>
      </c>
      <c r="B149" s="569">
        <v>90375</v>
      </c>
      <c r="C149" s="569" t="s">
        <v>1324</v>
      </c>
      <c r="D149" s="569" t="s">
        <v>1552</v>
      </c>
      <c r="E149" s="681" t="s">
        <v>102</v>
      </c>
      <c r="F149" s="644">
        <v>174.65</v>
      </c>
      <c r="G149" s="682">
        <v>6.61</v>
      </c>
      <c r="H149" s="681">
        <v>2</v>
      </c>
      <c r="I149" s="622">
        <f t="shared" si="39"/>
        <v>0</v>
      </c>
      <c r="J149" s="574">
        <f t="shared" si="40"/>
        <v>2</v>
      </c>
      <c r="K149" s="681">
        <f t="shared" si="35"/>
        <v>0</v>
      </c>
      <c r="L149" s="708">
        <f t="shared" si="36"/>
        <v>13.22</v>
      </c>
      <c r="M149" s="708">
        <f t="shared" si="36"/>
        <v>0</v>
      </c>
      <c r="N149" s="708">
        <f t="shared" si="36"/>
        <v>13.22</v>
      </c>
      <c r="O149" s="718">
        <f t="shared" si="36"/>
        <v>0</v>
      </c>
      <c r="P149" s="617">
        <f t="shared" si="37"/>
        <v>1</v>
      </c>
      <c r="Q149" s="525">
        <f>I149-'[9]8'!I148</f>
        <v>0</v>
      </c>
      <c r="S149" s="189">
        <v>0</v>
      </c>
      <c r="T149" s="189">
        <v>4</v>
      </c>
      <c r="BT149" s="525"/>
      <c r="BU149" s="523"/>
      <c r="BV149" s="523"/>
      <c r="BW149" s="523"/>
      <c r="BX149" s="523"/>
      <c r="BY149" s="523">
        <v>0</v>
      </c>
      <c r="BZ149" s="523">
        <v>2</v>
      </c>
      <c r="CA149" s="523">
        <v>0</v>
      </c>
      <c r="CB149" s="523">
        <v>0</v>
      </c>
      <c r="CC149" s="523"/>
      <c r="CD149" s="523"/>
      <c r="CE149" s="523"/>
      <c r="CF149" s="523"/>
      <c r="CG149" s="523"/>
      <c r="CH149" s="523"/>
      <c r="CI149" s="523">
        <f t="shared" si="38"/>
        <v>2</v>
      </c>
    </row>
    <row r="150" spans="1:87" ht="15.75" x14ac:dyDescent="0.2">
      <c r="A150" s="680" t="s">
        <v>1553</v>
      </c>
      <c r="B150" s="569">
        <v>90375</v>
      </c>
      <c r="C150" s="569" t="s">
        <v>1324</v>
      </c>
      <c r="D150" s="569" t="s">
        <v>1554</v>
      </c>
      <c r="E150" s="681" t="s">
        <v>102</v>
      </c>
      <c r="F150" s="578"/>
      <c r="G150" s="682">
        <v>6.61</v>
      </c>
      <c r="H150" s="681">
        <v>4</v>
      </c>
      <c r="I150" s="622">
        <f t="shared" si="39"/>
        <v>0</v>
      </c>
      <c r="J150" s="574">
        <f t="shared" si="40"/>
        <v>4</v>
      </c>
      <c r="K150" s="681">
        <f t="shared" si="35"/>
        <v>0</v>
      </c>
      <c r="L150" s="708">
        <f t="shared" si="36"/>
        <v>26.44</v>
      </c>
      <c r="M150" s="708">
        <f t="shared" si="36"/>
        <v>0</v>
      </c>
      <c r="N150" s="708">
        <f t="shared" si="36"/>
        <v>26.44</v>
      </c>
      <c r="O150" s="718">
        <f t="shared" si="36"/>
        <v>0</v>
      </c>
      <c r="P150" s="617">
        <f t="shared" si="37"/>
        <v>1</v>
      </c>
      <c r="Q150" s="525">
        <f>I150-'[9]8'!I149</f>
        <v>0</v>
      </c>
      <c r="S150" s="189">
        <v>0</v>
      </c>
      <c r="T150" s="189">
        <v>6</v>
      </c>
      <c r="BT150" s="525"/>
      <c r="BU150" s="523"/>
      <c r="BV150" s="523"/>
      <c r="BW150" s="523"/>
      <c r="BX150" s="523"/>
      <c r="BY150" s="523">
        <v>0</v>
      </c>
      <c r="BZ150" s="523">
        <v>4</v>
      </c>
      <c r="CA150" s="523">
        <v>0</v>
      </c>
      <c r="CB150" s="523">
        <v>0</v>
      </c>
      <c r="CC150" s="523"/>
      <c r="CD150" s="523"/>
      <c r="CE150" s="523"/>
      <c r="CF150" s="523"/>
      <c r="CG150" s="523"/>
      <c r="CH150" s="523"/>
      <c r="CI150" s="523">
        <f t="shared" si="38"/>
        <v>4</v>
      </c>
    </row>
    <row r="151" spans="1:87" ht="15.75" x14ac:dyDescent="0.2">
      <c r="A151" s="680" t="s">
        <v>1555</v>
      </c>
      <c r="B151" s="569">
        <v>89375</v>
      </c>
      <c r="C151" s="569" t="s">
        <v>1324</v>
      </c>
      <c r="D151" s="569" t="s">
        <v>1556</v>
      </c>
      <c r="E151" s="681" t="s">
        <v>102</v>
      </c>
      <c r="F151" s="578"/>
      <c r="G151" s="682">
        <v>7.45</v>
      </c>
      <c r="H151" s="681">
        <v>6</v>
      </c>
      <c r="I151" s="622">
        <f t="shared" si="39"/>
        <v>0</v>
      </c>
      <c r="J151" s="574">
        <f t="shared" si="40"/>
        <v>6</v>
      </c>
      <c r="K151" s="681">
        <f t="shared" si="35"/>
        <v>0</v>
      </c>
      <c r="L151" s="708">
        <f t="shared" si="36"/>
        <v>44.7</v>
      </c>
      <c r="M151" s="708">
        <f t="shared" si="36"/>
        <v>0</v>
      </c>
      <c r="N151" s="708">
        <f t="shared" si="36"/>
        <v>44.7</v>
      </c>
      <c r="O151" s="718">
        <f t="shared" si="36"/>
        <v>0</v>
      </c>
      <c r="P151" s="617">
        <f t="shared" si="37"/>
        <v>1</v>
      </c>
      <c r="Q151" s="525">
        <f>I151-'[9]8'!I150</f>
        <v>0</v>
      </c>
      <c r="S151" s="189">
        <v>0</v>
      </c>
      <c r="T151" s="189">
        <v>2</v>
      </c>
      <c r="BT151" s="525"/>
      <c r="BU151" s="523"/>
      <c r="BV151" s="523"/>
      <c r="BW151" s="523"/>
      <c r="BX151" s="523"/>
      <c r="BY151" s="523">
        <v>0</v>
      </c>
      <c r="BZ151" s="523">
        <v>6</v>
      </c>
      <c r="CA151" s="523">
        <v>0</v>
      </c>
      <c r="CB151" s="523">
        <v>0</v>
      </c>
      <c r="CC151" s="523"/>
      <c r="CD151" s="523"/>
      <c r="CE151" s="523"/>
      <c r="CF151" s="523"/>
      <c r="CG151" s="523"/>
      <c r="CH151" s="523"/>
      <c r="CI151" s="523">
        <f t="shared" si="38"/>
        <v>6</v>
      </c>
    </row>
    <row r="152" spans="1:87" s="790" customFormat="1" ht="15" x14ac:dyDescent="0.2">
      <c r="A152" s="680" t="s">
        <v>1557</v>
      </c>
      <c r="B152" s="569">
        <v>89594</v>
      </c>
      <c r="C152" s="569" t="s">
        <v>1324</v>
      </c>
      <c r="D152" s="569" t="s">
        <v>1558</v>
      </c>
      <c r="E152" s="681" t="s">
        <v>102</v>
      </c>
      <c r="F152" s="644">
        <v>33.909999999999997</v>
      </c>
      <c r="G152" s="682">
        <v>22.48</v>
      </c>
      <c r="H152" s="681">
        <v>2</v>
      </c>
      <c r="I152" s="622">
        <f t="shared" si="39"/>
        <v>0</v>
      </c>
      <c r="J152" s="574">
        <f t="shared" si="40"/>
        <v>2</v>
      </c>
      <c r="K152" s="681">
        <f t="shared" si="35"/>
        <v>0</v>
      </c>
      <c r="L152" s="708">
        <f t="shared" si="36"/>
        <v>44.96</v>
      </c>
      <c r="M152" s="708">
        <f t="shared" si="36"/>
        <v>0</v>
      </c>
      <c r="N152" s="708">
        <f t="shared" si="36"/>
        <v>44.96</v>
      </c>
      <c r="O152" s="718">
        <f t="shared" si="36"/>
        <v>0</v>
      </c>
      <c r="P152" s="617">
        <f t="shared" si="37"/>
        <v>1</v>
      </c>
      <c r="Q152" s="525">
        <f>I152-'[9]8'!I151</f>
        <v>0</v>
      </c>
      <c r="S152" s="190">
        <v>0</v>
      </c>
      <c r="T152" s="190">
        <v>34</v>
      </c>
      <c r="BT152" s="525"/>
      <c r="BU152" s="523"/>
      <c r="BV152" s="523"/>
      <c r="BW152" s="523"/>
      <c r="BX152" s="523"/>
      <c r="BY152" s="523">
        <v>0</v>
      </c>
      <c r="BZ152" s="523">
        <v>2</v>
      </c>
      <c r="CA152" s="523">
        <v>0</v>
      </c>
      <c r="CB152" s="523">
        <v>0</v>
      </c>
      <c r="CC152" s="523"/>
      <c r="CD152" s="523"/>
      <c r="CE152" s="523"/>
      <c r="CF152" s="523"/>
      <c r="CG152" s="523"/>
      <c r="CH152" s="523"/>
      <c r="CI152" s="523">
        <f t="shared" si="38"/>
        <v>2</v>
      </c>
    </row>
    <row r="153" spans="1:87" ht="15.75" x14ac:dyDescent="0.2">
      <c r="A153" s="605" t="s">
        <v>290</v>
      </c>
      <c r="B153" s="586"/>
      <c r="C153" s="586"/>
      <c r="D153" s="586" t="s">
        <v>1559</v>
      </c>
      <c r="E153" s="609"/>
      <c r="F153" s="687"/>
      <c r="G153" s="609"/>
      <c r="H153" s="609"/>
      <c r="I153" s="609"/>
      <c r="J153" s="609"/>
      <c r="K153" s="609"/>
      <c r="L153" s="733">
        <f>SUM(L154:L168)</f>
        <v>2836.4</v>
      </c>
      <c r="M153" s="733">
        <f>SUM(M154:M168)</f>
        <v>0</v>
      </c>
      <c r="N153" s="733">
        <f>SUM(N154:N168)</f>
        <v>1549.74</v>
      </c>
      <c r="O153" s="722">
        <f>SUM(O154:O168)</f>
        <v>1286.6600000000001</v>
      </c>
      <c r="P153" s="611">
        <f t="shared" si="37"/>
        <v>0.54637568749118604</v>
      </c>
      <c r="Q153" s="525">
        <f>I153-'[9]8'!I152</f>
        <v>0</v>
      </c>
      <c r="S153" s="189">
        <v>0</v>
      </c>
      <c r="T153" s="189">
        <v>0</v>
      </c>
      <c r="BT153" s="525"/>
      <c r="BU153" s="523"/>
      <c r="BV153" s="523"/>
      <c r="BW153" s="523"/>
      <c r="BX153" s="523"/>
      <c r="BY153" s="523">
        <v>0</v>
      </c>
      <c r="BZ153" s="523">
        <v>34</v>
      </c>
      <c r="CA153" s="523"/>
      <c r="CB153" s="523"/>
      <c r="CC153" s="523"/>
      <c r="CD153" s="523"/>
      <c r="CE153" s="523"/>
      <c r="CF153" s="523"/>
      <c r="CG153" s="523"/>
      <c r="CH153" s="523"/>
      <c r="CI153" s="523">
        <f t="shared" si="38"/>
        <v>34</v>
      </c>
    </row>
    <row r="154" spans="1:87" ht="15" x14ac:dyDescent="0.2">
      <c r="A154" s="680" t="s">
        <v>1560</v>
      </c>
      <c r="B154" s="569">
        <v>89353</v>
      </c>
      <c r="C154" s="569" t="s">
        <v>1324</v>
      </c>
      <c r="D154" s="569" t="s">
        <v>1561</v>
      </c>
      <c r="E154" s="681" t="s">
        <v>102</v>
      </c>
      <c r="F154" s="644">
        <v>9.81</v>
      </c>
      <c r="G154" s="682">
        <v>30.67</v>
      </c>
      <c r="H154" s="681">
        <v>1</v>
      </c>
      <c r="I154" s="622">
        <f t="shared" si="39"/>
        <v>0</v>
      </c>
      <c r="J154" s="574">
        <f t="shared" si="40"/>
        <v>1</v>
      </c>
      <c r="K154" s="681">
        <f t="shared" si="35"/>
        <v>0</v>
      </c>
      <c r="L154" s="708">
        <f t="shared" ref="L154:O168" si="41">ROUND(H154*$G154,2)</f>
        <v>30.67</v>
      </c>
      <c r="M154" s="708">
        <f t="shared" si="41"/>
        <v>0</v>
      </c>
      <c r="N154" s="708">
        <f t="shared" si="41"/>
        <v>30.67</v>
      </c>
      <c r="O154" s="718">
        <f t="shared" si="41"/>
        <v>0</v>
      </c>
      <c r="P154" s="617">
        <f t="shared" si="37"/>
        <v>1</v>
      </c>
      <c r="Q154" s="525">
        <f>I154-'[9]8'!I153</f>
        <v>0</v>
      </c>
      <c r="S154" s="189">
        <v>0</v>
      </c>
      <c r="T154" s="189">
        <v>0</v>
      </c>
      <c r="BT154" s="525"/>
      <c r="BU154" s="523"/>
      <c r="BV154" s="523"/>
      <c r="BW154" s="523">
        <v>1</v>
      </c>
      <c r="BX154" s="523"/>
      <c r="BY154" s="523">
        <v>0</v>
      </c>
      <c r="BZ154" s="523">
        <v>0</v>
      </c>
      <c r="CA154" s="523">
        <v>0</v>
      </c>
      <c r="CB154" s="523">
        <v>0</v>
      </c>
      <c r="CC154" s="523"/>
      <c r="CD154" s="523"/>
      <c r="CE154" s="523"/>
      <c r="CF154" s="523"/>
      <c r="CG154" s="523"/>
      <c r="CH154" s="523"/>
      <c r="CI154" s="523">
        <f t="shared" si="38"/>
        <v>1</v>
      </c>
    </row>
    <row r="155" spans="1:87" ht="15" x14ac:dyDescent="0.2">
      <c r="A155" s="680" t="s">
        <v>1562</v>
      </c>
      <c r="B155" s="569" t="s">
        <v>1563</v>
      </c>
      <c r="C155" s="569" t="s">
        <v>1324</v>
      </c>
      <c r="D155" s="569" t="s">
        <v>1564</v>
      </c>
      <c r="E155" s="681" t="s">
        <v>102</v>
      </c>
      <c r="F155" s="644">
        <v>12.72</v>
      </c>
      <c r="G155" s="682">
        <v>86.64</v>
      </c>
      <c r="H155" s="681">
        <v>2</v>
      </c>
      <c r="I155" s="622">
        <f t="shared" si="39"/>
        <v>0</v>
      </c>
      <c r="J155" s="574">
        <f t="shared" si="40"/>
        <v>2</v>
      </c>
      <c r="K155" s="681">
        <f t="shared" si="35"/>
        <v>0</v>
      </c>
      <c r="L155" s="708">
        <f t="shared" si="41"/>
        <v>173.28</v>
      </c>
      <c r="M155" s="708">
        <f t="shared" si="41"/>
        <v>0</v>
      </c>
      <c r="N155" s="708">
        <f t="shared" si="41"/>
        <v>173.28</v>
      </c>
      <c r="O155" s="718">
        <f t="shared" si="41"/>
        <v>0</v>
      </c>
      <c r="P155" s="617">
        <f t="shared" si="37"/>
        <v>1</v>
      </c>
      <c r="Q155" s="525">
        <f>I155-'[9]8'!I154</f>
        <v>0</v>
      </c>
      <c r="S155" s="189">
        <v>0</v>
      </c>
      <c r="T155" s="189">
        <v>0</v>
      </c>
      <c r="BT155" s="525"/>
      <c r="BU155" s="523"/>
      <c r="BV155" s="523"/>
      <c r="BW155" s="523">
        <v>2</v>
      </c>
      <c r="BX155" s="523"/>
      <c r="BY155" s="523">
        <v>0</v>
      </c>
      <c r="BZ155" s="523">
        <v>0</v>
      </c>
      <c r="CA155" s="523">
        <v>0</v>
      </c>
      <c r="CB155" s="523">
        <v>0</v>
      </c>
      <c r="CC155" s="523"/>
      <c r="CD155" s="523"/>
      <c r="CE155" s="523"/>
      <c r="CF155" s="523"/>
      <c r="CG155" s="523"/>
      <c r="CH155" s="523"/>
      <c r="CI155" s="523">
        <f t="shared" si="38"/>
        <v>2</v>
      </c>
    </row>
    <row r="156" spans="1:87" ht="15.75" x14ac:dyDescent="0.2">
      <c r="A156" s="680" t="s">
        <v>1565</v>
      </c>
      <c r="B156" s="569" t="s">
        <v>1566</v>
      </c>
      <c r="C156" s="569" t="s">
        <v>1324</v>
      </c>
      <c r="D156" s="569" t="s">
        <v>1567</v>
      </c>
      <c r="E156" s="681" t="s">
        <v>102</v>
      </c>
      <c r="F156" s="578"/>
      <c r="G156" s="682">
        <v>52.59</v>
      </c>
      <c r="H156" s="681">
        <v>2</v>
      </c>
      <c r="I156" s="622">
        <f t="shared" si="39"/>
        <v>0</v>
      </c>
      <c r="J156" s="574">
        <f t="shared" si="40"/>
        <v>2</v>
      </c>
      <c r="K156" s="681">
        <f t="shared" si="35"/>
        <v>0</v>
      </c>
      <c r="L156" s="708">
        <f t="shared" si="41"/>
        <v>105.18</v>
      </c>
      <c r="M156" s="708">
        <f t="shared" si="41"/>
        <v>0</v>
      </c>
      <c r="N156" s="708">
        <f t="shared" si="41"/>
        <v>105.18</v>
      </c>
      <c r="O156" s="718">
        <f t="shared" si="41"/>
        <v>0</v>
      </c>
      <c r="P156" s="617">
        <f t="shared" si="37"/>
        <v>1</v>
      </c>
      <c r="Q156" s="525">
        <f>I156-'[9]8'!I155</f>
        <v>-1</v>
      </c>
      <c r="S156" s="189">
        <v>0</v>
      </c>
      <c r="T156" s="189">
        <v>0</v>
      </c>
      <c r="BT156" s="525"/>
      <c r="BU156" s="523"/>
      <c r="BV156" s="523">
        <v>1</v>
      </c>
      <c r="BW156" s="523">
        <v>1</v>
      </c>
      <c r="BX156" s="523"/>
      <c r="BY156" s="523">
        <v>0</v>
      </c>
      <c r="BZ156" s="523">
        <v>0</v>
      </c>
      <c r="CA156" s="523">
        <v>0</v>
      </c>
      <c r="CB156" s="523">
        <v>0</v>
      </c>
      <c r="CC156" s="523"/>
      <c r="CD156" s="523"/>
      <c r="CE156" s="523"/>
      <c r="CF156" s="523"/>
      <c r="CG156" s="523"/>
      <c r="CH156" s="523"/>
      <c r="CI156" s="523">
        <f t="shared" si="38"/>
        <v>2</v>
      </c>
    </row>
    <row r="157" spans="1:87" ht="15.75" x14ac:dyDescent="0.2">
      <c r="A157" s="680" t="s">
        <v>1568</v>
      </c>
      <c r="B157" s="569" t="s">
        <v>1569</v>
      </c>
      <c r="C157" s="569" t="s">
        <v>1324</v>
      </c>
      <c r="D157" s="569" t="s">
        <v>1570</v>
      </c>
      <c r="E157" s="681" t="s">
        <v>102</v>
      </c>
      <c r="F157" s="578"/>
      <c r="G157" s="682">
        <v>120.21</v>
      </c>
      <c r="H157" s="681">
        <v>2</v>
      </c>
      <c r="I157" s="573">
        <f t="shared" si="39"/>
        <v>0</v>
      </c>
      <c r="J157" s="573">
        <f t="shared" si="40"/>
        <v>2</v>
      </c>
      <c r="K157" s="685">
        <f t="shared" si="35"/>
        <v>0</v>
      </c>
      <c r="L157" s="708">
        <f t="shared" si="41"/>
        <v>240.42</v>
      </c>
      <c r="M157" s="708">
        <f t="shared" si="41"/>
        <v>0</v>
      </c>
      <c r="N157" s="708">
        <f t="shared" si="41"/>
        <v>240.42</v>
      </c>
      <c r="O157" s="718">
        <f t="shared" si="41"/>
        <v>0</v>
      </c>
      <c r="P157" s="617">
        <f t="shared" si="37"/>
        <v>1</v>
      </c>
      <c r="Q157" s="525">
        <f>I157-'[9]8'!I156</f>
        <v>-2</v>
      </c>
      <c r="S157" s="189">
        <v>0</v>
      </c>
      <c r="T157" s="189">
        <v>0</v>
      </c>
      <c r="BT157" s="525"/>
      <c r="BU157" s="523"/>
      <c r="BV157" s="523">
        <v>2</v>
      </c>
      <c r="BW157" s="523"/>
      <c r="BX157" s="523"/>
      <c r="BY157" s="523">
        <v>0</v>
      </c>
      <c r="BZ157" s="523">
        <v>0</v>
      </c>
      <c r="CA157" s="523">
        <v>0</v>
      </c>
      <c r="CB157" s="523">
        <v>0</v>
      </c>
      <c r="CC157" s="523"/>
      <c r="CD157" s="523"/>
      <c r="CE157" s="523"/>
      <c r="CF157" s="523"/>
      <c r="CG157" s="523"/>
      <c r="CH157" s="523"/>
      <c r="CI157" s="523">
        <f t="shared" si="38"/>
        <v>2</v>
      </c>
    </row>
    <row r="158" spans="1:87" ht="15" x14ac:dyDescent="0.2">
      <c r="A158" s="680" t="s">
        <v>1571</v>
      </c>
      <c r="B158" s="569" t="s">
        <v>1572</v>
      </c>
      <c r="C158" s="569" t="s">
        <v>1324</v>
      </c>
      <c r="D158" s="569" t="s">
        <v>1573</v>
      </c>
      <c r="E158" s="681" t="s">
        <v>102</v>
      </c>
      <c r="F158" s="571"/>
      <c r="G158" s="682">
        <v>67.349999999999994</v>
      </c>
      <c r="H158" s="681">
        <v>2</v>
      </c>
      <c r="I158" s="573">
        <f t="shared" si="39"/>
        <v>0</v>
      </c>
      <c r="J158" s="573">
        <f t="shared" si="40"/>
        <v>2</v>
      </c>
      <c r="K158" s="685">
        <f t="shared" si="35"/>
        <v>0</v>
      </c>
      <c r="L158" s="708">
        <f t="shared" si="41"/>
        <v>134.69999999999999</v>
      </c>
      <c r="M158" s="708">
        <f t="shared" si="41"/>
        <v>0</v>
      </c>
      <c r="N158" s="708">
        <f t="shared" si="41"/>
        <v>134.69999999999999</v>
      </c>
      <c r="O158" s="718">
        <f t="shared" si="41"/>
        <v>0</v>
      </c>
      <c r="P158" s="617">
        <f t="shared" si="37"/>
        <v>1</v>
      </c>
      <c r="Q158" s="525">
        <f>I158-'[9]8'!I157</f>
        <v>-1</v>
      </c>
      <c r="S158" s="189">
        <v>0</v>
      </c>
      <c r="T158" s="189">
        <v>0</v>
      </c>
      <c r="BT158" s="525"/>
      <c r="BU158" s="523"/>
      <c r="BV158" s="523">
        <v>1</v>
      </c>
      <c r="BW158" s="523">
        <v>1</v>
      </c>
      <c r="BX158" s="523"/>
      <c r="BY158" s="523">
        <v>0</v>
      </c>
      <c r="BZ158" s="523">
        <v>0</v>
      </c>
      <c r="CA158" s="523">
        <v>0</v>
      </c>
      <c r="CB158" s="523">
        <v>0</v>
      </c>
      <c r="CC158" s="523"/>
      <c r="CD158" s="523"/>
      <c r="CE158" s="523"/>
      <c r="CF158" s="523"/>
      <c r="CG158" s="523"/>
      <c r="CH158" s="523"/>
      <c r="CI158" s="523">
        <f t="shared" si="38"/>
        <v>2</v>
      </c>
    </row>
    <row r="159" spans="1:87" ht="15" x14ac:dyDescent="0.2">
      <c r="A159" s="680" t="s">
        <v>1574</v>
      </c>
      <c r="B159" s="569">
        <v>89987</v>
      </c>
      <c r="C159" s="569" t="s">
        <v>1324</v>
      </c>
      <c r="D159" s="569" t="s">
        <v>1575</v>
      </c>
      <c r="E159" s="681" t="s">
        <v>102</v>
      </c>
      <c r="F159" s="644">
        <v>8.41</v>
      </c>
      <c r="G159" s="682">
        <v>35.92</v>
      </c>
      <c r="H159" s="681">
        <v>2</v>
      </c>
      <c r="I159" s="573">
        <f t="shared" si="39"/>
        <v>0</v>
      </c>
      <c r="J159" s="573">
        <f t="shared" si="40"/>
        <v>2</v>
      </c>
      <c r="K159" s="685">
        <f t="shared" si="35"/>
        <v>0</v>
      </c>
      <c r="L159" s="708">
        <f t="shared" si="41"/>
        <v>71.84</v>
      </c>
      <c r="M159" s="708">
        <f t="shared" si="41"/>
        <v>0</v>
      </c>
      <c r="N159" s="708">
        <f t="shared" si="41"/>
        <v>71.84</v>
      </c>
      <c r="O159" s="718">
        <f t="shared" si="41"/>
        <v>0</v>
      </c>
      <c r="P159" s="617">
        <f t="shared" si="37"/>
        <v>1</v>
      </c>
      <c r="Q159" s="525">
        <f>I159-'[9]8'!I158</f>
        <v>-1</v>
      </c>
      <c r="S159" s="189">
        <v>0</v>
      </c>
      <c r="T159" s="189">
        <v>0</v>
      </c>
      <c r="BT159" s="525"/>
      <c r="BU159" s="523"/>
      <c r="BV159" s="523">
        <v>1</v>
      </c>
      <c r="BW159" s="523">
        <v>1</v>
      </c>
      <c r="BX159" s="523"/>
      <c r="BY159" s="523">
        <v>0</v>
      </c>
      <c r="BZ159" s="523">
        <v>0</v>
      </c>
      <c r="CA159" s="523">
        <v>0</v>
      </c>
      <c r="CB159" s="523">
        <v>0</v>
      </c>
      <c r="CC159" s="523"/>
      <c r="CD159" s="523"/>
      <c r="CE159" s="523"/>
      <c r="CF159" s="523"/>
      <c r="CG159" s="523"/>
      <c r="CH159" s="523"/>
      <c r="CI159" s="523">
        <f t="shared" si="38"/>
        <v>2</v>
      </c>
    </row>
    <row r="160" spans="1:87" ht="15" x14ac:dyDescent="0.2">
      <c r="A160" s="680" t="s">
        <v>1576</v>
      </c>
      <c r="B160" s="569">
        <v>89985</v>
      </c>
      <c r="C160" s="569" t="s">
        <v>1324</v>
      </c>
      <c r="D160" s="569" t="s">
        <v>1577</v>
      </c>
      <c r="E160" s="681" t="s">
        <v>102</v>
      </c>
      <c r="F160" s="644">
        <v>9.49</v>
      </c>
      <c r="G160" s="682">
        <v>64.02</v>
      </c>
      <c r="H160" s="681">
        <v>8</v>
      </c>
      <c r="I160" s="573">
        <f t="shared" si="39"/>
        <v>0</v>
      </c>
      <c r="J160" s="573">
        <f t="shared" si="40"/>
        <v>8</v>
      </c>
      <c r="K160" s="685">
        <f t="shared" si="35"/>
        <v>0</v>
      </c>
      <c r="L160" s="708">
        <f t="shared" si="41"/>
        <v>512.16</v>
      </c>
      <c r="M160" s="708">
        <f t="shared" si="41"/>
        <v>0</v>
      </c>
      <c r="N160" s="708">
        <f t="shared" si="41"/>
        <v>512.16</v>
      </c>
      <c r="O160" s="718">
        <f t="shared" si="41"/>
        <v>0</v>
      </c>
      <c r="P160" s="617">
        <f t="shared" si="37"/>
        <v>1</v>
      </c>
      <c r="Q160" s="525">
        <f>I160-'[9]8'!I159</f>
        <v>-5</v>
      </c>
      <c r="S160" s="189">
        <v>0</v>
      </c>
      <c r="T160" s="189">
        <v>12</v>
      </c>
      <c r="BT160" s="525"/>
      <c r="BU160" s="523"/>
      <c r="BV160" s="523">
        <v>5</v>
      </c>
      <c r="BW160" s="523">
        <v>3</v>
      </c>
      <c r="BX160" s="523"/>
      <c r="BY160" s="523">
        <v>0</v>
      </c>
      <c r="BZ160" s="523">
        <v>0</v>
      </c>
      <c r="CA160" s="523">
        <v>0</v>
      </c>
      <c r="CB160" s="523">
        <v>0</v>
      </c>
      <c r="CC160" s="523"/>
      <c r="CD160" s="523"/>
      <c r="CE160" s="523"/>
      <c r="CF160" s="523"/>
      <c r="CG160" s="523"/>
      <c r="CH160" s="523"/>
      <c r="CI160" s="523">
        <f t="shared" si="38"/>
        <v>8</v>
      </c>
    </row>
    <row r="161" spans="1:87" ht="15" x14ac:dyDescent="0.2">
      <c r="A161" s="680" t="s">
        <v>1578</v>
      </c>
      <c r="B161" s="569">
        <v>89538</v>
      </c>
      <c r="C161" s="569" t="s">
        <v>1324</v>
      </c>
      <c r="D161" s="569" t="s">
        <v>1579</v>
      </c>
      <c r="E161" s="681" t="s">
        <v>102</v>
      </c>
      <c r="F161" s="644">
        <v>6.56</v>
      </c>
      <c r="G161" s="682">
        <v>2.75</v>
      </c>
      <c r="H161" s="681">
        <v>12</v>
      </c>
      <c r="I161" s="573">
        <f t="shared" si="39"/>
        <v>0</v>
      </c>
      <c r="J161" s="573">
        <f t="shared" si="40"/>
        <v>12</v>
      </c>
      <c r="K161" s="685">
        <f t="shared" si="35"/>
        <v>0</v>
      </c>
      <c r="L161" s="708">
        <f t="shared" si="41"/>
        <v>33</v>
      </c>
      <c r="M161" s="708">
        <f t="shared" si="41"/>
        <v>0</v>
      </c>
      <c r="N161" s="708">
        <f t="shared" si="41"/>
        <v>33</v>
      </c>
      <c r="O161" s="718">
        <f t="shared" si="41"/>
        <v>0</v>
      </c>
      <c r="P161" s="617">
        <f t="shared" si="37"/>
        <v>1</v>
      </c>
      <c r="Q161" s="525">
        <f>I161-'[9]8'!I160</f>
        <v>0</v>
      </c>
      <c r="S161" s="189">
        <v>0</v>
      </c>
      <c r="T161" s="189">
        <v>4</v>
      </c>
      <c r="BT161" s="525"/>
      <c r="BU161" s="523"/>
      <c r="BV161" s="523"/>
      <c r="BW161" s="523">
        <v>0</v>
      </c>
      <c r="BX161" s="523"/>
      <c r="BY161" s="523">
        <v>0</v>
      </c>
      <c r="BZ161" s="523">
        <v>12</v>
      </c>
      <c r="CA161" s="523">
        <v>0</v>
      </c>
      <c r="CB161" s="523">
        <v>0</v>
      </c>
      <c r="CC161" s="523"/>
      <c r="CD161" s="523"/>
      <c r="CE161" s="523"/>
      <c r="CF161" s="523"/>
      <c r="CG161" s="523"/>
      <c r="CH161" s="523"/>
      <c r="CI161" s="523">
        <f t="shared" si="38"/>
        <v>12</v>
      </c>
    </row>
    <row r="162" spans="1:87" ht="15.75" x14ac:dyDescent="0.2">
      <c r="A162" s="680" t="s">
        <v>1580</v>
      </c>
      <c r="B162" s="569">
        <v>89553</v>
      </c>
      <c r="C162" s="569" t="s">
        <v>1324</v>
      </c>
      <c r="D162" s="569" t="s">
        <v>1581</v>
      </c>
      <c r="E162" s="681" t="s">
        <v>102</v>
      </c>
      <c r="F162" s="578"/>
      <c r="G162" s="682">
        <v>4.01</v>
      </c>
      <c r="H162" s="681">
        <v>4</v>
      </c>
      <c r="I162" s="573">
        <f t="shared" si="39"/>
        <v>0</v>
      </c>
      <c r="J162" s="573">
        <f t="shared" si="40"/>
        <v>4</v>
      </c>
      <c r="K162" s="685">
        <f t="shared" si="35"/>
        <v>0</v>
      </c>
      <c r="L162" s="708">
        <f t="shared" si="41"/>
        <v>16.04</v>
      </c>
      <c r="M162" s="708">
        <f t="shared" si="41"/>
        <v>0</v>
      </c>
      <c r="N162" s="708">
        <f t="shared" si="41"/>
        <v>16.04</v>
      </c>
      <c r="O162" s="718">
        <f t="shared" si="41"/>
        <v>0</v>
      </c>
      <c r="P162" s="617">
        <f t="shared" si="37"/>
        <v>1</v>
      </c>
      <c r="Q162" s="525">
        <f>I162-'[9]8'!I161</f>
        <v>0</v>
      </c>
      <c r="S162" s="189">
        <v>0</v>
      </c>
      <c r="T162" s="189">
        <v>4</v>
      </c>
      <c r="BT162" s="525"/>
      <c r="BU162" s="523"/>
      <c r="BV162" s="523"/>
      <c r="BW162" s="523"/>
      <c r="BX162" s="523"/>
      <c r="BY162" s="523">
        <v>0</v>
      </c>
      <c r="BZ162" s="523">
        <v>4</v>
      </c>
      <c r="CA162" s="523">
        <v>0</v>
      </c>
      <c r="CB162" s="523">
        <v>0</v>
      </c>
      <c r="CC162" s="523"/>
      <c r="CD162" s="523"/>
      <c r="CE162" s="523"/>
      <c r="CF162" s="523"/>
      <c r="CG162" s="523"/>
      <c r="CH162" s="523"/>
      <c r="CI162" s="523">
        <f t="shared" si="38"/>
        <v>4</v>
      </c>
    </row>
    <row r="163" spans="1:87" ht="15" x14ac:dyDescent="0.2">
      <c r="A163" s="680" t="s">
        <v>1582</v>
      </c>
      <c r="B163" s="569">
        <v>89570</v>
      </c>
      <c r="C163" s="569" t="s">
        <v>1324</v>
      </c>
      <c r="D163" s="569" t="s">
        <v>1583</v>
      </c>
      <c r="E163" s="681" t="s">
        <v>102</v>
      </c>
      <c r="F163" s="644">
        <v>8.41</v>
      </c>
      <c r="G163" s="682">
        <v>6.66</v>
      </c>
      <c r="H163" s="681">
        <v>4</v>
      </c>
      <c r="I163" s="573">
        <f t="shared" si="39"/>
        <v>0</v>
      </c>
      <c r="J163" s="573">
        <f t="shared" si="40"/>
        <v>4</v>
      </c>
      <c r="K163" s="685">
        <f t="shared" si="35"/>
        <v>0</v>
      </c>
      <c r="L163" s="708">
        <f t="shared" si="41"/>
        <v>26.64</v>
      </c>
      <c r="M163" s="708">
        <f t="shared" si="41"/>
        <v>0</v>
      </c>
      <c r="N163" s="708">
        <f t="shared" si="41"/>
        <v>26.64</v>
      </c>
      <c r="O163" s="718">
        <f t="shared" si="41"/>
        <v>0</v>
      </c>
      <c r="P163" s="617">
        <f t="shared" si="37"/>
        <v>1</v>
      </c>
      <c r="Q163" s="525">
        <f>I163-'[9]8'!I162</f>
        <v>0</v>
      </c>
      <c r="S163" s="189">
        <v>0</v>
      </c>
      <c r="T163" s="189">
        <v>4</v>
      </c>
      <c r="BT163" s="525"/>
      <c r="BU163" s="523"/>
      <c r="BV163" s="523"/>
      <c r="BW163" s="523"/>
      <c r="BX163" s="523"/>
      <c r="BY163" s="523">
        <v>0</v>
      </c>
      <c r="BZ163" s="523">
        <v>4</v>
      </c>
      <c r="CA163" s="523">
        <v>0</v>
      </c>
      <c r="CB163" s="523">
        <v>0</v>
      </c>
      <c r="CC163" s="523"/>
      <c r="CD163" s="523"/>
      <c r="CE163" s="523"/>
      <c r="CF163" s="523"/>
      <c r="CG163" s="523"/>
      <c r="CH163" s="523"/>
      <c r="CI163" s="523">
        <f t="shared" si="38"/>
        <v>4</v>
      </c>
    </row>
    <row r="164" spans="1:87" ht="15.75" x14ac:dyDescent="0.2">
      <c r="A164" s="680" t="s">
        <v>1584</v>
      </c>
      <c r="B164" s="569">
        <v>89596</v>
      </c>
      <c r="C164" s="569" t="s">
        <v>1324</v>
      </c>
      <c r="D164" s="569" t="s">
        <v>1585</v>
      </c>
      <c r="E164" s="681" t="s">
        <v>102</v>
      </c>
      <c r="F164" s="578"/>
      <c r="G164" s="682">
        <v>7.49</v>
      </c>
      <c r="H164" s="681">
        <v>4</v>
      </c>
      <c r="I164" s="573">
        <f t="shared" si="39"/>
        <v>0</v>
      </c>
      <c r="J164" s="573">
        <f t="shared" si="40"/>
        <v>4</v>
      </c>
      <c r="K164" s="685">
        <f t="shared" si="35"/>
        <v>0</v>
      </c>
      <c r="L164" s="708">
        <f t="shared" si="41"/>
        <v>29.96</v>
      </c>
      <c r="M164" s="708">
        <f t="shared" si="41"/>
        <v>0</v>
      </c>
      <c r="N164" s="708">
        <f t="shared" si="41"/>
        <v>29.96</v>
      </c>
      <c r="O164" s="718">
        <f t="shared" si="41"/>
        <v>0</v>
      </c>
      <c r="P164" s="617">
        <f t="shared" si="37"/>
        <v>1</v>
      </c>
      <c r="Q164" s="525">
        <f>I164-'[9]8'!I163</f>
        <v>0</v>
      </c>
      <c r="S164" s="189">
        <v>0</v>
      </c>
      <c r="T164" s="189">
        <v>10</v>
      </c>
      <c r="BT164" s="525"/>
      <c r="BU164" s="523"/>
      <c r="BV164" s="523"/>
      <c r="BW164" s="523"/>
      <c r="BX164" s="523"/>
      <c r="BY164" s="523">
        <v>0</v>
      </c>
      <c r="BZ164" s="523">
        <v>4</v>
      </c>
      <c r="CA164" s="523">
        <v>0</v>
      </c>
      <c r="CB164" s="523">
        <v>0</v>
      </c>
      <c r="CC164" s="523"/>
      <c r="CD164" s="523"/>
      <c r="CE164" s="523"/>
      <c r="CF164" s="523"/>
      <c r="CG164" s="523"/>
      <c r="CH164" s="523"/>
      <c r="CI164" s="523">
        <f t="shared" si="38"/>
        <v>4</v>
      </c>
    </row>
    <row r="165" spans="1:87" ht="15" x14ac:dyDescent="0.2">
      <c r="A165" s="680" t="s">
        <v>1586</v>
      </c>
      <c r="B165" s="569">
        <v>86884</v>
      </c>
      <c r="C165" s="569" t="s">
        <v>1324</v>
      </c>
      <c r="D165" s="569" t="s">
        <v>1587</v>
      </c>
      <c r="E165" s="681" t="s">
        <v>102</v>
      </c>
      <c r="F165" s="644">
        <v>6.56</v>
      </c>
      <c r="G165" s="682">
        <v>6.05</v>
      </c>
      <c r="H165" s="681">
        <v>10</v>
      </c>
      <c r="I165" s="573">
        <f t="shared" si="39"/>
        <v>0</v>
      </c>
      <c r="J165" s="573">
        <f t="shared" si="40"/>
        <v>10</v>
      </c>
      <c r="K165" s="685">
        <f t="shared" si="35"/>
        <v>0</v>
      </c>
      <c r="L165" s="708">
        <f t="shared" si="41"/>
        <v>60.5</v>
      </c>
      <c r="M165" s="708">
        <f t="shared" si="41"/>
        <v>0</v>
      </c>
      <c r="N165" s="708">
        <f t="shared" si="41"/>
        <v>60.5</v>
      </c>
      <c r="O165" s="718">
        <f t="shared" si="41"/>
        <v>0</v>
      </c>
      <c r="P165" s="617">
        <f t="shared" si="37"/>
        <v>1</v>
      </c>
      <c r="Q165" s="525">
        <f>I165-'[9]8'!I164</f>
        <v>0</v>
      </c>
      <c r="S165" s="189">
        <v>0</v>
      </c>
      <c r="T165" s="189">
        <v>0</v>
      </c>
      <c r="BT165" s="525"/>
      <c r="BU165" s="523"/>
      <c r="BV165" s="523"/>
      <c r="BW165" s="523"/>
      <c r="BX165" s="523"/>
      <c r="BY165" s="523">
        <v>0</v>
      </c>
      <c r="BZ165" s="523">
        <v>10</v>
      </c>
      <c r="CA165" s="523">
        <v>0</v>
      </c>
      <c r="CB165" s="523">
        <v>0</v>
      </c>
      <c r="CC165" s="523"/>
      <c r="CD165" s="523"/>
      <c r="CE165" s="523"/>
      <c r="CF165" s="523"/>
      <c r="CG165" s="523"/>
      <c r="CH165" s="523"/>
      <c r="CI165" s="523">
        <f t="shared" si="38"/>
        <v>10</v>
      </c>
    </row>
    <row r="166" spans="1:87" ht="15" x14ac:dyDescent="0.2">
      <c r="A166" s="680" t="s">
        <v>1588</v>
      </c>
      <c r="B166" s="569">
        <v>72789</v>
      </c>
      <c r="C166" s="569" t="s">
        <v>1324</v>
      </c>
      <c r="D166" s="569" t="s">
        <v>1589</v>
      </c>
      <c r="E166" s="681" t="s">
        <v>102</v>
      </c>
      <c r="F166" s="644">
        <v>9.49</v>
      </c>
      <c r="G166" s="682">
        <v>16.59</v>
      </c>
      <c r="H166" s="681">
        <v>3</v>
      </c>
      <c r="I166" s="573">
        <f t="shared" si="39"/>
        <v>0</v>
      </c>
      <c r="J166" s="573">
        <f t="shared" si="40"/>
        <v>3</v>
      </c>
      <c r="K166" s="685">
        <f t="shared" si="35"/>
        <v>0</v>
      </c>
      <c r="L166" s="708">
        <f t="shared" si="41"/>
        <v>49.77</v>
      </c>
      <c r="M166" s="708">
        <f t="shared" si="41"/>
        <v>0</v>
      </c>
      <c r="N166" s="708">
        <f t="shared" si="41"/>
        <v>49.77</v>
      </c>
      <c r="O166" s="718">
        <f t="shared" si="41"/>
        <v>0</v>
      </c>
      <c r="P166" s="617">
        <f t="shared" si="37"/>
        <v>1</v>
      </c>
      <c r="Q166" s="525">
        <f>I166-'[9]8'!I165</f>
        <v>-3</v>
      </c>
      <c r="S166" s="189">
        <v>0</v>
      </c>
      <c r="T166" s="189">
        <v>0</v>
      </c>
      <c r="BT166" s="525"/>
      <c r="BU166" s="523"/>
      <c r="BV166" s="523">
        <v>3</v>
      </c>
      <c r="BW166" s="523"/>
      <c r="BX166" s="523"/>
      <c r="BY166" s="523">
        <v>0</v>
      </c>
      <c r="BZ166" s="523">
        <v>0</v>
      </c>
      <c r="CA166" s="523">
        <v>0</v>
      </c>
      <c r="CB166" s="523">
        <v>0</v>
      </c>
      <c r="CC166" s="523"/>
      <c r="CD166" s="523"/>
      <c r="CE166" s="523"/>
      <c r="CF166" s="523"/>
      <c r="CG166" s="523"/>
      <c r="CH166" s="523"/>
      <c r="CI166" s="523">
        <f t="shared" si="38"/>
        <v>3</v>
      </c>
    </row>
    <row r="167" spans="1:87" ht="15.75" x14ac:dyDescent="0.2">
      <c r="A167" s="680" t="s">
        <v>1590</v>
      </c>
      <c r="B167" s="569">
        <v>72792</v>
      </c>
      <c r="C167" s="569" t="s">
        <v>1324</v>
      </c>
      <c r="D167" s="569" t="s">
        <v>1591</v>
      </c>
      <c r="E167" s="681" t="s">
        <v>102</v>
      </c>
      <c r="F167" s="578"/>
      <c r="G167" s="682">
        <v>32.79</v>
      </c>
      <c r="H167" s="681">
        <v>2</v>
      </c>
      <c r="I167" s="573">
        <f t="shared" si="39"/>
        <v>0</v>
      </c>
      <c r="J167" s="573">
        <f t="shared" si="40"/>
        <v>2</v>
      </c>
      <c r="K167" s="685">
        <f t="shared" si="35"/>
        <v>0</v>
      </c>
      <c r="L167" s="708">
        <f t="shared" si="41"/>
        <v>65.58</v>
      </c>
      <c r="M167" s="708">
        <f t="shared" si="41"/>
        <v>0</v>
      </c>
      <c r="N167" s="708">
        <f t="shared" si="41"/>
        <v>65.58</v>
      </c>
      <c r="O167" s="718">
        <f t="shared" si="41"/>
        <v>0</v>
      </c>
      <c r="P167" s="617">
        <f t="shared" si="37"/>
        <v>1</v>
      </c>
      <c r="Q167" s="525">
        <f>I167-'[9]8'!I166</f>
        <v>-2</v>
      </c>
      <c r="S167" s="189">
        <v>0</v>
      </c>
      <c r="T167" s="189">
        <v>0</v>
      </c>
      <c r="BT167" s="525"/>
      <c r="BU167" s="523"/>
      <c r="BV167" s="523">
        <v>2</v>
      </c>
      <c r="BW167" s="523"/>
      <c r="BX167" s="523"/>
      <c r="BY167" s="523">
        <v>0</v>
      </c>
      <c r="BZ167" s="523">
        <v>0</v>
      </c>
      <c r="CA167" s="523">
        <v>0</v>
      </c>
      <c r="CB167" s="523">
        <v>0</v>
      </c>
      <c r="CC167" s="523"/>
      <c r="CD167" s="523"/>
      <c r="CE167" s="523"/>
      <c r="CF167" s="523"/>
      <c r="CG167" s="523"/>
      <c r="CH167" s="523"/>
      <c r="CI167" s="523">
        <f t="shared" si="38"/>
        <v>2</v>
      </c>
    </row>
    <row r="168" spans="1:87" ht="15" x14ac:dyDescent="0.2">
      <c r="A168" s="680" t="s">
        <v>1592</v>
      </c>
      <c r="B168" s="569" t="s">
        <v>2007</v>
      </c>
      <c r="C168" s="569" t="s">
        <v>1339</v>
      </c>
      <c r="D168" s="569" t="s">
        <v>1593</v>
      </c>
      <c r="E168" s="681" t="s">
        <v>102</v>
      </c>
      <c r="F168" s="644">
        <v>13.87</v>
      </c>
      <c r="G168" s="682">
        <v>1286.6600000000001</v>
      </c>
      <c r="H168" s="681">
        <v>1</v>
      </c>
      <c r="I168" s="573">
        <f t="shared" si="39"/>
        <v>0</v>
      </c>
      <c r="J168" s="573">
        <f t="shared" si="40"/>
        <v>0</v>
      </c>
      <c r="K168" s="685">
        <f t="shared" si="35"/>
        <v>1</v>
      </c>
      <c r="L168" s="708">
        <f t="shared" si="41"/>
        <v>1286.6600000000001</v>
      </c>
      <c r="M168" s="708">
        <f t="shared" si="41"/>
        <v>0</v>
      </c>
      <c r="N168" s="708">
        <f t="shared" si="41"/>
        <v>0</v>
      </c>
      <c r="O168" s="718">
        <f t="shared" si="41"/>
        <v>1286.6600000000001</v>
      </c>
      <c r="P168" s="617">
        <f t="shared" si="37"/>
        <v>0</v>
      </c>
      <c r="Q168" s="525">
        <f>I168-'[9]8'!I167</f>
        <v>0</v>
      </c>
      <c r="S168" s="189">
        <v>0</v>
      </c>
      <c r="T168" s="189">
        <v>0</v>
      </c>
      <c r="BT168" s="525"/>
      <c r="BU168" s="523"/>
      <c r="BV168" s="523"/>
      <c r="BW168" s="523"/>
      <c r="BX168" s="523"/>
      <c r="BY168" s="523">
        <v>0</v>
      </c>
      <c r="BZ168" s="523">
        <v>0</v>
      </c>
      <c r="CA168" s="523">
        <v>0</v>
      </c>
      <c r="CB168" s="523">
        <v>0</v>
      </c>
      <c r="CC168" s="523"/>
      <c r="CD168" s="523"/>
      <c r="CE168" s="523"/>
      <c r="CF168" s="523"/>
      <c r="CG168" s="523"/>
      <c r="CH168" s="523"/>
      <c r="CI168" s="523">
        <f t="shared" si="38"/>
        <v>0</v>
      </c>
    </row>
    <row r="169" spans="1:87" s="790" customFormat="1" ht="15.75" x14ac:dyDescent="0.2">
      <c r="A169" s="600">
        <v>13</v>
      </c>
      <c r="B169" s="558"/>
      <c r="C169" s="558"/>
      <c r="D169" s="558" t="s">
        <v>1594</v>
      </c>
      <c r="E169" s="626"/>
      <c r="F169" s="626"/>
      <c r="G169" s="626"/>
      <c r="H169" s="626"/>
      <c r="I169" s="747"/>
      <c r="J169" s="747"/>
      <c r="K169" s="747"/>
      <c r="L169" s="734">
        <f>SUM(L170,L182)</f>
        <v>16232.49</v>
      </c>
      <c r="M169" s="734">
        <f>SUM(M170,M182)</f>
        <v>12111.44</v>
      </c>
      <c r="N169" s="734">
        <f>SUM(N170,N182)</f>
        <v>16232.49</v>
      </c>
      <c r="O169" s="721">
        <f>SUM(O170,O182)</f>
        <v>0</v>
      </c>
      <c r="P169" s="604">
        <f t="shared" si="37"/>
        <v>1</v>
      </c>
      <c r="Q169" s="525">
        <f>I169-'[9]8'!I168</f>
        <v>0</v>
      </c>
      <c r="S169" s="190">
        <v>0</v>
      </c>
      <c r="T169" s="190">
        <v>0</v>
      </c>
      <c r="BT169" s="525"/>
      <c r="BU169" s="523"/>
      <c r="BV169" s="523"/>
      <c r="BW169" s="523"/>
      <c r="BX169" s="523"/>
      <c r="BY169" s="523">
        <v>0</v>
      </c>
      <c r="BZ169" s="523">
        <v>161</v>
      </c>
      <c r="CA169" s="523"/>
      <c r="CB169" s="523"/>
      <c r="CC169" s="523"/>
      <c r="CD169" s="523"/>
      <c r="CE169" s="523"/>
      <c r="CF169" s="523"/>
      <c r="CG169" s="523"/>
      <c r="CH169" s="523"/>
      <c r="CI169" s="523">
        <f t="shared" si="38"/>
        <v>161</v>
      </c>
    </row>
    <row r="170" spans="1:87" ht="15.75" x14ac:dyDescent="0.2">
      <c r="A170" s="605" t="s">
        <v>306</v>
      </c>
      <c r="B170" s="586"/>
      <c r="C170" s="586"/>
      <c r="D170" s="586" t="s">
        <v>1516</v>
      </c>
      <c r="E170" s="683"/>
      <c r="F170" s="683"/>
      <c r="G170" s="683"/>
      <c r="H170" s="683"/>
      <c r="I170" s="748"/>
      <c r="J170" s="748"/>
      <c r="K170" s="748"/>
      <c r="L170" s="735">
        <f>SUM(L171:L181)</f>
        <v>2433.5100000000002</v>
      </c>
      <c r="M170" s="735">
        <f t="shared" ref="M170:O170" si="42">SUM(M171:M181)</f>
        <v>0</v>
      </c>
      <c r="N170" s="735">
        <f t="shared" si="42"/>
        <v>2433.5100000000002</v>
      </c>
      <c r="O170" s="724">
        <f t="shared" si="42"/>
        <v>0</v>
      </c>
      <c r="P170" s="611">
        <f t="shared" si="37"/>
        <v>1</v>
      </c>
      <c r="Q170" s="525">
        <f>I170-'[9]8'!I169</f>
        <v>0</v>
      </c>
      <c r="S170" s="189">
        <v>0</v>
      </c>
      <c r="T170" s="189">
        <v>47.5</v>
      </c>
      <c r="BT170" s="525"/>
      <c r="BU170" s="523"/>
      <c r="BV170" s="523"/>
      <c r="BW170" s="523"/>
      <c r="BX170" s="523"/>
      <c r="BY170" s="523">
        <v>0</v>
      </c>
      <c r="BZ170" s="523">
        <v>161</v>
      </c>
      <c r="CA170" s="523"/>
      <c r="CB170" s="523"/>
      <c r="CC170" s="523"/>
      <c r="CD170" s="523"/>
      <c r="CE170" s="523"/>
      <c r="CF170" s="523"/>
      <c r="CG170" s="523"/>
      <c r="CH170" s="523"/>
      <c r="CI170" s="523">
        <f t="shared" si="38"/>
        <v>161</v>
      </c>
    </row>
    <row r="171" spans="1:87" ht="15.75" x14ac:dyDescent="0.2">
      <c r="A171" s="680" t="s">
        <v>1595</v>
      </c>
      <c r="B171" s="569">
        <v>89711</v>
      </c>
      <c r="C171" s="569" t="s">
        <v>1324</v>
      </c>
      <c r="D171" s="569" t="s">
        <v>1596</v>
      </c>
      <c r="E171" s="681" t="s">
        <v>81</v>
      </c>
      <c r="F171" s="578"/>
      <c r="G171" s="682">
        <v>13.04</v>
      </c>
      <c r="H171" s="681">
        <v>0</v>
      </c>
      <c r="I171" s="573">
        <f t="shared" si="39"/>
        <v>0</v>
      </c>
      <c r="J171" s="573">
        <f t="shared" si="40"/>
        <v>0</v>
      </c>
      <c r="K171" s="685">
        <f t="shared" si="35"/>
        <v>0</v>
      </c>
      <c r="L171" s="708">
        <f t="shared" ref="L171:O181" si="43">ROUND(H171*$G171,2)</f>
        <v>0</v>
      </c>
      <c r="M171" s="708">
        <f t="shared" si="43"/>
        <v>0</v>
      </c>
      <c r="N171" s="708">
        <f t="shared" si="43"/>
        <v>0</v>
      </c>
      <c r="O171" s="718">
        <f t="shared" si="43"/>
        <v>0</v>
      </c>
      <c r="P171" s="617">
        <v>1</v>
      </c>
      <c r="Q171" s="525">
        <f>I171-'[9]8'!I170</f>
        <v>0</v>
      </c>
      <c r="S171" s="189">
        <v>0</v>
      </c>
      <c r="T171" s="189">
        <v>21.5</v>
      </c>
      <c r="BT171" s="525"/>
      <c r="BU171" s="523"/>
      <c r="BV171" s="523"/>
      <c r="BW171" s="523"/>
      <c r="BX171" s="523"/>
      <c r="BY171" s="523">
        <v>-47.5</v>
      </c>
      <c r="BZ171" s="523">
        <v>47.5</v>
      </c>
      <c r="CA171" s="523">
        <v>0</v>
      </c>
      <c r="CB171" s="523">
        <v>0</v>
      </c>
      <c r="CC171" s="523"/>
      <c r="CD171" s="523"/>
      <c r="CE171" s="523"/>
      <c r="CF171" s="523"/>
      <c r="CG171" s="523"/>
      <c r="CH171" s="523"/>
      <c r="CI171" s="523">
        <f t="shared" si="38"/>
        <v>0</v>
      </c>
    </row>
    <row r="172" spans="1:87" ht="15.75" x14ac:dyDescent="0.2">
      <c r="A172" s="680" t="s">
        <v>1597</v>
      </c>
      <c r="B172" s="569">
        <v>89712</v>
      </c>
      <c r="C172" s="569" t="s">
        <v>1324</v>
      </c>
      <c r="D172" s="569" t="s">
        <v>1598</v>
      </c>
      <c r="E172" s="681" t="s">
        <v>81</v>
      </c>
      <c r="F172" s="578"/>
      <c r="G172" s="682">
        <v>18.98</v>
      </c>
      <c r="H172" s="681">
        <v>21.5</v>
      </c>
      <c r="I172" s="573">
        <f t="shared" si="39"/>
        <v>0</v>
      </c>
      <c r="J172" s="573">
        <f t="shared" si="40"/>
        <v>21.5</v>
      </c>
      <c r="K172" s="685">
        <f t="shared" si="35"/>
        <v>0</v>
      </c>
      <c r="L172" s="708">
        <f t="shared" si="43"/>
        <v>408.07</v>
      </c>
      <c r="M172" s="708">
        <f t="shared" si="43"/>
        <v>0</v>
      </c>
      <c r="N172" s="708">
        <f t="shared" si="43"/>
        <v>408.07</v>
      </c>
      <c r="O172" s="718">
        <f t="shared" si="43"/>
        <v>0</v>
      </c>
      <c r="P172" s="617">
        <f t="shared" si="37"/>
        <v>1</v>
      </c>
      <c r="Q172" s="525">
        <f>I172-'[9]8'!I171</f>
        <v>0</v>
      </c>
      <c r="S172" s="189">
        <v>0</v>
      </c>
      <c r="T172" s="189">
        <v>36</v>
      </c>
      <c r="BT172" s="525"/>
      <c r="BU172" s="523"/>
      <c r="BV172" s="523"/>
      <c r="BW172" s="523"/>
      <c r="BX172" s="523"/>
      <c r="BY172" s="523">
        <v>0</v>
      </c>
      <c r="BZ172" s="523">
        <v>21.5</v>
      </c>
      <c r="CA172" s="523">
        <v>0</v>
      </c>
      <c r="CB172" s="523">
        <v>0</v>
      </c>
      <c r="CC172" s="523"/>
      <c r="CD172" s="523"/>
      <c r="CE172" s="523"/>
      <c r="CF172" s="523"/>
      <c r="CG172" s="523"/>
      <c r="CH172" s="523"/>
      <c r="CI172" s="523">
        <f t="shared" si="38"/>
        <v>21.5</v>
      </c>
    </row>
    <row r="173" spans="1:87" ht="15" x14ac:dyDescent="0.2">
      <c r="A173" s="680" t="s">
        <v>1599</v>
      </c>
      <c r="B173" s="569">
        <v>89714</v>
      </c>
      <c r="C173" s="569" t="s">
        <v>1324</v>
      </c>
      <c r="D173" s="569" t="s">
        <v>1600</v>
      </c>
      <c r="E173" s="681" t="s">
        <v>81</v>
      </c>
      <c r="F173" s="644">
        <v>224.11</v>
      </c>
      <c r="G173" s="682">
        <v>36.869999999999997</v>
      </c>
      <c r="H173" s="681">
        <v>36</v>
      </c>
      <c r="I173" s="573">
        <f t="shared" si="39"/>
        <v>0</v>
      </c>
      <c r="J173" s="573">
        <f t="shared" si="40"/>
        <v>36</v>
      </c>
      <c r="K173" s="685">
        <f t="shared" si="35"/>
        <v>0</v>
      </c>
      <c r="L173" s="708">
        <f t="shared" si="43"/>
        <v>1327.32</v>
      </c>
      <c r="M173" s="708">
        <f t="shared" si="43"/>
        <v>0</v>
      </c>
      <c r="N173" s="708">
        <f t="shared" si="43"/>
        <v>1327.32</v>
      </c>
      <c r="O173" s="718">
        <f t="shared" si="43"/>
        <v>0</v>
      </c>
      <c r="P173" s="617">
        <f t="shared" si="37"/>
        <v>1</v>
      </c>
      <c r="Q173" s="525">
        <f>I173-'[9]8'!I172</f>
        <v>0</v>
      </c>
      <c r="S173" s="189">
        <v>0</v>
      </c>
      <c r="T173" s="189">
        <v>7</v>
      </c>
      <c r="BT173" s="525"/>
      <c r="BU173" s="523"/>
      <c r="BV173" s="523"/>
      <c r="BW173" s="523"/>
      <c r="BX173" s="523"/>
      <c r="BY173" s="523">
        <v>0</v>
      </c>
      <c r="BZ173" s="523">
        <v>36</v>
      </c>
      <c r="CA173" s="523">
        <v>0</v>
      </c>
      <c r="CB173" s="523">
        <v>0</v>
      </c>
      <c r="CC173" s="523"/>
      <c r="CD173" s="523"/>
      <c r="CE173" s="523"/>
      <c r="CF173" s="523"/>
      <c r="CG173" s="523"/>
      <c r="CH173" s="523"/>
      <c r="CI173" s="523">
        <f t="shared" si="38"/>
        <v>36</v>
      </c>
    </row>
    <row r="174" spans="1:87" ht="15" x14ac:dyDescent="0.2">
      <c r="A174" s="680" t="s">
        <v>1601</v>
      </c>
      <c r="B174" s="569">
        <v>89726</v>
      </c>
      <c r="C174" s="569" t="s">
        <v>1324</v>
      </c>
      <c r="D174" s="569" t="s">
        <v>1602</v>
      </c>
      <c r="E174" s="681" t="s">
        <v>102</v>
      </c>
      <c r="F174" s="644">
        <v>312.5</v>
      </c>
      <c r="G174" s="682">
        <v>6.33</v>
      </c>
      <c r="H174" s="681">
        <v>7</v>
      </c>
      <c r="I174" s="573">
        <f t="shared" si="39"/>
        <v>0</v>
      </c>
      <c r="J174" s="573">
        <f t="shared" si="40"/>
        <v>7</v>
      </c>
      <c r="K174" s="685">
        <f t="shared" si="35"/>
        <v>0</v>
      </c>
      <c r="L174" s="708">
        <f t="shared" si="43"/>
        <v>44.31</v>
      </c>
      <c r="M174" s="708">
        <f t="shared" si="43"/>
        <v>0</v>
      </c>
      <c r="N174" s="708">
        <f t="shared" si="43"/>
        <v>44.31</v>
      </c>
      <c r="O174" s="718">
        <f t="shared" si="43"/>
        <v>0</v>
      </c>
      <c r="P174" s="617">
        <f t="shared" si="37"/>
        <v>1</v>
      </c>
      <c r="Q174" s="525">
        <f>I174-'[9]8'!I173</f>
        <v>0</v>
      </c>
      <c r="S174" s="189">
        <v>0</v>
      </c>
      <c r="T174" s="189">
        <v>6</v>
      </c>
      <c r="BT174" s="525"/>
      <c r="BU174" s="523"/>
      <c r="BV174" s="523"/>
      <c r="BW174" s="523"/>
      <c r="BX174" s="523"/>
      <c r="BY174" s="523">
        <v>0</v>
      </c>
      <c r="BZ174" s="523">
        <v>7</v>
      </c>
      <c r="CA174" s="523">
        <v>0</v>
      </c>
      <c r="CB174" s="523">
        <v>0</v>
      </c>
      <c r="CC174" s="523"/>
      <c r="CD174" s="523"/>
      <c r="CE174" s="523"/>
      <c r="CF174" s="523"/>
      <c r="CG174" s="523"/>
      <c r="CH174" s="523"/>
      <c r="CI174" s="523">
        <f t="shared" si="38"/>
        <v>7</v>
      </c>
    </row>
    <row r="175" spans="1:87" ht="15" x14ac:dyDescent="0.2">
      <c r="A175" s="680" t="s">
        <v>1603</v>
      </c>
      <c r="B175" s="569">
        <v>89744</v>
      </c>
      <c r="C175" s="569" t="s">
        <v>1324</v>
      </c>
      <c r="D175" s="569" t="s">
        <v>1604</v>
      </c>
      <c r="E175" s="681" t="s">
        <v>102</v>
      </c>
      <c r="F175" s="644">
        <v>323.14</v>
      </c>
      <c r="G175" s="682">
        <v>16.600000000000001</v>
      </c>
      <c r="H175" s="681">
        <v>6</v>
      </c>
      <c r="I175" s="573">
        <f t="shared" si="39"/>
        <v>0</v>
      </c>
      <c r="J175" s="573">
        <f t="shared" si="40"/>
        <v>6</v>
      </c>
      <c r="K175" s="685">
        <f t="shared" si="35"/>
        <v>0</v>
      </c>
      <c r="L175" s="708">
        <f t="shared" si="43"/>
        <v>99.6</v>
      </c>
      <c r="M175" s="708">
        <f t="shared" si="43"/>
        <v>0</v>
      </c>
      <c r="N175" s="708">
        <f t="shared" si="43"/>
        <v>99.6</v>
      </c>
      <c r="O175" s="718">
        <f t="shared" si="43"/>
        <v>0</v>
      </c>
      <c r="P175" s="617">
        <f t="shared" si="37"/>
        <v>1</v>
      </c>
      <c r="Q175" s="525">
        <f>I175-'[9]8'!I174</f>
        <v>0</v>
      </c>
      <c r="S175" s="189">
        <v>0</v>
      </c>
      <c r="T175" s="189">
        <v>10</v>
      </c>
      <c r="BT175" s="525"/>
      <c r="BU175" s="523"/>
      <c r="BV175" s="523"/>
      <c r="BW175" s="523"/>
      <c r="BX175" s="523"/>
      <c r="BY175" s="523">
        <v>0</v>
      </c>
      <c r="BZ175" s="523">
        <v>6</v>
      </c>
      <c r="CA175" s="523">
        <v>0</v>
      </c>
      <c r="CB175" s="523">
        <v>0</v>
      </c>
      <c r="CC175" s="523"/>
      <c r="CD175" s="523"/>
      <c r="CE175" s="523"/>
      <c r="CF175" s="523"/>
      <c r="CG175" s="523"/>
      <c r="CH175" s="523"/>
      <c r="CI175" s="523">
        <f t="shared" si="38"/>
        <v>6</v>
      </c>
    </row>
    <row r="176" spans="1:87" ht="15" x14ac:dyDescent="0.2">
      <c r="A176" s="680" t="s">
        <v>1605</v>
      </c>
      <c r="B176" s="569">
        <v>89724</v>
      </c>
      <c r="C176" s="569" t="s">
        <v>1324</v>
      </c>
      <c r="D176" s="569" t="s">
        <v>1606</v>
      </c>
      <c r="E176" s="681" t="s">
        <v>102</v>
      </c>
      <c r="F176" s="644">
        <v>224.11</v>
      </c>
      <c r="G176" s="682">
        <v>5.6</v>
      </c>
      <c r="H176" s="681">
        <v>10</v>
      </c>
      <c r="I176" s="573">
        <f t="shared" si="39"/>
        <v>0</v>
      </c>
      <c r="J176" s="573">
        <f t="shared" si="40"/>
        <v>10</v>
      </c>
      <c r="K176" s="685">
        <f t="shared" si="35"/>
        <v>0</v>
      </c>
      <c r="L176" s="708">
        <f t="shared" si="43"/>
        <v>56</v>
      </c>
      <c r="M176" s="708">
        <f t="shared" si="43"/>
        <v>0</v>
      </c>
      <c r="N176" s="708">
        <f t="shared" si="43"/>
        <v>56</v>
      </c>
      <c r="O176" s="718">
        <f t="shared" si="43"/>
        <v>0</v>
      </c>
      <c r="P176" s="617">
        <f t="shared" si="37"/>
        <v>1</v>
      </c>
      <c r="Q176" s="525">
        <f>I176-'[9]8'!I175</f>
        <v>0</v>
      </c>
      <c r="S176" s="189">
        <v>0</v>
      </c>
      <c r="T176" s="189">
        <v>6</v>
      </c>
      <c r="BT176" s="525"/>
      <c r="BU176" s="523"/>
      <c r="BV176" s="523"/>
      <c r="BW176" s="523"/>
      <c r="BX176" s="523"/>
      <c r="BY176" s="523">
        <v>0</v>
      </c>
      <c r="BZ176" s="523">
        <v>10</v>
      </c>
      <c r="CA176" s="523">
        <v>0</v>
      </c>
      <c r="CB176" s="523">
        <v>0</v>
      </c>
      <c r="CC176" s="523"/>
      <c r="CD176" s="523"/>
      <c r="CE176" s="523"/>
      <c r="CF176" s="523"/>
      <c r="CG176" s="523"/>
      <c r="CH176" s="523"/>
      <c r="CI176" s="523">
        <f t="shared" si="38"/>
        <v>10</v>
      </c>
    </row>
    <row r="177" spans="1:87" ht="15" x14ac:dyDescent="0.2">
      <c r="A177" s="680" t="s">
        <v>1607</v>
      </c>
      <c r="B177" s="569">
        <v>89827</v>
      </c>
      <c r="C177" s="569" t="s">
        <v>1324</v>
      </c>
      <c r="D177" s="569" t="s">
        <v>1608</v>
      </c>
      <c r="E177" s="681" t="s">
        <v>102</v>
      </c>
      <c r="F177" s="644">
        <v>33.93</v>
      </c>
      <c r="G177" s="682">
        <v>10.23</v>
      </c>
      <c r="H177" s="681">
        <v>6</v>
      </c>
      <c r="I177" s="573">
        <f t="shared" si="39"/>
        <v>0</v>
      </c>
      <c r="J177" s="573">
        <f t="shared" si="40"/>
        <v>6</v>
      </c>
      <c r="K177" s="685">
        <f t="shared" si="35"/>
        <v>0</v>
      </c>
      <c r="L177" s="708">
        <f t="shared" si="43"/>
        <v>61.38</v>
      </c>
      <c r="M177" s="708">
        <f t="shared" si="43"/>
        <v>0</v>
      </c>
      <c r="N177" s="708">
        <f t="shared" si="43"/>
        <v>61.38</v>
      </c>
      <c r="O177" s="718">
        <f t="shared" si="43"/>
        <v>0</v>
      </c>
      <c r="P177" s="617">
        <f t="shared" si="37"/>
        <v>1</v>
      </c>
      <c r="Q177" s="525">
        <f>I177-'[9]8'!I176</f>
        <v>0</v>
      </c>
      <c r="S177" s="189">
        <v>0</v>
      </c>
      <c r="T177" s="189">
        <v>5</v>
      </c>
      <c r="BT177" s="525"/>
      <c r="BU177" s="523"/>
      <c r="BV177" s="523"/>
      <c r="BW177" s="523"/>
      <c r="BX177" s="523"/>
      <c r="BY177" s="523">
        <v>0</v>
      </c>
      <c r="BZ177" s="523">
        <v>6</v>
      </c>
      <c r="CA177" s="523">
        <v>0</v>
      </c>
      <c r="CB177" s="523">
        <v>0</v>
      </c>
      <c r="CC177" s="523"/>
      <c r="CD177" s="523"/>
      <c r="CE177" s="523"/>
      <c r="CF177" s="523"/>
      <c r="CG177" s="523"/>
      <c r="CH177" s="523"/>
      <c r="CI177" s="523">
        <f t="shared" si="38"/>
        <v>6</v>
      </c>
    </row>
    <row r="178" spans="1:87" ht="15" x14ac:dyDescent="0.2">
      <c r="A178" s="680" t="s">
        <v>1609</v>
      </c>
      <c r="B178" s="569">
        <v>89834</v>
      </c>
      <c r="C178" s="569" t="s">
        <v>1324</v>
      </c>
      <c r="D178" s="569" t="s">
        <v>1610</v>
      </c>
      <c r="E178" s="681" t="s">
        <v>102</v>
      </c>
      <c r="F178" s="644">
        <v>33.93</v>
      </c>
      <c r="G178" s="682">
        <v>25.46</v>
      </c>
      <c r="H178" s="681">
        <v>5</v>
      </c>
      <c r="I178" s="573">
        <f t="shared" si="39"/>
        <v>0</v>
      </c>
      <c r="J178" s="573">
        <f t="shared" si="40"/>
        <v>5</v>
      </c>
      <c r="K178" s="685">
        <f t="shared" si="35"/>
        <v>0</v>
      </c>
      <c r="L178" s="708">
        <f t="shared" si="43"/>
        <v>127.3</v>
      </c>
      <c r="M178" s="708">
        <f t="shared" si="43"/>
        <v>0</v>
      </c>
      <c r="N178" s="708">
        <f t="shared" si="43"/>
        <v>127.3</v>
      </c>
      <c r="O178" s="718">
        <f t="shared" si="43"/>
        <v>0</v>
      </c>
      <c r="P178" s="617">
        <f t="shared" si="37"/>
        <v>1</v>
      </c>
      <c r="Q178" s="525">
        <f>I178-'[9]8'!I177</f>
        <v>0</v>
      </c>
      <c r="S178" s="189">
        <v>0</v>
      </c>
      <c r="T178" s="189">
        <v>5</v>
      </c>
      <c r="BT178" s="525"/>
      <c r="BU178" s="523"/>
      <c r="BV178" s="523"/>
      <c r="BW178" s="523"/>
      <c r="BX178" s="523"/>
      <c r="BY178" s="523">
        <v>0</v>
      </c>
      <c r="BZ178" s="523">
        <v>5</v>
      </c>
      <c r="CA178" s="523">
        <v>0</v>
      </c>
      <c r="CB178" s="523">
        <v>0</v>
      </c>
      <c r="CC178" s="523"/>
      <c r="CD178" s="523"/>
      <c r="CE178" s="523"/>
      <c r="CF178" s="523"/>
      <c r="CG178" s="523"/>
      <c r="CH178" s="523"/>
      <c r="CI178" s="523">
        <f t="shared" si="38"/>
        <v>5</v>
      </c>
    </row>
    <row r="179" spans="1:87" ht="15" x14ac:dyDescent="0.2">
      <c r="A179" s="680" t="s">
        <v>1611</v>
      </c>
      <c r="B179" s="569">
        <v>89797</v>
      </c>
      <c r="C179" s="569" t="s">
        <v>1324</v>
      </c>
      <c r="D179" s="569" t="s">
        <v>1612</v>
      </c>
      <c r="E179" s="681" t="s">
        <v>102</v>
      </c>
      <c r="F179" s="644">
        <v>33.93</v>
      </c>
      <c r="G179" s="682">
        <v>31.16</v>
      </c>
      <c r="H179" s="681">
        <v>5</v>
      </c>
      <c r="I179" s="573">
        <f t="shared" si="39"/>
        <v>0</v>
      </c>
      <c r="J179" s="573">
        <f t="shared" si="40"/>
        <v>5</v>
      </c>
      <c r="K179" s="685">
        <f t="shared" si="35"/>
        <v>0</v>
      </c>
      <c r="L179" s="708">
        <f t="shared" si="43"/>
        <v>155.80000000000001</v>
      </c>
      <c r="M179" s="708">
        <f t="shared" si="43"/>
        <v>0</v>
      </c>
      <c r="N179" s="708">
        <f t="shared" si="43"/>
        <v>155.80000000000001</v>
      </c>
      <c r="O179" s="718">
        <f t="shared" si="43"/>
        <v>0</v>
      </c>
      <c r="P179" s="617">
        <f t="shared" si="37"/>
        <v>1</v>
      </c>
      <c r="Q179" s="525">
        <f>I179-'[9]8'!I178</f>
        <v>0</v>
      </c>
      <c r="S179" s="189">
        <v>0</v>
      </c>
      <c r="T179" s="189">
        <v>1</v>
      </c>
      <c r="BT179" s="525"/>
      <c r="BU179" s="523"/>
      <c r="BV179" s="523"/>
      <c r="BW179" s="523"/>
      <c r="BX179" s="523"/>
      <c r="BY179" s="523">
        <v>0</v>
      </c>
      <c r="BZ179" s="523">
        <v>5</v>
      </c>
      <c r="CA179" s="523">
        <v>0</v>
      </c>
      <c r="CB179" s="523">
        <v>0</v>
      </c>
      <c r="CC179" s="523"/>
      <c r="CD179" s="523"/>
      <c r="CE179" s="523"/>
      <c r="CF179" s="523"/>
      <c r="CG179" s="523"/>
      <c r="CH179" s="523"/>
      <c r="CI179" s="523">
        <f t="shared" si="38"/>
        <v>5</v>
      </c>
    </row>
    <row r="180" spans="1:87" ht="15" x14ac:dyDescent="0.2">
      <c r="A180" s="680" t="s">
        <v>1613</v>
      </c>
      <c r="B180" s="569">
        <v>89852</v>
      </c>
      <c r="C180" s="569" t="s">
        <v>1324</v>
      </c>
      <c r="D180" s="569" t="s">
        <v>1614</v>
      </c>
      <c r="E180" s="681" t="s">
        <v>102</v>
      </c>
      <c r="F180" s="644">
        <v>33.93</v>
      </c>
      <c r="G180" s="682">
        <v>27.17</v>
      </c>
      <c r="H180" s="681">
        <v>1</v>
      </c>
      <c r="I180" s="573">
        <f t="shared" si="39"/>
        <v>0</v>
      </c>
      <c r="J180" s="573">
        <f t="shared" si="40"/>
        <v>1</v>
      </c>
      <c r="K180" s="685">
        <f t="shared" si="35"/>
        <v>0</v>
      </c>
      <c r="L180" s="708">
        <f t="shared" si="43"/>
        <v>27.17</v>
      </c>
      <c r="M180" s="708">
        <f t="shared" si="43"/>
        <v>0</v>
      </c>
      <c r="N180" s="708">
        <f t="shared" si="43"/>
        <v>27.17</v>
      </c>
      <c r="O180" s="718">
        <f t="shared" si="43"/>
        <v>0</v>
      </c>
      <c r="P180" s="617">
        <f t="shared" si="37"/>
        <v>1</v>
      </c>
      <c r="Q180" s="525">
        <f>I180-'[9]8'!I179</f>
        <v>0</v>
      </c>
      <c r="S180" s="189">
        <v>0</v>
      </c>
      <c r="T180" s="189">
        <v>16</v>
      </c>
      <c r="BT180" s="525"/>
      <c r="BU180" s="523"/>
      <c r="BV180" s="523"/>
      <c r="BW180" s="523"/>
      <c r="BX180" s="523"/>
      <c r="BY180" s="523">
        <v>0</v>
      </c>
      <c r="BZ180" s="523">
        <v>1</v>
      </c>
      <c r="CA180" s="523">
        <v>0</v>
      </c>
      <c r="CB180" s="523">
        <v>0</v>
      </c>
      <c r="CC180" s="523"/>
      <c r="CD180" s="523"/>
      <c r="CE180" s="523"/>
      <c r="CF180" s="523"/>
      <c r="CG180" s="523"/>
      <c r="CH180" s="523"/>
      <c r="CI180" s="523">
        <f t="shared" si="38"/>
        <v>1</v>
      </c>
    </row>
    <row r="181" spans="1:87" s="790" customFormat="1" ht="15" x14ac:dyDescent="0.2">
      <c r="A181" s="680" t="s">
        <v>1615</v>
      </c>
      <c r="B181" s="569">
        <v>89728</v>
      </c>
      <c r="C181" s="569" t="s">
        <v>1324</v>
      </c>
      <c r="D181" s="569" t="s">
        <v>1616</v>
      </c>
      <c r="E181" s="681" t="s">
        <v>102</v>
      </c>
      <c r="F181" s="644">
        <v>33.93</v>
      </c>
      <c r="G181" s="682">
        <v>7.91</v>
      </c>
      <c r="H181" s="681">
        <v>16</v>
      </c>
      <c r="I181" s="573">
        <f t="shared" si="39"/>
        <v>0</v>
      </c>
      <c r="J181" s="573">
        <f t="shared" si="40"/>
        <v>16</v>
      </c>
      <c r="K181" s="685">
        <f t="shared" si="35"/>
        <v>0</v>
      </c>
      <c r="L181" s="708">
        <f t="shared" si="43"/>
        <v>126.56</v>
      </c>
      <c r="M181" s="708">
        <f t="shared" si="43"/>
        <v>0</v>
      </c>
      <c r="N181" s="708">
        <f t="shared" si="43"/>
        <v>126.56</v>
      </c>
      <c r="O181" s="718">
        <f t="shared" si="43"/>
        <v>0</v>
      </c>
      <c r="P181" s="617">
        <f t="shared" si="37"/>
        <v>1</v>
      </c>
      <c r="Q181" s="525">
        <f>I181-'[9]8'!I180</f>
        <v>0</v>
      </c>
      <c r="S181" s="190">
        <v>0</v>
      </c>
      <c r="T181" s="190">
        <v>0</v>
      </c>
      <c r="BT181" s="525"/>
      <c r="BU181" s="523"/>
      <c r="BV181" s="523"/>
      <c r="BW181" s="523"/>
      <c r="BX181" s="523"/>
      <c r="BY181" s="523">
        <v>0</v>
      </c>
      <c r="BZ181" s="523">
        <v>16</v>
      </c>
      <c r="CA181" s="523">
        <v>0</v>
      </c>
      <c r="CB181" s="523">
        <v>0</v>
      </c>
      <c r="CC181" s="523"/>
      <c r="CD181" s="523"/>
      <c r="CE181" s="523"/>
      <c r="CF181" s="523"/>
      <c r="CG181" s="523"/>
      <c r="CH181" s="523"/>
      <c r="CI181" s="523">
        <f t="shared" si="38"/>
        <v>16</v>
      </c>
    </row>
    <row r="182" spans="1:87" ht="15.75" x14ac:dyDescent="0.2">
      <c r="A182" s="605" t="s">
        <v>309</v>
      </c>
      <c r="B182" s="586"/>
      <c r="C182" s="586"/>
      <c r="D182" s="586" t="s">
        <v>1617</v>
      </c>
      <c r="E182" s="609"/>
      <c r="F182" s="609"/>
      <c r="G182" s="609"/>
      <c r="H182" s="609"/>
      <c r="I182" s="749"/>
      <c r="J182" s="749"/>
      <c r="K182" s="749"/>
      <c r="L182" s="733">
        <f>SUM(L183:L190)</f>
        <v>13798.98</v>
      </c>
      <c r="M182" s="733">
        <f>SUM(M183:M190)</f>
        <v>12111.44</v>
      </c>
      <c r="N182" s="733">
        <f>SUM(N183:N190)</f>
        <v>13798.98</v>
      </c>
      <c r="O182" s="722">
        <f>SUM(O183:O190)</f>
        <v>0</v>
      </c>
      <c r="P182" s="611">
        <f t="shared" si="37"/>
        <v>1</v>
      </c>
      <c r="Q182" s="525">
        <f>I182-'[9]8'!I181</f>
        <v>0</v>
      </c>
      <c r="S182" s="189">
        <v>0</v>
      </c>
      <c r="T182" s="189">
        <v>0</v>
      </c>
      <c r="BT182" s="525"/>
      <c r="BU182" s="523"/>
      <c r="BV182" s="523"/>
      <c r="BW182" s="523"/>
      <c r="BX182" s="523"/>
      <c r="BY182" s="523">
        <v>0</v>
      </c>
      <c r="BZ182" s="523">
        <v>0</v>
      </c>
      <c r="CA182" s="523"/>
      <c r="CB182" s="523"/>
      <c r="CC182" s="523"/>
      <c r="CD182" s="523"/>
      <c r="CE182" s="523"/>
      <c r="CF182" s="523"/>
      <c r="CG182" s="523"/>
      <c r="CH182" s="523"/>
      <c r="CI182" s="523">
        <f t="shared" si="38"/>
        <v>0</v>
      </c>
    </row>
    <row r="183" spans="1:87" ht="15" x14ac:dyDescent="0.2">
      <c r="A183" s="680" t="s">
        <v>1618</v>
      </c>
      <c r="B183" s="569" t="s">
        <v>2007</v>
      </c>
      <c r="C183" s="569" t="s">
        <v>1339</v>
      </c>
      <c r="D183" s="569" t="s">
        <v>1619</v>
      </c>
      <c r="E183" s="681" t="s">
        <v>102</v>
      </c>
      <c r="F183" s="644">
        <v>190.09</v>
      </c>
      <c r="G183" s="682">
        <v>46.81</v>
      </c>
      <c r="H183" s="681">
        <v>6</v>
      </c>
      <c r="I183" s="685">
        <f t="shared" si="39"/>
        <v>0</v>
      </c>
      <c r="J183" s="573">
        <f t="shared" si="40"/>
        <v>6</v>
      </c>
      <c r="K183" s="644">
        <f t="shared" si="35"/>
        <v>0</v>
      </c>
      <c r="L183" s="708">
        <f t="shared" ref="L183:O190" si="44">ROUND(H183*$G183,2)</f>
        <v>280.86</v>
      </c>
      <c r="M183" s="708">
        <f t="shared" si="44"/>
        <v>0</v>
      </c>
      <c r="N183" s="708">
        <f t="shared" si="44"/>
        <v>280.86</v>
      </c>
      <c r="O183" s="718">
        <f t="shared" si="44"/>
        <v>0</v>
      </c>
      <c r="P183" s="617">
        <f t="shared" si="37"/>
        <v>1</v>
      </c>
      <c r="Q183" s="525">
        <f>I183-'[9]8'!I182</f>
        <v>-3</v>
      </c>
      <c r="S183" s="189">
        <v>0</v>
      </c>
      <c r="T183" s="189">
        <v>0</v>
      </c>
      <c r="BT183" s="525"/>
      <c r="BU183" s="523"/>
      <c r="BV183" s="523">
        <v>3</v>
      </c>
      <c r="BW183" s="523">
        <v>3</v>
      </c>
      <c r="BX183" s="523"/>
      <c r="BY183" s="523">
        <v>0</v>
      </c>
      <c r="BZ183" s="523">
        <v>0</v>
      </c>
      <c r="CA183" s="523">
        <v>0</v>
      </c>
      <c r="CB183" s="523">
        <v>0</v>
      </c>
      <c r="CC183" s="523"/>
      <c r="CD183" s="523"/>
      <c r="CE183" s="523"/>
      <c r="CF183" s="523"/>
      <c r="CG183" s="523"/>
      <c r="CH183" s="523"/>
      <c r="CI183" s="523">
        <f t="shared" si="38"/>
        <v>6</v>
      </c>
    </row>
    <row r="184" spans="1:87" ht="15" x14ac:dyDescent="0.2">
      <c r="A184" s="680" t="s">
        <v>1620</v>
      </c>
      <c r="B184" s="569" t="s">
        <v>1621</v>
      </c>
      <c r="C184" s="569" t="s">
        <v>1324</v>
      </c>
      <c r="D184" s="569" t="s">
        <v>1622</v>
      </c>
      <c r="E184" s="681" t="s">
        <v>102</v>
      </c>
      <c r="F184" s="644">
        <v>222.14</v>
      </c>
      <c r="G184" s="682">
        <v>367.21</v>
      </c>
      <c r="H184" s="681">
        <v>2</v>
      </c>
      <c r="I184" s="685">
        <f t="shared" si="39"/>
        <v>0</v>
      </c>
      <c r="J184" s="573">
        <f t="shared" si="40"/>
        <v>2</v>
      </c>
      <c r="K184" s="644">
        <f t="shared" si="35"/>
        <v>0</v>
      </c>
      <c r="L184" s="708">
        <f t="shared" si="44"/>
        <v>734.42</v>
      </c>
      <c r="M184" s="708">
        <f t="shared" si="44"/>
        <v>0</v>
      </c>
      <c r="N184" s="708">
        <f t="shared" si="44"/>
        <v>734.42</v>
      </c>
      <c r="O184" s="718">
        <f t="shared" si="44"/>
        <v>0</v>
      </c>
      <c r="P184" s="617">
        <f t="shared" si="37"/>
        <v>1</v>
      </c>
      <c r="Q184" s="525">
        <f>I184-'[9]8'!I183</f>
        <v>-1</v>
      </c>
      <c r="S184" s="189">
        <v>0</v>
      </c>
      <c r="T184" s="189">
        <v>0</v>
      </c>
      <c r="BT184" s="525"/>
      <c r="BU184" s="523"/>
      <c r="BV184" s="523">
        <v>1</v>
      </c>
      <c r="BW184" s="523">
        <v>1</v>
      </c>
      <c r="BX184" s="523"/>
      <c r="BY184" s="523">
        <v>0</v>
      </c>
      <c r="BZ184" s="523">
        <v>0</v>
      </c>
      <c r="CA184" s="523">
        <v>0</v>
      </c>
      <c r="CB184" s="523">
        <v>0</v>
      </c>
      <c r="CC184" s="523"/>
      <c r="CD184" s="523"/>
      <c r="CE184" s="523"/>
      <c r="CF184" s="523"/>
      <c r="CG184" s="523"/>
      <c r="CH184" s="523"/>
      <c r="CI184" s="523">
        <f t="shared" si="38"/>
        <v>2</v>
      </c>
    </row>
    <row r="185" spans="1:87" ht="15" x14ac:dyDescent="0.2">
      <c r="A185" s="680" t="s">
        <v>1623</v>
      </c>
      <c r="B185" s="569">
        <v>89710</v>
      </c>
      <c r="C185" s="569" t="s">
        <v>1324</v>
      </c>
      <c r="D185" s="569" t="s">
        <v>1624</v>
      </c>
      <c r="E185" s="681" t="s">
        <v>102</v>
      </c>
      <c r="F185" s="644">
        <v>474.97</v>
      </c>
      <c r="G185" s="682">
        <v>7.75</v>
      </c>
      <c r="H185" s="681">
        <v>6</v>
      </c>
      <c r="I185" s="685">
        <f t="shared" si="39"/>
        <v>0</v>
      </c>
      <c r="J185" s="573">
        <f t="shared" si="40"/>
        <v>6</v>
      </c>
      <c r="K185" s="644">
        <f t="shared" si="35"/>
        <v>0</v>
      </c>
      <c r="L185" s="708">
        <f t="shared" si="44"/>
        <v>46.5</v>
      </c>
      <c r="M185" s="708">
        <f t="shared" si="44"/>
        <v>0</v>
      </c>
      <c r="N185" s="708">
        <f t="shared" si="44"/>
        <v>46.5</v>
      </c>
      <c r="O185" s="718">
        <f t="shared" si="44"/>
        <v>0</v>
      </c>
      <c r="P185" s="617">
        <f t="shared" si="37"/>
        <v>1</v>
      </c>
      <c r="Q185" s="525">
        <f>I185-'[9]8'!I184</f>
        <v>-3</v>
      </c>
      <c r="S185" s="189">
        <v>0</v>
      </c>
      <c r="T185" s="189">
        <v>0</v>
      </c>
      <c r="BT185" s="525"/>
      <c r="BU185" s="523"/>
      <c r="BV185" s="523">
        <v>3</v>
      </c>
      <c r="BW185" s="523">
        <v>3</v>
      </c>
      <c r="BX185" s="523"/>
      <c r="BY185" s="523">
        <v>0</v>
      </c>
      <c r="BZ185" s="523">
        <v>0</v>
      </c>
      <c r="CA185" s="523">
        <v>0</v>
      </c>
      <c r="CB185" s="523">
        <v>0</v>
      </c>
      <c r="CC185" s="523"/>
      <c r="CD185" s="523"/>
      <c r="CE185" s="523"/>
      <c r="CF185" s="523"/>
      <c r="CG185" s="523"/>
      <c r="CH185" s="523"/>
      <c r="CI185" s="523">
        <f t="shared" si="38"/>
        <v>6</v>
      </c>
    </row>
    <row r="186" spans="1:87" ht="15" x14ac:dyDescent="0.2">
      <c r="A186" s="680" t="s">
        <v>1625</v>
      </c>
      <c r="B186" s="569">
        <v>89798</v>
      </c>
      <c r="C186" s="569" t="s">
        <v>1324</v>
      </c>
      <c r="D186" s="569" t="s">
        <v>1626</v>
      </c>
      <c r="E186" s="681" t="s">
        <v>81</v>
      </c>
      <c r="F186" s="644">
        <v>891.52</v>
      </c>
      <c r="G186" s="682">
        <v>6.93</v>
      </c>
      <c r="H186" s="681">
        <v>8</v>
      </c>
      <c r="I186" s="685">
        <f t="shared" si="39"/>
        <v>0</v>
      </c>
      <c r="J186" s="573">
        <f t="shared" si="40"/>
        <v>8</v>
      </c>
      <c r="K186" s="644">
        <f t="shared" si="35"/>
        <v>0</v>
      </c>
      <c r="L186" s="708">
        <f t="shared" si="44"/>
        <v>55.44</v>
      </c>
      <c r="M186" s="708">
        <f t="shared" si="44"/>
        <v>0</v>
      </c>
      <c r="N186" s="708">
        <f t="shared" si="44"/>
        <v>55.44</v>
      </c>
      <c r="O186" s="718">
        <f t="shared" si="44"/>
        <v>0</v>
      </c>
      <c r="P186" s="617">
        <f t="shared" si="37"/>
        <v>1</v>
      </c>
      <c r="Q186" s="525">
        <f>I186-'[9]8'!I185</f>
        <v>-6</v>
      </c>
      <c r="S186" s="189">
        <v>0</v>
      </c>
      <c r="T186" s="189">
        <v>0</v>
      </c>
      <c r="BT186" s="525"/>
      <c r="BU186" s="523"/>
      <c r="BV186" s="523">
        <v>6</v>
      </c>
      <c r="BW186" s="523">
        <v>2</v>
      </c>
      <c r="BX186" s="523"/>
      <c r="BY186" s="523">
        <v>0</v>
      </c>
      <c r="BZ186" s="523">
        <v>0</v>
      </c>
      <c r="CA186" s="523">
        <v>0</v>
      </c>
      <c r="CB186" s="523">
        <v>0</v>
      </c>
      <c r="CC186" s="523"/>
      <c r="CD186" s="523"/>
      <c r="CE186" s="523"/>
      <c r="CF186" s="523"/>
      <c r="CG186" s="523"/>
      <c r="CH186" s="523"/>
      <c r="CI186" s="523">
        <f t="shared" si="38"/>
        <v>8</v>
      </c>
    </row>
    <row r="187" spans="1:87" ht="15" x14ac:dyDescent="0.2">
      <c r="A187" s="680" t="s">
        <v>1627</v>
      </c>
      <c r="B187" s="569">
        <v>86882</v>
      </c>
      <c r="C187" s="569" t="s">
        <v>1324</v>
      </c>
      <c r="D187" s="569" t="s">
        <v>1628</v>
      </c>
      <c r="E187" s="681" t="s">
        <v>102</v>
      </c>
      <c r="F187" s="644">
        <v>179</v>
      </c>
      <c r="G187" s="682">
        <v>13.42</v>
      </c>
      <c r="H187" s="681">
        <v>8</v>
      </c>
      <c r="I187" s="685">
        <f t="shared" si="39"/>
        <v>0</v>
      </c>
      <c r="J187" s="573">
        <f t="shared" si="40"/>
        <v>8</v>
      </c>
      <c r="K187" s="644">
        <f t="shared" si="35"/>
        <v>0</v>
      </c>
      <c r="L187" s="708">
        <f t="shared" si="44"/>
        <v>107.36</v>
      </c>
      <c r="M187" s="708">
        <f t="shared" si="44"/>
        <v>0</v>
      </c>
      <c r="N187" s="708">
        <f t="shared" si="44"/>
        <v>107.36</v>
      </c>
      <c r="O187" s="718">
        <f t="shared" si="44"/>
        <v>0</v>
      </c>
      <c r="P187" s="617">
        <f t="shared" si="37"/>
        <v>1</v>
      </c>
      <c r="Q187" s="525">
        <f>I187-'[9]8'!I186</f>
        <v>-4</v>
      </c>
      <c r="S187" s="189">
        <v>0</v>
      </c>
      <c r="T187" s="189">
        <v>0</v>
      </c>
      <c r="BT187" s="525"/>
      <c r="BU187" s="523"/>
      <c r="BV187" s="523">
        <v>4</v>
      </c>
      <c r="BW187" s="523">
        <v>4</v>
      </c>
      <c r="BX187" s="523"/>
      <c r="BY187" s="523">
        <v>0</v>
      </c>
      <c r="BZ187" s="523">
        <v>0</v>
      </c>
      <c r="CA187" s="523">
        <v>0</v>
      </c>
      <c r="CB187" s="523">
        <v>0</v>
      </c>
      <c r="CC187" s="523"/>
      <c r="CD187" s="523"/>
      <c r="CE187" s="523"/>
      <c r="CF187" s="523"/>
      <c r="CG187" s="523"/>
      <c r="CH187" s="523"/>
      <c r="CI187" s="523">
        <f t="shared" si="38"/>
        <v>8</v>
      </c>
    </row>
    <row r="188" spans="1:87" ht="15" x14ac:dyDescent="0.2">
      <c r="A188" s="680" t="s">
        <v>1629</v>
      </c>
      <c r="B188" s="569" t="s">
        <v>1630</v>
      </c>
      <c r="C188" s="569" t="s">
        <v>1324</v>
      </c>
      <c r="D188" s="569" t="s">
        <v>1631</v>
      </c>
      <c r="E188" s="681" t="s">
        <v>102</v>
      </c>
      <c r="F188" s="644">
        <v>144</v>
      </c>
      <c r="G188" s="682">
        <v>57.87</v>
      </c>
      <c r="H188" s="681">
        <v>8</v>
      </c>
      <c r="I188" s="685">
        <f t="shared" si="39"/>
        <v>0</v>
      </c>
      <c r="J188" s="573">
        <f t="shared" si="40"/>
        <v>8</v>
      </c>
      <c r="K188" s="644">
        <f t="shared" si="35"/>
        <v>0</v>
      </c>
      <c r="L188" s="708">
        <f t="shared" si="44"/>
        <v>462.96</v>
      </c>
      <c r="M188" s="708">
        <f t="shared" si="44"/>
        <v>0</v>
      </c>
      <c r="N188" s="708">
        <f t="shared" si="44"/>
        <v>462.96</v>
      </c>
      <c r="O188" s="718">
        <f t="shared" si="44"/>
        <v>0</v>
      </c>
      <c r="P188" s="617">
        <f t="shared" si="37"/>
        <v>1</v>
      </c>
      <c r="Q188" s="525">
        <f>I188-'[9]8'!I187</f>
        <v>-7</v>
      </c>
      <c r="S188" s="189">
        <v>0</v>
      </c>
      <c r="T188" s="189">
        <v>0</v>
      </c>
      <c r="BT188" s="525"/>
      <c r="BU188" s="523"/>
      <c r="BV188" s="523">
        <v>7</v>
      </c>
      <c r="BW188" s="523">
        <v>1</v>
      </c>
      <c r="BX188" s="523"/>
      <c r="BY188" s="523">
        <v>0</v>
      </c>
      <c r="BZ188" s="523">
        <v>0</v>
      </c>
      <c r="CA188" s="523">
        <v>0</v>
      </c>
      <c r="CB188" s="523">
        <v>0</v>
      </c>
      <c r="CC188" s="523"/>
      <c r="CD188" s="523"/>
      <c r="CE188" s="523"/>
      <c r="CF188" s="523"/>
      <c r="CG188" s="523"/>
      <c r="CH188" s="523"/>
      <c r="CI188" s="523">
        <f t="shared" si="38"/>
        <v>8</v>
      </c>
    </row>
    <row r="189" spans="1:87" ht="15" x14ac:dyDescent="0.2">
      <c r="A189" s="680" t="s">
        <v>1632</v>
      </c>
      <c r="B189" s="569" t="s">
        <v>1633</v>
      </c>
      <c r="C189" s="569" t="s">
        <v>1324</v>
      </c>
      <c r="D189" s="569" t="s">
        <v>1634</v>
      </c>
      <c r="E189" s="681" t="s">
        <v>102</v>
      </c>
      <c r="F189" s="644">
        <v>201.25</v>
      </c>
      <c r="G189" s="682">
        <v>3019.34</v>
      </c>
      <c r="H189" s="681">
        <v>1</v>
      </c>
      <c r="I189" s="685">
        <f t="shared" si="39"/>
        <v>1</v>
      </c>
      <c r="J189" s="573">
        <f t="shared" si="40"/>
        <v>1</v>
      </c>
      <c r="K189" s="644">
        <f t="shared" si="35"/>
        <v>0</v>
      </c>
      <c r="L189" s="708">
        <f t="shared" si="44"/>
        <v>3019.34</v>
      </c>
      <c r="M189" s="708">
        <f t="shared" si="44"/>
        <v>3019.34</v>
      </c>
      <c r="N189" s="708">
        <f t="shared" si="44"/>
        <v>3019.34</v>
      </c>
      <c r="O189" s="718">
        <f t="shared" si="44"/>
        <v>0</v>
      </c>
      <c r="P189" s="617">
        <f t="shared" si="37"/>
        <v>1</v>
      </c>
      <c r="Q189" s="525">
        <f>I189-'[9]8'!I188</f>
        <v>1</v>
      </c>
      <c r="S189" s="189">
        <v>0</v>
      </c>
      <c r="T189" s="189">
        <v>0</v>
      </c>
      <c r="BT189" s="525"/>
      <c r="BU189" s="523">
        <v>1</v>
      </c>
      <c r="BV189" s="523"/>
      <c r="BW189" s="523"/>
      <c r="BX189" s="523"/>
      <c r="BY189" s="523">
        <v>0</v>
      </c>
      <c r="BZ189" s="523">
        <v>0</v>
      </c>
      <c r="CA189" s="523">
        <v>0</v>
      </c>
      <c r="CB189" s="523">
        <v>0</v>
      </c>
      <c r="CC189" s="523"/>
      <c r="CD189" s="523"/>
      <c r="CE189" s="523"/>
      <c r="CF189" s="523"/>
      <c r="CG189" s="523"/>
      <c r="CH189" s="523"/>
      <c r="CI189" s="523">
        <f t="shared" si="38"/>
        <v>1</v>
      </c>
    </row>
    <row r="190" spans="1:87" s="790" customFormat="1" ht="15" x14ac:dyDescent="0.2">
      <c r="A190" s="680" t="s">
        <v>1635</v>
      </c>
      <c r="B190" s="569" t="s">
        <v>1636</v>
      </c>
      <c r="C190" s="569" t="s">
        <v>1324</v>
      </c>
      <c r="D190" s="569" t="s">
        <v>1637</v>
      </c>
      <c r="E190" s="681" t="s">
        <v>102</v>
      </c>
      <c r="F190" s="644">
        <v>356.72</v>
      </c>
      <c r="G190" s="682">
        <v>9092.1</v>
      </c>
      <c r="H190" s="681">
        <v>1</v>
      </c>
      <c r="I190" s="685">
        <f t="shared" si="39"/>
        <v>1</v>
      </c>
      <c r="J190" s="573">
        <f t="shared" si="40"/>
        <v>1</v>
      </c>
      <c r="K190" s="644">
        <f t="shared" si="35"/>
        <v>0</v>
      </c>
      <c r="L190" s="708">
        <f t="shared" si="44"/>
        <v>9092.1</v>
      </c>
      <c r="M190" s="708">
        <f t="shared" si="44"/>
        <v>9092.1</v>
      </c>
      <c r="N190" s="708">
        <f t="shared" si="44"/>
        <v>9092.1</v>
      </c>
      <c r="O190" s="718">
        <f t="shared" si="44"/>
        <v>0</v>
      </c>
      <c r="P190" s="617">
        <f t="shared" si="37"/>
        <v>1</v>
      </c>
      <c r="Q190" s="525">
        <f>I190-'[9]8'!I189</f>
        <v>1</v>
      </c>
      <c r="S190" s="190">
        <v>0</v>
      </c>
      <c r="T190" s="190">
        <v>0</v>
      </c>
      <c r="BT190" s="525"/>
      <c r="BU190" s="523">
        <v>1</v>
      </c>
      <c r="BV190" s="523"/>
      <c r="BW190" s="523"/>
      <c r="BX190" s="523"/>
      <c r="BY190" s="523">
        <v>0</v>
      </c>
      <c r="BZ190" s="523">
        <v>0</v>
      </c>
      <c r="CA190" s="523">
        <v>0</v>
      </c>
      <c r="CB190" s="523">
        <v>0</v>
      </c>
      <c r="CC190" s="523"/>
      <c r="CD190" s="523"/>
      <c r="CE190" s="523"/>
      <c r="CF190" s="523"/>
      <c r="CG190" s="523"/>
      <c r="CH190" s="523"/>
      <c r="CI190" s="523">
        <f t="shared" si="38"/>
        <v>1</v>
      </c>
    </row>
    <row r="191" spans="1:87" ht="15.75" x14ac:dyDescent="0.2">
      <c r="A191" s="600">
        <v>14</v>
      </c>
      <c r="B191" s="558"/>
      <c r="C191" s="558"/>
      <c r="D191" s="558" t="s">
        <v>656</v>
      </c>
      <c r="E191" s="626"/>
      <c r="F191" s="626"/>
      <c r="G191" s="626"/>
      <c r="H191" s="626"/>
      <c r="I191" s="747"/>
      <c r="J191" s="747"/>
      <c r="K191" s="747"/>
      <c r="L191" s="734">
        <f>SUM(L192:L194)</f>
        <v>11646.28</v>
      </c>
      <c r="M191" s="734">
        <f>SUM(M192:M194)</f>
        <v>0</v>
      </c>
      <c r="N191" s="734">
        <f>SUM(N192:N194)</f>
        <v>0</v>
      </c>
      <c r="O191" s="721">
        <f>SUM(O192:O194)</f>
        <v>11646.28</v>
      </c>
      <c r="P191" s="604">
        <f t="shared" si="37"/>
        <v>0</v>
      </c>
      <c r="Q191" s="525">
        <f>I191-'[9]8'!I190</f>
        <v>0</v>
      </c>
      <c r="S191" s="189">
        <v>0</v>
      </c>
      <c r="T191" s="189">
        <v>0</v>
      </c>
      <c r="BT191" s="525"/>
      <c r="BU191" s="523"/>
      <c r="BV191" s="523"/>
      <c r="BW191" s="523"/>
      <c r="BX191" s="523"/>
      <c r="BY191" s="523">
        <v>0</v>
      </c>
      <c r="BZ191" s="523">
        <v>0</v>
      </c>
      <c r="CA191" s="523"/>
      <c r="CB191" s="523"/>
      <c r="CC191" s="523"/>
      <c r="CD191" s="523"/>
      <c r="CE191" s="523"/>
      <c r="CF191" s="523"/>
      <c r="CG191" s="523"/>
      <c r="CH191" s="523"/>
      <c r="CI191" s="523">
        <f t="shared" si="38"/>
        <v>0</v>
      </c>
    </row>
    <row r="192" spans="1:87" ht="15" x14ac:dyDescent="0.2">
      <c r="A192" s="680" t="s">
        <v>355</v>
      </c>
      <c r="B192" s="569">
        <v>83688</v>
      </c>
      <c r="C192" s="569" t="s">
        <v>1324</v>
      </c>
      <c r="D192" s="569" t="s">
        <v>1638</v>
      </c>
      <c r="E192" s="681" t="s">
        <v>81</v>
      </c>
      <c r="F192" s="644">
        <v>415</v>
      </c>
      <c r="G192" s="682">
        <v>141.97999999999999</v>
      </c>
      <c r="H192" s="681">
        <v>76.400000000000006</v>
      </c>
      <c r="I192" s="685">
        <f t="shared" si="39"/>
        <v>0</v>
      </c>
      <c r="J192" s="573">
        <f t="shared" si="40"/>
        <v>0</v>
      </c>
      <c r="K192" s="644">
        <f t="shared" si="35"/>
        <v>76.400000000000006</v>
      </c>
      <c r="L192" s="708">
        <f t="shared" ref="L192:O194" si="45">ROUND(H192*$G192,2)</f>
        <v>10847.27</v>
      </c>
      <c r="M192" s="708">
        <f t="shared" si="45"/>
        <v>0</v>
      </c>
      <c r="N192" s="708">
        <f t="shared" si="45"/>
        <v>0</v>
      </c>
      <c r="O192" s="718">
        <f t="shared" si="45"/>
        <v>10847.27</v>
      </c>
      <c r="P192" s="617">
        <f t="shared" si="37"/>
        <v>0</v>
      </c>
      <c r="Q192" s="525">
        <f>I192-'[9]8'!I191</f>
        <v>0</v>
      </c>
      <c r="S192" s="189">
        <v>0</v>
      </c>
      <c r="T192" s="189">
        <v>0</v>
      </c>
      <c r="BT192" s="525"/>
      <c r="BU192" s="523"/>
      <c r="BV192" s="523"/>
      <c r="BW192" s="523"/>
      <c r="BX192" s="523"/>
      <c r="BY192" s="523">
        <v>0</v>
      </c>
      <c r="BZ192" s="523">
        <v>0</v>
      </c>
      <c r="CA192" s="523">
        <v>0</v>
      </c>
      <c r="CB192" s="523">
        <v>0</v>
      </c>
      <c r="CC192" s="523"/>
      <c r="CD192" s="523"/>
      <c r="CE192" s="523"/>
      <c r="CF192" s="523"/>
      <c r="CG192" s="523"/>
      <c r="CH192" s="523"/>
      <c r="CI192" s="523">
        <f t="shared" si="38"/>
        <v>0</v>
      </c>
    </row>
    <row r="193" spans="1:87" ht="15" x14ac:dyDescent="0.2">
      <c r="A193" s="680" t="s">
        <v>1639</v>
      </c>
      <c r="B193" s="569" t="s">
        <v>2007</v>
      </c>
      <c r="C193" s="569" t="s">
        <v>1339</v>
      </c>
      <c r="D193" s="569" t="s">
        <v>1640</v>
      </c>
      <c r="E193" s="681" t="s">
        <v>102</v>
      </c>
      <c r="F193" s="644">
        <v>63.04</v>
      </c>
      <c r="G193" s="682">
        <v>76.84</v>
      </c>
      <c r="H193" s="681">
        <v>8</v>
      </c>
      <c r="I193" s="685">
        <f t="shared" si="39"/>
        <v>0</v>
      </c>
      <c r="J193" s="573">
        <f t="shared" si="40"/>
        <v>0</v>
      </c>
      <c r="K193" s="644">
        <f t="shared" si="35"/>
        <v>8</v>
      </c>
      <c r="L193" s="708">
        <f t="shared" si="45"/>
        <v>614.72</v>
      </c>
      <c r="M193" s="708">
        <f t="shared" si="45"/>
        <v>0</v>
      </c>
      <c r="N193" s="708">
        <f t="shared" si="45"/>
        <v>0</v>
      </c>
      <c r="O193" s="718">
        <f t="shared" si="45"/>
        <v>614.72</v>
      </c>
      <c r="P193" s="617">
        <f t="shared" si="37"/>
        <v>0</v>
      </c>
      <c r="Q193" s="525">
        <f>I193-'[9]8'!I192</f>
        <v>0</v>
      </c>
      <c r="S193" s="189">
        <v>0</v>
      </c>
      <c r="T193" s="189">
        <v>0</v>
      </c>
      <c r="BT193" s="525"/>
      <c r="BU193" s="523"/>
      <c r="BV193" s="523"/>
      <c r="BW193" s="523"/>
      <c r="BX193" s="523"/>
      <c r="BY193" s="523">
        <v>0</v>
      </c>
      <c r="BZ193" s="523">
        <v>0</v>
      </c>
      <c r="CA193" s="523">
        <v>0</v>
      </c>
      <c r="CB193" s="523">
        <v>0</v>
      </c>
      <c r="CC193" s="523"/>
      <c r="CD193" s="523"/>
      <c r="CE193" s="523"/>
      <c r="CF193" s="523"/>
      <c r="CG193" s="523"/>
      <c r="CH193" s="523"/>
      <c r="CI193" s="523">
        <f t="shared" si="38"/>
        <v>0</v>
      </c>
    </row>
    <row r="194" spans="1:87" s="790" customFormat="1" ht="15" x14ac:dyDescent="0.2">
      <c r="A194" s="680" t="s">
        <v>1641</v>
      </c>
      <c r="B194" s="569">
        <v>88549</v>
      </c>
      <c r="C194" s="569" t="s">
        <v>1324</v>
      </c>
      <c r="D194" s="569" t="s">
        <v>1642</v>
      </c>
      <c r="E194" s="681" t="s">
        <v>48</v>
      </c>
      <c r="F194" s="630"/>
      <c r="G194" s="682">
        <v>98.55</v>
      </c>
      <c r="H194" s="681">
        <v>1.87</v>
      </c>
      <c r="I194" s="685">
        <f t="shared" si="39"/>
        <v>0</v>
      </c>
      <c r="J194" s="573">
        <f t="shared" si="40"/>
        <v>0</v>
      </c>
      <c r="K194" s="644">
        <f t="shared" si="35"/>
        <v>1.87</v>
      </c>
      <c r="L194" s="708">
        <f t="shared" si="45"/>
        <v>184.29</v>
      </c>
      <c r="M194" s="708">
        <f t="shared" si="45"/>
        <v>0</v>
      </c>
      <c r="N194" s="708">
        <f t="shared" si="45"/>
        <v>0</v>
      </c>
      <c r="O194" s="718">
        <f t="shared" si="45"/>
        <v>184.29</v>
      </c>
      <c r="P194" s="617">
        <f t="shared" si="37"/>
        <v>0</v>
      </c>
      <c r="Q194" s="525">
        <f>I194-'[9]8'!I193</f>
        <v>0</v>
      </c>
      <c r="S194" s="190">
        <v>0</v>
      </c>
      <c r="T194" s="190">
        <v>0</v>
      </c>
      <c r="BT194" s="525"/>
      <c r="BU194" s="523"/>
      <c r="BV194" s="523"/>
      <c r="BW194" s="523"/>
      <c r="BX194" s="523"/>
      <c r="BY194" s="523">
        <v>0</v>
      </c>
      <c r="BZ194" s="523">
        <v>0</v>
      </c>
      <c r="CA194" s="523">
        <v>0</v>
      </c>
      <c r="CB194" s="523">
        <v>0</v>
      </c>
      <c r="CC194" s="523"/>
      <c r="CD194" s="523"/>
      <c r="CE194" s="523"/>
      <c r="CF194" s="523"/>
      <c r="CG194" s="523"/>
      <c r="CH194" s="523"/>
      <c r="CI194" s="523">
        <f t="shared" si="38"/>
        <v>0</v>
      </c>
    </row>
    <row r="195" spans="1:87" ht="15.75" x14ac:dyDescent="0.2">
      <c r="A195" s="600">
        <v>15</v>
      </c>
      <c r="B195" s="558"/>
      <c r="C195" s="558"/>
      <c r="D195" s="558" t="s">
        <v>1643</v>
      </c>
      <c r="E195" s="626"/>
      <c r="F195" s="626"/>
      <c r="G195" s="626"/>
      <c r="H195" s="626"/>
      <c r="I195" s="747"/>
      <c r="J195" s="747"/>
      <c r="K195" s="747"/>
      <c r="L195" s="734">
        <f>SUM(L196:L208)</f>
        <v>7636.1200000000017</v>
      </c>
      <c r="M195" s="734">
        <f>SUM(M196:M208)</f>
        <v>0</v>
      </c>
      <c r="N195" s="734">
        <f>SUM(N196:N208)</f>
        <v>0</v>
      </c>
      <c r="O195" s="721">
        <f>SUM(O196:O208)</f>
        <v>7636.1200000000017</v>
      </c>
      <c r="P195" s="604">
        <f t="shared" si="37"/>
        <v>0</v>
      </c>
      <c r="Q195" s="525">
        <f>I195-'[9]8'!I194</f>
        <v>0</v>
      </c>
      <c r="S195" s="189">
        <v>0</v>
      </c>
      <c r="T195" s="189">
        <v>0</v>
      </c>
      <c r="BT195" s="525"/>
      <c r="BU195" s="523"/>
      <c r="BV195" s="523"/>
      <c r="BW195" s="523"/>
      <c r="BX195" s="523"/>
      <c r="BY195" s="523">
        <v>0</v>
      </c>
      <c r="BZ195" s="523">
        <v>0</v>
      </c>
      <c r="CA195" s="523"/>
      <c r="CB195" s="523"/>
      <c r="CC195" s="523"/>
      <c r="CD195" s="523"/>
      <c r="CE195" s="523"/>
      <c r="CF195" s="523"/>
      <c r="CG195" s="523"/>
      <c r="CH195" s="523"/>
      <c r="CI195" s="523">
        <f t="shared" si="38"/>
        <v>0</v>
      </c>
    </row>
    <row r="196" spans="1:87" ht="15" x14ac:dyDescent="0.2">
      <c r="A196" s="680" t="s">
        <v>494</v>
      </c>
      <c r="B196" s="569">
        <v>6021</v>
      </c>
      <c r="C196" s="569" t="s">
        <v>1324</v>
      </c>
      <c r="D196" s="569" t="s">
        <v>1644</v>
      </c>
      <c r="E196" s="681" t="s">
        <v>102</v>
      </c>
      <c r="F196" s="571"/>
      <c r="G196" s="682">
        <v>330.33</v>
      </c>
      <c r="H196" s="681">
        <v>6</v>
      </c>
      <c r="I196" s="685">
        <f t="shared" si="39"/>
        <v>0</v>
      </c>
      <c r="J196" s="573">
        <f t="shared" si="40"/>
        <v>0</v>
      </c>
      <c r="K196" s="644">
        <f t="shared" ref="K196:K259" si="46">H196-J196</f>
        <v>6</v>
      </c>
      <c r="L196" s="708">
        <f t="shared" ref="L196:O208" si="47">ROUND(H196*$G196,2)</f>
        <v>1981.98</v>
      </c>
      <c r="M196" s="708">
        <f t="shared" si="47"/>
        <v>0</v>
      </c>
      <c r="N196" s="708">
        <f t="shared" si="47"/>
        <v>0</v>
      </c>
      <c r="O196" s="718">
        <f t="shared" si="47"/>
        <v>1981.98</v>
      </c>
      <c r="P196" s="617">
        <f t="shared" si="37"/>
        <v>0</v>
      </c>
      <c r="Q196" s="525">
        <f>I196-'[9]8'!I195</f>
        <v>0</v>
      </c>
      <c r="S196" s="189">
        <v>0</v>
      </c>
      <c r="T196" s="189">
        <v>0</v>
      </c>
      <c r="BT196" s="525"/>
      <c r="BU196" s="523"/>
      <c r="BV196" s="523"/>
      <c r="BW196" s="523"/>
      <c r="BX196" s="523"/>
      <c r="BY196" s="523">
        <v>0</v>
      </c>
      <c r="BZ196" s="523">
        <v>0</v>
      </c>
      <c r="CA196" s="523">
        <v>0</v>
      </c>
      <c r="CB196" s="523">
        <v>0</v>
      </c>
      <c r="CC196" s="523"/>
      <c r="CD196" s="523"/>
      <c r="CE196" s="523"/>
      <c r="CF196" s="523"/>
      <c r="CG196" s="523"/>
      <c r="CH196" s="523"/>
      <c r="CI196" s="523">
        <f t="shared" si="38"/>
        <v>0</v>
      </c>
    </row>
    <row r="197" spans="1:87" ht="15" x14ac:dyDescent="0.2">
      <c r="A197" s="680" t="s">
        <v>496</v>
      </c>
      <c r="B197" s="569">
        <v>40729</v>
      </c>
      <c r="C197" s="569" t="s">
        <v>1324</v>
      </c>
      <c r="D197" s="569" t="s">
        <v>1645</v>
      </c>
      <c r="E197" s="681" t="s">
        <v>102</v>
      </c>
      <c r="F197" s="571"/>
      <c r="G197" s="682">
        <v>204.63</v>
      </c>
      <c r="H197" s="681">
        <v>6</v>
      </c>
      <c r="I197" s="685">
        <f t="shared" si="39"/>
        <v>0</v>
      </c>
      <c r="J197" s="573">
        <f t="shared" si="40"/>
        <v>0</v>
      </c>
      <c r="K197" s="644">
        <f t="shared" si="46"/>
        <v>6</v>
      </c>
      <c r="L197" s="708">
        <f t="shared" si="47"/>
        <v>1227.78</v>
      </c>
      <c r="M197" s="708">
        <f t="shared" si="47"/>
        <v>0</v>
      </c>
      <c r="N197" s="708">
        <f t="shared" si="47"/>
        <v>0</v>
      </c>
      <c r="O197" s="718">
        <f t="shared" si="47"/>
        <v>1227.78</v>
      </c>
      <c r="P197" s="617">
        <f t="shared" si="37"/>
        <v>0</v>
      </c>
      <c r="Q197" s="525">
        <f>I197-'[9]8'!I196</f>
        <v>0</v>
      </c>
      <c r="S197" s="189">
        <v>0</v>
      </c>
      <c r="T197" s="189">
        <v>0</v>
      </c>
      <c r="BT197" s="525"/>
      <c r="BU197" s="523"/>
      <c r="BV197" s="523"/>
      <c r="BW197" s="523"/>
      <c r="BX197" s="523"/>
      <c r="BY197" s="523">
        <v>0</v>
      </c>
      <c r="BZ197" s="523">
        <v>0</v>
      </c>
      <c r="CA197" s="523">
        <v>0</v>
      </c>
      <c r="CB197" s="523">
        <v>0</v>
      </c>
      <c r="CC197" s="523"/>
      <c r="CD197" s="523"/>
      <c r="CE197" s="523"/>
      <c r="CF197" s="523"/>
      <c r="CG197" s="523"/>
      <c r="CH197" s="523"/>
      <c r="CI197" s="523">
        <f t="shared" si="38"/>
        <v>0</v>
      </c>
    </row>
    <row r="198" spans="1:87" ht="15" x14ac:dyDescent="0.2">
      <c r="A198" s="680" t="s">
        <v>498</v>
      </c>
      <c r="B198" s="569">
        <v>86901</v>
      </c>
      <c r="C198" s="569" t="s">
        <v>1324</v>
      </c>
      <c r="D198" s="569" t="s">
        <v>1646</v>
      </c>
      <c r="E198" s="681" t="s">
        <v>102</v>
      </c>
      <c r="F198" s="644">
        <v>11.27</v>
      </c>
      <c r="G198" s="682">
        <v>102.4</v>
      </c>
      <c r="H198" s="681">
        <v>6</v>
      </c>
      <c r="I198" s="685">
        <f t="shared" si="39"/>
        <v>0</v>
      </c>
      <c r="J198" s="573">
        <f t="shared" si="40"/>
        <v>0</v>
      </c>
      <c r="K198" s="644">
        <f t="shared" si="46"/>
        <v>6</v>
      </c>
      <c r="L198" s="708">
        <f t="shared" si="47"/>
        <v>614.4</v>
      </c>
      <c r="M198" s="708">
        <f t="shared" si="47"/>
        <v>0</v>
      </c>
      <c r="N198" s="708">
        <f t="shared" si="47"/>
        <v>0</v>
      </c>
      <c r="O198" s="718">
        <f t="shared" si="47"/>
        <v>614.4</v>
      </c>
      <c r="P198" s="617">
        <f t="shared" si="37"/>
        <v>0</v>
      </c>
      <c r="Q198" s="525">
        <f>I198-'[9]8'!I197</f>
        <v>0</v>
      </c>
      <c r="S198" s="189">
        <v>0</v>
      </c>
      <c r="T198" s="189">
        <v>0</v>
      </c>
      <c r="BT198" s="525"/>
      <c r="BU198" s="523"/>
      <c r="BV198" s="523"/>
      <c r="BW198" s="523"/>
      <c r="BX198" s="523"/>
      <c r="BY198" s="523">
        <v>0</v>
      </c>
      <c r="BZ198" s="523">
        <v>0</v>
      </c>
      <c r="CA198" s="523">
        <v>0</v>
      </c>
      <c r="CB198" s="523">
        <v>0</v>
      </c>
      <c r="CC198" s="523"/>
      <c r="CD198" s="523"/>
      <c r="CE198" s="523"/>
      <c r="CF198" s="523"/>
      <c r="CG198" s="523"/>
      <c r="CH198" s="523"/>
      <c r="CI198" s="523">
        <f t="shared" si="38"/>
        <v>0</v>
      </c>
    </row>
    <row r="199" spans="1:87" ht="15" x14ac:dyDescent="0.2">
      <c r="A199" s="680" t="s">
        <v>500</v>
      </c>
      <c r="B199" s="569">
        <v>86942</v>
      </c>
      <c r="C199" s="569" t="s">
        <v>1324</v>
      </c>
      <c r="D199" s="569" t="s">
        <v>1647</v>
      </c>
      <c r="E199" s="681" t="s">
        <v>102</v>
      </c>
      <c r="F199" s="644">
        <v>11.89</v>
      </c>
      <c r="G199" s="682">
        <v>160.06</v>
      </c>
      <c r="H199" s="681">
        <v>2</v>
      </c>
      <c r="I199" s="685">
        <f t="shared" si="39"/>
        <v>0</v>
      </c>
      <c r="J199" s="573">
        <f t="shared" si="40"/>
        <v>0</v>
      </c>
      <c r="K199" s="644">
        <f t="shared" si="46"/>
        <v>2</v>
      </c>
      <c r="L199" s="708">
        <f t="shared" si="47"/>
        <v>320.12</v>
      </c>
      <c r="M199" s="708">
        <f t="shared" si="47"/>
        <v>0</v>
      </c>
      <c r="N199" s="708">
        <f t="shared" si="47"/>
        <v>0</v>
      </c>
      <c r="O199" s="718">
        <f t="shared" si="47"/>
        <v>320.12</v>
      </c>
      <c r="P199" s="617">
        <f t="shared" si="37"/>
        <v>0</v>
      </c>
      <c r="Q199" s="525">
        <f>I199-'[9]8'!I198</f>
        <v>0</v>
      </c>
      <c r="S199" s="189">
        <v>0</v>
      </c>
      <c r="T199" s="189">
        <v>0</v>
      </c>
      <c r="BT199" s="525"/>
      <c r="BU199" s="523"/>
      <c r="BV199" s="523"/>
      <c r="BW199" s="523"/>
      <c r="BX199" s="523"/>
      <c r="BY199" s="523">
        <v>0</v>
      </c>
      <c r="BZ199" s="523">
        <v>0</v>
      </c>
      <c r="CA199" s="523">
        <v>0</v>
      </c>
      <c r="CB199" s="523">
        <v>0</v>
      </c>
      <c r="CC199" s="523"/>
      <c r="CD199" s="523"/>
      <c r="CE199" s="523"/>
      <c r="CF199" s="523"/>
      <c r="CG199" s="523"/>
      <c r="CH199" s="523"/>
      <c r="CI199" s="523">
        <f t="shared" si="38"/>
        <v>0</v>
      </c>
    </row>
    <row r="200" spans="1:87" ht="15" x14ac:dyDescent="0.2">
      <c r="A200" s="680" t="s">
        <v>502</v>
      </c>
      <c r="B200" s="569" t="s">
        <v>2007</v>
      </c>
      <c r="C200" s="569" t="s">
        <v>1339</v>
      </c>
      <c r="D200" s="569" t="s">
        <v>1648</v>
      </c>
      <c r="E200" s="681" t="s">
        <v>102</v>
      </c>
      <c r="F200" s="644">
        <v>28.56</v>
      </c>
      <c r="G200" s="682">
        <v>223.26</v>
      </c>
      <c r="H200" s="681">
        <v>2</v>
      </c>
      <c r="I200" s="685">
        <f t="shared" si="39"/>
        <v>0</v>
      </c>
      <c r="J200" s="573">
        <f t="shared" si="40"/>
        <v>0</v>
      </c>
      <c r="K200" s="644">
        <f t="shared" si="46"/>
        <v>2</v>
      </c>
      <c r="L200" s="708">
        <f t="shared" si="47"/>
        <v>446.52</v>
      </c>
      <c r="M200" s="708">
        <f t="shared" si="47"/>
        <v>0</v>
      </c>
      <c r="N200" s="708">
        <f t="shared" si="47"/>
        <v>0</v>
      </c>
      <c r="O200" s="718">
        <f t="shared" si="47"/>
        <v>446.52</v>
      </c>
      <c r="P200" s="617">
        <f t="shared" si="37"/>
        <v>0</v>
      </c>
      <c r="Q200" s="525">
        <f>I200-'[9]8'!I199</f>
        <v>0</v>
      </c>
      <c r="S200" s="189">
        <v>0</v>
      </c>
      <c r="T200" s="189">
        <v>0</v>
      </c>
      <c r="BT200" s="525"/>
      <c r="BU200" s="523"/>
      <c r="BV200" s="523"/>
      <c r="BW200" s="523"/>
      <c r="BX200" s="523"/>
      <c r="BY200" s="523">
        <v>0</v>
      </c>
      <c r="BZ200" s="523">
        <v>0</v>
      </c>
      <c r="CA200" s="523">
        <v>0</v>
      </c>
      <c r="CB200" s="523">
        <v>0</v>
      </c>
      <c r="CC200" s="523"/>
      <c r="CD200" s="523"/>
      <c r="CE200" s="523"/>
      <c r="CF200" s="523"/>
      <c r="CG200" s="523"/>
      <c r="CH200" s="523"/>
      <c r="CI200" s="523">
        <f t="shared" si="38"/>
        <v>0</v>
      </c>
    </row>
    <row r="201" spans="1:87" ht="15" x14ac:dyDescent="0.2">
      <c r="A201" s="680" t="s">
        <v>504</v>
      </c>
      <c r="B201" s="569">
        <v>86906</v>
      </c>
      <c r="C201" s="569" t="s">
        <v>1324</v>
      </c>
      <c r="D201" s="569" t="s">
        <v>1649</v>
      </c>
      <c r="E201" s="681" t="s">
        <v>102</v>
      </c>
      <c r="F201" s="644">
        <v>35.53</v>
      </c>
      <c r="G201" s="682">
        <v>39.97</v>
      </c>
      <c r="H201" s="681">
        <v>8</v>
      </c>
      <c r="I201" s="685">
        <f t="shared" si="39"/>
        <v>0</v>
      </c>
      <c r="J201" s="573">
        <f t="shared" si="40"/>
        <v>0</v>
      </c>
      <c r="K201" s="644">
        <f t="shared" si="46"/>
        <v>8</v>
      </c>
      <c r="L201" s="708">
        <f t="shared" si="47"/>
        <v>319.76</v>
      </c>
      <c r="M201" s="708">
        <f t="shared" si="47"/>
        <v>0</v>
      </c>
      <c r="N201" s="708">
        <f t="shared" si="47"/>
        <v>0</v>
      </c>
      <c r="O201" s="718">
        <f t="shared" si="47"/>
        <v>319.76</v>
      </c>
      <c r="P201" s="617">
        <f t="shared" si="37"/>
        <v>0</v>
      </c>
      <c r="Q201" s="525">
        <f>I201-'[9]8'!I200</f>
        <v>0</v>
      </c>
      <c r="S201" s="189">
        <v>0</v>
      </c>
      <c r="T201" s="189">
        <v>0</v>
      </c>
      <c r="BT201" s="525"/>
      <c r="BU201" s="523"/>
      <c r="BV201" s="523"/>
      <c r="BW201" s="523"/>
      <c r="BX201" s="523"/>
      <c r="BY201" s="523">
        <v>0</v>
      </c>
      <c r="BZ201" s="523">
        <v>0</v>
      </c>
      <c r="CA201" s="523">
        <v>0</v>
      </c>
      <c r="CB201" s="523">
        <v>0</v>
      </c>
      <c r="CC201" s="523"/>
      <c r="CD201" s="523"/>
      <c r="CE201" s="523"/>
      <c r="CF201" s="523"/>
      <c r="CG201" s="523"/>
      <c r="CH201" s="523"/>
      <c r="CI201" s="523">
        <f t="shared" si="38"/>
        <v>0</v>
      </c>
    </row>
    <row r="202" spans="1:87" ht="15" x14ac:dyDescent="0.2">
      <c r="A202" s="680" t="s">
        <v>506</v>
      </c>
      <c r="B202" s="569">
        <v>86914</v>
      </c>
      <c r="C202" s="569" t="s">
        <v>1324</v>
      </c>
      <c r="D202" s="569" t="s">
        <v>1650</v>
      </c>
      <c r="E202" s="681" t="s">
        <v>102</v>
      </c>
      <c r="F202" s="644">
        <v>47.11</v>
      </c>
      <c r="G202" s="682">
        <v>31.02</v>
      </c>
      <c r="H202" s="681">
        <v>2</v>
      </c>
      <c r="I202" s="685">
        <f t="shared" si="39"/>
        <v>0</v>
      </c>
      <c r="J202" s="573">
        <f t="shared" si="40"/>
        <v>0</v>
      </c>
      <c r="K202" s="644">
        <f t="shared" si="46"/>
        <v>2</v>
      </c>
      <c r="L202" s="708">
        <f t="shared" si="47"/>
        <v>62.04</v>
      </c>
      <c r="M202" s="708">
        <f t="shared" si="47"/>
        <v>0</v>
      </c>
      <c r="N202" s="708">
        <f t="shared" si="47"/>
        <v>0</v>
      </c>
      <c r="O202" s="718">
        <f t="shared" si="47"/>
        <v>62.04</v>
      </c>
      <c r="P202" s="617">
        <f t="shared" si="37"/>
        <v>0</v>
      </c>
      <c r="Q202" s="525">
        <f>I202-'[9]8'!I201</f>
        <v>0</v>
      </c>
      <c r="S202" s="189">
        <v>0</v>
      </c>
      <c r="T202" s="189">
        <v>0</v>
      </c>
      <c r="BT202" s="525"/>
      <c r="BU202" s="523"/>
      <c r="BV202" s="523"/>
      <c r="BW202" s="523"/>
      <c r="BX202" s="523"/>
      <c r="BY202" s="523">
        <v>0</v>
      </c>
      <c r="BZ202" s="523">
        <v>0</v>
      </c>
      <c r="CA202" s="523">
        <v>0</v>
      </c>
      <c r="CB202" s="523">
        <v>0</v>
      </c>
      <c r="CC202" s="523"/>
      <c r="CD202" s="523"/>
      <c r="CE202" s="523"/>
      <c r="CF202" s="523"/>
      <c r="CG202" s="523"/>
      <c r="CH202" s="523"/>
      <c r="CI202" s="523">
        <f t="shared" si="38"/>
        <v>0</v>
      </c>
    </row>
    <row r="203" spans="1:87" ht="15" x14ac:dyDescent="0.2">
      <c r="A203" s="680" t="s">
        <v>508</v>
      </c>
      <c r="B203" s="569">
        <v>9535</v>
      </c>
      <c r="C203" s="569" t="s">
        <v>1324</v>
      </c>
      <c r="D203" s="569" t="s">
        <v>1651</v>
      </c>
      <c r="E203" s="681" t="s">
        <v>102</v>
      </c>
      <c r="F203" s="571"/>
      <c r="G203" s="682">
        <v>30.06</v>
      </c>
      <c r="H203" s="681">
        <v>6</v>
      </c>
      <c r="I203" s="685">
        <f t="shared" si="39"/>
        <v>0</v>
      </c>
      <c r="J203" s="573">
        <f t="shared" si="40"/>
        <v>0</v>
      </c>
      <c r="K203" s="644">
        <f t="shared" si="46"/>
        <v>6</v>
      </c>
      <c r="L203" s="708">
        <f t="shared" si="47"/>
        <v>180.36</v>
      </c>
      <c r="M203" s="708">
        <f t="shared" si="47"/>
        <v>0</v>
      </c>
      <c r="N203" s="708">
        <f t="shared" si="47"/>
        <v>0</v>
      </c>
      <c r="O203" s="718">
        <f t="shared" si="47"/>
        <v>180.36</v>
      </c>
      <c r="P203" s="617">
        <f t="shared" si="37"/>
        <v>0</v>
      </c>
      <c r="Q203" s="525">
        <f>I203-'[9]8'!I202</f>
        <v>0</v>
      </c>
      <c r="S203" s="189">
        <v>0</v>
      </c>
      <c r="T203" s="189">
        <v>0</v>
      </c>
      <c r="BT203" s="525"/>
      <c r="BU203" s="523"/>
      <c r="BV203" s="523"/>
      <c r="BW203" s="523"/>
      <c r="BX203" s="523"/>
      <c r="BY203" s="523">
        <v>0</v>
      </c>
      <c r="BZ203" s="523">
        <v>0</v>
      </c>
      <c r="CA203" s="523">
        <v>0</v>
      </c>
      <c r="CB203" s="523">
        <v>0</v>
      </c>
      <c r="CC203" s="523"/>
      <c r="CD203" s="523"/>
      <c r="CE203" s="523"/>
      <c r="CF203" s="523"/>
      <c r="CG203" s="523"/>
      <c r="CH203" s="523"/>
      <c r="CI203" s="523">
        <f t="shared" si="38"/>
        <v>0</v>
      </c>
    </row>
    <row r="204" spans="1:87" ht="30" x14ac:dyDescent="0.2">
      <c r="A204" s="680" t="s">
        <v>511</v>
      </c>
      <c r="B204" s="569" t="s">
        <v>2007</v>
      </c>
      <c r="C204" s="569" t="s">
        <v>1339</v>
      </c>
      <c r="D204" s="569" t="s">
        <v>1652</v>
      </c>
      <c r="E204" s="681" t="s">
        <v>102</v>
      </c>
      <c r="F204" s="644">
        <v>5.09</v>
      </c>
      <c r="G204" s="682">
        <v>141.72</v>
      </c>
      <c r="H204" s="681">
        <v>6</v>
      </c>
      <c r="I204" s="685">
        <f t="shared" si="39"/>
        <v>0</v>
      </c>
      <c r="J204" s="573">
        <f t="shared" si="40"/>
        <v>0</v>
      </c>
      <c r="K204" s="644">
        <f t="shared" si="46"/>
        <v>6</v>
      </c>
      <c r="L204" s="708">
        <f t="shared" si="47"/>
        <v>850.32</v>
      </c>
      <c r="M204" s="708">
        <f t="shared" si="47"/>
        <v>0</v>
      </c>
      <c r="N204" s="708">
        <f t="shared" si="47"/>
        <v>0</v>
      </c>
      <c r="O204" s="718">
        <f t="shared" si="47"/>
        <v>850.32</v>
      </c>
      <c r="P204" s="617">
        <f t="shared" si="37"/>
        <v>0</v>
      </c>
      <c r="Q204" s="525">
        <f>I204-'[9]8'!I203</f>
        <v>0</v>
      </c>
      <c r="S204" s="189">
        <v>0</v>
      </c>
      <c r="T204" s="189">
        <v>0</v>
      </c>
      <c r="BT204" s="525"/>
      <c r="BU204" s="523"/>
      <c r="BV204" s="523"/>
      <c r="BW204" s="523"/>
      <c r="BX204" s="523"/>
      <c r="BY204" s="523">
        <v>0</v>
      </c>
      <c r="BZ204" s="523">
        <v>0</v>
      </c>
      <c r="CA204" s="523">
        <v>0</v>
      </c>
      <c r="CB204" s="523">
        <v>0</v>
      </c>
      <c r="CC204" s="523"/>
      <c r="CD204" s="523"/>
      <c r="CE204" s="523"/>
      <c r="CF204" s="523"/>
      <c r="CG204" s="523"/>
      <c r="CH204" s="523"/>
      <c r="CI204" s="523">
        <f t="shared" si="38"/>
        <v>0</v>
      </c>
    </row>
    <row r="205" spans="1:87" ht="15" x14ac:dyDescent="0.2">
      <c r="A205" s="680" t="s">
        <v>513</v>
      </c>
      <c r="B205" s="569" t="s">
        <v>2007</v>
      </c>
      <c r="C205" s="569" t="s">
        <v>1339</v>
      </c>
      <c r="D205" s="569" t="s">
        <v>1653</v>
      </c>
      <c r="E205" s="681" t="s">
        <v>102</v>
      </c>
      <c r="F205" s="644">
        <v>6.77</v>
      </c>
      <c r="G205" s="682">
        <v>39.700000000000003</v>
      </c>
      <c r="H205" s="681">
        <v>4</v>
      </c>
      <c r="I205" s="685">
        <f t="shared" si="39"/>
        <v>0</v>
      </c>
      <c r="J205" s="573">
        <f t="shared" si="40"/>
        <v>0</v>
      </c>
      <c r="K205" s="644">
        <f t="shared" si="46"/>
        <v>4</v>
      </c>
      <c r="L205" s="708">
        <f t="shared" si="47"/>
        <v>158.80000000000001</v>
      </c>
      <c r="M205" s="708">
        <f t="shared" si="47"/>
        <v>0</v>
      </c>
      <c r="N205" s="708">
        <f t="shared" si="47"/>
        <v>0</v>
      </c>
      <c r="O205" s="718">
        <f t="shared" si="47"/>
        <v>158.80000000000001</v>
      </c>
      <c r="P205" s="617">
        <f t="shared" si="37"/>
        <v>0</v>
      </c>
      <c r="Q205" s="525">
        <f>I205-'[9]8'!I204</f>
        <v>0</v>
      </c>
      <c r="S205" s="189">
        <v>0</v>
      </c>
      <c r="T205" s="189">
        <v>0</v>
      </c>
      <c r="BT205" s="525"/>
      <c r="BU205" s="523"/>
      <c r="BV205" s="523"/>
      <c r="BW205" s="523"/>
      <c r="BX205" s="523"/>
      <c r="BY205" s="523">
        <v>0</v>
      </c>
      <c r="BZ205" s="523">
        <v>0</v>
      </c>
      <c r="CA205" s="523">
        <v>0</v>
      </c>
      <c r="CB205" s="523">
        <v>0</v>
      </c>
      <c r="CC205" s="523"/>
      <c r="CD205" s="523"/>
      <c r="CE205" s="523"/>
      <c r="CF205" s="523"/>
      <c r="CG205" s="523"/>
      <c r="CH205" s="523"/>
      <c r="CI205" s="523">
        <f t="shared" si="38"/>
        <v>0</v>
      </c>
    </row>
    <row r="206" spans="1:87" ht="15" x14ac:dyDescent="0.2">
      <c r="A206" s="680" t="s">
        <v>515</v>
      </c>
      <c r="B206" s="569" t="s">
        <v>2007</v>
      </c>
      <c r="C206" s="569" t="s">
        <v>1339</v>
      </c>
      <c r="D206" s="569" t="s">
        <v>1654</v>
      </c>
      <c r="E206" s="681" t="s">
        <v>102</v>
      </c>
      <c r="F206" s="644">
        <v>10.76</v>
      </c>
      <c r="G206" s="682">
        <v>30.45</v>
      </c>
      <c r="H206" s="681">
        <v>4</v>
      </c>
      <c r="I206" s="685">
        <f t="shared" si="39"/>
        <v>0</v>
      </c>
      <c r="J206" s="573">
        <f t="shared" si="40"/>
        <v>0</v>
      </c>
      <c r="K206" s="644">
        <f t="shared" si="46"/>
        <v>4</v>
      </c>
      <c r="L206" s="708">
        <f t="shared" si="47"/>
        <v>121.8</v>
      </c>
      <c r="M206" s="708">
        <f t="shared" si="47"/>
        <v>0</v>
      </c>
      <c r="N206" s="708">
        <f t="shared" si="47"/>
        <v>0</v>
      </c>
      <c r="O206" s="718">
        <f t="shared" si="47"/>
        <v>121.8</v>
      </c>
      <c r="P206" s="617">
        <f t="shared" ref="P206:P269" si="48">N206/L206</f>
        <v>0</v>
      </c>
      <c r="Q206" s="525">
        <f>I206-'[9]8'!I205</f>
        <v>0</v>
      </c>
      <c r="S206" s="189">
        <v>0</v>
      </c>
      <c r="T206" s="189">
        <v>0</v>
      </c>
      <c r="BT206" s="525"/>
      <c r="BU206" s="523"/>
      <c r="BV206" s="523"/>
      <c r="BW206" s="523"/>
      <c r="BX206" s="523"/>
      <c r="BY206" s="523">
        <v>0</v>
      </c>
      <c r="BZ206" s="523">
        <v>0</v>
      </c>
      <c r="CA206" s="523">
        <v>0</v>
      </c>
      <c r="CB206" s="523">
        <v>0</v>
      </c>
      <c r="CC206" s="523"/>
      <c r="CD206" s="523"/>
      <c r="CE206" s="523"/>
      <c r="CF206" s="523"/>
      <c r="CG206" s="523"/>
      <c r="CH206" s="523"/>
      <c r="CI206" s="523">
        <f t="shared" si="38"/>
        <v>0</v>
      </c>
    </row>
    <row r="207" spans="1:87" ht="15" x14ac:dyDescent="0.2">
      <c r="A207" s="680" t="s">
        <v>517</v>
      </c>
      <c r="B207" s="569" t="s">
        <v>2007</v>
      </c>
      <c r="C207" s="569" t="s">
        <v>1339</v>
      </c>
      <c r="D207" s="569" t="s">
        <v>1655</v>
      </c>
      <c r="E207" s="681" t="s">
        <v>102</v>
      </c>
      <c r="F207" s="644">
        <v>42.01</v>
      </c>
      <c r="G207" s="682">
        <v>32.1</v>
      </c>
      <c r="H207" s="681">
        <v>6</v>
      </c>
      <c r="I207" s="685">
        <f t="shared" si="39"/>
        <v>0</v>
      </c>
      <c r="J207" s="573">
        <f t="shared" si="40"/>
        <v>0</v>
      </c>
      <c r="K207" s="644">
        <f t="shared" si="46"/>
        <v>6</v>
      </c>
      <c r="L207" s="708">
        <f t="shared" si="47"/>
        <v>192.6</v>
      </c>
      <c r="M207" s="708">
        <f t="shared" si="47"/>
        <v>0</v>
      </c>
      <c r="N207" s="708">
        <f t="shared" si="47"/>
        <v>0</v>
      </c>
      <c r="O207" s="718">
        <f t="shared" si="47"/>
        <v>192.6</v>
      </c>
      <c r="P207" s="617">
        <f t="shared" si="48"/>
        <v>0</v>
      </c>
      <c r="Q207" s="525">
        <f>I207-'[9]8'!I206</f>
        <v>0</v>
      </c>
      <c r="S207" s="189">
        <v>0</v>
      </c>
      <c r="T207" s="189">
        <v>0</v>
      </c>
      <c r="BT207" s="525"/>
      <c r="BU207" s="523"/>
      <c r="BV207" s="523"/>
      <c r="BW207" s="523"/>
      <c r="BX207" s="523"/>
      <c r="BY207" s="523">
        <v>0</v>
      </c>
      <c r="BZ207" s="523">
        <v>0</v>
      </c>
      <c r="CA207" s="523">
        <v>0</v>
      </c>
      <c r="CB207" s="523">
        <v>0</v>
      </c>
      <c r="CC207" s="523"/>
      <c r="CD207" s="523"/>
      <c r="CE207" s="523"/>
      <c r="CF207" s="523"/>
      <c r="CG207" s="523"/>
      <c r="CH207" s="523"/>
      <c r="CI207" s="523">
        <f t="shared" si="38"/>
        <v>0</v>
      </c>
    </row>
    <row r="208" spans="1:87" s="790" customFormat="1" ht="15" x14ac:dyDescent="0.2">
      <c r="A208" s="680" t="s">
        <v>519</v>
      </c>
      <c r="B208" s="569" t="s">
        <v>2007</v>
      </c>
      <c r="C208" s="569" t="s">
        <v>1339</v>
      </c>
      <c r="D208" s="569" t="s">
        <v>1656</v>
      </c>
      <c r="E208" s="681" t="s">
        <v>102</v>
      </c>
      <c r="F208" s="644">
        <v>19.79</v>
      </c>
      <c r="G208" s="682">
        <v>579.82000000000005</v>
      </c>
      <c r="H208" s="681">
        <v>2</v>
      </c>
      <c r="I208" s="685">
        <f t="shared" si="39"/>
        <v>0</v>
      </c>
      <c r="J208" s="573">
        <f t="shared" si="40"/>
        <v>0</v>
      </c>
      <c r="K208" s="644">
        <f t="shared" si="46"/>
        <v>2</v>
      </c>
      <c r="L208" s="708">
        <f t="shared" si="47"/>
        <v>1159.6400000000001</v>
      </c>
      <c r="M208" s="708">
        <f t="shared" si="47"/>
        <v>0</v>
      </c>
      <c r="N208" s="708">
        <f t="shared" si="47"/>
        <v>0</v>
      </c>
      <c r="O208" s="718">
        <f t="shared" si="47"/>
        <v>1159.6400000000001</v>
      </c>
      <c r="P208" s="617">
        <f t="shared" si="48"/>
        <v>0</v>
      </c>
      <c r="Q208" s="525">
        <f>I208-'[9]8'!I207</f>
        <v>0</v>
      </c>
      <c r="S208" s="190">
        <v>0</v>
      </c>
      <c r="T208" s="190">
        <v>0</v>
      </c>
      <c r="BT208" s="525"/>
      <c r="BU208" s="523"/>
      <c r="BV208" s="523"/>
      <c r="BW208" s="523"/>
      <c r="BX208" s="523"/>
      <c r="BY208" s="523">
        <v>0</v>
      </c>
      <c r="BZ208" s="523">
        <v>0</v>
      </c>
      <c r="CA208" s="523">
        <v>0</v>
      </c>
      <c r="CB208" s="523">
        <v>0</v>
      </c>
      <c r="CC208" s="523"/>
      <c r="CD208" s="523"/>
      <c r="CE208" s="523"/>
      <c r="CF208" s="523"/>
      <c r="CG208" s="523"/>
      <c r="CH208" s="523"/>
      <c r="CI208" s="523">
        <f t="shared" ref="CI208:CI271" si="49">SUM(BU208:CH208)</f>
        <v>0</v>
      </c>
    </row>
    <row r="209" spans="1:87" ht="15.75" x14ac:dyDescent="0.2">
      <c r="A209" s="600">
        <v>16</v>
      </c>
      <c r="B209" s="558"/>
      <c r="C209" s="558"/>
      <c r="D209" s="558" t="s">
        <v>1657</v>
      </c>
      <c r="E209" s="626"/>
      <c r="F209" s="626"/>
      <c r="G209" s="626"/>
      <c r="H209" s="626"/>
      <c r="I209" s="747"/>
      <c r="J209" s="747"/>
      <c r="K209" s="747"/>
      <c r="L209" s="734">
        <f>SUM(L210:L214)</f>
        <v>792.22</v>
      </c>
      <c r="M209" s="734">
        <f>SUM(M210:M214)</f>
        <v>0</v>
      </c>
      <c r="N209" s="734">
        <f>SUM(N210:N214)</f>
        <v>0</v>
      </c>
      <c r="O209" s="721">
        <f>SUM(O210:O214)</f>
        <v>792.22</v>
      </c>
      <c r="P209" s="604">
        <f t="shared" si="48"/>
        <v>0</v>
      </c>
      <c r="Q209" s="525">
        <f>I209-'[9]8'!I208</f>
        <v>0</v>
      </c>
      <c r="S209" s="189">
        <v>0</v>
      </c>
      <c r="T209" s="189">
        <v>0</v>
      </c>
      <c r="BT209" s="525"/>
      <c r="BU209" s="523"/>
      <c r="BV209" s="523"/>
      <c r="BW209" s="523"/>
      <c r="BX209" s="523"/>
      <c r="BY209" s="523">
        <v>0</v>
      </c>
      <c r="BZ209" s="523">
        <v>0</v>
      </c>
      <c r="CA209" s="523"/>
      <c r="CB209" s="523"/>
      <c r="CC209" s="523"/>
      <c r="CD209" s="523"/>
      <c r="CE209" s="523"/>
      <c r="CF209" s="523"/>
      <c r="CG209" s="523"/>
      <c r="CH209" s="523"/>
      <c r="CI209" s="523">
        <f t="shared" si="49"/>
        <v>0</v>
      </c>
    </row>
    <row r="210" spans="1:87" ht="15" x14ac:dyDescent="0.2">
      <c r="A210" s="680" t="s">
        <v>616</v>
      </c>
      <c r="B210" s="569" t="s">
        <v>2007</v>
      </c>
      <c r="C210" s="569" t="s">
        <v>1339</v>
      </c>
      <c r="D210" s="569" t="s">
        <v>1658</v>
      </c>
      <c r="E210" s="681" t="s">
        <v>102</v>
      </c>
      <c r="F210" s="644">
        <v>40.08</v>
      </c>
      <c r="G210" s="682">
        <v>109.5</v>
      </c>
      <c r="H210" s="681">
        <v>2</v>
      </c>
      <c r="I210" s="685">
        <f t="shared" ref="I210:I273" si="50">BU210</f>
        <v>0</v>
      </c>
      <c r="J210" s="573">
        <f t="shared" ref="J210:J273" si="51">CI210</f>
        <v>0</v>
      </c>
      <c r="K210" s="644">
        <f t="shared" si="46"/>
        <v>2</v>
      </c>
      <c r="L210" s="708">
        <f t="shared" ref="L210:O214" si="52">ROUND(H210*$G210,2)</f>
        <v>219</v>
      </c>
      <c r="M210" s="708">
        <f t="shared" si="52"/>
        <v>0</v>
      </c>
      <c r="N210" s="708">
        <f t="shared" si="52"/>
        <v>0</v>
      </c>
      <c r="O210" s="718">
        <f t="shared" si="52"/>
        <v>219</v>
      </c>
      <c r="P210" s="617">
        <f t="shared" si="48"/>
        <v>0</v>
      </c>
      <c r="Q210" s="525">
        <f>I210-'[9]8'!I209</f>
        <v>0</v>
      </c>
      <c r="S210" s="189">
        <v>0</v>
      </c>
      <c r="T210" s="189">
        <v>0</v>
      </c>
      <c r="BT210" s="525"/>
      <c r="BU210" s="523"/>
      <c r="BV210" s="523"/>
      <c r="BW210" s="523"/>
      <c r="BX210" s="523"/>
      <c r="BY210" s="523">
        <v>0</v>
      </c>
      <c r="BZ210" s="523">
        <v>0</v>
      </c>
      <c r="CA210" s="523">
        <v>0</v>
      </c>
      <c r="CB210" s="523">
        <v>0</v>
      </c>
      <c r="CC210" s="523"/>
      <c r="CD210" s="523"/>
      <c r="CE210" s="523"/>
      <c r="CF210" s="523"/>
      <c r="CG210" s="523"/>
      <c r="CH210" s="523"/>
      <c r="CI210" s="523">
        <f t="shared" si="49"/>
        <v>0</v>
      </c>
    </row>
    <row r="211" spans="1:87" ht="15" x14ac:dyDescent="0.2">
      <c r="A211" s="680" t="s">
        <v>618</v>
      </c>
      <c r="B211" s="569" t="s">
        <v>2007</v>
      </c>
      <c r="C211" s="569" t="s">
        <v>1339</v>
      </c>
      <c r="D211" s="569" t="s">
        <v>1659</v>
      </c>
      <c r="E211" s="681" t="s">
        <v>102</v>
      </c>
      <c r="F211" s="644">
        <v>199.75</v>
      </c>
      <c r="G211" s="682">
        <v>227.16</v>
      </c>
      <c r="H211" s="681">
        <v>2</v>
      </c>
      <c r="I211" s="685">
        <f t="shared" si="50"/>
        <v>0</v>
      </c>
      <c r="J211" s="573">
        <f t="shared" si="51"/>
        <v>0</v>
      </c>
      <c r="K211" s="644">
        <f t="shared" si="46"/>
        <v>2</v>
      </c>
      <c r="L211" s="708">
        <f t="shared" si="52"/>
        <v>454.32</v>
      </c>
      <c r="M211" s="708">
        <f t="shared" si="52"/>
        <v>0</v>
      </c>
      <c r="N211" s="708">
        <f t="shared" si="52"/>
        <v>0</v>
      </c>
      <c r="O211" s="718">
        <f t="shared" si="52"/>
        <v>454.32</v>
      </c>
      <c r="P211" s="617">
        <f t="shared" si="48"/>
        <v>0</v>
      </c>
      <c r="Q211" s="525">
        <f>I211-'[9]8'!I210</f>
        <v>0</v>
      </c>
      <c r="S211" s="189">
        <v>0</v>
      </c>
      <c r="T211" s="189">
        <v>0</v>
      </c>
      <c r="BT211" s="525"/>
      <c r="BU211" s="523"/>
      <c r="BV211" s="523"/>
      <c r="BW211" s="523"/>
      <c r="BX211" s="523"/>
      <c r="BY211" s="523">
        <v>0</v>
      </c>
      <c r="BZ211" s="523">
        <v>0</v>
      </c>
      <c r="CA211" s="523">
        <v>0</v>
      </c>
      <c r="CB211" s="523">
        <v>0</v>
      </c>
      <c r="CC211" s="523"/>
      <c r="CD211" s="523"/>
      <c r="CE211" s="523"/>
      <c r="CF211" s="523"/>
      <c r="CG211" s="523"/>
      <c r="CH211" s="523"/>
      <c r="CI211" s="523">
        <f t="shared" si="49"/>
        <v>0</v>
      </c>
    </row>
    <row r="212" spans="1:87" ht="15" x14ac:dyDescent="0.2">
      <c r="A212" s="680" t="s">
        <v>620</v>
      </c>
      <c r="B212" s="569" t="s">
        <v>2007</v>
      </c>
      <c r="C212" s="569" t="s">
        <v>1339</v>
      </c>
      <c r="D212" s="569" t="s">
        <v>1660</v>
      </c>
      <c r="E212" s="681" t="s">
        <v>102</v>
      </c>
      <c r="F212" s="571"/>
      <c r="G212" s="682">
        <v>27.98</v>
      </c>
      <c r="H212" s="681">
        <v>2</v>
      </c>
      <c r="I212" s="685">
        <f t="shared" si="50"/>
        <v>0</v>
      </c>
      <c r="J212" s="573">
        <f t="shared" si="51"/>
        <v>0</v>
      </c>
      <c r="K212" s="644">
        <f t="shared" si="46"/>
        <v>2</v>
      </c>
      <c r="L212" s="708">
        <f t="shared" si="52"/>
        <v>55.96</v>
      </c>
      <c r="M212" s="708">
        <f t="shared" si="52"/>
        <v>0</v>
      </c>
      <c r="N212" s="708">
        <f t="shared" si="52"/>
        <v>0</v>
      </c>
      <c r="O212" s="718">
        <f t="shared" si="52"/>
        <v>55.96</v>
      </c>
      <c r="P212" s="617">
        <f t="shared" si="48"/>
        <v>0</v>
      </c>
      <c r="Q212" s="525">
        <f>I212-'[9]8'!I211</f>
        <v>0</v>
      </c>
      <c r="S212" s="189">
        <v>0</v>
      </c>
      <c r="T212" s="189">
        <v>0</v>
      </c>
      <c r="BT212" s="525"/>
      <c r="BU212" s="523"/>
      <c r="BV212" s="523"/>
      <c r="BW212" s="523"/>
      <c r="BX212" s="523"/>
      <c r="BY212" s="523">
        <v>0</v>
      </c>
      <c r="BZ212" s="523">
        <v>0</v>
      </c>
      <c r="CA212" s="523">
        <v>0</v>
      </c>
      <c r="CB212" s="523">
        <v>0</v>
      </c>
      <c r="CC212" s="523"/>
      <c r="CD212" s="523"/>
      <c r="CE212" s="523"/>
      <c r="CF212" s="523"/>
      <c r="CG212" s="523"/>
      <c r="CH212" s="523"/>
      <c r="CI212" s="523">
        <f t="shared" si="49"/>
        <v>0</v>
      </c>
    </row>
    <row r="213" spans="1:87" ht="15" x14ac:dyDescent="0.2">
      <c r="A213" s="680" t="s">
        <v>1661</v>
      </c>
      <c r="B213" s="569" t="s">
        <v>2007</v>
      </c>
      <c r="C213" s="569" t="s">
        <v>1339</v>
      </c>
      <c r="D213" s="569" t="s">
        <v>1662</v>
      </c>
      <c r="E213" s="681" t="s">
        <v>102</v>
      </c>
      <c r="F213" s="644">
        <v>3.37</v>
      </c>
      <c r="G213" s="682">
        <v>16.36</v>
      </c>
      <c r="H213" s="681">
        <v>2</v>
      </c>
      <c r="I213" s="685">
        <f t="shared" si="50"/>
        <v>0</v>
      </c>
      <c r="J213" s="573">
        <f t="shared" si="51"/>
        <v>0</v>
      </c>
      <c r="K213" s="644">
        <f t="shared" si="46"/>
        <v>2</v>
      </c>
      <c r="L213" s="708">
        <f t="shared" si="52"/>
        <v>32.72</v>
      </c>
      <c r="M213" s="708">
        <f t="shared" si="52"/>
        <v>0</v>
      </c>
      <c r="N213" s="708">
        <f t="shared" si="52"/>
        <v>0</v>
      </c>
      <c r="O213" s="718">
        <f t="shared" si="52"/>
        <v>32.72</v>
      </c>
      <c r="P213" s="617">
        <f t="shared" si="48"/>
        <v>0</v>
      </c>
      <c r="Q213" s="525">
        <f>I213-'[9]8'!I212</f>
        <v>0</v>
      </c>
      <c r="S213" s="189">
        <v>0</v>
      </c>
      <c r="T213" s="189">
        <v>0</v>
      </c>
      <c r="BT213" s="525"/>
      <c r="BU213" s="523"/>
      <c r="BV213" s="523"/>
      <c r="BW213" s="523"/>
      <c r="BX213" s="523"/>
      <c r="BY213" s="523">
        <v>0</v>
      </c>
      <c r="BZ213" s="523">
        <v>0</v>
      </c>
      <c r="CA213" s="523">
        <v>0</v>
      </c>
      <c r="CB213" s="523">
        <v>0</v>
      </c>
      <c r="CC213" s="523"/>
      <c r="CD213" s="523"/>
      <c r="CE213" s="523"/>
      <c r="CF213" s="523"/>
      <c r="CG213" s="523"/>
      <c r="CH213" s="523"/>
      <c r="CI213" s="523">
        <f t="shared" si="49"/>
        <v>0</v>
      </c>
    </row>
    <row r="214" spans="1:87" s="194" customFormat="1" ht="15" x14ac:dyDescent="0.2">
      <c r="A214" s="680" t="s">
        <v>1663</v>
      </c>
      <c r="B214" s="569" t="s">
        <v>2007</v>
      </c>
      <c r="C214" s="569" t="s">
        <v>1339</v>
      </c>
      <c r="D214" s="569" t="s">
        <v>1664</v>
      </c>
      <c r="E214" s="681" t="s">
        <v>102</v>
      </c>
      <c r="F214" s="644">
        <v>10.220000000000001</v>
      </c>
      <c r="G214" s="682">
        <v>15.11</v>
      </c>
      <c r="H214" s="681">
        <v>2</v>
      </c>
      <c r="I214" s="685">
        <f t="shared" si="50"/>
        <v>0</v>
      </c>
      <c r="J214" s="573">
        <f t="shared" si="51"/>
        <v>0</v>
      </c>
      <c r="K214" s="644">
        <f t="shared" si="46"/>
        <v>2</v>
      </c>
      <c r="L214" s="708">
        <f t="shared" si="52"/>
        <v>30.22</v>
      </c>
      <c r="M214" s="708">
        <f t="shared" si="52"/>
        <v>0</v>
      </c>
      <c r="N214" s="708">
        <f t="shared" si="52"/>
        <v>0</v>
      </c>
      <c r="O214" s="718">
        <f t="shared" si="52"/>
        <v>30.22</v>
      </c>
      <c r="P214" s="617">
        <f t="shared" si="48"/>
        <v>0</v>
      </c>
      <c r="Q214" s="525">
        <f>I214-'[9]8'!I213</f>
        <v>0</v>
      </c>
      <c r="S214" s="195">
        <v>0</v>
      </c>
      <c r="T214" s="195">
        <v>0</v>
      </c>
      <c r="BT214" s="525"/>
      <c r="BU214" s="523"/>
      <c r="BV214" s="523"/>
      <c r="BW214" s="523"/>
      <c r="BX214" s="523"/>
      <c r="BY214" s="523">
        <v>0</v>
      </c>
      <c r="BZ214" s="523">
        <v>0</v>
      </c>
      <c r="CA214" s="523">
        <v>0</v>
      </c>
      <c r="CB214" s="523">
        <v>0</v>
      </c>
      <c r="CC214" s="523"/>
      <c r="CD214" s="523"/>
      <c r="CE214" s="523"/>
      <c r="CF214" s="523"/>
      <c r="CG214" s="523"/>
      <c r="CH214" s="523"/>
      <c r="CI214" s="523">
        <f t="shared" si="49"/>
        <v>0</v>
      </c>
    </row>
    <row r="215" spans="1:87" s="790" customFormat="1" ht="15.75" x14ac:dyDescent="0.2">
      <c r="A215" s="600">
        <v>17</v>
      </c>
      <c r="B215" s="558"/>
      <c r="C215" s="558"/>
      <c r="D215" s="558" t="s">
        <v>1665</v>
      </c>
      <c r="E215" s="626"/>
      <c r="F215" s="626"/>
      <c r="G215" s="626"/>
      <c r="H215" s="626"/>
      <c r="I215" s="747"/>
      <c r="J215" s="747"/>
      <c r="K215" s="747"/>
      <c r="L215" s="734">
        <f>SUM(L216,L226,L248,L253)</f>
        <v>20098.660000000003</v>
      </c>
      <c r="M215" s="734">
        <f>SUM(M216,M226,M248,M253)</f>
        <v>0</v>
      </c>
      <c r="N215" s="734">
        <f>SUM(N216,N226,N248,N253)</f>
        <v>311.62</v>
      </c>
      <c r="O215" s="721">
        <f>SUM(O216,O226,O248,O253)</f>
        <v>19787.04</v>
      </c>
      <c r="P215" s="604">
        <f t="shared" si="48"/>
        <v>1.550451622147944E-2</v>
      </c>
      <c r="Q215" s="525">
        <f>I215-'[9]8'!I214</f>
        <v>0</v>
      </c>
      <c r="S215" s="190">
        <v>0</v>
      </c>
      <c r="T215" s="190">
        <v>0</v>
      </c>
      <c r="BT215" s="525"/>
      <c r="BU215" s="523"/>
      <c r="BV215" s="523"/>
      <c r="BW215" s="523"/>
      <c r="BX215" s="523"/>
      <c r="BY215" s="523">
        <v>46</v>
      </c>
      <c r="BZ215" s="523">
        <v>0</v>
      </c>
      <c r="CA215" s="523"/>
      <c r="CB215" s="523"/>
      <c r="CC215" s="523"/>
      <c r="CD215" s="523"/>
      <c r="CE215" s="523"/>
      <c r="CF215" s="523"/>
      <c r="CG215" s="523"/>
      <c r="CH215" s="523"/>
      <c r="CI215" s="523">
        <f t="shared" si="49"/>
        <v>46</v>
      </c>
    </row>
    <row r="216" spans="1:87" ht="15.75" x14ac:dyDescent="0.2">
      <c r="A216" s="605" t="s">
        <v>625</v>
      </c>
      <c r="B216" s="586"/>
      <c r="C216" s="586"/>
      <c r="D216" s="586" t="s">
        <v>1666</v>
      </c>
      <c r="E216" s="683"/>
      <c r="F216" s="683"/>
      <c r="G216" s="683"/>
      <c r="H216" s="683"/>
      <c r="I216" s="748"/>
      <c r="J216" s="748"/>
      <c r="K216" s="748"/>
      <c r="L216" s="733">
        <f>SUM(L217:L225)</f>
        <v>1711.6100000000001</v>
      </c>
      <c r="M216" s="733">
        <f>SUM(M217:M225)</f>
        <v>0</v>
      </c>
      <c r="N216" s="733">
        <f>SUM(N217:N225)</f>
        <v>0</v>
      </c>
      <c r="O216" s="722">
        <f>SUM(O217:O225)</f>
        <v>1711.6100000000001</v>
      </c>
      <c r="P216" s="611">
        <f t="shared" si="48"/>
        <v>0</v>
      </c>
      <c r="Q216" s="525">
        <f>I216-'[9]8'!I215</f>
        <v>0</v>
      </c>
      <c r="S216" s="189">
        <v>0</v>
      </c>
      <c r="T216" s="189">
        <v>0</v>
      </c>
      <c r="BT216" s="525"/>
      <c r="BU216" s="523"/>
      <c r="BV216" s="523"/>
      <c r="BW216" s="523"/>
      <c r="BX216" s="523"/>
      <c r="BY216" s="523">
        <v>0</v>
      </c>
      <c r="BZ216" s="523">
        <v>0</v>
      </c>
      <c r="CA216" s="523"/>
      <c r="CB216" s="523"/>
      <c r="CC216" s="523"/>
      <c r="CD216" s="523"/>
      <c r="CE216" s="523"/>
      <c r="CF216" s="523"/>
      <c r="CG216" s="523"/>
      <c r="CH216" s="523"/>
      <c r="CI216" s="523">
        <f t="shared" si="49"/>
        <v>0</v>
      </c>
    </row>
    <row r="217" spans="1:87" ht="15" x14ac:dyDescent="0.2">
      <c r="A217" s="680" t="s">
        <v>1667</v>
      </c>
      <c r="B217" s="569">
        <v>83463</v>
      </c>
      <c r="C217" s="569" t="s">
        <v>1324</v>
      </c>
      <c r="D217" s="569" t="s">
        <v>1668</v>
      </c>
      <c r="E217" s="681" t="s">
        <v>102</v>
      </c>
      <c r="F217" s="644">
        <v>12.73</v>
      </c>
      <c r="G217" s="682">
        <v>211.62</v>
      </c>
      <c r="H217" s="681">
        <v>1</v>
      </c>
      <c r="I217" s="685">
        <f t="shared" si="50"/>
        <v>0</v>
      </c>
      <c r="J217" s="573">
        <f t="shared" si="51"/>
        <v>0</v>
      </c>
      <c r="K217" s="644">
        <f t="shared" si="46"/>
        <v>1</v>
      </c>
      <c r="L217" s="708">
        <f t="shared" ref="L217:O225" si="53">ROUND(H217*$G217,2)</f>
        <v>211.62</v>
      </c>
      <c r="M217" s="708">
        <f t="shared" si="53"/>
        <v>0</v>
      </c>
      <c r="N217" s="708">
        <f t="shared" si="53"/>
        <v>0</v>
      </c>
      <c r="O217" s="718">
        <f t="shared" si="53"/>
        <v>211.62</v>
      </c>
      <c r="P217" s="617">
        <f t="shared" si="48"/>
        <v>0</v>
      </c>
      <c r="Q217" s="525">
        <f>I217-'[9]8'!I216</f>
        <v>0</v>
      </c>
      <c r="S217" s="189">
        <v>0</v>
      </c>
      <c r="T217" s="189">
        <v>0</v>
      </c>
      <c r="BT217" s="525"/>
      <c r="BU217" s="523"/>
      <c r="BV217" s="523"/>
      <c r="BW217" s="523"/>
      <c r="BX217" s="523"/>
      <c r="BY217" s="523">
        <v>0</v>
      </c>
      <c r="BZ217" s="523">
        <v>0</v>
      </c>
      <c r="CA217" s="523">
        <v>0</v>
      </c>
      <c r="CB217" s="523">
        <v>0</v>
      </c>
      <c r="CC217" s="523"/>
      <c r="CD217" s="523"/>
      <c r="CE217" s="523"/>
      <c r="CF217" s="523"/>
      <c r="CG217" s="523"/>
      <c r="CH217" s="523"/>
      <c r="CI217" s="523">
        <f t="shared" si="49"/>
        <v>0</v>
      </c>
    </row>
    <row r="218" spans="1:87" ht="15" x14ac:dyDescent="0.2">
      <c r="A218" s="680" t="s">
        <v>1669</v>
      </c>
      <c r="B218" s="569" t="s">
        <v>1670</v>
      </c>
      <c r="C218" s="569" t="s">
        <v>1324</v>
      </c>
      <c r="D218" s="569" t="s">
        <v>1671</v>
      </c>
      <c r="E218" s="681" t="s">
        <v>102</v>
      </c>
      <c r="F218" s="644">
        <v>8.5299999999999994</v>
      </c>
      <c r="G218" s="682">
        <v>332.47</v>
      </c>
      <c r="H218" s="681">
        <v>1</v>
      </c>
      <c r="I218" s="685">
        <f t="shared" si="50"/>
        <v>0</v>
      </c>
      <c r="J218" s="573">
        <f t="shared" si="51"/>
        <v>0</v>
      </c>
      <c r="K218" s="644">
        <f t="shared" si="46"/>
        <v>1</v>
      </c>
      <c r="L218" s="708">
        <f t="shared" si="53"/>
        <v>332.47</v>
      </c>
      <c r="M218" s="708">
        <f t="shared" si="53"/>
        <v>0</v>
      </c>
      <c r="N218" s="708">
        <f t="shared" si="53"/>
        <v>0</v>
      </c>
      <c r="O218" s="718">
        <f t="shared" si="53"/>
        <v>332.47</v>
      </c>
      <c r="P218" s="617">
        <f t="shared" si="48"/>
        <v>0</v>
      </c>
      <c r="Q218" s="525">
        <f>I218-'[9]8'!I217</f>
        <v>0</v>
      </c>
      <c r="S218" s="189">
        <v>0</v>
      </c>
      <c r="T218" s="189">
        <v>0</v>
      </c>
      <c r="BT218" s="525"/>
      <c r="BU218" s="523"/>
      <c r="BV218" s="523"/>
      <c r="BW218" s="523"/>
      <c r="BX218" s="523"/>
      <c r="BY218" s="523">
        <v>0</v>
      </c>
      <c r="BZ218" s="523">
        <v>0</v>
      </c>
      <c r="CA218" s="523">
        <v>0</v>
      </c>
      <c r="CB218" s="523">
        <v>0</v>
      </c>
      <c r="CC218" s="523"/>
      <c r="CD218" s="523"/>
      <c r="CE218" s="523"/>
      <c r="CF218" s="523"/>
      <c r="CG218" s="523"/>
      <c r="CH218" s="523"/>
      <c r="CI218" s="523">
        <f t="shared" si="49"/>
        <v>0</v>
      </c>
    </row>
    <row r="219" spans="1:87" ht="30" x14ac:dyDescent="0.2">
      <c r="A219" s="680" t="s">
        <v>1672</v>
      </c>
      <c r="B219" s="569" t="s">
        <v>1673</v>
      </c>
      <c r="C219" s="569" t="s">
        <v>1343</v>
      </c>
      <c r="D219" s="569" t="s">
        <v>1674</v>
      </c>
      <c r="E219" s="681" t="s">
        <v>102</v>
      </c>
      <c r="F219" s="644">
        <v>22.59</v>
      </c>
      <c r="G219" s="682">
        <v>65.62</v>
      </c>
      <c r="H219" s="681">
        <v>1</v>
      </c>
      <c r="I219" s="685">
        <f t="shared" si="50"/>
        <v>0</v>
      </c>
      <c r="J219" s="573">
        <f t="shared" si="51"/>
        <v>0</v>
      </c>
      <c r="K219" s="644">
        <f t="shared" si="46"/>
        <v>1</v>
      </c>
      <c r="L219" s="708">
        <f t="shared" si="53"/>
        <v>65.62</v>
      </c>
      <c r="M219" s="708">
        <f t="shared" si="53"/>
        <v>0</v>
      </c>
      <c r="N219" s="708">
        <f t="shared" si="53"/>
        <v>0</v>
      </c>
      <c r="O219" s="718">
        <f t="shared" si="53"/>
        <v>65.62</v>
      </c>
      <c r="P219" s="617">
        <f t="shared" si="48"/>
        <v>0</v>
      </c>
      <c r="Q219" s="525">
        <f>I219-'[9]8'!I218</f>
        <v>0</v>
      </c>
      <c r="S219" s="189">
        <v>0</v>
      </c>
      <c r="T219" s="189">
        <v>0</v>
      </c>
      <c r="BT219" s="525"/>
      <c r="BU219" s="523"/>
      <c r="BV219" s="523"/>
      <c r="BW219" s="523"/>
      <c r="BX219" s="523"/>
      <c r="BY219" s="523">
        <v>0</v>
      </c>
      <c r="BZ219" s="523">
        <v>0</v>
      </c>
      <c r="CA219" s="523">
        <v>0</v>
      </c>
      <c r="CB219" s="523">
        <v>0</v>
      </c>
      <c r="CC219" s="523"/>
      <c r="CD219" s="523"/>
      <c r="CE219" s="523"/>
      <c r="CF219" s="523"/>
      <c r="CG219" s="523"/>
      <c r="CH219" s="523"/>
      <c r="CI219" s="523">
        <f t="shared" si="49"/>
        <v>0</v>
      </c>
    </row>
    <row r="220" spans="1:87" ht="15" x14ac:dyDescent="0.2">
      <c r="A220" s="680" t="s">
        <v>1675</v>
      </c>
      <c r="B220" s="569" t="s">
        <v>1676</v>
      </c>
      <c r="C220" s="569" t="s">
        <v>1324</v>
      </c>
      <c r="D220" s="569" t="s">
        <v>1677</v>
      </c>
      <c r="E220" s="681" t="s">
        <v>102</v>
      </c>
      <c r="F220" s="571"/>
      <c r="G220" s="682">
        <v>11.27</v>
      </c>
      <c r="H220" s="681">
        <v>7</v>
      </c>
      <c r="I220" s="685">
        <f t="shared" si="50"/>
        <v>0</v>
      </c>
      <c r="J220" s="573">
        <f t="shared" si="51"/>
        <v>0</v>
      </c>
      <c r="K220" s="644">
        <f t="shared" si="46"/>
        <v>7</v>
      </c>
      <c r="L220" s="708">
        <f t="shared" si="53"/>
        <v>78.89</v>
      </c>
      <c r="M220" s="708">
        <f t="shared" si="53"/>
        <v>0</v>
      </c>
      <c r="N220" s="708">
        <f t="shared" si="53"/>
        <v>0</v>
      </c>
      <c r="O220" s="718">
        <f t="shared" si="53"/>
        <v>78.89</v>
      </c>
      <c r="P220" s="617">
        <f t="shared" si="48"/>
        <v>0</v>
      </c>
      <c r="Q220" s="525">
        <f>I220-'[9]8'!I219</f>
        <v>0</v>
      </c>
      <c r="S220" s="189">
        <v>0</v>
      </c>
      <c r="T220" s="189">
        <v>0</v>
      </c>
      <c r="BT220" s="525"/>
      <c r="BU220" s="523"/>
      <c r="BV220" s="523"/>
      <c r="BW220" s="523"/>
      <c r="BX220" s="523"/>
      <c r="BY220" s="523">
        <v>0</v>
      </c>
      <c r="BZ220" s="523">
        <v>0</v>
      </c>
      <c r="CA220" s="523">
        <v>0</v>
      </c>
      <c r="CB220" s="523">
        <v>0</v>
      </c>
      <c r="CC220" s="523"/>
      <c r="CD220" s="523"/>
      <c r="CE220" s="523"/>
      <c r="CF220" s="523"/>
      <c r="CG220" s="523"/>
      <c r="CH220" s="523"/>
      <c r="CI220" s="523">
        <f t="shared" si="49"/>
        <v>0</v>
      </c>
    </row>
    <row r="221" spans="1:87" ht="15" x14ac:dyDescent="0.2">
      <c r="A221" s="680" t="s">
        <v>1678</v>
      </c>
      <c r="B221" s="569" t="s">
        <v>1676</v>
      </c>
      <c r="C221" s="569" t="s">
        <v>1324</v>
      </c>
      <c r="D221" s="569" t="s">
        <v>1679</v>
      </c>
      <c r="E221" s="681" t="s">
        <v>102</v>
      </c>
      <c r="F221" s="644">
        <v>4.09</v>
      </c>
      <c r="G221" s="682">
        <v>11.27</v>
      </c>
      <c r="H221" s="681">
        <v>5</v>
      </c>
      <c r="I221" s="685">
        <f t="shared" si="50"/>
        <v>0</v>
      </c>
      <c r="J221" s="573">
        <f t="shared" si="51"/>
        <v>0</v>
      </c>
      <c r="K221" s="644">
        <f t="shared" si="46"/>
        <v>5</v>
      </c>
      <c r="L221" s="708">
        <f t="shared" si="53"/>
        <v>56.35</v>
      </c>
      <c r="M221" s="708">
        <f t="shared" si="53"/>
        <v>0</v>
      </c>
      <c r="N221" s="708">
        <f t="shared" si="53"/>
        <v>0</v>
      </c>
      <c r="O221" s="718">
        <f t="shared" si="53"/>
        <v>56.35</v>
      </c>
      <c r="P221" s="617">
        <f t="shared" si="48"/>
        <v>0</v>
      </c>
      <c r="Q221" s="525">
        <f>I221-'[9]8'!I220</f>
        <v>0</v>
      </c>
      <c r="S221" s="189">
        <v>0</v>
      </c>
      <c r="T221" s="189">
        <v>0</v>
      </c>
      <c r="BT221" s="525"/>
      <c r="BU221" s="523"/>
      <c r="BV221" s="523"/>
      <c r="BW221" s="523"/>
      <c r="BX221" s="523"/>
      <c r="BY221" s="523">
        <v>0</v>
      </c>
      <c r="BZ221" s="523">
        <v>0</v>
      </c>
      <c r="CA221" s="523">
        <v>0</v>
      </c>
      <c r="CB221" s="523">
        <v>0</v>
      </c>
      <c r="CC221" s="523"/>
      <c r="CD221" s="523"/>
      <c r="CE221" s="523"/>
      <c r="CF221" s="523"/>
      <c r="CG221" s="523"/>
      <c r="CH221" s="523"/>
      <c r="CI221" s="523">
        <f t="shared" si="49"/>
        <v>0</v>
      </c>
    </row>
    <row r="222" spans="1:87" ht="15" x14ac:dyDescent="0.2">
      <c r="A222" s="680" t="s">
        <v>1680</v>
      </c>
      <c r="B222" s="569" t="s">
        <v>1676</v>
      </c>
      <c r="C222" s="569" t="s">
        <v>1324</v>
      </c>
      <c r="D222" s="569" t="s">
        <v>1681</v>
      </c>
      <c r="E222" s="681" t="s">
        <v>102</v>
      </c>
      <c r="F222" s="644">
        <v>5.71</v>
      </c>
      <c r="G222" s="682">
        <v>11.27</v>
      </c>
      <c r="H222" s="681">
        <v>8</v>
      </c>
      <c r="I222" s="685">
        <f t="shared" si="50"/>
        <v>0</v>
      </c>
      <c r="J222" s="573">
        <f t="shared" si="51"/>
        <v>0</v>
      </c>
      <c r="K222" s="644">
        <f t="shared" si="46"/>
        <v>8</v>
      </c>
      <c r="L222" s="708">
        <f t="shared" si="53"/>
        <v>90.16</v>
      </c>
      <c r="M222" s="708">
        <f t="shared" si="53"/>
        <v>0</v>
      </c>
      <c r="N222" s="708">
        <f t="shared" si="53"/>
        <v>0</v>
      </c>
      <c r="O222" s="718">
        <f t="shared" si="53"/>
        <v>90.16</v>
      </c>
      <c r="P222" s="617">
        <f t="shared" si="48"/>
        <v>0</v>
      </c>
      <c r="Q222" s="525">
        <f>I222-'[9]8'!I221</f>
        <v>0</v>
      </c>
      <c r="S222" s="189">
        <v>0</v>
      </c>
      <c r="T222" s="189">
        <v>0</v>
      </c>
      <c r="BT222" s="525"/>
      <c r="BU222" s="523"/>
      <c r="BV222" s="523"/>
      <c r="BW222" s="523"/>
      <c r="BX222" s="523"/>
      <c r="BY222" s="523">
        <v>0</v>
      </c>
      <c r="BZ222" s="523">
        <v>0</v>
      </c>
      <c r="CA222" s="523">
        <v>0</v>
      </c>
      <c r="CB222" s="523">
        <v>0</v>
      </c>
      <c r="CC222" s="523"/>
      <c r="CD222" s="523"/>
      <c r="CE222" s="523"/>
      <c r="CF222" s="523"/>
      <c r="CG222" s="523"/>
      <c r="CH222" s="523"/>
      <c r="CI222" s="523">
        <f t="shared" si="49"/>
        <v>0</v>
      </c>
    </row>
    <row r="223" spans="1:87" ht="15" x14ac:dyDescent="0.2">
      <c r="A223" s="680" t="s">
        <v>1682</v>
      </c>
      <c r="B223" s="569" t="s">
        <v>1683</v>
      </c>
      <c r="C223" s="569" t="s">
        <v>1324</v>
      </c>
      <c r="D223" s="569" t="s">
        <v>1684</v>
      </c>
      <c r="E223" s="681" t="s">
        <v>102</v>
      </c>
      <c r="F223" s="644">
        <v>8.99</v>
      </c>
      <c r="G223" s="682">
        <v>97.76</v>
      </c>
      <c r="H223" s="681">
        <v>2</v>
      </c>
      <c r="I223" s="685">
        <f t="shared" si="50"/>
        <v>0</v>
      </c>
      <c r="J223" s="573">
        <f t="shared" si="51"/>
        <v>0</v>
      </c>
      <c r="K223" s="644">
        <f t="shared" si="46"/>
        <v>2</v>
      </c>
      <c r="L223" s="708">
        <f t="shared" si="53"/>
        <v>195.52</v>
      </c>
      <c r="M223" s="708">
        <f t="shared" si="53"/>
        <v>0</v>
      </c>
      <c r="N223" s="708">
        <f t="shared" si="53"/>
        <v>0</v>
      </c>
      <c r="O223" s="718">
        <f t="shared" si="53"/>
        <v>195.52</v>
      </c>
      <c r="P223" s="617">
        <f t="shared" si="48"/>
        <v>0</v>
      </c>
      <c r="Q223" s="525">
        <f>I223-'[9]8'!I222</f>
        <v>0</v>
      </c>
      <c r="S223" s="189">
        <v>0</v>
      </c>
      <c r="T223" s="189">
        <v>0</v>
      </c>
      <c r="BT223" s="525"/>
      <c r="BU223" s="523"/>
      <c r="BV223" s="523"/>
      <c r="BW223" s="523"/>
      <c r="BX223" s="523"/>
      <c r="BY223" s="523">
        <v>0</v>
      </c>
      <c r="BZ223" s="523">
        <v>0</v>
      </c>
      <c r="CA223" s="523">
        <v>0</v>
      </c>
      <c r="CB223" s="523">
        <v>0</v>
      </c>
      <c r="CC223" s="523"/>
      <c r="CD223" s="523"/>
      <c r="CE223" s="523"/>
      <c r="CF223" s="523"/>
      <c r="CG223" s="523"/>
      <c r="CH223" s="523"/>
      <c r="CI223" s="523">
        <f t="shared" si="49"/>
        <v>0</v>
      </c>
    </row>
    <row r="224" spans="1:87" ht="15" x14ac:dyDescent="0.2">
      <c r="A224" s="680" t="s">
        <v>1685</v>
      </c>
      <c r="B224" s="569" t="s">
        <v>1686</v>
      </c>
      <c r="C224" s="569" t="s">
        <v>1324</v>
      </c>
      <c r="D224" s="569" t="s">
        <v>1687</v>
      </c>
      <c r="E224" s="681" t="s">
        <v>102</v>
      </c>
      <c r="F224" s="644">
        <v>23.78</v>
      </c>
      <c r="G224" s="682">
        <v>276.94</v>
      </c>
      <c r="H224" s="681">
        <v>1</v>
      </c>
      <c r="I224" s="685">
        <f t="shared" si="50"/>
        <v>0</v>
      </c>
      <c r="J224" s="573">
        <f t="shared" si="51"/>
        <v>0</v>
      </c>
      <c r="K224" s="644">
        <f t="shared" si="46"/>
        <v>1</v>
      </c>
      <c r="L224" s="708">
        <f t="shared" si="53"/>
        <v>276.94</v>
      </c>
      <c r="M224" s="708">
        <f t="shared" si="53"/>
        <v>0</v>
      </c>
      <c r="N224" s="708">
        <f t="shared" si="53"/>
        <v>0</v>
      </c>
      <c r="O224" s="718">
        <f t="shared" si="53"/>
        <v>276.94</v>
      </c>
      <c r="P224" s="617">
        <f t="shared" si="48"/>
        <v>0</v>
      </c>
      <c r="Q224" s="525">
        <f>I224-'[9]8'!I223</f>
        <v>0</v>
      </c>
      <c r="S224" s="189">
        <v>0</v>
      </c>
      <c r="T224" s="189">
        <v>0</v>
      </c>
      <c r="BT224" s="525"/>
      <c r="BU224" s="523"/>
      <c r="BV224" s="523"/>
      <c r="BW224" s="523"/>
      <c r="BX224" s="523"/>
      <c r="BY224" s="523">
        <v>0</v>
      </c>
      <c r="BZ224" s="523">
        <v>0</v>
      </c>
      <c r="CA224" s="523">
        <v>0</v>
      </c>
      <c r="CB224" s="523">
        <v>0</v>
      </c>
      <c r="CC224" s="523"/>
      <c r="CD224" s="523"/>
      <c r="CE224" s="523"/>
      <c r="CF224" s="523"/>
      <c r="CG224" s="523"/>
      <c r="CH224" s="523"/>
      <c r="CI224" s="523">
        <f t="shared" si="49"/>
        <v>0</v>
      </c>
    </row>
    <row r="225" spans="1:87" s="789" customFormat="1" ht="15" x14ac:dyDescent="0.2">
      <c r="A225" s="680" t="s">
        <v>1688</v>
      </c>
      <c r="B225" s="569" t="s">
        <v>2007</v>
      </c>
      <c r="C225" s="569" t="s">
        <v>1339</v>
      </c>
      <c r="D225" s="569" t="s">
        <v>1689</v>
      </c>
      <c r="E225" s="681" t="s">
        <v>102</v>
      </c>
      <c r="F225" s="644">
        <v>72.209999999999994</v>
      </c>
      <c r="G225" s="682">
        <v>101.01</v>
      </c>
      <c r="H225" s="681">
        <v>4</v>
      </c>
      <c r="I225" s="685">
        <f t="shared" si="50"/>
        <v>0</v>
      </c>
      <c r="J225" s="573">
        <f t="shared" si="51"/>
        <v>0</v>
      </c>
      <c r="K225" s="644">
        <f t="shared" si="46"/>
        <v>4</v>
      </c>
      <c r="L225" s="708">
        <f t="shared" si="53"/>
        <v>404.04</v>
      </c>
      <c r="M225" s="708">
        <f t="shared" si="53"/>
        <v>0</v>
      </c>
      <c r="N225" s="708">
        <f t="shared" si="53"/>
        <v>0</v>
      </c>
      <c r="O225" s="718">
        <f t="shared" si="53"/>
        <v>404.04</v>
      </c>
      <c r="P225" s="617">
        <f t="shared" si="48"/>
        <v>0</v>
      </c>
      <c r="Q225" s="525">
        <f>I225-'[9]8'!I224</f>
        <v>0</v>
      </c>
      <c r="S225" s="191">
        <v>0</v>
      </c>
      <c r="T225" s="191">
        <v>0</v>
      </c>
      <c r="BT225" s="525"/>
      <c r="BU225" s="523"/>
      <c r="BV225" s="523"/>
      <c r="BW225" s="523"/>
      <c r="BX225" s="523"/>
      <c r="BY225" s="523">
        <v>0</v>
      </c>
      <c r="BZ225" s="523">
        <v>0</v>
      </c>
      <c r="CA225" s="523">
        <v>0</v>
      </c>
      <c r="CB225" s="523">
        <v>0</v>
      </c>
      <c r="CC225" s="523"/>
      <c r="CD225" s="523"/>
      <c r="CE225" s="523"/>
      <c r="CF225" s="523"/>
      <c r="CG225" s="523"/>
      <c r="CH225" s="523"/>
      <c r="CI225" s="523">
        <f t="shared" si="49"/>
        <v>0</v>
      </c>
    </row>
    <row r="226" spans="1:87" s="110" customFormat="1" ht="15.75" x14ac:dyDescent="0.2">
      <c r="A226" s="605" t="s">
        <v>631</v>
      </c>
      <c r="B226" s="586"/>
      <c r="C226" s="586"/>
      <c r="D226" s="586" t="s">
        <v>1690</v>
      </c>
      <c r="E226" s="683"/>
      <c r="F226" s="683">
        <f>SUM(F227:F247)</f>
        <v>274.84000000000003</v>
      </c>
      <c r="G226" s="687"/>
      <c r="H226" s="683"/>
      <c r="I226" s="748">
        <f t="shared" si="50"/>
        <v>0</v>
      </c>
      <c r="J226" s="750">
        <f t="shared" si="51"/>
        <v>46</v>
      </c>
      <c r="K226" s="748">
        <f t="shared" si="46"/>
        <v>-46</v>
      </c>
      <c r="L226" s="733">
        <f>SUM(L227:L247)</f>
        <v>3741.5200000000004</v>
      </c>
      <c r="M226" s="733">
        <f>SUM(M227:M247)</f>
        <v>0</v>
      </c>
      <c r="N226" s="733">
        <f>SUM(N227:N247)</f>
        <v>311.62</v>
      </c>
      <c r="O226" s="722">
        <f>SUM(O227:O247)</f>
        <v>3429.9</v>
      </c>
      <c r="P226" s="611">
        <f t="shared" si="48"/>
        <v>8.3287006350360279E-2</v>
      </c>
      <c r="Q226" s="525">
        <f>I226-'[9]8'!I225</f>
        <v>0</v>
      </c>
      <c r="S226" s="192">
        <v>28</v>
      </c>
      <c r="T226" s="192">
        <v>0</v>
      </c>
      <c r="BT226" s="525"/>
      <c r="BU226" s="523"/>
      <c r="BV226" s="523"/>
      <c r="BW226" s="523"/>
      <c r="BX226" s="523"/>
      <c r="BY226" s="523">
        <v>46</v>
      </c>
      <c r="BZ226" s="523">
        <v>0</v>
      </c>
      <c r="CA226" s="523"/>
      <c r="CB226" s="523"/>
      <c r="CC226" s="523"/>
      <c r="CD226" s="523"/>
      <c r="CE226" s="523"/>
      <c r="CF226" s="523"/>
      <c r="CG226" s="523"/>
      <c r="CH226" s="523"/>
      <c r="CI226" s="523">
        <f t="shared" si="49"/>
        <v>46</v>
      </c>
    </row>
    <row r="227" spans="1:87" s="110" customFormat="1" ht="15" x14ac:dyDescent="0.2">
      <c r="A227" s="612" t="s">
        <v>1691</v>
      </c>
      <c r="B227" s="613">
        <v>91854</v>
      </c>
      <c r="C227" s="613" t="s">
        <v>1324</v>
      </c>
      <c r="D227" s="614" t="s">
        <v>1692</v>
      </c>
      <c r="E227" s="615" t="s">
        <v>81</v>
      </c>
      <c r="F227" s="644">
        <v>6.88</v>
      </c>
      <c r="G227" s="616">
        <v>6.16</v>
      </c>
      <c r="H227" s="615">
        <v>28</v>
      </c>
      <c r="I227" s="685">
        <f t="shared" si="50"/>
        <v>0</v>
      </c>
      <c r="J227" s="573">
        <f t="shared" si="51"/>
        <v>28</v>
      </c>
      <c r="K227" s="644">
        <f t="shared" si="46"/>
        <v>0</v>
      </c>
      <c r="L227" s="708">
        <f t="shared" ref="L227:O247" si="54">ROUND(H227*$G227,2)</f>
        <v>172.48</v>
      </c>
      <c r="M227" s="708">
        <f t="shared" si="54"/>
        <v>0</v>
      </c>
      <c r="N227" s="708">
        <f t="shared" si="54"/>
        <v>172.48</v>
      </c>
      <c r="O227" s="718">
        <f t="shared" si="54"/>
        <v>0</v>
      </c>
      <c r="P227" s="617">
        <f t="shared" si="48"/>
        <v>1</v>
      </c>
      <c r="Q227" s="525">
        <f>I227-'[9]8'!I226</f>
        <v>0</v>
      </c>
      <c r="S227" s="192">
        <v>18</v>
      </c>
      <c r="T227" s="192">
        <v>0</v>
      </c>
      <c r="BT227" s="525"/>
      <c r="BU227" s="523"/>
      <c r="BV227" s="523"/>
      <c r="BW227" s="523"/>
      <c r="BX227" s="523"/>
      <c r="BY227" s="523">
        <v>28</v>
      </c>
      <c r="BZ227" s="523">
        <v>0</v>
      </c>
      <c r="CA227" s="523">
        <v>0</v>
      </c>
      <c r="CB227" s="523">
        <v>0</v>
      </c>
      <c r="CC227" s="523"/>
      <c r="CD227" s="523"/>
      <c r="CE227" s="523"/>
      <c r="CF227" s="523"/>
      <c r="CG227" s="523"/>
      <c r="CH227" s="523"/>
      <c r="CI227" s="523">
        <f t="shared" si="49"/>
        <v>28</v>
      </c>
    </row>
    <row r="228" spans="1:87" ht="15" x14ac:dyDescent="0.2">
      <c r="A228" s="612" t="s">
        <v>1693</v>
      </c>
      <c r="B228" s="613">
        <v>91856</v>
      </c>
      <c r="C228" s="613" t="s">
        <v>1324</v>
      </c>
      <c r="D228" s="614" t="s">
        <v>1694</v>
      </c>
      <c r="E228" s="615" t="s">
        <v>81</v>
      </c>
      <c r="F228" s="644">
        <v>9.86</v>
      </c>
      <c r="G228" s="616">
        <v>7.73</v>
      </c>
      <c r="H228" s="615">
        <v>18</v>
      </c>
      <c r="I228" s="685">
        <f t="shared" si="50"/>
        <v>0</v>
      </c>
      <c r="J228" s="573">
        <f t="shared" si="51"/>
        <v>18</v>
      </c>
      <c r="K228" s="644">
        <f t="shared" si="46"/>
        <v>0</v>
      </c>
      <c r="L228" s="708">
        <f t="shared" si="54"/>
        <v>139.13999999999999</v>
      </c>
      <c r="M228" s="708">
        <f t="shared" si="54"/>
        <v>0</v>
      </c>
      <c r="N228" s="708">
        <f t="shared" si="54"/>
        <v>139.13999999999999</v>
      </c>
      <c r="O228" s="718">
        <f t="shared" si="54"/>
        <v>0</v>
      </c>
      <c r="P228" s="617">
        <f t="shared" si="48"/>
        <v>1</v>
      </c>
      <c r="Q228" s="525">
        <f>I228-'[9]8'!I227</f>
        <v>0</v>
      </c>
      <c r="S228" s="189">
        <v>0</v>
      </c>
      <c r="T228" s="189">
        <v>0</v>
      </c>
      <c r="BT228" s="525"/>
      <c r="BU228" s="523"/>
      <c r="BV228" s="523"/>
      <c r="BW228" s="523"/>
      <c r="BX228" s="523"/>
      <c r="BY228" s="523">
        <v>18</v>
      </c>
      <c r="BZ228" s="523">
        <v>0</v>
      </c>
      <c r="CA228" s="523">
        <v>0</v>
      </c>
      <c r="CB228" s="523">
        <v>0</v>
      </c>
      <c r="CC228" s="523"/>
      <c r="CD228" s="523"/>
      <c r="CE228" s="523"/>
      <c r="CF228" s="523"/>
      <c r="CG228" s="523"/>
      <c r="CH228" s="523"/>
      <c r="CI228" s="523">
        <f t="shared" si="49"/>
        <v>18</v>
      </c>
    </row>
    <row r="229" spans="1:87" ht="15" x14ac:dyDescent="0.2">
      <c r="A229" s="680" t="s">
        <v>1695</v>
      </c>
      <c r="B229" s="569">
        <v>91873</v>
      </c>
      <c r="C229" s="569" t="s">
        <v>1324</v>
      </c>
      <c r="D229" s="569" t="s">
        <v>1696</v>
      </c>
      <c r="E229" s="681" t="s">
        <v>81</v>
      </c>
      <c r="F229" s="644">
        <v>10.4</v>
      </c>
      <c r="G229" s="682">
        <v>12.57</v>
      </c>
      <c r="H229" s="681">
        <v>18</v>
      </c>
      <c r="I229" s="685">
        <f t="shared" si="50"/>
        <v>0</v>
      </c>
      <c r="J229" s="573">
        <f t="shared" si="51"/>
        <v>0</v>
      </c>
      <c r="K229" s="644">
        <f t="shared" si="46"/>
        <v>18</v>
      </c>
      <c r="L229" s="708">
        <f t="shared" si="54"/>
        <v>226.26</v>
      </c>
      <c r="M229" s="708">
        <f t="shared" si="54"/>
        <v>0</v>
      </c>
      <c r="N229" s="708">
        <f t="shared" si="54"/>
        <v>0</v>
      </c>
      <c r="O229" s="718">
        <f t="shared" si="54"/>
        <v>226.26</v>
      </c>
      <c r="P229" s="617">
        <f t="shared" si="48"/>
        <v>0</v>
      </c>
      <c r="Q229" s="525">
        <f>I229-'[9]8'!I228</f>
        <v>0</v>
      </c>
      <c r="S229" s="189">
        <v>0</v>
      </c>
      <c r="T229" s="189">
        <v>0</v>
      </c>
      <c r="BT229" s="525"/>
      <c r="BU229" s="523"/>
      <c r="BV229" s="523"/>
      <c r="BW229" s="523"/>
      <c r="BX229" s="523"/>
      <c r="BY229" s="523">
        <v>0</v>
      </c>
      <c r="BZ229" s="523">
        <v>0</v>
      </c>
      <c r="CA229" s="523">
        <v>0</v>
      </c>
      <c r="CB229" s="523">
        <v>0</v>
      </c>
      <c r="CC229" s="523"/>
      <c r="CD229" s="523"/>
      <c r="CE229" s="523"/>
      <c r="CF229" s="523"/>
      <c r="CG229" s="523"/>
      <c r="CH229" s="523"/>
      <c r="CI229" s="523">
        <f t="shared" si="49"/>
        <v>0</v>
      </c>
    </row>
    <row r="230" spans="1:87" ht="15" x14ac:dyDescent="0.2">
      <c r="A230" s="680" t="s">
        <v>1697</v>
      </c>
      <c r="B230" s="569">
        <v>72308</v>
      </c>
      <c r="C230" s="569" t="s">
        <v>1324</v>
      </c>
      <c r="D230" s="569" t="s">
        <v>1698</v>
      </c>
      <c r="E230" s="681" t="s">
        <v>81</v>
      </c>
      <c r="F230" s="644">
        <v>9.6</v>
      </c>
      <c r="G230" s="682">
        <v>14.39</v>
      </c>
      <c r="H230" s="681">
        <v>82</v>
      </c>
      <c r="I230" s="685">
        <f t="shared" si="50"/>
        <v>0</v>
      </c>
      <c r="J230" s="573">
        <f t="shared" si="51"/>
        <v>0</v>
      </c>
      <c r="K230" s="644">
        <f t="shared" si="46"/>
        <v>82</v>
      </c>
      <c r="L230" s="708">
        <f t="shared" si="54"/>
        <v>1179.98</v>
      </c>
      <c r="M230" s="708">
        <f t="shared" si="54"/>
        <v>0</v>
      </c>
      <c r="N230" s="708">
        <f t="shared" si="54"/>
        <v>0</v>
      </c>
      <c r="O230" s="718">
        <f t="shared" si="54"/>
        <v>1179.98</v>
      </c>
      <c r="P230" s="617">
        <f t="shared" si="48"/>
        <v>0</v>
      </c>
      <c r="Q230" s="525">
        <f>I230-'[9]8'!I229</f>
        <v>0</v>
      </c>
      <c r="S230" s="189">
        <v>0</v>
      </c>
      <c r="T230" s="189">
        <v>0</v>
      </c>
      <c r="BT230" s="525"/>
      <c r="BU230" s="523"/>
      <c r="BV230" s="523"/>
      <c r="BW230" s="523"/>
      <c r="BX230" s="523"/>
      <c r="BY230" s="523">
        <v>0</v>
      </c>
      <c r="BZ230" s="523">
        <v>0</v>
      </c>
      <c r="CA230" s="523">
        <v>0</v>
      </c>
      <c r="CB230" s="523">
        <v>0</v>
      </c>
      <c r="CC230" s="523"/>
      <c r="CD230" s="523"/>
      <c r="CE230" s="523"/>
      <c r="CF230" s="523"/>
      <c r="CG230" s="523"/>
      <c r="CH230" s="523"/>
      <c r="CI230" s="523">
        <f t="shared" si="49"/>
        <v>0</v>
      </c>
    </row>
    <row r="231" spans="1:87" ht="15" x14ac:dyDescent="0.2">
      <c r="A231" s="680" t="s">
        <v>1699</v>
      </c>
      <c r="B231" s="569">
        <v>72309</v>
      </c>
      <c r="C231" s="569" t="s">
        <v>1324</v>
      </c>
      <c r="D231" s="569" t="s">
        <v>1700</v>
      </c>
      <c r="E231" s="681" t="s">
        <v>81</v>
      </c>
      <c r="F231" s="644">
        <v>7.38</v>
      </c>
      <c r="G231" s="682">
        <v>22.92</v>
      </c>
      <c r="H231" s="681">
        <v>13</v>
      </c>
      <c r="I231" s="685">
        <f t="shared" si="50"/>
        <v>0</v>
      </c>
      <c r="J231" s="573">
        <f t="shared" si="51"/>
        <v>0</v>
      </c>
      <c r="K231" s="644">
        <f t="shared" si="46"/>
        <v>13</v>
      </c>
      <c r="L231" s="708">
        <f t="shared" si="54"/>
        <v>297.95999999999998</v>
      </c>
      <c r="M231" s="708">
        <f t="shared" si="54"/>
        <v>0</v>
      </c>
      <c r="N231" s="708">
        <f t="shared" si="54"/>
        <v>0</v>
      </c>
      <c r="O231" s="718">
        <f t="shared" si="54"/>
        <v>297.95999999999998</v>
      </c>
      <c r="P231" s="617">
        <f t="shared" si="48"/>
        <v>0</v>
      </c>
      <c r="Q231" s="525">
        <f>I231-'[9]8'!I230</f>
        <v>0</v>
      </c>
      <c r="S231" s="189">
        <v>0</v>
      </c>
      <c r="T231" s="189">
        <v>0</v>
      </c>
      <c r="BT231" s="525"/>
      <c r="BU231" s="523"/>
      <c r="BV231" s="523"/>
      <c r="BW231" s="523"/>
      <c r="BX231" s="523"/>
      <c r="BY231" s="523">
        <v>0</v>
      </c>
      <c r="BZ231" s="523">
        <v>0</v>
      </c>
      <c r="CA231" s="523">
        <v>0</v>
      </c>
      <c r="CB231" s="523">
        <v>0</v>
      </c>
      <c r="CC231" s="523"/>
      <c r="CD231" s="523"/>
      <c r="CE231" s="523"/>
      <c r="CF231" s="523"/>
      <c r="CG231" s="523"/>
      <c r="CH231" s="523"/>
      <c r="CI231" s="523">
        <f t="shared" si="49"/>
        <v>0</v>
      </c>
    </row>
    <row r="232" spans="1:87" ht="15" x14ac:dyDescent="0.2">
      <c r="A232" s="680" t="s">
        <v>2011</v>
      </c>
      <c r="B232" s="569" t="s">
        <v>2012</v>
      </c>
      <c r="C232" s="569" t="s">
        <v>1324</v>
      </c>
      <c r="D232" s="569" t="s">
        <v>1702</v>
      </c>
      <c r="E232" s="681" t="s">
        <v>81</v>
      </c>
      <c r="F232" s="571"/>
      <c r="G232" s="682">
        <v>24.94</v>
      </c>
      <c r="H232" s="681">
        <v>30</v>
      </c>
      <c r="I232" s="685">
        <f t="shared" si="50"/>
        <v>0</v>
      </c>
      <c r="J232" s="573">
        <f t="shared" si="51"/>
        <v>0</v>
      </c>
      <c r="K232" s="644">
        <f t="shared" si="46"/>
        <v>30</v>
      </c>
      <c r="L232" s="708">
        <f t="shared" si="54"/>
        <v>748.2</v>
      </c>
      <c r="M232" s="708">
        <f t="shared" si="54"/>
        <v>0</v>
      </c>
      <c r="N232" s="708">
        <f t="shared" si="54"/>
        <v>0</v>
      </c>
      <c r="O232" s="718">
        <f t="shared" si="54"/>
        <v>748.2</v>
      </c>
      <c r="P232" s="617">
        <f t="shared" si="48"/>
        <v>0</v>
      </c>
      <c r="Q232" s="525">
        <f>I232-'[9]8'!I231</f>
        <v>0</v>
      </c>
      <c r="S232" s="189">
        <v>0</v>
      </c>
      <c r="T232" s="189">
        <v>0</v>
      </c>
      <c r="BT232" s="525"/>
      <c r="BU232" s="523"/>
      <c r="BV232" s="523"/>
      <c r="BW232" s="523"/>
      <c r="BX232" s="523"/>
      <c r="BY232" s="523">
        <v>0</v>
      </c>
      <c r="BZ232" s="523">
        <v>0</v>
      </c>
      <c r="CA232" s="523">
        <v>0</v>
      </c>
      <c r="CB232" s="523">
        <v>0</v>
      </c>
      <c r="CC232" s="523"/>
      <c r="CD232" s="523"/>
      <c r="CE232" s="523"/>
      <c r="CF232" s="523"/>
      <c r="CG232" s="523"/>
      <c r="CH232" s="523"/>
      <c r="CI232" s="523">
        <f t="shared" si="49"/>
        <v>0</v>
      </c>
    </row>
    <row r="233" spans="1:87" ht="30" x14ac:dyDescent="0.2">
      <c r="A233" s="680" t="s">
        <v>1703</v>
      </c>
      <c r="B233" s="569" t="s">
        <v>1704</v>
      </c>
      <c r="C233" s="569" t="s">
        <v>1324</v>
      </c>
      <c r="D233" s="569" t="s">
        <v>1705</v>
      </c>
      <c r="E233" s="681" t="s">
        <v>102</v>
      </c>
      <c r="F233" s="644">
        <v>3.06</v>
      </c>
      <c r="G233" s="682">
        <v>23.12</v>
      </c>
      <c r="H233" s="681">
        <v>5</v>
      </c>
      <c r="I233" s="685">
        <f t="shared" si="50"/>
        <v>0</v>
      </c>
      <c r="J233" s="573">
        <f t="shared" si="51"/>
        <v>0</v>
      </c>
      <c r="K233" s="644">
        <f t="shared" si="46"/>
        <v>5</v>
      </c>
      <c r="L233" s="708">
        <f t="shared" si="54"/>
        <v>115.6</v>
      </c>
      <c r="M233" s="708">
        <f t="shared" si="54"/>
        <v>0</v>
      </c>
      <c r="N233" s="708">
        <f t="shared" si="54"/>
        <v>0</v>
      </c>
      <c r="O233" s="718">
        <f t="shared" si="54"/>
        <v>115.6</v>
      </c>
      <c r="P233" s="617">
        <f t="shared" si="48"/>
        <v>0</v>
      </c>
      <c r="Q233" s="525">
        <f>I233-'[9]8'!I232</f>
        <v>0</v>
      </c>
      <c r="S233" s="189">
        <v>0</v>
      </c>
      <c r="T233" s="189">
        <v>0</v>
      </c>
      <c r="BT233" s="525"/>
      <c r="BU233" s="523"/>
      <c r="BV233" s="523"/>
      <c r="BW233" s="523"/>
      <c r="BX233" s="523"/>
      <c r="BY233" s="523">
        <v>0</v>
      </c>
      <c r="BZ233" s="523">
        <v>0</v>
      </c>
      <c r="CA233" s="523">
        <v>0</v>
      </c>
      <c r="CB233" s="523">
        <v>0</v>
      </c>
      <c r="CC233" s="523"/>
      <c r="CD233" s="523"/>
      <c r="CE233" s="523"/>
      <c r="CF233" s="523"/>
      <c r="CG233" s="523"/>
      <c r="CH233" s="523"/>
      <c r="CI233" s="523">
        <f t="shared" si="49"/>
        <v>0</v>
      </c>
    </row>
    <row r="234" spans="1:87" ht="30" x14ac:dyDescent="0.2">
      <c r="A234" s="680" t="s">
        <v>1706</v>
      </c>
      <c r="B234" s="569" t="s">
        <v>1707</v>
      </c>
      <c r="C234" s="569" t="s">
        <v>1324</v>
      </c>
      <c r="D234" s="569" t="s">
        <v>1708</v>
      </c>
      <c r="E234" s="681" t="s">
        <v>102</v>
      </c>
      <c r="F234" s="644">
        <v>4.18</v>
      </c>
      <c r="G234" s="682">
        <v>25.34</v>
      </c>
      <c r="H234" s="681">
        <v>5</v>
      </c>
      <c r="I234" s="685">
        <f t="shared" si="50"/>
        <v>0</v>
      </c>
      <c r="J234" s="573">
        <f t="shared" si="51"/>
        <v>0</v>
      </c>
      <c r="K234" s="644">
        <f t="shared" si="46"/>
        <v>5</v>
      </c>
      <c r="L234" s="708">
        <f t="shared" si="54"/>
        <v>126.7</v>
      </c>
      <c r="M234" s="708">
        <f t="shared" si="54"/>
        <v>0</v>
      </c>
      <c r="N234" s="708">
        <f t="shared" si="54"/>
        <v>0</v>
      </c>
      <c r="O234" s="718">
        <f t="shared" si="54"/>
        <v>126.7</v>
      </c>
      <c r="P234" s="617">
        <f t="shared" si="48"/>
        <v>0</v>
      </c>
      <c r="Q234" s="525">
        <f>I234-'[9]8'!I233</f>
        <v>0</v>
      </c>
      <c r="S234" s="189">
        <v>0</v>
      </c>
      <c r="T234" s="189">
        <v>0</v>
      </c>
      <c r="BT234" s="525"/>
      <c r="BU234" s="523"/>
      <c r="BV234" s="523"/>
      <c r="BW234" s="523"/>
      <c r="BX234" s="523"/>
      <c r="BY234" s="523">
        <v>0</v>
      </c>
      <c r="BZ234" s="523">
        <v>0</v>
      </c>
      <c r="CA234" s="523">
        <v>0</v>
      </c>
      <c r="CB234" s="523">
        <v>0</v>
      </c>
      <c r="CC234" s="523"/>
      <c r="CD234" s="523"/>
      <c r="CE234" s="523"/>
      <c r="CF234" s="523"/>
      <c r="CG234" s="523"/>
      <c r="CH234" s="523"/>
      <c r="CI234" s="523">
        <f t="shared" si="49"/>
        <v>0</v>
      </c>
    </row>
    <row r="235" spans="1:87" ht="30" x14ac:dyDescent="0.2">
      <c r="A235" s="680" t="s">
        <v>1709</v>
      </c>
      <c r="B235" s="569" t="s">
        <v>1704</v>
      </c>
      <c r="C235" s="569" t="s">
        <v>1324</v>
      </c>
      <c r="D235" s="569" t="s">
        <v>1710</v>
      </c>
      <c r="E235" s="681" t="s">
        <v>102</v>
      </c>
      <c r="F235" s="644">
        <v>6.7</v>
      </c>
      <c r="G235" s="682">
        <v>25.88</v>
      </c>
      <c r="H235" s="681">
        <v>4</v>
      </c>
      <c r="I235" s="685">
        <f t="shared" si="50"/>
        <v>0</v>
      </c>
      <c r="J235" s="573">
        <f t="shared" si="51"/>
        <v>0</v>
      </c>
      <c r="K235" s="644">
        <f t="shared" si="46"/>
        <v>4</v>
      </c>
      <c r="L235" s="708">
        <f t="shared" si="54"/>
        <v>103.52</v>
      </c>
      <c r="M235" s="708">
        <f t="shared" si="54"/>
        <v>0</v>
      </c>
      <c r="N235" s="708">
        <f t="shared" si="54"/>
        <v>0</v>
      </c>
      <c r="O235" s="718">
        <f t="shared" si="54"/>
        <v>103.52</v>
      </c>
      <c r="P235" s="617">
        <f t="shared" si="48"/>
        <v>0</v>
      </c>
      <c r="Q235" s="525">
        <f>I235-'[9]8'!I234</f>
        <v>0</v>
      </c>
      <c r="S235" s="189">
        <v>0</v>
      </c>
      <c r="T235" s="189">
        <v>0</v>
      </c>
      <c r="BT235" s="525"/>
      <c r="BU235" s="523"/>
      <c r="BV235" s="523"/>
      <c r="BW235" s="523"/>
      <c r="BX235" s="523"/>
      <c r="BY235" s="523">
        <v>0</v>
      </c>
      <c r="BZ235" s="523">
        <v>0</v>
      </c>
      <c r="CA235" s="523">
        <v>0</v>
      </c>
      <c r="CB235" s="523">
        <v>0</v>
      </c>
      <c r="CC235" s="523"/>
      <c r="CD235" s="523"/>
      <c r="CE235" s="523"/>
      <c r="CF235" s="523"/>
      <c r="CG235" s="523"/>
      <c r="CH235" s="523"/>
      <c r="CI235" s="523">
        <f t="shared" si="49"/>
        <v>0</v>
      </c>
    </row>
    <row r="236" spans="1:87" ht="30" x14ac:dyDescent="0.2">
      <c r="A236" s="680" t="s">
        <v>1711</v>
      </c>
      <c r="B236" s="569" t="s">
        <v>1712</v>
      </c>
      <c r="C236" s="569" t="s">
        <v>1324</v>
      </c>
      <c r="D236" s="569" t="s">
        <v>1713</v>
      </c>
      <c r="E236" s="681" t="s">
        <v>102</v>
      </c>
      <c r="F236" s="644">
        <v>12.3</v>
      </c>
      <c r="G236" s="682">
        <v>26.28</v>
      </c>
      <c r="H236" s="681">
        <v>1</v>
      </c>
      <c r="I236" s="685">
        <f t="shared" si="50"/>
        <v>0</v>
      </c>
      <c r="J236" s="573">
        <f t="shared" si="51"/>
        <v>0</v>
      </c>
      <c r="K236" s="644">
        <f t="shared" si="46"/>
        <v>1</v>
      </c>
      <c r="L236" s="708">
        <f t="shared" si="54"/>
        <v>26.28</v>
      </c>
      <c r="M236" s="708">
        <f t="shared" si="54"/>
        <v>0</v>
      </c>
      <c r="N236" s="708">
        <f t="shared" si="54"/>
        <v>0</v>
      </c>
      <c r="O236" s="718">
        <f t="shared" si="54"/>
        <v>26.28</v>
      </c>
      <c r="P236" s="617">
        <f t="shared" si="48"/>
        <v>0</v>
      </c>
      <c r="Q236" s="525">
        <f>I236-'[9]8'!I235</f>
        <v>0</v>
      </c>
      <c r="S236" s="189">
        <v>0</v>
      </c>
      <c r="T236" s="189">
        <v>0</v>
      </c>
      <c r="BT236" s="525"/>
      <c r="BU236" s="523"/>
      <c r="BV236" s="523"/>
      <c r="BW236" s="523"/>
      <c r="BX236" s="523"/>
      <c r="BY236" s="523">
        <v>0</v>
      </c>
      <c r="BZ236" s="523">
        <v>0</v>
      </c>
      <c r="CA236" s="523">
        <v>0</v>
      </c>
      <c r="CB236" s="523">
        <v>0</v>
      </c>
      <c r="CC236" s="523"/>
      <c r="CD236" s="523"/>
      <c r="CE236" s="523"/>
      <c r="CF236" s="523"/>
      <c r="CG236" s="523"/>
      <c r="CH236" s="523"/>
      <c r="CI236" s="523">
        <f t="shared" si="49"/>
        <v>0</v>
      </c>
    </row>
    <row r="237" spans="1:87" ht="30" x14ac:dyDescent="0.2">
      <c r="A237" s="680" t="s">
        <v>1714</v>
      </c>
      <c r="B237" s="569" t="s">
        <v>1715</v>
      </c>
      <c r="C237" s="569" t="s">
        <v>1343</v>
      </c>
      <c r="D237" s="569" t="s">
        <v>1716</v>
      </c>
      <c r="E237" s="681" t="s">
        <v>102</v>
      </c>
      <c r="F237" s="644">
        <v>33.06</v>
      </c>
      <c r="G237" s="682">
        <v>1.94</v>
      </c>
      <c r="H237" s="681">
        <v>50</v>
      </c>
      <c r="I237" s="685">
        <f t="shared" si="50"/>
        <v>0</v>
      </c>
      <c r="J237" s="573">
        <f t="shared" si="51"/>
        <v>0</v>
      </c>
      <c r="K237" s="644">
        <f t="shared" si="46"/>
        <v>50</v>
      </c>
      <c r="L237" s="708">
        <f t="shared" si="54"/>
        <v>97</v>
      </c>
      <c r="M237" s="708">
        <f t="shared" si="54"/>
        <v>0</v>
      </c>
      <c r="N237" s="708">
        <f t="shared" si="54"/>
        <v>0</v>
      </c>
      <c r="O237" s="718">
        <f t="shared" si="54"/>
        <v>97</v>
      </c>
      <c r="P237" s="617">
        <f t="shared" si="48"/>
        <v>0</v>
      </c>
      <c r="Q237" s="525">
        <f>I237-'[9]8'!I236</f>
        <v>0</v>
      </c>
      <c r="S237" s="189">
        <v>0</v>
      </c>
      <c r="T237" s="189">
        <v>0</v>
      </c>
      <c r="BT237" s="525"/>
      <c r="BU237" s="523"/>
      <c r="BV237" s="523"/>
      <c r="BW237" s="523"/>
      <c r="BX237" s="523"/>
      <c r="BY237" s="523">
        <v>0</v>
      </c>
      <c r="BZ237" s="523">
        <v>0</v>
      </c>
      <c r="CA237" s="523">
        <v>0</v>
      </c>
      <c r="CB237" s="523">
        <v>0</v>
      </c>
      <c r="CC237" s="523"/>
      <c r="CD237" s="523"/>
      <c r="CE237" s="523"/>
      <c r="CF237" s="523"/>
      <c r="CG237" s="523"/>
      <c r="CH237" s="523"/>
      <c r="CI237" s="523">
        <f t="shared" si="49"/>
        <v>0</v>
      </c>
    </row>
    <row r="238" spans="1:87" ht="30" x14ac:dyDescent="0.2">
      <c r="A238" s="680" t="s">
        <v>1717</v>
      </c>
      <c r="B238" s="569" t="s">
        <v>1715</v>
      </c>
      <c r="C238" s="569" t="s">
        <v>1343</v>
      </c>
      <c r="D238" s="569" t="s">
        <v>1718</v>
      </c>
      <c r="E238" s="681" t="s">
        <v>102</v>
      </c>
      <c r="F238" s="644">
        <v>4.53</v>
      </c>
      <c r="G238" s="682">
        <v>2.19</v>
      </c>
      <c r="H238" s="681">
        <v>4</v>
      </c>
      <c r="I238" s="685">
        <f t="shared" si="50"/>
        <v>0</v>
      </c>
      <c r="J238" s="573">
        <f t="shared" si="51"/>
        <v>0</v>
      </c>
      <c r="K238" s="644">
        <f t="shared" si="46"/>
        <v>4</v>
      </c>
      <c r="L238" s="708">
        <f t="shared" si="54"/>
        <v>8.76</v>
      </c>
      <c r="M238" s="708">
        <f t="shared" si="54"/>
        <v>0</v>
      </c>
      <c r="N238" s="708">
        <f t="shared" si="54"/>
        <v>0</v>
      </c>
      <c r="O238" s="718">
        <f t="shared" si="54"/>
        <v>8.76</v>
      </c>
      <c r="P238" s="617">
        <f t="shared" si="48"/>
        <v>0</v>
      </c>
      <c r="Q238" s="525">
        <f>I238-'[9]8'!I237</f>
        <v>0</v>
      </c>
      <c r="S238" s="189">
        <v>0</v>
      </c>
      <c r="T238" s="189">
        <v>0</v>
      </c>
      <c r="BT238" s="525"/>
      <c r="BU238" s="523"/>
      <c r="BV238" s="523"/>
      <c r="BW238" s="523"/>
      <c r="BX238" s="523"/>
      <c r="BY238" s="523">
        <v>0</v>
      </c>
      <c r="BZ238" s="523">
        <v>0</v>
      </c>
      <c r="CA238" s="523">
        <v>0</v>
      </c>
      <c r="CB238" s="523">
        <v>0</v>
      </c>
      <c r="CC238" s="523"/>
      <c r="CD238" s="523"/>
      <c r="CE238" s="523"/>
      <c r="CF238" s="523"/>
      <c r="CG238" s="523"/>
      <c r="CH238" s="523"/>
      <c r="CI238" s="523">
        <f t="shared" si="49"/>
        <v>0</v>
      </c>
    </row>
    <row r="239" spans="1:87" ht="30" x14ac:dyDescent="0.2">
      <c r="A239" s="680" t="s">
        <v>1719</v>
      </c>
      <c r="B239" s="569" t="s">
        <v>1715</v>
      </c>
      <c r="C239" s="569" t="s">
        <v>1343</v>
      </c>
      <c r="D239" s="569" t="s">
        <v>1720</v>
      </c>
      <c r="E239" s="681" t="s">
        <v>102</v>
      </c>
      <c r="F239" s="571"/>
      <c r="G239" s="682">
        <v>2.4</v>
      </c>
      <c r="H239" s="681">
        <v>4</v>
      </c>
      <c r="I239" s="685">
        <f t="shared" si="50"/>
        <v>0</v>
      </c>
      <c r="J239" s="573">
        <f t="shared" si="51"/>
        <v>0</v>
      </c>
      <c r="K239" s="751">
        <f t="shared" si="46"/>
        <v>4</v>
      </c>
      <c r="L239" s="708">
        <f t="shared" si="54"/>
        <v>9.6</v>
      </c>
      <c r="M239" s="708">
        <f t="shared" si="54"/>
        <v>0</v>
      </c>
      <c r="N239" s="708">
        <f t="shared" si="54"/>
        <v>0</v>
      </c>
      <c r="O239" s="718">
        <f t="shared" si="54"/>
        <v>9.6</v>
      </c>
      <c r="P239" s="617">
        <f t="shared" si="48"/>
        <v>0</v>
      </c>
      <c r="Q239" s="525">
        <f>I239-'[9]8'!I238</f>
        <v>0</v>
      </c>
      <c r="S239" s="189">
        <v>0</v>
      </c>
      <c r="T239" s="189">
        <v>0</v>
      </c>
      <c r="BT239" s="525"/>
      <c r="BU239" s="523"/>
      <c r="BV239" s="523"/>
      <c r="BW239" s="523"/>
      <c r="BX239" s="523"/>
      <c r="BY239" s="523">
        <v>0</v>
      </c>
      <c r="BZ239" s="523">
        <v>0</v>
      </c>
      <c r="CA239" s="523">
        <v>0</v>
      </c>
      <c r="CB239" s="523">
        <v>0</v>
      </c>
      <c r="CC239" s="523"/>
      <c r="CD239" s="523"/>
      <c r="CE239" s="523"/>
      <c r="CF239" s="523"/>
      <c r="CG239" s="523"/>
      <c r="CH239" s="523"/>
      <c r="CI239" s="523">
        <f t="shared" si="49"/>
        <v>0</v>
      </c>
    </row>
    <row r="240" spans="1:87" ht="15" x14ac:dyDescent="0.2">
      <c r="A240" s="680" t="s">
        <v>1721</v>
      </c>
      <c r="B240" s="569">
        <v>73542</v>
      </c>
      <c r="C240" s="569" t="s">
        <v>1324</v>
      </c>
      <c r="D240" s="569" t="s">
        <v>1722</v>
      </c>
      <c r="E240" s="681" t="s">
        <v>1723</v>
      </c>
      <c r="F240" s="644">
        <v>5.76</v>
      </c>
      <c r="G240" s="682">
        <v>0.73</v>
      </c>
      <c r="H240" s="681">
        <v>15</v>
      </c>
      <c r="I240" s="685">
        <f t="shared" si="50"/>
        <v>0</v>
      </c>
      <c r="J240" s="573">
        <f t="shared" si="51"/>
        <v>0</v>
      </c>
      <c r="K240" s="644">
        <f t="shared" si="46"/>
        <v>15</v>
      </c>
      <c r="L240" s="708">
        <f t="shared" si="54"/>
        <v>10.95</v>
      </c>
      <c r="M240" s="708">
        <f t="shared" si="54"/>
        <v>0</v>
      </c>
      <c r="N240" s="708">
        <f t="shared" si="54"/>
        <v>0</v>
      </c>
      <c r="O240" s="718">
        <f t="shared" si="54"/>
        <v>10.95</v>
      </c>
      <c r="P240" s="617">
        <f t="shared" si="48"/>
        <v>0</v>
      </c>
      <c r="Q240" s="525">
        <f>I240-'[9]8'!I239</f>
        <v>0</v>
      </c>
      <c r="S240" s="189">
        <v>0</v>
      </c>
      <c r="T240" s="189">
        <v>0</v>
      </c>
      <c r="BT240" s="525"/>
      <c r="BU240" s="523"/>
      <c r="BV240" s="523"/>
      <c r="BW240" s="523"/>
      <c r="BX240" s="523"/>
      <c r="BY240" s="523">
        <v>0</v>
      </c>
      <c r="BZ240" s="523">
        <v>0</v>
      </c>
      <c r="CA240" s="523">
        <v>0</v>
      </c>
      <c r="CB240" s="523">
        <v>0</v>
      </c>
      <c r="CC240" s="523"/>
      <c r="CD240" s="523"/>
      <c r="CE240" s="523"/>
      <c r="CF240" s="523"/>
      <c r="CG240" s="523"/>
      <c r="CH240" s="523"/>
      <c r="CI240" s="523">
        <f t="shared" si="49"/>
        <v>0</v>
      </c>
    </row>
    <row r="241" spans="1:87" ht="15" x14ac:dyDescent="0.2">
      <c r="A241" s="680" t="s">
        <v>1724</v>
      </c>
      <c r="B241" s="569">
        <v>84158</v>
      </c>
      <c r="C241" s="569" t="s">
        <v>1324</v>
      </c>
      <c r="D241" s="569" t="s">
        <v>1725</v>
      </c>
      <c r="E241" s="681" t="s">
        <v>1723</v>
      </c>
      <c r="F241" s="644">
        <v>8.1999999999999993</v>
      </c>
      <c r="G241" s="682">
        <v>1.42</v>
      </c>
      <c r="H241" s="681">
        <v>2</v>
      </c>
      <c r="I241" s="685">
        <f t="shared" si="50"/>
        <v>0</v>
      </c>
      <c r="J241" s="573">
        <f t="shared" si="51"/>
        <v>0</v>
      </c>
      <c r="K241" s="644">
        <f t="shared" si="46"/>
        <v>2</v>
      </c>
      <c r="L241" s="708">
        <f t="shared" si="54"/>
        <v>2.84</v>
      </c>
      <c r="M241" s="708">
        <f t="shared" si="54"/>
        <v>0</v>
      </c>
      <c r="N241" s="708">
        <f t="shared" si="54"/>
        <v>0</v>
      </c>
      <c r="O241" s="718">
        <f t="shared" si="54"/>
        <v>2.84</v>
      </c>
      <c r="P241" s="617">
        <f t="shared" si="48"/>
        <v>0</v>
      </c>
      <c r="Q241" s="525">
        <f>I241-'[9]8'!I240</f>
        <v>0</v>
      </c>
      <c r="S241" s="189">
        <v>0</v>
      </c>
      <c r="T241" s="189">
        <v>0</v>
      </c>
      <c r="BT241" s="525"/>
      <c r="BU241" s="523"/>
      <c r="BV241" s="523"/>
      <c r="BW241" s="523"/>
      <c r="BX241" s="523"/>
      <c r="BY241" s="523">
        <v>0</v>
      </c>
      <c r="BZ241" s="523">
        <v>0</v>
      </c>
      <c r="CA241" s="523">
        <v>0</v>
      </c>
      <c r="CB241" s="523">
        <v>0</v>
      </c>
      <c r="CC241" s="523"/>
      <c r="CD241" s="523"/>
      <c r="CE241" s="523"/>
      <c r="CF241" s="523"/>
      <c r="CG241" s="523"/>
      <c r="CH241" s="523"/>
      <c r="CI241" s="523">
        <f t="shared" si="49"/>
        <v>0</v>
      </c>
    </row>
    <row r="242" spans="1:87" ht="15" x14ac:dyDescent="0.2">
      <c r="A242" s="680" t="s">
        <v>1726</v>
      </c>
      <c r="B242" s="569">
        <v>84159</v>
      </c>
      <c r="C242" s="569" t="s">
        <v>1324</v>
      </c>
      <c r="D242" s="569" t="s">
        <v>1727</v>
      </c>
      <c r="E242" s="681" t="s">
        <v>1723</v>
      </c>
      <c r="F242" s="644">
        <v>13.75</v>
      </c>
      <c r="G242" s="682">
        <v>3.16</v>
      </c>
      <c r="H242" s="681">
        <v>1</v>
      </c>
      <c r="I242" s="685">
        <f t="shared" si="50"/>
        <v>0</v>
      </c>
      <c r="J242" s="573">
        <f t="shared" si="51"/>
        <v>0</v>
      </c>
      <c r="K242" s="644">
        <f t="shared" si="46"/>
        <v>1</v>
      </c>
      <c r="L242" s="708">
        <f t="shared" si="54"/>
        <v>3.16</v>
      </c>
      <c r="M242" s="708">
        <f t="shared" si="54"/>
        <v>0</v>
      </c>
      <c r="N242" s="708">
        <f t="shared" si="54"/>
        <v>0</v>
      </c>
      <c r="O242" s="718">
        <f t="shared" si="54"/>
        <v>3.16</v>
      </c>
      <c r="P242" s="617">
        <f t="shared" si="48"/>
        <v>0</v>
      </c>
      <c r="Q242" s="525">
        <f>I242-'[9]8'!I241</f>
        <v>0</v>
      </c>
      <c r="S242" s="189">
        <v>0</v>
      </c>
      <c r="T242" s="189">
        <v>0</v>
      </c>
      <c r="BT242" s="525"/>
      <c r="BU242" s="523"/>
      <c r="BV242" s="523"/>
      <c r="BW242" s="523"/>
      <c r="BX242" s="523"/>
      <c r="BY242" s="523">
        <v>0</v>
      </c>
      <c r="BZ242" s="523">
        <v>0</v>
      </c>
      <c r="CA242" s="523">
        <v>0</v>
      </c>
      <c r="CB242" s="523">
        <v>0</v>
      </c>
      <c r="CC242" s="523"/>
      <c r="CD242" s="523"/>
      <c r="CE242" s="523"/>
      <c r="CF242" s="523"/>
      <c r="CG242" s="523"/>
      <c r="CH242" s="523"/>
      <c r="CI242" s="523">
        <f t="shared" si="49"/>
        <v>0</v>
      </c>
    </row>
    <row r="243" spans="1:87" ht="15" x14ac:dyDescent="0.2">
      <c r="A243" s="680" t="s">
        <v>1728</v>
      </c>
      <c r="B243" s="569">
        <v>92695</v>
      </c>
      <c r="C243" s="569" t="s">
        <v>1324</v>
      </c>
      <c r="D243" s="569" t="s">
        <v>1729</v>
      </c>
      <c r="E243" s="681" t="s">
        <v>102</v>
      </c>
      <c r="F243" s="644">
        <v>27.72</v>
      </c>
      <c r="G243" s="682">
        <v>14</v>
      </c>
      <c r="H243" s="681">
        <v>15</v>
      </c>
      <c r="I243" s="685">
        <f t="shared" si="50"/>
        <v>0</v>
      </c>
      <c r="J243" s="573">
        <f t="shared" si="51"/>
        <v>0</v>
      </c>
      <c r="K243" s="644">
        <f t="shared" si="46"/>
        <v>15</v>
      </c>
      <c r="L243" s="708">
        <f t="shared" si="54"/>
        <v>210</v>
      </c>
      <c r="M243" s="708">
        <f t="shared" si="54"/>
        <v>0</v>
      </c>
      <c r="N243" s="708">
        <f t="shared" si="54"/>
        <v>0</v>
      </c>
      <c r="O243" s="718">
        <f t="shared" si="54"/>
        <v>210</v>
      </c>
      <c r="P243" s="617">
        <f t="shared" si="48"/>
        <v>0</v>
      </c>
      <c r="Q243" s="525">
        <f>I243-'[9]8'!I242</f>
        <v>0</v>
      </c>
      <c r="S243" s="189">
        <v>0</v>
      </c>
      <c r="T243" s="189">
        <v>0</v>
      </c>
      <c r="BT243" s="525"/>
      <c r="BU243" s="523"/>
      <c r="BV243" s="523"/>
      <c r="BW243" s="523"/>
      <c r="BX243" s="523"/>
      <c r="BY243" s="523">
        <v>0</v>
      </c>
      <c r="BZ243" s="523">
        <v>0</v>
      </c>
      <c r="CA243" s="523">
        <v>0</v>
      </c>
      <c r="CB243" s="523">
        <v>0</v>
      </c>
      <c r="CC243" s="523"/>
      <c r="CD243" s="523"/>
      <c r="CE243" s="523"/>
      <c r="CF243" s="523"/>
      <c r="CG243" s="523"/>
      <c r="CH243" s="523"/>
      <c r="CI243" s="523">
        <f t="shared" si="49"/>
        <v>0</v>
      </c>
    </row>
    <row r="244" spans="1:87" ht="15" x14ac:dyDescent="0.2">
      <c r="A244" s="680" t="s">
        <v>1730</v>
      </c>
      <c r="B244" s="569">
        <v>92697</v>
      </c>
      <c r="C244" s="569" t="s">
        <v>1324</v>
      </c>
      <c r="D244" s="569" t="s">
        <v>1731</v>
      </c>
      <c r="E244" s="681" t="s">
        <v>102</v>
      </c>
      <c r="F244" s="644">
        <v>71.03</v>
      </c>
      <c r="G244" s="682">
        <v>22.66</v>
      </c>
      <c r="H244" s="681">
        <v>2</v>
      </c>
      <c r="I244" s="685">
        <f t="shared" si="50"/>
        <v>0</v>
      </c>
      <c r="J244" s="573">
        <f t="shared" si="51"/>
        <v>0</v>
      </c>
      <c r="K244" s="644">
        <f t="shared" si="46"/>
        <v>2</v>
      </c>
      <c r="L244" s="708">
        <f t="shared" si="54"/>
        <v>45.32</v>
      </c>
      <c r="M244" s="708">
        <f t="shared" si="54"/>
        <v>0</v>
      </c>
      <c r="N244" s="708">
        <f t="shared" si="54"/>
        <v>0</v>
      </c>
      <c r="O244" s="718">
        <f t="shared" si="54"/>
        <v>45.32</v>
      </c>
      <c r="P244" s="617">
        <f t="shared" si="48"/>
        <v>0</v>
      </c>
      <c r="Q244" s="525">
        <f>I244-'[9]8'!I243</f>
        <v>0</v>
      </c>
      <c r="S244" s="189">
        <v>0</v>
      </c>
      <c r="T244" s="189">
        <v>0</v>
      </c>
      <c r="BT244" s="525"/>
      <c r="BU244" s="523"/>
      <c r="BV244" s="523"/>
      <c r="BW244" s="523"/>
      <c r="BX244" s="523"/>
      <c r="BY244" s="523">
        <v>0</v>
      </c>
      <c r="BZ244" s="523">
        <v>0</v>
      </c>
      <c r="CA244" s="523">
        <v>0</v>
      </c>
      <c r="CB244" s="523">
        <v>0</v>
      </c>
      <c r="CC244" s="523"/>
      <c r="CD244" s="523"/>
      <c r="CE244" s="523"/>
      <c r="CF244" s="523"/>
      <c r="CG244" s="523"/>
      <c r="CH244" s="523"/>
      <c r="CI244" s="523">
        <f t="shared" si="49"/>
        <v>0</v>
      </c>
    </row>
    <row r="245" spans="1:87" ht="15" x14ac:dyDescent="0.2">
      <c r="A245" s="680" t="s">
        <v>1732</v>
      </c>
      <c r="B245" s="569">
        <v>92662</v>
      </c>
      <c r="C245" s="569" t="s">
        <v>1324</v>
      </c>
      <c r="D245" s="569" t="s">
        <v>1733</v>
      </c>
      <c r="E245" s="681" t="s">
        <v>102</v>
      </c>
      <c r="F245" s="644">
        <v>12.99</v>
      </c>
      <c r="G245" s="682">
        <v>22.38</v>
      </c>
      <c r="H245" s="681">
        <v>1</v>
      </c>
      <c r="I245" s="685">
        <f t="shared" si="50"/>
        <v>0</v>
      </c>
      <c r="J245" s="573">
        <f t="shared" si="51"/>
        <v>0</v>
      </c>
      <c r="K245" s="644">
        <f t="shared" si="46"/>
        <v>1</v>
      </c>
      <c r="L245" s="708">
        <f t="shared" si="54"/>
        <v>22.38</v>
      </c>
      <c r="M245" s="708">
        <f t="shared" si="54"/>
        <v>0</v>
      </c>
      <c r="N245" s="708">
        <f t="shared" si="54"/>
        <v>0</v>
      </c>
      <c r="O245" s="718">
        <f t="shared" si="54"/>
        <v>22.38</v>
      </c>
      <c r="P245" s="617">
        <f t="shared" si="48"/>
        <v>0</v>
      </c>
      <c r="Q245" s="525">
        <f>I245-'[9]8'!I244</f>
        <v>0</v>
      </c>
      <c r="S245" s="189">
        <v>0</v>
      </c>
      <c r="T245" s="189">
        <v>0</v>
      </c>
      <c r="BT245" s="525"/>
      <c r="BU245" s="523"/>
      <c r="BV245" s="523"/>
      <c r="BW245" s="523"/>
      <c r="BX245" s="523"/>
      <c r="BY245" s="523">
        <v>0</v>
      </c>
      <c r="BZ245" s="523">
        <v>0</v>
      </c>
      <c r="CA245" s="523">
        <v>0</v>
      </c>
      <c r="CB245" s="523">
        <v>0</v>
      </c>
      <c r="CC245" s="523"/>
      <c r="CD245" s="523"/>
      <c r="CE245" s="523"/>
      <c r="CF245" s="523"/>
      <c r="CG245" s="523"/>
      <c r="CH245" s="523"/>
      <c r="CI245" s="523">
        <f t="shared" si="49"/>
        <v>0</v>
      </c>
    </row>
    <row r="246" spans="1:87" ht="15" x14ac:dyDescent="0.2">
      <c r="A246" s="680" t="s">
        <v>1734</v>
      </c>
      <c r="B246" s="569">
        <v>92868</v>
      </c>
      <c r="C246" s="569" t="s">
        <v>1324</v>
      </c>
      <c r="D246" s="569" t="s">
        <v>1735</v>
      </c>
      <c r="E246" s="681" t="s">
        <v>102</v>
      </c>
      <c r="F246" s="644">
        <v>14.25</v>
      </c>
      <c r="G246" s="682">
        <v>9.5299999999999994</v>
      </c>
      <c r="H246" s="681">
        <v>16</v>
      </c>
      <c r="I246" s="685">
        <f t="shared" si="50"/>
        <v>0</v>
      </c>
      <c r="J246" s="573">
        <f t="shared" si="51"/>
        <v>0</v>
      </c>
      <c r="K246" s="644">
        <f t="shared" si="46"/>
        <v>16</v>
      </c>
      <c r="L246" s="708">
        <f t="shared" si="54"/>
        <v>152.47999999999999</v>
      </c>
      <c r="M246" s="708">
        <f t="shared" si="54"/>
        <v>0</v>
      </c>
      <c r="N246" s="708">
        <f t="shared" si="54"/>
        <v>0</v>
      </c>
      <c r="O246" s="718">
        <f t="shared" si="54"/>
        <v>152.47999999999999</v>
      </c>
      <c r="P246" s="617">
        <f t="shared" si="48"/>
        <v>0</v>
      </c>
      <c r="Q246" s="525">
        <f>I246-'[9]8'!I245</f>
        <v>0</v>
      </c>
      <c r="S246" s="189">
        <v>0</v>
      </c>
      <c r="T246" s="189">
        <v>0</v>
      </c>
      <c r="BT246" s="525"/>
      <c r="BU246" s="523"/>
      <c r="BV246" s="523"/>
      <c r="BW246" s="523"/>
      <c r="BX246" s="523"/>
      <c r="BY246" s="523">
        <v>0</v>
      </c>
      <c r="BZ246" s="523">
        <v>0</v>
      </c>
      <c r="CA246" s="523">
        <v>0</v>
      </c>
      <c r="CB246" s="523">
        <v>0</v>
      </c>
      <c r="CC246" s="523"/>
      <c r="CD246" s="523"/>
      <c r="CE246" s="523"/>
      <c r="CF246" s="523"/>
      <c r="CG246" s="523"/>
      <c r="CH246" s="523"/>
      <c r="CI246" s="523">
        <f t="shared" si="49"/>
        <v>0</v>
      </c>
    </row>
    <row r="247" spans="1:87" s="790" customFormat="1" ht="15" x14ac:dyDescent="0.2">
      <c r="A247" s="680" t="s">
        <v>1736</v>
      </c>
      <c r="B247" s="569">
        <v>92865</v>
      </c>
      <c r="C247" s="569" t="s">
        <v>1324</v>
      </c>
      <c r="D247" s="569" t="s">
        <v>1737</v>
      </c>
      <c r="E247" s="681" t="s">
        <v>102</v>
      </c>
      <c r="F247" s="644">
        <v>13.19</v>
      </c>
      <c r="G247" s="682">
        <v>6.13</v>
      </c>
      <c r="H247" s="681">
        <v>7</v>
      </c>
      <c r="I247" s="685">
        <f t="shared" si="50"/>
        <v>0</v>
      </c>
      <c r="J247" s="573">
        <f t="shared" si="51"/>
        <v>0</v>
      </c>
      <c r="K247" s="644">
        <f t="shared" si="46"/>
        <v>7</v>
      </c>
      <c r="L247" s="708">
        <f t="shared" si="54"/>
        <v>42.91</v>
      </c>
      <c r="M247" s="708">
        <f t="shared" si="54"/>
        <v>0</v>
      </c>
      <c r="N247" s="708">
        <f t="shared" si="54"/>
        <v>0</v>
      </c>
      <c r="O247" s="718">
        <f t="shared" si="54"/>
        <v>42.91</v>
      </c>
      <c r="P247" s="617">
        <f t="shared" si="48"/>
        <v>0</v>
      </c>
      <c r="Q247" s="525">
        <f>I247-'[9]8'!I246</f>
        <v>0</v>
      </c>
      <c r="S247" s="190">
        <v>0</v>
      </c>
      <c r="T247" s="190">
        <v>0</v>
      </c>
      <c r="BT247" s="525"/>
      <c r="BU247" s="523"/>
      <c r="BV247" s="523"/>
      <c r="BW247" s="523"/>
      <c r="BX247" s="523"/>
      <c r="BY247" s="523">
        <v>0</v>
      </c>
      <c r="BZ247" s="523">
        <v>0</v>
      </c>
      <c r="CA247" s="523">
        <v>0</v>
      </c>
      <c r="CB247" s="523">
        <v>0</v>
      </c>
      <c r="CC247" s="523"/>
      <c r="CD247" s="523"/>
      <c r="CE247" s="523"/>
      <c r="CF247" s="523"/>
      <c r="CG247" s="523"/>
      <c r="CH247" s="523"/>
      <c r="CI247" s="523">
        <f t="shared" si="49"/>
        <v>0</v>
      </c>
    </row>
    <row r="248" spans="1:87" ht="15.75" x14ac:dyDescent="0.2">
      <c r="A248" s="605" t="s">
        <v>634</v>
      </c>
      <c r="B248" s="586"/>
      <c r="C248" s="586"/>
      <c r="D248" s="586" t="s">
        <v>1738</v>
      </c>
      <c r="E248" s="683"/>
      <c r="F248" s="683"/>
      <c r="G248" s="683"/>
      <c r="H248" s="683"/>
      <c r="I248" s="748"/>
      <c r="J248" s="748"/>
      <c r="K248" s="748"/>
      <c r="L248" s="733">
        <f>SUM(L249:L252)</f>
        <v>4345.79</v>
      </c>
      <c r="M248" s="733">
        <f>SUM(M249:M252)</f>
        <v>0</v>
      </c>
      <c r="N248" s="733">
        <f>SUM(N249:N252)</f>
        <v>0</v>
      </c>
      <c r="O248" s="722">
        <f>SUM(O249:O252)</f>
        <v>4345.79</v>
      </c>
      <c r="P248" s="611">
        <f t="shared" si="48"/>
        <v>0</v>
      </c>
      <c r="Q248" s="525">
        <f>I248-'[9]8'!I247</f>
        <v>0</v>
      </c>
      <c r="S248" s="189">
        <v>0</v>
      </c>
      <c r="T248" s="189">
        <v>0</v>
      </c>
      <c r="BT248" s="525"/>
      <c r="BU248" s="523"/>
      <c r="BV248" s="523"/>
      <c r="BW248" s="523"/>
      <c r="BX248" s="523"/>
      <c r="BY248" s="523">
        <v>0</v>
      </c>
      <c r="BZ248" s="523">
        <v>0</v>
      </c>
      <c r="CA248" s="523"/>
      <c r="CB248" s="523"/>
      <c r="CC248" s="523"/>
      <c r="CD248" s="523"/>
      <c r="CE248" s="523"/>
      <c r="CF248" s="523"/>
      <c r="CG248" s="523"/>
      <c r="CH248" s="523"/>
      <c r="CI248" s="523">
        <f t="shared" si="49"/>
        <v>0</v>
      </c>
    </row>
    <row r="249" spans="1:87" ht="15" x14ac:dyDescent="0.2">
      <c r="A249" s="680" t="s">
        <v>1739</v>
      </c>
      <c r="B249" s="569">
        <v>91926</v>
      </c>
      <c r="C249" s="569" t="s">
        <v>1324</v>
      </c>
      <c r="D249" s="569" t="s">
        <v>1740</v>
      </c>
      <c r="E249" s="681" t="s">
        <v>81</v>
      </c>
      <c r="F249" s="644">
        <v>26.32</v>
      </c>
      <c r="G249" s="682">
        <v>2.31</v>
      </c>
      <c r="H249" s="681">
        <v>190</v>
      </c>
      <c r="I249" s="685">
        <f t="shared" si="50"/>
        <v>0</v>
      </c>
      <c r="J249" s="573">
        <f t="shared" si="51"/>
        <v>0</v>
      </c>
      <c r="K249" s="644">
        <f t="shared" si="46"/>
        <v>190</v>
      </c>
      <c r="L249" s="708">
        <f t="shared" ref="L249:O252" si="55">ROUND(H249*$G249,2)</f>
        <v>438.9</v>
      </c>
      <c r="M249" s="708">
        <f t="shared" si="55"/>
        <v>0</v>
      </c>
      <c r="N249" s="708">
        <f t="shared" si="55"/>
        <v>0</v>
      </c>
      <c r="O249" s="718">
        <f t="shared" si="55"/>
        <v>438.9</v>
      </c>
      <c r="P249" s="617">
        <f t="shared" si="48"/>
        <v>0</v>
      </c>
      <c r="Q249" s="525">
        <f>I249-'[9]8'!I248</f>
        <v>0</v>
      </c>
      <c r="S249" s="189">
        <v>0</v>
      </c>
      <c r="T249" s="189">
        <v>0</v>
      </c>
      <c r="BT249" s="525"/>
      <c r="BU249" s="523"/>
      <c r="BV249" s="523"/>
      <c r="BW249" s="523"/>
      <c r="BX249" s="523"/>
      <c r="BY249" s="523">
        <v>0</v>
      </c>
      <c r="BZ249" s="523">
        <v>0</v>
      </c>
      <c r="CA249" s="523">
        <v>0</v>
      </c>
      <c r="CB249" s="523">
        <v>0</v>
      </c>
      <c r="CC249" s="523"/>
      <c r="CD249" s="523"/>
      <c r="CE249" s="523"/>
      <c r="CF249" s="523"/>
      <c r="CG249" s="523"/>
      <c r="CH249" s="523"/>
      <c r="CI249" s="523">
        <f t="shared" si="49"/>
        <v>0</v>
      </c>
    </row>
    <row r="250" spans="1:87" ht="15" x14ac:dyDescent="0.2">
      <c r="A250" s="680" t="s">
        <v>1741</v>
      </c>
      <c r="B250" s="569">
        <v>91928</v>
      </c>
      <c r="C250" s="569" t="s">
        <v>1324</v>
      </c>
      <c r="D250" s="569" t="s">
        <v>1742</v>
      </c>
      <c r="E250" s="681" t="s">
        <v>81</v>
      </c>
      <c r="F250" s="644">
        <v>61.2</v>
      </c>
      <c r="G250" s="682">
        <v>3.64</v>
      </c>
      <c r="H250" s="681">
        <v>820</v>
      </c>
      <c r="I250" s="685">
        <f t="shared" si="50"/>
        <v>0</v>
      </c>
      <c r="J250" s="573">
        <f t="shared" si="51"/>
        <v>0</v>
      </c>
      <c r="K250" s="644">
        <f t="shared" si="46"/>
        <v>820</v>
      </c>
      <c r="L250" s="708">
        <f t="shared" si="55"/>
        <v>2984.8</v>
      </c>
      <c r="M250" s="708">
        <f t="shared" si="55"/>
        <v>0</v>
      </c>
      <c r="N250" s="708">
        <f t="shared" si="55"/>
        <v>0</v>
      </c>
      <c r="O250" s="718">
        <f t="shared" si="55"/>
        <v>2984.8</v>
      </c>
      <c r="P250" s="617">
        <f t="shared" si="48"/>
        <v>0</v>
      </c>
      <c r="Q250" s="525">
        <f>I250-'[9]8'!I249</f>
        <v>0</v>
      </c>
      <c r="S250" s="189">
        <v>0</v>
      </c>
      <c r="T250" s="189">
        <v>0</v>
      </c>
      <c r="BT250" s="525"/>
      <c r="BU250" s="523"/>
      <c r="BV250" s="523"/>
      <c r="BW250" s="523"/>
      <c r="BX250" s="523"/>
      <c r="BY250" s="523">
        <v>0</v>
      </c>
      <c r="BZ250" s="523">
        <v>0</v>
      </c>
      <c r="CA250" s="523">
        <v>0</v>
      </c>
      <c r="CB250" s="523">
        <v>0</v>
      </c>
      <c r="CC250" s="523"/>
      <c r="CD250" s="523"/>
      <c r="CE250" s="523"/>
      <c r="CF250" s="523"/>
      <c r="CG250" s="523"/>
      <c r="CH250" s="523"/>
      <c r="CI250" s="523">
        <f t="shared" si="49"/>
        <v>0</v>
      </c>
    </row>
    <row r="251" spans="1:87" ht="15" x14ac:dyDescent="0.2">
      <c r="A251" s="680" t="s">
        <v>1743</v>
      </c>
      <c r="B251" s="569">
        <v>91934</v>
      </c>
      <c r="C251" s="569" t="s">
        <v>1324</v>
      </c>
      <c r="D251" s="569" t="s">
        <v>1744</v>
      </c>
      <c r="E251" s="681" t="s">
        <v>81</v>
      </c>
      <c r="F251" s="571"/>
      <c r="G251" s="682">
        <v>12.3</v>
      </c>
      <c r="H251" s="681">
        <v>14</v>
      </c>
      <c r="I251" s="685">
        <f t="shared" si="50"/>
        <v>0</v>
      </c>
      <c r="J251" s="573">
        <f t="shared" si="51"/>
        <v>0</v>
      </c>
      <c r="K251" s="644">
        <f t="shared" si="46"/>
        <v>14</v>
      </c>
      <c r="L251" s="708">
        <f t="shared" si="55"/>
        <v>172.2</v>
      </c>
      <c r="M251" s="708">
        <f t="shared" si="55"/>
        <v>0</v>
      </c>
      <c r="N251" s="708">
        <f t="shared" si="55"/>
        <v>0</v>
      </c>
      <c r="O251" s="718">
        <f t="shared" si="55"/>
        <v>172.2</v>
      </c>
      <c r="P251" s="617">
        <f t="shared" si="48"/>
        <v>0</v>
      </c>
      <c r="Q251" s="525">
        <f>I251-'[9]8'!I250</f>
        <v>0</v>
      </c>
      <c r="S251" s="189">
        <v>0</v>
      </c>
      <c r="T251" s="189">
        <v>0</v>
      </c>
      <c r="BT251" s="525"/>
      <c r="BU251" s="523"/>
      <c r="BV251" s="523"/>
      <c r="BW251" s="523"/>
      <c r="BX251" s="523"/>
      <c r="BY251" s="523">
        <v>0</v>
      </c>
      <c r="BZ251" s="523">
        <v>0</v>
      </c>
      <c r="CA251" s="523">
        <v>0</v>
      </c>
      <c r="CB251" s="523">
        <v>0</v>
      </c>
      <c r="CC251" s="523"/>
      <c r="CD251" s="523"/>
      <c r="CE251" s="523"/>
      <c r="CF251" s="523"/>
      <c r="CG251" s="523"/>
      <c r="CH251" s="523"/>
      <c r="CI251" s="523">
        <f t="shared" si="49"/>
        <v>0</v>
      </c>
    </row>
    <row r="252" spans="1:87" s="790" customFormat="1" ht="15" x14ac:dyDescent="0.2">
      <c r="A252" s="680" t="s">
        <v>1745</v>
      </c>
      <c r="B252" s="569">
        <v>92985</v>
      </c>
      <c r="C252" s="569" t="s">
        <v>1324</v>
      </c>
      <c r="D252" s="569" t="s">
        <v>1746</v>
      </c>
      <c r="E252" s="681" t="s">
        <v>81</v>
      </c>
      <c r="F252" s="644">
        <v>8.39</v>
      </c>
      <c r="G252" s="682">
        <v>18.29</v>
      </c>
      <c r="H252" s="681">
        <v>41</v>
      </c>
      <c r="I252" s="685">
        <f t="shared" si="50"/>
        <v>0</v>
      </c>
      <c r="J252" s="573">
        <f t="shared" si="51"/>
        <v>0</v>
      </c>
      <c r="K252" s="644">
        <f t="shared" si="46"/>
        <v>41</v>
      </c>
      <c r="L252" s="708">
        <f t="shared" si="55"/>
        <v>749.89</v>
      </c>
      <c r="M252" s="708">
        <f t="shared" si="55"/>
        <v>0</v>
      </c>
      <c r="N252" s="708">
        <f t="shared" si="55"/>
        <v>0</v>
      </c>
      <c r="O252" s="718">
        <f t="shared" si="55"/>
        <v>749.89</v>
      </c>
      <c r="P252" s="617">
        <f t="shared" si="48"/>
        <v>0</v>
      </c>
      <c r="Q252" s="525">
        <f>I252-'[9]8'!I251</f>
        <v>0</v>
      </c>
      <c r="S252" s="190">
        <v>0</v>
      </c>
      <c r="T252" s="190">
        <v>0</v>
      </c>
      <c r="BT252" s="525"/>
      <c r="BU252" s="523"/>
      <c r="BV252" s="523"/>
      <c r="BW252" s="523"/>
      <c r="BX252" s="523"/>
      <c r="BY252" s="523">
        <v>0</v>
      </c>
      <c r="BZ252" s="523">
        <v>0</v>
      </c>
      <c r="CA252" s="523">
        <v>0</v>
      </c>
      <c r="CB252" s="523">
        <v>0</v>
      </c>
      <c r="CC252" s="523"/>
      <c r="CD252" s="523"/>
      <c r="CE252" s="523"/>
      <c r="CF252" s="523"/>
      <c r="CG252" s="523"/>
      <c r="CH252" s="523"/>
      <c r="CI252" s="523">
        <f t="shared" si="49"/>
        <v>0</v>
      </c>
    </row>
    <row r="253" spans="1:87" ht="15.75" x14ac:dyDescent="0.2">
      <c r="A253" s="605" t="s">
        <v>640</v>
      </c>
      <c r="B253" s="586"/>
      <c r="C253" s="586"/>
      <c r="D253" s="586" t="s">
        <v>1747</v>
      </c>
      <c r="E253" s="683"/>
      <c r="F253" s="683"/>
      <c r="G253" s="683"/>
      <c r="H253" s="683"/>
      <c r="I253" s="748"/>
      <c r="J253" s="748"/>
      <c r="K253" s="748"/>
      <c r="L253" s="733">
        <f>SUM(L254:L259)</f>
        <v>10299.74</v>
      </c>
      <c r="M253" s="733">
        <f>SUM(M254:M259)</f>
        <v>0</v>
      </c>
      <c r="N253" s="733">
        <f>SUM(N254:N259)</f>
        <v>0</v>
      </c>
      <c r="O253" s="722">
        <f>SUM(O254:O259)</f>
        <v>10299.74</v>
      </c>
      <c r="P253" s="611">
        <f t="shared" si="48"/>
        <v>0</v>
      </c>
      <c r="Q253" s="525">
        <f>I253-'[9]8'!I252</f>
        <v>0</v>
      </c>
      <c r="S253" s="189">
        <v>0</v>
      </c>
      <c r="T253" s="189">
        <v>0</v>
      </c>
      <c r="BT253" s="525"/>
      <c r="BU253" s="523"/>
      <c r="BV253" s="523"/>
      <c r="BW253" s="523"/>
      <c r="BX253" s="523"/>
      <c r="BY253" s="523">
        <v>0</v>
      </c>
      <c r="BZ253" s="523">
        <v>0</v>
      </c>
      <c r="CA253" s="523"/>
      <c r="CB253" s="523"/>
      <c r="CC253" s="523"/>
      <c r="CD253" s="523"/>
      <c r="CE253" s="523"/>
      <c r="CF253" s="523"/>
      <c r="CG253" s="523"/>
      <c r="CH253" s="523"/>
      <c r="CI253" s="523">
        <f t="shared" si="49"/>
        <v>0</v>
      </c>
    </row>
    <row r="254" spans="1:87" ht="15" x14ac:dyDescent="0.2">
      <c r="A254" s="680" t="s">
        <v>1748</v>
      </c>
      <c r="B254" s="569">
        <v>92000</v>
      </c>
      <c r="C254" s="569" t="s">
        <v>1324</v>
      </c>
      <c r="D254" s="569" t="s">
        <v>1749</v>
      </c>
      <c r="E254" s="681" t="s">
        <v>102</v>
      </c>
      <c r="F254" s="644">
        <v>21.53</v>
      </c>
      <c r="G254" s="682">
        <v>20.07</v>
      </c>
      <c r="H254" s="681">
        <v>4</v>
      </c>
      <c r="I254" s="685">
        <f t="shared" si="50"/>
        <v>0</v>
      </c>
      <c r="J254" s="573">
        <f t="shared" si="51"/>
        <v>0</v>
      </c>
      <c r="K254" s="644">
        <f t="shared" si="46"/>
        <v>4</v>
      </c>
      <c r="L254" s="708">
        <f t="shared" ref="L254:O259" si="56">ROUND(H254*$G254,2)</f>
        <v>80.28</v>
      </c>
      <c r="M254" s="708">
        <f t="shared" si="56"/>
        <v>0</v>
      </c>
      <c r="N254" s="708">
        <f t="shared" si="56"/>
        <v>0</v>
      </c>
      <c r="O254" s="718">
        <f t="shared" si="56"/>
        <v>80.28</v>
      </c>
      <c r="P254" s="617">
        <f t="shared" si="48"/>
        <v>0</v>
      </c>
      <c r="Q254" s="525">
        <f>I254-'[9]8'!I253</f>
        <v>0</v>
      </c>
      <c r="S254" s="189">
        <v>0</v>
      </c>
      <c r="T254" s="189">
        <v>0</v>
      </c>
      <c r="BT254" s="525"/>
      <c r="BU254" s="523"/>
      <c r="BV254" s="523"/>
      <c r="BW254" s="523"/>
      <c r="BX254" s="523"/>
      <c r="BY254" s="523">
        <v>0</v>
      </c>
      <c r="BZ254" s="523">
        <v>0</v>
      </c>
      <c r="CA254" s="523">
        <v>0</v>
      </c>
      <c r="CB254" s="523">
        <v>0</v>
      </c>
      <c r="CC254" s="523"/>
      <c r="CD254" s="523"/>
      <c r="CE254" s="523"/>
      <c r="CF254" s="523"/>
      <c r="CG254" s="523"/>
      <c r="CH254" s="523"/>
      <c r="CI254" s="523">
        <f t="shared" si="49"/>
        <v>0</v>
      </c>
    </row>
    <row r="255" spans="1:87" ht="15" x14ac:dyDescent="0.2">
      <c r="A255" s="680" t="s">
        <v>1750</v>
      </c>
      <c r="B255" s="569">
        <v>92001</v>
      </c>
      <c r="C255" s="569" t="s">
        <v>1324</v>
      </c>
      <c r="D255" s="569" t="s">
        <v>1751</v>
      </c>
      <c r="E255" s="681" t="s">
        <v>102</v>
      </c>
      <c r="F255" s="644">
        <v>133.13999999999999</v>
      </c>
      <c r="G255" s="682">
        <v>21.83</v>
      </c>
      <c r="H255" s="681">
        <v>1</v>
      </c>
      <c r="I255" s="685">
        <f t="shared" si="50"/>
        <v>0</v>
      </c>
      <c r="J255" s="573">
        <f t="shared" si="51"/>
        <v>0</v>
      </c>
      <c r="K255" s="644">
        <f t="shared" si="46"/>
        <v>1</v>
      </c>
      <c r="L255" s="708">
        <f t="shared" si="56"/>
        <v>21.83</v>
      </c>
      <c r="M255" s="708">
        <f t="shared" si="56"/>
        <v>0</v>
      </c>
      <c r="N255" s="708">
        <f t="shared" si="56"/>
        <v>0</v>
      </c>
      <c r="O255" s="718">
        <f t="shared" si="56"/>
        <v>21.83</v>
      </c>
      <c r="P255" s="617">
        <f t="shared" si="48"/>
        <v>0</v>
      </c>
      <c r="Q255" s="525">
        <f>I255-'[9]8'!I254</f>
        <v>0</v>
      </c>
      <c r="S255" s="189">
        <v>0</v>
      </c>
      <c r="T255" s="189">
        <v>0</v>
      </c>
      <c r="BT255" s="525"/>
      <c r="BU255" s="523"/>
      <c r="BV255" s="523"/>
      <c r="BW255" s="523"/>
      <c r="BX255" s="523"/>
      <c r="BY255" s="523">
        <v>0</v>
      </c>
      <c r="BZ255" s="523">
        <v>0</v>
      </c>
      <c r="CA255" s="523">
        <v>0</v>
      </c>
      <c r="CB255" s="523">
        <v>0</v>
      </c>
      <c r="CC255" s="523"/>
      <c r="CD255" s="523"/>
      <c r="CE255" s="523"/>
      <c r="CF255" s="523"/>
      <c r="CG255" s="523"/>
      <c r="CH255" s="523"/>
      <c r="CI255" s="523">
        <f t="shared" si="49"/>
        <v>0</v>
      </c>
    </row>
    <row r="256" spans="1:87" ht="15" x14ac:dyDescent="0.2">
      <c r="A256" s="680" t="s">
        <v>1752</v>
      </c>
      <c r="B256" s="569">
        <v>91953</v>
      </c>
      <c r="C256" s="569" t="s">
        <v>1324</v>
      </c>
      <c r="D256" s="569" t="s">
        <v>1753</v>
      </c>
      <c r="E256" s="681" t="s">
        <v>102</v>
      </c>
      <c r="F256" s="571"/>
      <c r="G256" s="682">
        <v>18.98</v>
      </c>
      <c r="H256" s="681">
        <v>7</v>
      </c>
      <c r="I256" s="685">
        <f t="shared" si="50"/>
        <v>0</v>
      </c>
      <c r="J256" s="573">
        <f t="shared" si="51"/>
        <v>0</v>
      </c>
      <c r="K256" s="644">
        <f t="shared" si="46"/>
        <v>7</v>
      </c>
      <c r="L256" s="708">
        <f t="shared" si="56"/>
        <v>132.86000000000001</v>
      </c>
      <c r="M256" s="708">
        <f t="shared" si="56"/>
        <v>0</v>
      </c>
      <c r="N256" s="708">
        <f t="shared" si="56"/>
        <v>0</v>
      </c>
      <c r="O256" s="718">
        <f t="shared" si="56"/>
        <v>132.86000000000001</v>
      </c>
      <c r="P256" s="617">
        <f t="shared" si="48"/>
        <v>0</v>
      </c>
      <c r="Q256" s="525">
        <f>I256-'[9]8'!I255</f>
        <v>0</v>
      </c>
      <c r="S256" s="189">
        <v>0</v>
      </c>
      <c r="T256" s="189">
        <v>0</v>
      </c>
      <c r="BT256" s="525"/>
      <c r="BU256" s="523"/>
      <c r="BV256" s="523"/>
      <c r="BW256" s="523"/>
      <c r="BX256" s="523"/>
      <c r="BY256" s="523">
        <v>0</v>
      </c>
      <c r="BZ256" s="523">
        <v>0</v>
      </c>
      <c r="CA256" s="523">
        <v>0</v>
      </c>
      <c r="CB256" s="523">
        <v>0</v>
      </c>
      <c r="CC256" s="523"/>
      <c r="CD256" s="523"/>
      <c r="CE256" s="523"/>
      <c r="CF256" s="523"/>
      <c r="CG256" s="523"/>
      <c r="CH256" s="523"/>
      <c r="CI256" s="523">
        <f t="shared" si="49"/>
        <v>0</v>
      </c>
    </row>
    <row r="257" spans="1:87" ht="15" x14ac:dyDescent="0.2">
      <c r="A257" s="680" t="s">
        <v>1754</v>
      </c>
      <c r="B257" s="569" t="s">
        <v>1755</v>
      </c>
      <c r="C257" s="569" t="s">
        <v>1324</v>
      </c>
      <c r="D257" s="569" t="s">
        <v>1756</v>
      </c>
      <c r="E257" s="681" t="s">
        <v>102</v>
      </c>
      <c r="F257" s="644">
        <v>1.81</v>
      </c>
      <c r="G257" s="682">
        <v>133.31</v>
      </c>
      <c r="H257" s="681">
        <v>1</v>
      </c>
      <c r="I257" s="685">
        <f t="shared" si="50"/>
        <v>0</v>
      </c>
      <c r="J257" s="573">
        <f t="shared" si="51"/>
        <v>0</v>
      </c>
      <c r="K257" s="644">
        <f t="shared" si="46"/>
        <v>1</v>
      </c>
      <c r="L257" s="708">
        <f t="shared" si="56"/>
        <v>133.31</v>
      </c>
      <c r="M257" s="708">
        <f t="shared" si="56"/>
        <v>0</v>
      </c>
      <c r="N257" s="708">
        <f t="shared" si="56"/>
        <v>0</v>
      </c>
      <c r="O257" s="718">
        <f t="shared" si="56"/>
        <v>133.31</v>
      </c>
      <c r="P257" s="617">
        <f t="shared" si="48"/>
        <v>0</v>
      </c>
      <c r="Q257" s="525">
        <f>I257-'[9]8'!I256</f>
        <v>0</v>
      </c>
      <c r="S257" s="189">
        <v>0</v>
      </c>
      <c r="T257" s="189">
        <v>0</v>
      </c>
      <c r="BT257" s="525"/>
      <c r="BU257" s="523"/>
      <c r="BV257" s="523"/>
      <c r="BW257" s="523"/>
      <c r="BX257" s="523"/>
      <c r="BY257" s="523">
        <v>0</v>
      </c>
      <c r="BZ257" s="523">
        <v>0</v>
      </c>
      <c r="CA257" s="523">
        <v>0</v>
      </c>
      <c r="CB257" s="523">
        <v>0</v>
      </c>
      <c r="CC257" s="523"/>
      <c r="CD257" s="523"/>
      <c r="CE257" s="523"/>
      <c r="CF257" s="523"/>
      <c r="CG257" s="523"/>
      <c r="CH257" s="523"/>
      <c r="CI257" s="523">
        <f t="shared" si="49"/>
        <v>0</v>
      </c>
    </row>
    <row r="258" spans="1:87" ht="15" x14ac:dyDescent="0.2">
      <c r="A258" s="680" t="s">
        <v>1757</v>
      </c>
      <c r="B258" s="569" t="s">
        <v>1758</v>
      </c>
      <c r="C258" s="569" t="s">
        <v>1324</v>
      </c>
      <c r="D258" s="569" t="s">
        <v>1759</v>
      </c>
      <c r="E258" s="681" t="s">
        <v>102</v>
      </c>
      <c r="F258" s="644">
        <v>2.93</v>
      </c>
      <c r="G258" s="682">
        <v>156.31</v>
      </c>
      <c r="H258" s="681">
        <v>6</v>
      </c>
      <c r="I258" s="685">
        <f t="shared" si="50"/>
        <v>0</v>
      </c>
      <c r="J258" s="573">
        <f t="shared" si="51"/>
        <v>0</v>
      </c>
      <c r="K258" s="644">
        <f t="shared" si="46"/>
        <v>6</v>
      </c>
      <c r="L258" s="708">
        <f t="shared" si="56"/>
        <v>937.86</v>
      </c>
      <c r="M258" s="708">
        <f t="shared" si="56"/>
        <v>0</v>
      </c>
      <c r="N258" s="708">
        <f t="shared" si="56"/>
        <v>0</v>
      </c>
      <c r="O258" s="718">
        <f t="shared" si="56"/>
        <v>937.86</v>
      </c>
      <c r="P258" s="617">
        <f t="shared" si="48"/>
        <v>0</v>
      </c>
      <c r="Q258" s="525">
        <f>I258-'[9]8'!I257</f>
        <v>0</v>
      </c>
      <c r="S258" s="189">
        <v>0</v>
      </c>
      <c r="T258" s="189">
        <v>0</v>
      </c>
      <c r="BT258" s="525"/>
      <c r="BU258" s="523"/>
      <c r="BV258" s="523"/>
      <c r="BW258" s="523"/>
      <c r="BX258" s="523"/>
      <c r="BY258" s="523">
        <v>0</v>
      </c>
      <c r="BZ258" s="523">
        <v>0</v>
      </c>
      <c r="CA258" s="523">
        <v>0</v>
      </c>
      <c r="CB258" s="523">
        <v>0</v>
      </c>
      <c r="CC258" s="523"/>
      <c r="CD258" s="523"/>
      <c r="CE258" s="523"/>
      <c r="CF258" s="523"/>
      <c r="CG258" s="523"/>
      <c r="CH258" s="523"/>
      <c r="CI258" s="523">
        <f t="shared" si="49"/>
        <v>0</v>
      </c>
    </row>
    <row r="259" spans="1:87" ht="30" x14ac:dyDescent="0.2">
      <c r="A259" s="680" t="s">
        <v>1760</v>
      </c>
      <c r="B259" s="569" t="s">
        <v>2007</v>
      </c>
      <c r="C259" s="569" t="s">
        <v>1339</v>
      </c>
      <c r="D259" s="569" t="s">
        <v>1761</v>
      </c>
      <c r="E259" s="681" t="s">
        <v>102</v>
      </c>
      <c r="F259" s="644">
        <v>4.1100000000000003</v>
      </c>
      <c r="G259" s="682">
        <v>449.68</v>
      </c>
      <c r="H259" s="681">
        <v>20</v>
      </c>
      <c r="I259" s="685">
        <f t="shared" si="50"/>
        <v>0</v>
      </c>
      <c r="J259" s="573">
        <f t="shared" si="51"/>
        <v>0</v>
      </c>
      <c r="K259" s="644">
        <f t="shared" si="46"/>
        <v>20</v>
      </c>
      <c r="L259" s="708">
        <f t="shared" si="56"/>
        <v>8993.6</v>
      </c>
      <c r="M259" s="708">
        <f t="shared" si="56"/>
        <v>0</v>
      </c>
      <c r="N259" s="708">
        <f t="shared" si="56"/>
        <v>0</v>
      </c>
      <c r="O259" s="718">
        <f t="shared" si="56"/>
        <v>8993.6</v>
      </c>
      <c r="P259" s="617">
        <f t="shared" si="48"/>
        <v>0</v>
      </c>
      <c r="Q259" s="525">
        <f>I259-'[9]8'!I258</f>
        <v>0</v>
      </c>
      <c r="S259" s="189">
        <v>0</v>
      </c>
      <c r="T259" s="189">
        <v>0</v>
      </c>
      <c r="BT259" s="525"/>
      <c r="BU259" s="523"/>
      <c r="BV259" s="523"/>
      <c r="BW259" s="523"/>
      <c r="BX259" s="523"/>
      <c r="BY259" s="523">
        <v>0</v>
      </c>
      <c r="BZ259" s="523">
        <v>0</v>
      </c>
      <c r="CA259" s="523">
        <v>0</v>
      </c>
      <c r="CB259" s="523">
        <v>0</v>
      </c>
      <c r="CC259" s="523"/>
      <c r="CD259" s="523"/>
      <c r="CE259" s="523"/>
      <c r="CF259" s="523"/>
      <c r="CG259" s="523"/>
      <c r="CH259" s="523"/>
      <c r="CI259" s="523">
        <f t="shared" si="49"/>
        <v>0</v>
      </c>
    </row>
    <row r="260" spans="1:87" ht="15.75" x14ac:dyDescent="0.2">
      <c r="A260" s="600">
        <v>18</v>
      </c>
      <c r="B260" s="558"/>
      <c r="C260" s="558"/>
      <c r="D260" s="558" t="s">
        <v>1762</v>
      </c>
      <c r="E260" s="626"/>
      <c r="F260" s="626"/>
      <c r="G260" s="626"/>
      <c r="H260" s="626"/>
      <c r="I260" s="747"/>
      <c r="J260" s="747"/>
      <c r="K260" s="747"/>
      <c r="L260" s="734">
        <f>SUM(L261:L268)</f>
        <v>7237.1900000000014</v>
      </c>
      <c r="M260" s="734">
        <f>SUM(M261:M268)</f>
        <v>0</v>
      </c>
      <c r="N260" s="734">
        <f>SUM(N261:N268)</f>
        <v>0</v>
      </c>
      <c r="O260" s="721">
        <f>SUM(O261:O268)</f>
        <v>7237.1900000000014</v>
      </c>
      <c r="P260" s="604">
        <f t="shared" si="48"/>
        <v>0</v>
      </c>
      <c r="Q260" s="525">
        <f>I260-'[9]8'!I259</f>
        <v>0</v>
      </c>
      <c r="S260" s="189">
        <v>0</v>
      </c>
      <c r="T260" s="189">
        <v>0</v>
      </c>
      <c r="BT260" s="525"/>
      <c r="BU260" s="523"/>
      <c r="BV260" s="523"/>
      <c r="BW260" s="523"/>
      <c r="BX260" s="523"/>
      <c r="BY260" s="523">
        <v>0</v>
      </c>
      <c r="BZ260" s="523">
        <v>0</v>
      </c>
      <c r="CA260" s="523"/>
      <c r="CB260" s="523"/>
      <c r="CC260" s="523"/>
      <c r="CD260" s="523"/>
      <c r="CE260" s="523"/>
      <c r="CF260" s="523"/>
      <c r="CG260" s="523"/>
      <c r="CH260" s="523"/>
      <c r="CI260" s="523">
        <f t="shared" si="49"/>
        <v>0</v>
      </c>
    </row>
    <row r="261" spans="1:87" ht="30" x14ac:dyDescent="0.2">
      <c r="A261" s="680" t="s">
        <v>657</v>
      </c>
      <c r="B261" s="569" t="s">
        <v>2007</v>
      </c>
      <c r="C261" s="569" t="s">
        <v>1339</v>
      </c>
      <c r="D261" s="569" t="s">
        <v>1763</v>
      </c>
      <c r="E261" s="681" t="s">
        <v>102</v>
      </c>
      <c r="F261" s="571"/>
      <c r="G261" s="682">
        <v>205.82</v>
      </c>
      <c r="H261" s="681">
        <v>7</v>
      </c>
      <c r="I261" s="685">
        <f t="shared" si="50"/>
        <v>0</v>
      </c>
      <c r="J261" s="573">
        <f t="shared" si="51"/>
        <v>0</v>
      </c>
      <c r="K261" s="644">
        <f t="shared" ref="K261:K284" si="57">H261-J261</f>
        <v>7</v>
      </c>
      <c r="L261" s="708">
        <f t="shared" ref="L261:O268" si="58">ROUND(H261*$G261,2)</f>
        <v>1440.74</v>
      </c>
      <c r="M261" s="708">
        <f t="shared" si="58"/>
        <v>0</v>
      </c>
      <c r="N261" s="708">
        <f t="shared" si="58"/>
        <v>0</v>
      </c>
      <c r="O261" s="718">
        <f t="shared" si="58"/>
        <v>1440.74</v>
      </c>
      <c r="P261" s="617">
        <f t="shared" si="48"/>
        <v>0</v>
      </c>
      <c r="Q261" s="525">
        <f>I261-'[9]8'!I260</f>
        <v>0</v>
      </c>
      <c r="S261" s="189">
        <v>0</v>
      </c>
      <c r="T261" s="189">
        <v>0</v>
      </c>
      <c r="BT261" s="525"/>
      <c r="BU261" s="523"/>
      <c r="BV261" s="523"/>
      <c r="BW261" s="523"/>
      <c r="BX261" s="523"/>
      <c r="BY261" s="523">
        <v>0</v>
      </c>
      <c r="BZ261" s="523">
        <v>0</v>
      </c>
      <c r="CA261" s="523">
        <v>0</v>
      </c>
      <c r="CB261" s="523">
        <v>0</v>
      </c>
      <c r="CC261" s="523"/>
      <c r="CD261" s="523"/>
      <c r="CE261" s="523"/>
      <c r="CF261" s="523"/>
      <c r="CG261" s="523"/>
      <c r="CH261" s="523"/>
      <c r="CI261" s="523">
        <f t="shared" si="49"/>
        <v>0</v>
      </c>
    </row>
    <row r="262" spans="1:87" ht="15" x14ac:dyDescent="0.2">
      <c r="A262" s="680" t="s">
        <v>664</v>
      </c>
      <c r="B262" s="569" t="s">
        <v>2007</v>
      </c>
      <c r="C262" s="569" t="s">
        <v>1339</v>
      </c>
      <c r="D262" s="569" t="s">
        <v>1764</v>
      </c>
      <c r="E262" s="681" t="s">
        <v>102</v>
      </c>
      <c r="F262" s="644">
        <v>179.19</v>
      </c>
      <c r="G262" s="682">
        <v>232.41</v>
      </c>
      <c r="H262" s="681">
        <v>1</v>
      </c>
      <c r="I262" s="685">
        <f t="shared" si="50"/>
        <v>0</v>
      </c>
      <c r="J262" s="573">
        <f t="shared" si="51"/>
        <v>0</v>
      </c>
      <c r="K262" s="644">
        <f t="shared" si="57"/>
        <v>1</v>
      </c>
      <c r="L262" s="708">
        <f t="shared" si="58"/>
        <v>232.41</v>
      </c>
      <c r="M262" s="708">
        <f t="shared" si="58"/>
        <v>0</v>
      </c>
      <c r="N262" s="708">
        <f t="shared" si="58"/>
        <v>0</v>
      </c>
      <c r="O262" s="718">
        <f t="shared" si="58"/>
        <v>232.41</v>
      </c>
      <c r="P262" s="617">
        <f t="shared" si="48"/>
        <v>0</v>
      </c>
      <c r="Q262" s="525">
        <f>I262-'[9]8'!I261</f>
        <v>0</v>
      </c>
      <c r="S262" s="189">
        <v>0</v>
      </c>
      <c r="T262" s="189">
        <v>0</v>
      </c>
      <c r="BT262" s="525"/>
      <c r="BU262" s="523"/>
      <c r="BV262" s="523"/>
      <c r="BW262" s="523"/>
      <c r="BX262" s="523"/>
      <c r="BY262" s="523">
        <v>0</v>
      </c>
      <c r="BZ262" s="523">
        <v>0</v>
      </c>
      <c r="CA262" s="523">
        <v>0</v>
      </c>
      <c r="CB262" s="523">
        <v>0</v>
      </c>
      <c r="CC262" s="523"/>
      <c r="CD262" s="523"/>
      <c r="CE262" s="523"/>
      <c r="CF262" s="523"/>
      <c r="CG262" s="523"/>
      <c r="CH262" s="523"/>
      <c r="CI262" s="523">
        <f t="shared" si="49"/>
        <v>0</v>
      </c>
    </row>
    <row r="263" spans="1:87" ht="15" x14ac:dyDescent="0.2">
      <c r="A263" s="680" t="s">
        <v>668</v>
      </c>
      <c r="B263" s="569">
        <v>72929</v>
      </c>
      <c r="C263" s="569" t="s">
        <v>1324</v>
      </c>
      <c r="D263" s="569" t="s">
        <v>1765</v>
      </c>
      <c r="E263" s="681" t="s">
        <v>81</v>
      </c>
      <c r="F263" s="644">
        <v>212.03</v>
      </c>
      <c r="G263" s="682">
        <v>22.1</v>
      </c>
      <c r="H263" s="681">
        <v>39.200000000000003</v>
      </c>
      <c r="I263" s="685">
        <f t="shared" si="50"/>
        <v>0</v>
      </c>
      <c r="J263" s="573">
        <f t="shared" si="51"/>
        <v>0</v>
      </c>
      <c r="K263" s="644">
        <f t="shared" si="57"/>
        <v>39.200000000000003</v>
      </c>
      <c r="L263" s="708">
        <f t="shared" si="58"/>
        <v>866.32</v>
      </c>
      <c r="M263" s="708">
        <f t="shared" si="58"/>
        <v>0</v>
      </c>
      <c r="N263" s="708">
        <f t="shared" si="58"/>
        <v>0</v>
      </c>
      <c r="O263" s="718">
        <f t="shared" si="58"/>
        <v>866.32</v>
      </c>
      <c r="P263" s="617">
        <f t="shared" si="48"/>
        <v>0</v>
      </c>
      <c r="Q263" s="525">
        <f>I263-'[9]8'!I262</f>
        <v>0</v>
      </c>
      <c r="S263" s="189">
        <v>0</v>
      </c>
      <c r="T263" s="189">
        <v>0</v>
      </c>
      <c r="BT263" s="525"/>
      <c r="BU263" s="523"/>
      <c r="BV263" s="523"/>
      <c r="BW263" s="523"/>
      <c r="BX263" s="523"/>
      <c r="BY263" s="523">
        <v>0</v>
      </c>
      <c r="BZ263" s="523">
        <v>0</v>
      </c>
      <c r="CA263" s="523">
        <v>0</v>
      </c>
      <c r="CB263" s="523">
        <v>0</v>
      </c>
      <c r="CC263" s="523"/>
      <c r="CD263" s="523"/>
      <c r="CE263" s="523"/>
      <c r="CF263" s="523"/>
      <c r="CG263" s="523"/>
      <c r="CH263" s="523"/>
      <c r="CI263" s="523">
        <f t="shared" si="49"/>
        <v>0</v>
      </c>
    </row>
    <row r="264" spans="1:87" ht="15" x14ac:dyDescent="0.2">
      <c r="A264" s="680" t="s">
        <v>671</v>
      </c>
      <c r="B264" s="569">
        <v>72930</v>
      </c>
      <c r="C264" s="569" t="s">
        <v>1324</v>
      </c>
      <c r="D264" s="569" t="s">
        <v>1766</v>
      </c>
      <c r="E264" s="681" t="s">
        <v>81</v>
      </c>
      <c r="F264" s="644">
        <v>101.58</v>
      </c>
      <c r="G264" s="682">
        <v>31.35</v>
      </c>
      <c r="H264" s="681">
        <v>126.32</v>
      </c>
      <c r="I264" s="685">
        <f t="shared" si="50"/>
        <v>0</v>
      </c>
      <c r="J264" s="573">
        <f t="shared" si="51"/>
        <v>0</v>
      </c>
      <c r="K264" s="644">
        <f t="shared" si="57"/>
        <v>126.32</v>
      </c>
      <c r="L264" s="708">
        <f t="shared" si="58"/>
        <v>3960.13</v>
      </c>
      <c r="M264" s="708">
        <f t="shared" si="58"/>
        <v>0</v>
      </c>
      <c r="N264" s="708">
        <f t="shared" si="58"/>
        <v>0</v>
      </c>
      <c r="O264" s="718">
        <f t="shared" si="58"/>
        <v>3960.13</v>
      </c>
      <c r="P264" s="617">
        <f t="shared" si="48"/>
        <v>0</v>
      </c>
      <c r="Q264" s="525">
        <f>I264-'[9]8'!I263</f>
        <v>0</v>
      </c>
      <c r="S264" s="189">
        <v>0</v>
      </c>
      <c r="T264" s="189">
        <v>0</v>
      </c>
      <c r="BT264" s="525"/>
      <c r="BU264" s="523"/>
      <c r="BV264" s="523"/>
      <c r="BW264" s="523"/>
      <c r="BX264" s="523"/>
      <c r="BY264" s="523">
        <v>0</v>
      </c>
      <c r="BZ264" s="523">
        <v>0</v>
      </c>
      <c r="CA264" s="523">
        <v>0</v>
      </c>
      <c r="CB264" s="523">
        <v>0</v>
      </c>
      <c r="CC264" s="523"/>
      <c r="CD264" s="523"/>
      <c r="CE264" s="523"/>
      <c r="CF264" s="523"/>
      <c r="CG264" s="523"/>
      <c r="CH264" s="523"/>
      <c r="CI264" s="523">
        <f t="shared" si="49"/>
        <v>0</v>
      </c>
    </row>
    <row r="265" spans="1:87" ht="15" x14ac:dyDescent="0.2">
      <c r="A265" s="680" t="s">
        <v>679</v>
      </c>
      <c r="B265" s="569">
        <v>93008</v>
      </c>
      <c r="C265" s="569" t="s">
        <v>1324</v>
      </c>
      <c r="D265" s="569" t="s">
        <v>1767</v>
      </c>
      <c r="E265" s="681" t="s">
        <v>81</v>
      </c>
      <c r="F265" s="644">
        <v>412.2</v>
      </c>
      <c r="G265" s="682">
        <v>9.83</v>
      </c>
      <c r="H265" s="681">
        <v>21</v>
      </c>
      <c r="I265" s="685">
        <f t="shared" si="50"/>
        <v>0</v>
      </c>
      <c r="J265" s="573">
        <f t="shared" si="51"/>
        <v>0</v>
      </c>
      <c r="K265" s="644">
        <f t="shared" si="57"/>
        <v>21</v>
      </c>
      <c r="L265" s="708">
        <f t="shared" si="58"/>
        <v>206.43</v>
      </c>
      <c r="M265" s="708">
        <f t="shared" si="58"/>
        <v>0</v>
      </c>
      <c r="N265" s="708">
        <f t="shared" si="58"/>
        <v>0</v>
      </c>
      <c r="O265" s="718">
        <f t="shared" si="58"/>
        <v>206.43</v>
      </c>
      <c r="P265" s="617">
        <f t="shared" si="48"/>
        <v>0</v>
      </c>
      <c r="Q265" s="525">
        <f>I265-'[9]8'!I264</f>
        <v>0</v>
      </c>
      <c r="S265" s="189">
        <v>0</v>
      </c>
      <c r="T265" s="189">
        <v>0</v>
      </c>
      <c r="BT265" s="525"/>
      <c r="BU265" s="523"/>
      <c r="BV265" s="523"/>
      <c r="BW265" s="523"/>
      <c r="BX265" s="523"/>
      <c r="BY265" s="523">
        <v>0</v>
      </c>
      <c r="BZ265" s="523">
        <v>0</v>
      </c>
      <c r="CA265" s="523">
        <v>0</v>
      </c>
      <c r="CB265" s="523">
        <v>0</v>
      </c>
      <c r="CC265" s="523"/>
      <c r="CD265" s="523"/>
      <c r="CE265" s="523"/>
      <c r="CF265" s="523"/>
      <c r="CG265" s="523"/>
      <c r="CH265" s="523"/>
      <c r="CI265" s="523">
        <f t="shared" si="49"/>
        <v>0</v>
      </c>
    </row>
    <row r="266" spans="1:87" ht="30" x14ac:dyDescent="0.2">
      <c r="A266" s="680" t="s">
        <v>1768</v>
      </c>
      <c r="B266" s="569" t="s">
        <v>2007</v>
      </c>
      <c r="C266" s="569" t="s">
        <v>1769</v>
      </c>
      <c r="D266" s="569" t="s">
        <v>1770</v>
      </c>
      <c r="E266" s="681" t="s">
        <v>102</v>
      </c>
      <c r="F266" s="644">
        <v>348.66</v>
      </c>
      <c r="G266" s="682">
        <v>38.299999999999997</v>
      </c>
      <c r="H266" s="681">
        <v>7</v>
      </c>
      <c r="I266" s="685">
        <f t="shared" si="50"/>
        <v>0</v>
      </c>
      <c r="J266" s="573">
        <f t="shared" si="51"/>
        <v>0</v>
      </c>
      <c r="K266" s="644">
        <f t="shared" si="57"/>
        <v>7</v>
      </c>
      <c r="L266" s="708">
        <f t="shared" si="58"/>
        <v>268.10000000000002</v>
      </c>
      <c r="M266" s="708">
        <f t="shared" si="58"/>
        <v>0</v>
      </c>
      <c r="N266" s="708">
        <f t="shared" si="58"/>
        <v>0</v>
      </c>
      <c r="O266" s="718">
        <f t="shared" si="58"/>
        <v>268.10000000000002</v>
      </c>
      <c r="P266" s="617">
        <f t="shared" si="48"/>
        <v>0</v>
      </c>
      <c r="Q266" s="525">
        <f>I266-'[9]8'!I265</f>
        <v>0</v>
      </c>
      <c r="S266" s="189">
        <v>0</v>
      </c>
      <c r="T266" s="189">
        <v>0</v>
      </c>
      <c r="BT266" s="525"/>
      <c r="BU266" s="523"/>
      <c r="BV266" s="523"/>
      <c r="BW266" s="523"/>
      <c r="BX266" s="523"/>
      <c r="BY266" s="523">
        <v>0</v>
      </c>
      <c r="BZ266" s="523">
        <v>0</v>
      </c>
      <c r="CA266" s="523">
        <v>0</v>
      </c>
      <c r="CB266" s="523">
        <v>0</v>
      </c>
      <c r="CC266" s="523"/>
      <c r="CD266" s="523"/>
      <c r="CE266" s="523"/>
      <c r="CF266" s="523"/>
      <c r="CG266" s="523"/>
      <c r="CH266" s="523"/>
      <c r="CI266" s="523">
        <f t="shared" si="49"/>
        <v>0</v>
      </c>
    </row>
    <row r="267" spans="1:87" ht="30" x14ac:dyDescent="0.2">
      <c r="A267" s="680" t="s">
        <v>1771</v>
      </c>
      <c r="B267" s="569" t="s">
        <v>2007</v>
      </c>
      <c r="C267" s="569" t="s">
        <v>1769</v>
      </c>
      <c r="D267" s="569" t="s">
        <v>1772</v>
      </c>
      <c r="E267" s="681" t="s">
        <v>102</v>
      </c>
      <c r="F267" s="644">
        <v>153.37</v>
      </c>
      <c r="G267" s="682">
        <v>24.49</v>
      </c>
      <c r="H267" s="681">
        <v>7</v>
      </c>
      <c r="I267" s="685">
        <f t="shared" si="50"/>
        <v>0</v>
      </c>
      <c r="J267" s="573">
        <f t="shared" si="51"/>
        <v>0</v>
      </c>
      <c r="K267" s="644">
        <f t="shared" si="57"/>
        <v>7</v>
      </c>
      <c r="L267" s="708">
        <f t="shared" si="58"/>
        <v>171.43</v>
      </c>
      <c r="M267" s="708">
        <f t="shared" si="58"/>
        <v>0</v>
      </c>
      <c r="N267" s="708">
        <f t="shared" si="58"/>
        <v>0</v>
      </c>
      <c r="O267" s="718">
        <f t="shared" si="58"/>
        <v>171.43</v>
      </c>
      <c r="P267" s="617">
        <f t="shared" si="48"/>
        <v>0</v>
      </c>
      <c r="Q267" s="525">
        <f>I267-'[9]8'!I266</f>
        <v>0</v>
      </c>
      <c r="S267" s="189">
        <v>0</v>
      </c>
      <c r="T267" s="189">
        <v>0</v>
      </c>
      <c r="BT267" s="525"/>
      <c r="BU267" s="523"/>
      <c r="BV267" s="523"/>
      <c r="BW267" s="523"/>
      <c r="BX267" s="523"/>
      <c r="BY267" s="523">
        <v>0</v>
      </c>
      <c r="BZ267" s="523">
        <v>0</v>
      </c>
      <c r="CA267" s="523">
        <v>0</v>
      </c>
      <c r="CB267" s="523">
        <v>0</v>
      </c>
      <c r="CC267" s="523"/>
      <c r="CD267" s="523"/>
      <c r="CE267" s="523"/>
      <c r="CF267" s="523"/>
      <c r="CG267" s="523"/>
      <c r="CH267" s="523"/>
      <c r="CI267" s="523">
        <f t="shared" si="49"/>
        <v>0</v>
      </c>
    </row>
    <row r="268" spans="1:87" ht="15" x14ac:dyDescent="0.2">
      <c r="A268" s="680" t="s">
        <v>1773</v>
      </c>
      <c r="B268" s="569">
        <v>72262</v>
      </c>
      <c r="C268" s="569" t="s">
        <v>1324</v>
      </c>
      <c r="D268" s="569" t="s">
        <v>1774</v>
      </c>
      <c r="E268" s="681" t="s">
        <v>102</v>
      </c>
      <c r="F268" s="644">
        <v>62.01</v>
      </c>
      <c r="G268" s="682">
        <v>13.09</v>
      </c>
      <c r="H268" s="681">
        <v>7</v>
      </c>
      <c r="I268" s="685">
        <f t="shared" si="50"/>
        <v>0</v>
      </c>
      <c r="J268" s="573">
        <f t="shared" si="51"/>
        <v>0</v>
      </c>
      <c r="K268" s="644">
        <f t="shared" si="57"/>
        <v>7</v>
      </c>
      <c r="L268" s="708">
        <f t="shared" si="58"/>
        <v>91.63</v>
      </c>
      <c r="M268" s="708">
        <f t="shared" si="58"/>
        <v>0</v>
      </c>
      <c r="N268" s="708">
        <f t="shared" si="58"/>
        <v>0</v>
      </c>
      <c r="O268" s="718">
        <f t="shared" si="58"/>
        <v>91.63</v>
      </c>
      <c r="P268" s="617">
        <f t="shared" si="48"/>
        <v>0</v>
      </c>
      <c r="Q268" s="525">
        <f>I268-'[9]8'!I267</f>
        <v>0</v>
      </c>
      <c r="S268" s="189">
        <v>0</v>
      </c>
      <c r="T268" s="189">
        <v>0</v>
      </c>
      <c r="BT268" s="525"/>
      <c r="BU268" s="523"/>
      <c r="BV268" s="523"/>
      <c r="BW268" s="523"/>
      <c r="BX268" s="523"/>
      <c r="BY268" s="523">
        <v>0</v>
      </c>
      <c r="BZ268" s="523">
        <v>0</v>
      </c>
      <c r="CA268" s="523">
        <v>0</v>
      </c>
      <c r="CB268" s="523">
        <v>0</v>
      </c>
      <c r="CC268" s="523"/>
      <c r="CD268" s="523"/>
      <c r="CE268" s="523"/>
      <c r="CF268" s="523"/>
      <c r="CG268" s="523"/>
      <c r="CH268" s="523"/>
      <c r="CI268" s="523">
        <f t="shared" si="49"/>
        <v>0</v>
      </c>
    </row>
    <row r="269" spans="1:87" s="790" customFormat="1" ht="15.75" x14ac:dyDescent="0.2">
      <c r="A269" s="600">
        <v>19</v>
      </c>
      <c r="B269" s="558"/>
      <c r="C269" s="558"/>
      <c r="D269" s="558" t="s">
        <v>304</v>
      </c>
      <c r="E269" s="626"/>
      <c r="F269" s="626"/>
      <c r="G269" s="626"/>
      <c r="H269" s="626"/>
      <c r="I269" s="747"/>
      <c r="J269" s="747"/>
      <c r="K269" s="747"/>
      <c r="L269" s="734">
        <f>SUM(L270,L276)</f>
        <v>28168.979999999996</v>
      </c>
      <c r="M269" s="734">
        <f>SUM(M270,M276)</f>
        <v>0</v>
      </c>
      <c r="N269" s="734">
        <f>SUM(N270,N276)</f>
        <v>591.92999999999995</v>
      </c>
      <c r="O269" s="721">
        <f>SUM(O270,O276)</f>
        <v>27577.049999999996</v>
      </c>
      <c r="P269" s="604">
        <f t="shared" si="48"/>
        <v>2.1013540426383918E-2</v>
      </c>
      <c r="Q269" s="525">
        <f>I269-'[9]8'!I268</f>
        <v>0</v>
      </c>
      <c r="S269" s="190">
        <v>0</v>
      </c>
      <c r="T269" s="190">
        <v>0</v>
      </c>
      <c r="BT269" s="525"/>
      <c r="BU269" s="523"/>
      <c r="BV269" s="523"/>
      <c r="BW269" s="523"/>
      <c r="BX269" s="523"/>
      <c r="BY269" s="523">
        <v>0</v>
      </c>
      <c r="BZ269" s="523">
        <v>0</v>
      </c>
      <c r="CA269" s="523"/>
      <c r="CB269" s="523"/>
      <c r="CC269" s="523"/>
      <c r="CD269" s="523"/>
      <c r="CE269" s="523"/>
      <c r="CF269" s="523"/>
      <c r="CG269" s="523"/>
      <c r="CH269" s="523"/>
      <c r="CI269" s="523">
        <f t="shared" si="49"/>
        <v>0</v>
      </c>
    </row>
    <row r="270" spans="1:87" ht="15.75" x14ac:dyDescent="0.2">
      <c r="A270" s="605" t="s">
        <v>685</v>
      </c>
      <c r="B270" s="586"/>
      <c r="C270" s="586"/>
      <c r="D270" s="586" t="s">
        <v>1775</v>
      </c>
      <c r="E270" s="683"/>
      <c r="F270" s="683"/>
      <c r="G270" s="683"/>
      <c r="H270" s="683"/>
      <c r="I270" s="748"/>
      <c r="J270" s="748"/>
      <c r="K270" s="748"/>
      <c r="L270" s="733">
        <f>SUM(L271:L275)</f>
        <v>6263.99</v>
      </c>
      <c r="M270" s="733">
        <f>SUM(M271:M275)</f>
        <v>0</v>
      </c>
      <c r="N270" s="733">
        <f>SUM(N271:N275)</f>
        <v>591.92999999999995</v>
      </c>
      <c r="O270" s="722">
        <f>SUM(O271:O275)</f>
        <v>5672.0599999999995</v>
      </c>
      <c r="P270" s="611">
        <f t="shared" ref="P270:P284" si="59">N270/L270</f>
        <v>9.4497277294503981E-2</v>
      </c>
      <c r="Q270" s="525">
        <f>I270-'[9]8'!I269</f>
        <v>0</v>
      </c>
      <c r="S270" s="189">
        <v>0</v>
      </c>
      <c r="T270" s="189">
        <v>0</v>
      </c>
      <c r="BT270" s="525"/>
      <c r="BU270" s="523"/>
      <c r="BV270" s="523"/>
      <c r="BW270" s="523"/>
      <c r="BX270" s="523"/>
      <c r="BY270" s="523">
        <v>0</v>
      </c>
      <c r="BZ270" s="523">
        <v>0</v>
      </c>
      <c r="CA270" s="523"/>
      <c r="CB270" s="523"/>
      <c r="CC270" s="523"/>
      <c r="CD270" s="523"/>
      <c r="CE270" s="523"/>
      <c r="CF270" s="523"/>
      <c r="CG270" s="523"/>
      <c r="CH270" s="523"/>
      <c r="CI270" s="523">
        <f t="shared" si="49"/>
        <v>0</v>
      </c>
    </row>
    <row r="271" spans="1:87" ht="15" x14ac:dyDescent="0.2">
      <c r="A271" s="680" t="s">
        <v>1776</v>
      </c>
      <c r="B271" s="569" t="s">
        <v>2007</v>
      </c>
      <c r="C271" s="569" t="s">
        <v>1339</v>
      </c>
      <c r="D271" s="569" t="s">
        <v>1777</v>
      </c>
      <c r="E271" s="681" t="s">
        <v>14</v>
      </c>
      <c r="F271" s="644">
        <v>224.79</v>
      </c>
      <c r="G271" s="682">
        <v>236.77</v>
      </c>
      <c r="H271" s="681">
        <v>2.5</v>
      </c>
      <c r="I271" s="685">
        <f t="shared" si="50"/>
        <v>0</v>
      </c>
      <c r="J271" s="573">
        <f t="shared" si="51"/>
        <v>2.5</v>
      </c>
      <c r="K271" s="644">
        <f t="shared" si="57"/>
        <v>0</v>
      </c>
      <c r="L271" s="708">
        <f t="shared" ref="L271:O275" si="60">ROUND(H271*$G271,2)</f>
        <v>591.92999999999995</v>
      </c>
      <c r="M271" s="708">
        <f t="shared" si="60"/>
        <v>0</v>
      </c>
      <c r="N271" s="708">
        <f t="shared" si="60"/>
        <v>591.92999999999995</v>
      </c>
      <c r="O271" s="718">
        <f t="shared" si="60"/>
        <v>0</v>
      </c>
      <c r="P271" s="617">
        <f t="shared" si="59"/>
        <v>1</v>
      </c>
      <c r="Q271" s="525">
        <f>I271-'[9]8'!I270</f>
        <v>-2.5</v>
      </c>
      <c r="S271" s="189">
        <v>0</v>
      </c>
      <c r="T271" s="189">
        <v>0</v>
      </c>
      <c r="BT271" s="525"/>
      <c r="BU271" s="523"/>
      <c r="BV271" s="523">
        <v>2.5</v>
      </c>
      <c r="BW271" s="523"/>
      <c r="BX271" s="523"/>
      <c r="BY271" s="523">
        <v>0</v>
      </c>
      <c r="BZ271" s="523">
        <v>0</v>
      </c>
      <c r="CA271" s="523">
        <v>0</v>
      </c>
      <c r="CB271" s="523">
        <v>0</v>
      </c>
      <c r="CC271" s="523"/>
      <c r="CD271" s="523"/>
      <c r="CE271" s="523"/>
      <c r="CF271" s="523"/>
      <c r="CG271" s="523"/>
      <c r="CH271" s="523"/>
      <c r="CI271" s="523">
        <f t="shared" si="49"/>
        <v>2.5</v>
      </c>
    </row>
    <row r="272" spans="1:87" ht="15" x14ac:dyDescent="0.2">
      <c r="A272" s="680" t="s">
        <v>1778</v>
      </c>
      <c r="B272" s="569" t="s">
        <v>2007</v>
      </c>
      <c r="C272" s="569" t="s">
        <v>1339</v>
      </c>
      <c r="D272" s="569" t="s">
        <v>1779</v>
      </c>
      <c r="E272" s="681" t="s">
        <v>102</v>
      </c>
      <c r="F272" s="644">
        <v>170.36</v>
      </c>
      <c r="G272" s="682">
        <v>1103.49</v>
      </c>
      <c r="H272" s="681">
        <v>1</v>
      </c>
      <c r="I272" s="685">
        <f t="shared" si="50"/>
        <v>0</v>
      </c>
      <c r="J272" s="573">
        <f t="shared" si="51"/>
        <v>0</v>
      </c>
      <c r="K272" s="644">
        <f t="shared" si="57"/>
        <v>1</v>
      </c>
      <c r="L272" s="708">
        <f t="shared" si="60"/>
        <v>1103.49</v>
      </c>
      <c r="M272" s="708">
        <f t="shared" si="60"/>
        <v>0</v>
      </c>
      <c r="N272" s="708">
        <f t="shared" si="60"/>
        <v>0</v>
      </c>
      <c r="O272" s="718">
        <f t="shared" si="60"/>
        <v>1103.49</v>
      </c>
      <c r="P272" s="617">
        <f t="shared" si="59"/>
        <v>0</v>
      </c>
      <c r="Q272" s="525">
        <f>I272-'[9]8'!I271</f>
        <v>0</v>
      </c>
      <c r="S272" s="189">
        <v>0</v>
      </c>
      <c r="T272" s="189">
        <v>0</v>
      </c>
      <c r="BT272" s="525"/>
      <c r="BU272" s="523"/>
      <c r="BV272" s="523"/>
      <c r="BW272" s="523"/>
      <c r="BX272" s="523"/>
      <c r="BY272" s="523">
        <v>0</v>
      </c>
      <c r="BZ272" s="523">
        <v>0</v>
      </c>
      <c r="CA272" s="523">
        <v>0</v>
      </c>
      <c r="CB272" s="523">
        <v>0</v>
      </c>
      <c r="CC272" s="523"/>
      <c r="CD272" s="523"/>
      <c r="CE272" s="523"/>
      <c r="CF272" s="523"/>
      <c r="CG272" s="523"/>
      <c r="CH272" s="523"/>
      <c r="CI272" s="523">
        <f t="shared" ref="CI272:CI285" si="61">SUM(BU272:CH272)</f>
        <v>0</v>
      </c>
    </row>
    <row r="273" spans="1:87" ht="15" x14ac:dyDescent="0.2">
      <c r="A273" s="680" t="s">
        <v>1780</v>
      </c>
      <c r="B273" s="569" t="s">
        <v>2007</v>
      </c>
      <c r="C273" s="569" t="s">
        <v>1339</v>
      </c>
      <c r="D273" s="569" t="s">
        <v>1781</v>
      </c>
      <c r="E273" s="681" t="s">
        <v>102</v>
      </c>
      <c r="F273" s="644">
        <v>108</v>
      </c>
      <c r="G273" s="682">
        <v>1841.38</v>
      </c>
      <c r="H273" s="681">
        <v>1</v>
      </c>
      <c r="I273" s="685">
        <f t="shared" si="50"/>
        <v>0</v>
      </c>
      <c r="J273" s="573">
        <f t="shared" si="51"/>
        <v>0</v>
      </c>
      <c r="K273" s="644">
        <f t="shared" si="57"/>
        <v>1</v>
      </c>
      <c r="L273" s="708">
        <f t="shared" si="60"/>
        <v>1841.38</v>
      </c>
      <c r="M273" s="708">
        <f t="shared" si="60"/>
        <v>0</v>
      </c>
      <c r="N273" s="708">
        <f t="shared" si="60"/>
        <v>0</v>
      </c>
      <c r="O273" s="718">
        <f t="shared" si="60"/>
        <v>1841.38</v>
      </c>
      <c r="P273" s="617">
        <f t="shared" si="59"/>
        <v>0</v>
      </c>
      <c r="Q273" s="525">
        <f>I273-'[9]8'!I272</f>
        <v>0</v>
      </c>
      <c r="S273" s="189">
        <v>0</v>
      </c>
      <c r="T273" s="189">
        <v>0</v>
      </c>
      <c r="BT273" s="525"/>
      <c r="BU273" s="523"/>
      <c r="BV273" s="523"/>
      <c r="BW273" s="523"/>
      <c r="BX273" s="523"/>
      <c r="BY273" s="523">
        <v>0</v>
      </c>
      <c r="BZ273" s="523">
        <v>0</v>
      </c>
      <c r="CA273" s="523">
        <v>0</v>
      </c>
      <c r="CB273" s="523">
        <v>0</v>
      </c>
      <c r="CC273" s="523"/>
      <c r="CD273" s="523"/>
      <c r="CE273" s="523"/>
      <c r="CF273" s="523"/>
      <c r="CG273" s="523"/>
      <c r="CH273" s="523"/>
      <c r="CI273" s="523">
        <f t="shared" si="61"/>
        <v>0</v>
      </c>
    </row>
    <row r="274" spans="1:87" ht="15" x14ac:dyDescent="0.2">
      <c r="A274" s="680" t="s">
        <v>1782</v>
      </c>
      <c r="B274" s="569" t="s">
        <v>2007</v>
      </c>
      <c r="C274" s="569" t="s">
        <v>1339</v>
      </c>
      <c r="D274" s="569" t="s">
        <v>1783</v>
      </c>
      <c r="E274" s="681" t="s">
        <v>102</v>
      </c>
      <c r="F274" s="644">
        <v>1249</v>
      </c>
      <c r="G274" s="682">
        <v>777.91</v>
      </c>
      <c r="H274" s="681">
        <v>1</v>
      </c>
      <c r="I274" s="685">
        <f t="shared" ref="I274:I285" si="62">BU274</f>
        <v>0</v>
      </c>
      <c r="J274" s="573">
        <f t="shared" ref="J274:J285" si="63">CI274</f>
        <v>0</v>
      </c>
      <c r="K274" s="644">
        <f t="shared" si="57"/>
        <v>1</v>
      </c>
      <c r="L274" s="708">
        <f t="shared" si="60"/>
        <v>777.91</v>
      </c>
      <c r="M274" s="708">
        <f t="shared" si="60"/>
        <v>0</v>
      </c>
      <c r="N274" s="708">
        <f t="shared" si="60"/>
        <v>0</v>
      </c>
      <c r="O274" s="718">
        <f t="shared" si="60"/>
        <v>777.91</v>
      </c>
      <c r="P274" s="617">
        <f t="shared" si="59"/>
        <v>0</v>
      </c>
      <c r="Q274" s="525">
        <f>I274-'[9]8'!I273</f>
        <v>0</v>
      </c>
      <c r="S274" s="189">
        <v>0</v>
      </c>
      <c r="T274" s="189">
        <v>0</v>
      </c>
      <c r="BT274" s="525"/>
      <c r="BU274" s="523"/>
      <c r="BV274" s="523"/>
      <c r="BW274" s="523"/>
      <c r="BX274" s="523"/>
      <c r="BY274" s="523">
        <v>0</v>
      </c>
      <c r="BZ274" s="523">
        <v>0</v>
      </c>
      <c r="CA274" s="523">
        <v>0</v>
      </c>
      <c r="CB274" s="523">
        <v>0</v>
      </c>
      <c r="CC274" s="523"/>
      <c r="CD274" s="523"/>
      <c r="CE274" s="523"/>
      <c r="CF274" s="523"/>
      <c r="CG274" s="523"/>
      <c r="CH274" s="523"/>
      <c r="CI274" s="523">
        <f t="shared" si="61"/>
        <v>0</v>
      </c>
    </row>
    <row r="275" spans="1:87" s="790" customFormat="1" ht="15" x14ac:dyDescent="0.2">
      <c r="A275" s="680" t="s">
        <v>1784</v>
      </c>
      <c r="B275" s="569">
        <v>84862</v>
      </c>
      <c r="C275" s="569" t="s">
        <v>1324</v>
      </c>
      <c r="D275" s="569" t="s">
        <v>1785</v>
      </c>
      <c r="E275" s="681" t="s">
        <v>81</v>
      </c>
      <c r="F275" s="644">
        <v>74.2</v>
      </c>
      <c r="G275" s="682">
        <v>203.05</v>
      </c>
      <c r="H275" s="681">
        <v>9.6</v>
      </c>
      <c r="I275" s="685">
        <f t="shared" si="62"/>
        <v>0</v>
      </c>
      <c r="J275" s="573">
        <f t="shared" si="63"/>
        <v>0</v>
      </c>
      <c r="K275" s="644">
        <f t="shared" si="57"/>
        <v>9.6</v>
      </c>
      <c r="L275" s="708">
        <f t="shared" si="60"/>
        <v>1949.28</v>
      </c>
      <c r="M275" s="708">
        <f t="shared" si="60"/>
        <v>0</v>
      </c>
      <c r="N275" s="708">
        <f t="shared" si="60"/>
        <v>0</v>
      </c>
      <c r="O275" s="718">
        <f t="shared" si="60"/>
        <v>1949.28</v>
      </c>
      <c r="P275" s="617">
        <f t="shared" si="59"/>
        <v>0</v>
      </c>
      <c r="Q275" s="525">
        <f>I275-'[9]8'!I274</f>
        <v>0</v>
      </c>
      <c r="S275" s="190">
        <v>0</v>
      </c>
      <c r="T275" s="190">
        <v>0</v>
      </c>
      <c r="BT275" s="525"/>
      <c r="BU275" s="523"/>
      <c r="BV275" s="523"/>
      <c r="BW275" s="523"/>
      <c r="BX275" s="523"/>
      <c r="BY275" s="523">
        <v>0</v>
      </c>
      <c r="BZ275" s="523">
        <v>0</v>
      </c>
      <c r="CA275" s="523">
        <v>0</v>
      </c>
      <c r="CB275" s="523">
        <v>0</v>
      </c>
      <c r="CC275" s="523"/>
      <c r="CD275" s="523"/>
      <c r="CE275" s="523"/>
      <c r="CF275" s="523"/>
      <c r="CG275" s="523"/>
      <c r="CH275" s="523"/>
      <c r="CI275" s="523">
        <f t="shared" si="61"/>
        <v>0</v>
      </c>
    </row>
    <row r="276" spans="1:87" ht="15.75" x14ac:dyDescent="0.2">
      <c r="A276" s="605" t="s">
        <v>691</v>
      </c>
      <c r="B276" s="586"/>
      <c r="C276" s="586"/>
      <c r="D276" s="586" t="s">
        <v>1786</v>
      </c>
      <c r="E276" s="683"/>
      <c r="F276" s="683"/>
      <c r="G276" s="683"/>
      <c r="H276" s="683"/>
      <c r="I276" s="748"/>
      <c r="J276" s="748"/>
      <c r="K276" s="748"/>
      <c r="L276" s="733">
        <f>SUM(L277:L278)</f>
        <v>21904.989999999998</v>
      </c>
      <c r="M276" s="733">
        <f>SUM(M277:M278)</f>
        <v>0</v>
      </c>
      <c r="N276" s="733">
        <f>SUM(N277:N278)</f>
        <v>0</v>
      </c>
      <c r="O276" s="722">
        <f>SUM(O277:O278)</f>
        <v>21904.989999999998</v>
      </c>
      <c r="P276" s="611">
        <f t="shared" si="59"/>
        <v>0</v>
      </c>
      <c r="Q276" s="525">
        <f>I276-'[9]8'!I275</f>
        <v>0</v>
      </c>
      <c r="S276" s="189">
        <v>0</v>
      </c>
      <c r="T276" s="189">
        <v>0</v>
      </c>
      <c r="BT276" s="525"/>
      <c r="BU276" s="523"/>
      <c r="BV276" s="523"/>
      <c r="BW276" s="523"/>
      <c r="BX276" s="523"/>
      <c r="BY276" s="523">
        <v>0</v>
      </c>
      <c r="BZ276" s="523">
        <v>0</v>
      </c>
      <c r="CA276" s="523"/>
      <c r="CB276" s="523"/>
      <c r="CC276" s="523"/>
      <c r="CD276" s="523"/>
      <c r="CE276" s="523"/>
      <c r="CF276" s="523"/>
      <c r="CG276" s="523"/>
      <c r="CH276" s="523"/>
      <c r="CI276" s="523">
        <f t="shared" si="61"/>
        <v>0</v>
      </c>
    </row>
    <row r="277" spans="1:87" ht="30" x14ac:dyDescent="0.2">
      <c r="A277" s="680" t="s">
        <v>1787</v>
      </c>
      <c r="B277" s="569" t="s">
        <v>1788</v>
      </c>
      <c r="C277" s="569" t="s">
        <v>1324</v>
      </c>
      <c r="D277" s="569" t="s">
        <v>1789</v>
      </c>
      <c r="E277" s="681" t="s">
        <v>14</v>
      </c>
      <c r="F277" s="644">
        <v>62.36</v>
      </c>
      <c r="G277" s="682">
        <v>103.67</v>
      </c>
      <c r="H277" s="681">
        <v>201</v>
      </c>
      <c r="I277" s="685">
        <f t="shared" si="62"/>
        <v>0</v>
      </c>
      <c r="J277" s="573">
        <f t="shared" si="63"/>
        <v>0</v>
      </c>
      <c r="K277" s="644">
        <f t="shared" si="57"/>
        <v>201</v>
      </c>
      <c r="L277" s="708">
        <f t="shared" ref="L277:O278" si="64">ROUND(H277*$G277,2)</f>
        <v>20837.669999999998</v>
      </c>
      <c r="M277" s="708">
        <f t="shared" si="64"/>
        <v>0</v>
      </c>
      <c r="N277" s="708">
        <f t="shared" si="64"/>
        <v>0</v>
      </c>
      <c r="O277" s="718">
        <f t="shared" si="64"/>
        <v>20837.669999999998</v>
      </c>
      <c r="P277" s="617">
        <f t="shared" si="59"/>
        <v>0</v>
      </c>
      <c r="Q277" s="525">
        <f>I277-'[9]8'!I276</f>
        <v>0</v>
      </c>
      <c r="S277" s="189">
        <v>0</v>
      </c>
      <c r="T277" s="189">
        <v>0</v>
      </c>
      <c r="BT277" s="525"/>
      <c r="BU277" s="523"/>
      <c r="BV277" s="523"/>
      <c r="BW277" s="523"/>
      <c r="BX277" s="523"/>
      <c r="BY277" s="523">
        <v>0</v>
      </c>
      <c r="BZ277" s="523">
        <v>0</v>
      </c>
      <c r="CA277" s="523">
        <v>0</v>
      </c>
      <c r="CB277" s="523">
        <v>0</v>
      </c>
      <c r="CC277" s="523"/>
      <c r="CD277" s="523"/>
      <c r="CE277" s="523"/>
      <c r="CF277" s="523"/>
      <c r="CG277" s="523"/>
      <c r="CH277" s="523"/>
      <c r="CI277" s="523">
        <f t="shared" si="61"/>
        <v>0</v>
      </c>
    </row>
    <row r="278" spans="1:87" s="790" customFormat="1" ht="15" x14ac:dyDescent="0.2">
      <c r="A278" s="680" t="s">
        <v>1790</v>
      </c>
      <c r="B278" s="569" t="s">
        <v>2007</v>
      </c>
      <c r="C278" s="569" t="s">
        <v>1339</v>
      </c>
      <c r="D278" s="569" t="s">
        <v>1791</v>
      </c>
      <c r="E278" s="681" t="s">
        <v>102</v>
      </c>
      <c r="F278" s="644">
        <v>100.46</v>
      </c>
      <c r="G278" s="682">
        <v>266.83</v>
      </c>
      <c r="H278" s="681">
        <v>4</v>
      </c>
      <c r="I278" s="685">
        <f t="shared" si="62"/>
        <v>0</v>
      </c>
      <c r="J278" s="573">
        <f t="shared" si="63"/>
        <v>0</v>
      </c>
      <c r="K278" s="644">
        <f t="shared" si="57"/>
        <v>4</v>
      </c>
      <c r="L278" s="708">
        <f t="shared" si="64"/>
        <v>1067.32</v>
      </c>
      <c r="M278" s="708">
        <f t="shared" si="64"/>
        <v>0</v>
      </c>
      <c r="N278" s="708">
        <f t="shared" si="64"/>
        <v>0</v>
      </c>
      <c r="O278" s="718">
        <f t="shared" si="64"/>
        <v>1067.32</v>
      </c>
      <c r="P278" s="617">
        <f t="shared" si="59"/>
        <v>0</v>
      </c>
      <c r="Q278" s="525">
        <f>I278-'[9]8'!I277</f>
        <v>0</v>
      </c>
      <c r="S278" s="190">
        <v>0</v>
      </c>
      <c r="T278" s="190">
        <v>0</v>
      </c>
      <c r="BT278" s="525"/>
      <c r="BU278" s="523"/>
      <c r="BV278" s="523"/>
      <c r="BW278" s="523"/>
      <c r="BX278" s="523"/>
      <c r="BY278" s="523">
        <v>0</v>
      </c>
      <c r="BZ278" s="523">
        <v>0</v>
      </c>
      <c r="CA278" s="523">
        <v>0</v>
      </c>
      <c r="CB278" s="523">
        <v>0</v>
      </c>
      <c r="CC278" s="523"/>
      <c r="CD278" s="523"/>
      <c r="CE278" s="523"/>
      <c r="CF278" s="523"/>
      <c r="CG278" s="523"/>
      <c r="CH278" s="523"/>
      <c r="CI278" s="523">
        <f t="shared" si="61"/>
        <v>0</v>
      </c>
    </row>
    <row r="279" spans="1:87" ht="15.75" x14ac:dyDescent="0.2">
      <c r="A279" s="600">
        <v>20</v>
      </c>
      <c r="B279" s="558"/>
      <c r="C279" s="558"/>
      <c r="D279" s="558" t="s">
        <v>1232</v>
      </c>
      <c r="E279" s="626"/>
      <c r="F279" s="626"/>
      <c r="G279" s="626"/>
      <c r="H279" s="626"/>
      <c r="I279" s="747"/>
      <c r="J279" s="747"/>
      <c r="K279" s="747"/>
      <c r="L279" s="734">
        <f>SUM(L280:L284)</f>
        <v>4777.13</v>
      </c>
      <c r="M279" s="734">
        <f>SUM(M280:M284)</f>
        <v>0</v>
      </c>
      <c r="N279" s="734">
        <f>SUM(N280:N284)</f>
        <v>0</v>
      </c>
      <c r="O279" s="721">
        <f>SUM(O280:O284)</f>
        <v>4777.13</v>
      </c>
      <c r="P279" s="604">
        <f t="shared" si="59"/>
        <v>0</v>
      </c>
      <c r="Q279" s="525">
        <f>I279-'[9]8'!I278</f>
        <v>0</v>
      </c>
      <c r="S279" s="189">
        <v>0</v>
      </c>
      <c r="T279" s="189">
        <v>0</v>
      </c>
      <c r="BT279" s="525"/>
      <c r="BU279" s="523"/>
      <c r="BV279" s="523"/>
      <c r="BW279" s="523"/>
      <c r="BX279" s="523"/>
      <c r="BY279" s="523">
        <v>0</v>
      </c>
      <c r="BZ279" s="523">
        <v>0</v>
      </c>
      <c r="CA279" s="523"/>
      <c r="CB279" s="523"/>
      <c r="CC279" s="523"/>
      <c r="CD279" s="523"/>
      <c r="CE279" s="523"/>
      <c r="CF279" s="523"/>
      <c r="CG279" s="523"/>
      <c r="CH279" s="523"/>
      <c r="CI279" s="523">
        <f t="shared" si="61"/>
        <v>0</v>
      </c>
    </row>
    <row r="280" spans="1:87" ht="15" x14ac:dyDescent="0.2">
      <c r="A280" s="680" t="s">
        <v>719</v>
      </c>
      <c r="B280" s="569" t="s">
        <v>1792</v>
      </c>
      <c r="C280" s="569" t="s">
        <v>1324</v>
      </c>
      <c r="D280" s="569" t="s">
        <v>1793</v>
      </c>
      <c r="E280" s="681" t="s">
        <v>14</v>
      </c>
      <c r="F280" s="644">
        <v>37.18</v>
      </c>
      <c r="G280" s="682">
        <v>4.97</v>
      </c>
      <c r="H280" s="681">
        <v>296.01</v>
      </c>
      <c r="I280" s="685">
        <f t="shared" si="62"/>
        <v>0</v>
      </c>
      <c r="J280" s="573">
        <f t="shared" si="63"/>
        <v>0</v>
      </c>
      <c r="K280" s="644">
        <f t="shared" si="57"/>
        <v>296.01</v>
      </c>
      <c r="L280" s="708">
        <f t="shared" ref="L280:O284" si="65">ROUND(H280*$G280,2)</f>
        <v>1471.17</v>
      </c>
      <c r="M280" s="708">
        <f t="shared" si="65"/>
        <v>0</v>
      </c>
      <c r="N280" s="708">
        <f t="shared" si="65"/>
        <v>0</v>
      </c>
      <c r="O280" s="718">
        <f t="shared" si="65"/>
        <v>1471.17</v>
      </c>
      <c r="P280" s="617">
        <f t="shared" si="59"/>
        <v>0</v>
      </c>
      <c r="Q280" s="525">
        <f>I280-'[9]8'!I279</f>
        <v>0</v>
      </c>
      <c r="S280" s="189">
        <v>0</v>
      </c>
      <c r="T280" s="189">
        <v>0</v>
      </c>
      <c r="BT280" s="525"/>
      <c r="BU280" s="523"/>
      <c r="BV280" s="523"/>
      <c r="BW280" s="523"/>
      <c r="BX280" s="523"/>
      <c r="BY280" s="523">
        <v>0</v>
      </c>
      <c r="BZ280" s="523">
        <v>0</v>
      </c>
      <c r="CA280" s="523">
        <v>0</v>
      </c>
      <c r="CB280" s="523">
        <v>0</v>
      </c>
      <c r="CC280" s="523"/>
      <c r="CD280" s="523"/>
      <c r="CE280" s="523"/>
      <c r="CF280" s="523"/>
      <c r="CG280" s="523"/>
      <c r="CH280" s="523"/>
      <c r="CI280" s="523">
        <f t="shared" si="61"/>
        <v>0</v>
      </c>
    </row>
    <row r="281" spans="1:87" ht="15" x14ac:dyDescent="0.2">
      <c r="A281" s="680" t="s">
        <v>726</v>
      </c>
      <c r="B281" s="569" t="s">
        <v>1794</v>
      </c>
      <c r="C281" s="569" t="s">
        <v>1324</v>
      </c>
      <c r="D281" s="569" t="s">
        <v>1795</v>
      </c>
      <c r="E281" s="681" t="s">
        <v>14</v>
      </c>
      <c r="F281" s="644">
        <v>14.42</v>
      </c>
      <c r="G281" s="682">
        <v>9.57</v>
      </c>
      <c r="H281" s="681">
        <v>21.9</v>
      </c>
      <c r="I281" s="685">
        <f t="shared" si="62"/>
        <v>0</v>
      </c>
      <c r="J281" s="573">
        <f t="shared" si="63"/>
        <v>0</v>
      </c>
      <c r="K281" s="644">
        <f t="shared" si="57"/>
        <v>21.9</v>
      </c>
      <c r="L281" s="708">
        <f t="shared" si="65"/>
        <v>209.58</v>
      </c>
      <c r="M281" s="708">
        <f t="shared" si="65"/>
        <v>0</v>
      </c>
      <c r="N281" s="708">
        <f t="shared" si="65"/>
        <v>0</v>
      </c>
      <c r="O281" s="718">
        <f t="shared" si="65"/>
        <v>209.58</v>
      </c>
      <c r="P281" s="617">
        <f t="shared" si="59"/>
        <v>0</v>
      </c>
      <c r="Q281" s="525">
        <f>I281-'[9]8'!I280</f>
        <v>0</v>
      </c>
      <c r="S281" s="189">
        <v>0</v>
      </c>
      <c r="T281" s="189">
        <v>0</v>
      </c>
      <c r="BT281" s="525"/>
      <c r="BU281" s="523"/>
      <c r="BV281" s="523"/>
      <c r="BW281" s="523"/>
      <c r="BX281" s="523"/>
      <c r="BY281" s="523">
        <v>0</v>
      </c>
      <c r="BZ281" s="523">
        <v>0</v>
      </c>
      <c r="CA281" s="523">
        <v>0</v>
      </c>
      <c r="CB281" s="523">
        <v>0</v>
      </c>
      <c r="CC281" s="523"/>
      <c r="CD281" s="523"/>
      <c r="CE281" s="523"/>
      <c r="CF281" s="523"/>
      <c r="CG281" s="523"/>
      <c r="CH281" s="523"/>
      <c r="CI281" s="523">
        <f t="shared" si="61"/>
        <v>0</v>
      </c>
    </row>
    <row r="282" spans="1:87" ht="30" x14ac:dyDescent="0.2">
      <c r="A282" s="680" t="s">
        <v>730</v>
      </c>
      <c r="B282" s="569" t="s">
        <v>1796</v>
      </c>
      <c r="C282" s="569" t="s">
        <v>1324</v>
      </c>
      <c r="D282" s="569" t="s">
        <v>1797</v>
      </c>
      <c r="E282" s="681" t="s">
        <v>14</v>
      </c>
      <c r="F282" s="644">
        <v>22.57</v>
      </c>
      <c r="G282" s="682">
        <v>11.45</v>
      </c>
      <c r="H282" s="681">
        <v>64.91</v>
      </c>
      <c r="I282" s="685">
        <f t="shared" si="62"/>
        <v>0</v>
      </c>
      <c r="J282" s="573">
        <f t="shared" si="63"/>
        <v>0</v>
      </c>
      <c r="K282" s="644">
        <f t="shared" si="57"/>
        <v>64.91</v>
      </c>
      <c r="L282" s="708">
        <f t="shared" si="65"/>
        <v>743.22</v>
      </c>
      <c r="M282" s="708">
        <f t="shared" si="65"/>
        <v>0</v>
      </c>
      <c r="N282" s="708">
        <f t="shared" si="65"/>
        <v>0</v>
      </c>
      <c r="O282" s="718">
        <f t="shared" si="65"/>
        <v>743.22</v>
      </c>
      <c r="P282" s="617">
        <f t="shared" si="59"/>
        <v>0</v>
      </c>
      <c r="Q282" s="525">
        <f>I282-'[9]8'!I281</f>
        <v>0</v>
      </c>
      <c r="S282" s="189">
        <v>0</v>
      </c>
      <c r="T282" s="189">
        <v>0</v>
      </c>
      <c r="BT282" s="525"/>
      <c r="BU282" s="523"/>
      <c r="BV282" s="523"/>
      <c r="BW282" s="523"/>
      <c r="BX282" s="523"/>
      <c r="BY282" s="523">
        <v>0</v>
      </c>
      <c r="BZ282" s="523">
        <v>0</v>
      </c>
      <c r="CA282" s="523">
        <v>0</v>
      </c>
      <c r="CB282" s="523">
        <v>0</v>
      </c>
      <c r="CC282" s="523"/>
      <c r="CD282" s="523"/>
      <c r="CE282" s="523"/>
      <c r="CF282" s="523"/>
      <c r="CG282" s="523"/>
      <c r="CH282" s="523"/>
      <c r="CI282" s="523">
        <f t="shared" si="61"/>
        <v>0</v>
      </c>
    </row>
    <row r="283" spans="1:87" ht="15" x14ac:dyDescent="0.2">
      <c r="A283" s="680" t="s">
        <v>739</v>
      </c>
      <c r="B283" s="569" t="s">
        <v>1798</v>
      </c>
      <c r="C283" s="569" t="s">
        <v>1324</v>
      </c>
      <c r="D283" s="569" t="s">
        <v>1799</v>
      </c>
      <c r="E283" s="681" t="s">
        <v>14</v>
      </c>
      <c r="F283" s="644">
        <v>26.75</v>
      </c>
      <c r="G283" s="682">
        <v>1.53</v>
      </c>
      <c r="H283" s="681">
        <v>676.67</v>
      </c>
      <c r="I283" s="685">
        <f t="shared" si="62"/>
        <v>0</v>
      </c>
      <c r="J283" s="573">
        <f t="shared" si="63"/>
        <v>0</v>
      </c>
      <c r="K283" s="644">
        <f t="shared" si="57"/>
        <v>676.67</v>
      </c>
      <c r="L283" s="708">
        <f t="shared" si="65"/>
        <v>1035.31</v>
      </c>
      <c r="M283" s="708">
        <f t="shared" si="65"/>
        <v>0</v>
      </c>
      <c r="N283" s="708">
        <f t="shared" si="65"/>
        <v>0</v>
      </c>
      <c r="O283" s="718">
        <f t="shared" si="65"/>
        <v>1035.31</v>
      </c>
      <c r="P283" s="617">
        <f t="shared" si="59"/>
        <v>0</v>
      </c>
      <c r="Q283" s="525">
        <f>I283-'[9]8'!I282</f>
        <v>0</v>
      </c>
      <c r="S283" s="189">
        <v>0</v>
      </c>
      <c r="T283" s="189">
        <v>0</v>
      </c>
      <c r="BT283" s="525"/>
      <c r="BU283" s="523"/>
      <c r="BV283" s="523"/>
      <c r="BW283" s="523"/>
      <c r="BX283" s="523"/>
      <c r="BY283" s="523">
        <v>0</v>
      </c>
      <c r="BZ283" s="523">
        <v>0</v>
      </c>
      <c r="CA283" s="523">
        <v>0</v>
      </c>
      <c r="CB283" s="523">
        <v>0</v>
      </c>
      <c r="CC283" s="523"/>
      <c r="CD283" s="523"/>
      <c r="CE283" s="523"/>
      <c r="CF283" s="523"/>
      <c r="CG283" s="523"/>
      <c r="CH283" s="523"/>
      <c r="CI283" s="523">
        <f t="shared" si="61"/>
        <v>0</v>
      </c>
    </row>
    <row r="284" spans="1:87" ht="15" x14ac:dyDescent="0.2">
      <c r="A284" s="680" t="s">
        <v>743</v>
      </c>
      <c r="B284" s="569">
        <v>84122</v>
      </c>
      <c r="C284" s="569" t="s">
        <v>1324</v>
      </c>
      <c r="D284" s="569" t="s">
        <v>1800</v>
      </c>
      <c r="E284" s="681" t="s">
        <v>102</v>
      </c>
      <c r="F284" s="644">
        <v>61.1</v>
      </c>
      <c r="G284" s="682">
        <v>1317.85</v>
      </c>
      <c r="H284" s="681">
        <v>1</v>
      </c>
      <c r="I284" s="685">
        <f t="shared" si="62"/>
        <v>0</v>
      </c>
      <c r="J284" s="573">
        <f t="shared" si="63"/>
        <v>0</v>
      </c>
      <c r="K284" s="644">
        <f t="shared" si="57"/>
        <v>1</v>
      </c>
      <c r="L284" s="708">
        <f t="shared" si="65"/>
        <v>1317.85</v>
      </c>
      <c r="M284" s="708">
        <f t="shared" si="65"/>
        <v>0</v>
      </c>
      <c r="N284" s="708">
        <f t="shared" si="65"/>
        <v>0</v>
      </c>
      <c r="O284" s="718">
        <f t="shared" si="65"/>
        <v>1317.85</v>
      </c>
      <c r="P284" s="617">
        <f t="shared" si="59"/>
        <v>0</v>
      </c>
      <c r="Q284" s="525">
        <f>I284-'[9]8'!I283</f>
        <v>0</v>
      </c>
      <c r="S284" s="189">
        <v>0</v>
      </c>
      <c r="T284" s="189">
        <v>0</v>
      </c>
      <c r="AE284" s="393"/>
      <c r="BT284" s="525"/>
      <c r="BU284" s="523"/>
      <c r="BV284" s="523"/>
      <c r="BW284" s="523"/>
      <c r="BX284" s="523"/>
      <c r="BY284" s="523">
        <v>0</v>
      </c>
      <c r="BZ284" s="523">
        <v>0</v>
      </c>
      <c r="CA284" s="523">
        <v>0</v>
      </c>
      <c r="CB284" s="523">
        <v>0</v>
      </c>
      <c r="CC284" s="523"/>
      <c r="CD284" s="523"/>
      <c r="CE284" s="523"/>
      <c r="CF284" s="523"/>
      <c r="CG284" s="523"/>
      <c r="CH284" s="523"/>
      <c r="CI284" s="523">
        <f t="shared" si="61"/>
        <v>0</v>
      </c>
    </row>
    <row r="285" spans="1:87" s="67" customFormat="1" ht="16.5" thickBot="1" x14ac:dyDescent="0.25">
      <c r="A285" s="645"/>
      <c r="B285" s="646"/>
      <c r="C285" s="647"/>
      <c r="D285" s="647"/>
      <c r="E285" s="647"/>
      <c r="F285" s="647"/>
      <c r="G285" s="648" t="s">
        <v>1281</v>
      </c>
      <c r="H285" s="697"/>
      <c r="I285" s="650">
        <f t="shared" si="62"/>
        <v>0</v>
      </c>
      <c r="J285" s="651">
        <f t="shared" si="63"/>
        <v>0</v>
      </c>
      <c r="K285" s="647"/>
      <c r="L285" s="736">
        <f>L15+L27+L33+L46+L70+L78+L93+L96+L99+L110+L121+L130+L169+L191+L195+L209+L215+L260+L269+L279</f>
        <v>664297.16</v>
      </c>
      <c r="M285" s="713">
        <f>SUM(M279,M269,M260,M215,M209,M195,M191,M169,M130,M121,M110,M99,M96,M93,M78,M70,M46,M33,M27,M15)</f>
        <v>109582.54000000001</v>
      </c>
      <c r="N285" s="713">
        <f>SUM(N279,N269,N260,N215,N209,N195,N191,N169,N130,N121,N110,N99,N96,N93,N78,N70,N46,N33,N27,N15)</f>
        <v>529263.98999999987</v>
      </c>
      <c r="O285" s="725">
        <f>SUM(O279,O269,O260,O215,O209,O195,O191,O169,O130,O121,O110,O99,O96,O93,O78,O70,O46,O33,O27,O15)</f>
        <v>135033.15000000002</v>
      </c>
      <c r="P285" s="698">
        <f>N285/L285</f>
        <v>0.79672776261756084</v>
      </c>
      <c r="Q285" s="525">
        <f>'[9]8'!Q284-BU285</f>
        <v>0</v>
      </c>
      <c r="S285" s="193"/>
      <c r="T285" s="193"/>
      <c r="BT285" s="525"/>
      <c r="BU285" s="523"/>
      <c r="BV285" s="523"/>
      <c r="BW285" s="523"/>
      <c r="BX285" s="523"/>
      <c r="BY285" s="523">
        <v>0</v>
      </c>
      <c r="BZ285" s="523">
        <v>0</v>
      </c>
      <c r="CA285" s="523"/>
      <c r="CB285" s="523"/>
      <c r="CC285" s="523"/>
      <c r="CD285" s="523"/>
      <c r="CE285" s="523"/>
      <c r="CF285" s="523"/>
      <c r="CG285" s="523"/>
      <c r="CH285" s="523"/>
      <c r="CI285" s="523">
        <f t="shared" si="61"/>
        <v>0</v>
      </c>
    </row>
    <row r="286" spans="1:87" x14ac:dyDescent="0.2">
      <c r="A286" s="69"/>
      <c r="B286" s="69"/>
      <c r="C286" s="59"/>
      <c r="D286" s="111"/>
      <c r="E286" s="59"/>
      <c r="F286" s="59"/>
      <c r="G286" s="82"/>
      <c r="H286" s="699"/>
      <c r="I286" s="70"/>
      <c r="J286" s="70"/>
      <c r="K286" s="59"/>
      <c r="L286" s="700"/>
      <c r="M286" s="700"/>
      <c r="N286" s="700"/>
      <c r="O286" s="726"/>
      <c r="P286" s="701"/>
      <c r="BX286" s="66">
        <v>0</v>
      </c>
    </row>
    <row r="287" spans="1:87" x14ac:dyDescent="0.2">
      <c r="P287" s="704"/>
    </row>
    <row r="288" spans="1:87" x14ac:dyDescent="0.2">
      <c r="B288" s="702"/>
      <c r="C288" s="110"/>
      <c r="P288" s="704"/>
    </row>
    <row r="289" spans="2:15" x14ac:dyDescent="0.2">
      <c r="B289" s="702"/>
      <c r="C289" s="110"/>
    </row>
    <row r="290" spans="2:15" x14ac:dyDescent="0.2">
      <c r="B290" s="702"/>
      <c r="C290" s="110"/>
      <c r="I290" s="937"/>
      <c r="J290" s="937"/>
      <c r="K290" s="937"/>
    </row>
    <row r="291" spans="2:15" x14ac:dyDescent="0.2">
      <c r="B291" s="702"/>
      <c r="C291" s="110"/>
      <c r="I291" s="944"/>
      <c r="J291" s="944"/>
      <c r="K291" s="944"/>
      <c r="M291" s="937"/>
      <c r="N291" s="937"/>
      <c r="O291" s="937"/>
    </row>
    <row r="292" spans="2:15" x14ac:dyDescent="0.2">
      <c r="B292" s="702"/>
      <c r="C292" s="110"/>
      <c r="I292" s="937"/>
      <c r="J292" s="937"/>
      <c r="K292" s="937"/>
      <c r="M292" s="937"/>
      <c r="N292" s="937"/>
      <c r="O292" s="937"/>
    </row>
    <row r="293" spans="2:15" x14ac:dyDescent="0.2">
      <c r="B293" s="702"/>
      <c r="C293" s="110"/>
      <c r="I293" s="937"/>
      <c r="J293" s="937"/>
      <c r="K293" s="937"/>
    </row>
  </sheetData>
  <mergeCells count="19">
    <mergeCell ref="I291:K291"/>
    <mergeCell ref="M291:O291"/>
    <mergeCell ref="I292:K292"/>
    <mergeCell ref="M292:O292"/>
    <mergeCell ref="I293:K293"/>
    <mergeCell ref="I290:K290"/>
    <mergeCell ref="A1:D5"/>
    <mergeCell ref="E1:P5"/>
    <mergeCell ref="A7:D7"/>
    <mergeCell ref="E7:G7"/>
    <mergeCell ref="J7:K7"/>
    <mergeCell ref="A8:D8"/>
    <mergeCell ref="E8:G8"/>
    <mergeCell ref="J8:K8"/>
    <mergeCell ref="A9:D9"/>
    <mergeCell ref="E9:G9"/>
    <mergeCell ref="J9:K9"/>
    <mergeCell ref="H11:K11"/>
    <mergeCell ref="L11:P11"/>
  </mergeCells>
  <conditionalFormatting sqref="A15:E15 F47:G47 H90 O96 F52:G52 I52 K133:K152 H227:H247 H217:H225 F226:H226 A90:E90 L96:M96 A17:E17 H15:H17 H28:H32 A28:E32 A27:D27 A34:E45 A33:D33 H35:H45 H47:H57 A47:E57 A46:D46 A72:E72 H72 H80:H83 A80:E83 A94:E95 A93:D93 H94:H95 H97:H98 A97:E98 A96:D96 A100:E109 A99:D99 H100:H109 H112:H116 A112:E116 A122:E129 A121:D121 H122:H129 H132:H152 A132:E152 A170:E181 A169:D169 H171:H181 K171:K181 A192:E194 A191:D191 H192:I194 A196:E208 A195:D195 H196:I208 A210:E214 A209:D209 H210:I214 I217:I247 A216:E259 A215:D215 A261:E268 A260:D260 H261:I268 H271:I275 A270:E278 A269:D269 A280:E284 A279:D279 I280:I284 H280:H286 A59:E62 A58:D58 H59:H62 H64:H67 A64:E67 A63:D63 A69:E69 A68:D68 H69 A70:D71 H74:H75 A74:E75 A73:D73 A77:E77 A76:D76 H77 A78:D79 A85:E87 A84:D84 H85:H87 A88:D88 A92:E92 A91:D91 H92 A110:D111 A118:E120 A117:D117 H118:H120 A130:D131 A154:E168 A153:D153 H154:H168 K154:K168 H183:I190 A183:E190 A182:D182 H23:H26 A23:E26 L46:O46 L52:O52 L58:O58 L63:O63 L68:O68 L71:O71 L73:O73 L76:O76 L78:O79 L84:O84 L93:O93 L99:O99 L110:O111 L117:O117 L121:O121 L130:O131 L153:O153 L169:O170 L182:O182 L191:O191 L195:O195 L209:O209 K226:O226 L215:O216 L260:O260 L269:O270 L279:O279 H249:I252 F248:O248 H277:I278 F276:O276 F270:K270 H254:I259 F253:O253 F216:K216 F170:K170">
    <cfRule type="expression" dxfId="187" priority="75">
      <formula>$D15&lt;&gt;0</formula>
    </cfRule>
    <cfRule type="expression" dxfId="186" priority="76">
      <formula>$O15=1</formula>
    </cfRule>
  </conditionalFormatting>
  <conditionalFormatting sqref="G15 G40 L40:O40 G34:K34">
    <cfRule type="expression" dxfId="185" priority="77">
      <formula>$D15&lt;&gt;0</formula>
    </cfRule>
    <cfRule type="expression" dxfId="184" priority="78">
      <formula>$O15=1</formula>
    </cfRule>
  </conditionalFormatting>
  <conditionalFormatting sqref="E27">
    <cfRule type="expression" dxfId="183" priority="71">
      <formula>$D27&lt;&gt;0</formula>
    </cfRule>
    <cfRule type="expression" dxfId="182" priority="72">
      <formula>$O27=1</formula>
    </cfRule>
  </conditionalFormatting>
  <conditionalFormatting sqref="G27:J27">
    <cfRule type="expression" dxfId="181" priority="73">
      <formula>$D27&lt;&gt;0</formula>
    </cfRule>
    <cfRule type="expression" dxfId="180" priority="74">
      <formula>$O27=1</formula>
    </cfRule>
  </conditionalFormatting>
  <conditionalFormatting sqref="E33">
    <cfRule type="expression" dxfId="179" priority="67">
      <formula>$D33&lt;&gt;0</formula>
    </cfRule>
    <cfRule type="expression" dxfId="178" priority="68">
      <formula>$O33=1</formula>
    </cfRule>
  </conditionalFormatting>
  <conditionalFormatting sqref="G33:K33">
    <cfRule type="expression" dxfId="177" priority="69">
      <formula>$D33&lt;&gt;0</formula>
    </cfRule>
    <cfRule type="expression" dxfId="176" priority="70">
      <formula>$O33=1</formula>
    </cfRule>
  </conditionalFormatting>
  <conditionalFormatting sqref="E46 H46">
    <cfRule type="expression" dxfId="175" priority="63">
      <formula>$D46&lt;&gt;0</formula>
    </cfRule>
    <cfRule type="expression" dxfId="174" priority="64">
      <formula>$O46=1</formula>
    </cfRule>
  </conditionalFormatting>
  <conditionalFormatting sqref="G46">
    <cfRule type="expression" dxfId="173" priority="65">
      <formula>$D46&lt;&gt;0</formula>
    </cfRule>
    <cfRule type="expression" dxfId="172" priority="66">
      <formula>$O46=1</formula>
    </cfRule>
  </conditionalFormatting>
  <conditionalFormatting sqref="E70:K70">
    <cfRule type="expression" dxfId="171" priority="61">
      <formula>$D70&lt;&gt;0</formula>
    </cfRule>
    <cfRule type="expression" dxfId="170" priority="62">
      <formula>$O70=1</formula>
    </cfRule>
  </conditionalFormatting>
  <conditionalFormatting sqref="E78:K78">
    <cfRule type="expression" dxfId="169" priority="59">
      <formula>$D78&lt;&gt;0</formula>
    </cfRule>
    <cfRule type="expression" dxfId="168" priority="60">
      <formula>$O78=1</formula>
    </cfRule>
  </conditionalFormatting>
  <conditionalFormatting sqref="E93:K93">
    <cfRule type="expression" dxfId="167" priority="57">
      <formula>$D93&lt;&gt;0</formula>
    </cfRule>
    <cfRule type="expression" dxfId="166" priority="58">
      <formula>$O93=1</formula>
    </cfRule>
  </conditionalFormatting>
  <conditionalFormatting sqref="E96:K96">
    <cfRule type="expression" dxfId="165" priority="55">
      <formula>$D96&lt;&gt;0</formula>
    </cfRule>
    <cfRule type="expression" dxfId="164" priority="56">
      <formula>$O96=1</formula>
    </cfRule>
  </conditionalFormatting>
  <conditionalFormatting sqref="E99:K99">
    <cfRule type="expression" dxfId="163" priority="53">
      <formula>$D99&lt;&gt;0</formula>
    </cfRule>
    <cfRule type="expression" dxfId="162" priority="54">
      <formula>$O99=1</formula>
    </cfRule>
  </conditionalFormatting>
  <conditionalFormatting sqref="E110:K110">
    <cfRule type="expression" dxfId="161" priority="51">
      <formula>$D110&lt;&gt;0</formula>
    </cfRule>
    <cfRule type="expression" dxfId="160" priority="52">
      <formula>$O110=1</formula>
    </cfRule>
  </conditionalFormatting>
  <conditionalFormatting sqref="E121:K121">
    <cfRule type="expression" dxfId="159" priority="49">
      <formula>$D121&lt;&gt;0</formula>
    </cfRule>
    <cfRule type="expression" dxfId="158" priority="50">
      <formula>$O121=1</formula>
    </cfRule>
  </conditionalFormatting>
  <conditionalFormatting sqref="E130:K130">
    <cfRule type="expression" dxfId="157" priority="47">
      <formula>$D130&lt;&gt;0</formula>
    </cfRule>
    <cfRule type="expression" dxfId="156" priority="48">
      <formula>$O130=1</formula>
    </cfRule>
  </conditionalFormatting>
  <conditionalFormatting sqref="E169:K169">
    <cfRule type="expression" dxfId="155" priority="45">
      <formula>$D169&lt;&gt;0</formula>
    </cfRule>
    <cfRule type="expression" dxfId="154" priority="46">
      <formula>$O169=1</formula>
    </cfRule>
  </conditionalFormatting>
  <conditionalFormatting sqref="E191:K191">
    <cfRule type="expression" dxfId="153" priority="43">
      <formula>$D191&lt;&gt;0</formula>
    </cfRule>
    <cfRule type="expression" dxfId="152" priority="44">
      <formula>$O191=1</formula>
    </cfRule>
  </conditionalFormatting>
  <conditionalFormatting sqref="E195:K195">
    <cfRule type="expression" dxfId="151" priority="41">
      <formula>$D195&lt;&gt;0</formula>
    </cfRule>
    <cfRule type="expression" dxfId="150" priority="42">
      <formula>$O195=1</formula>
    </cfRule>
  </conditionalFormatting>
  <conditionalFormatting sqref="E209:K209">
    <cfRule type="expression" dxfId="149" priority="39">
      <formula>$D209&lt;&gt;0</formula>
    </cfRule>
    <cfRule type="expression" dxfId="148" priority="40">
      <formula>$O209=1</formula>
    </cfRule>
  </conditionalFormatting>
  <conditionalFormatting sqref="E215:K215">
    <cfRule type="expression" dxfId="147" priority="37">
      <formula>$D215&lt;&gt;0</formula>
    </cfRule>
    <cfRule type="expression" dxfId="146" priority="38">
      <formula>$O215=1</formula>
    </cfRule>
  </conditionalFormatting>
  <conditionalFormatting sqref="E260:K260">
    <cfRule type="expression" dxfId="145" priority="35">
      <formula>$D260&lt;&gt;0</formula>
    </cfRule>
    <cfRule type="expression" dxfId="144" priority="36">
      <formula>$O260=1</formula>
    </cfRule>
  </conditionalFormatting>
  <conditionalFormatting sqref="E269:K269">
    <cfRule type="expression" dxfId="143" priority="33">
      <formula>$D269&lt;&gt;0</formula>
    </cfRule>
    <cfRule type="expression" dxfId="142" priority="34">
      <formula>$O269=1</formula>
    </cfRule>
  </conditionalFormatting>
  <conditionalFormatting sqref="E279:K279">
    <cfRule type="expression" dxfId="141" priority="31">
      <formula>$D279&lt;&gt;0</formula>
    </cfRule>
    <cfRule type="expression" dxfId="140" priority="32">
      <formula>$O279=1</formula>
    </cfRule>
  </conditionalFormatting>
  <conditionalFormatting sqref="E58:I58">
    <cfRule type="expression" dxfId="139" priority="29">
      <formula>$D58&lt;&gt;0</formula>
    </cfRule>
    <cfRule type="expression" dxfId="138" priority="30">
      <formula>$O58=1</formula>
    </cfRule>
  </conditionalFormatting>
  <conditionalFormatting sqref="E63:K63">
    <cfRule type="expression" dxfId="137" priority="27">
      <formula>$D63&lt;&gt;0</formula>
    </cfRule>
    <cfRule type="expression" dxfId="136" priority="28">
      <formula>$O63=1</formula>
    </cfRule>
  </conditionalFormatting>
  <conditionalFormatting sqref="E68:K68">
    <cfRule type="expression" dxfId="135" priority="25">
      <formula>$D68&lt;&gt;0</formula>
    </cfRule>
    <cfRule type="expression" dxfId="134" priority="26">
      <formula>$O68=1</formula>
    </cfRule>
  </conditionalFormatting>
  <conditionalFormatting sqref="E71:K71">
    <cfRule type="expression" dxfId="133" priority="23">
      <formula>$D71&lt;&gt;0</formula>
    </cfRule>
    <cfRule type="expression" dxfId="132" priority="24">
      <formula>$O71=1</formula>
    </cfRule>
  </conditionalFormatting>
  <conditionalFormatting sqref="E73:K73">
    <cfRule type="expression" dxfId="131" priority="21">
      <formula>$D73&lt;&gt;0</formula>
    </cfRule>
    <cfRule type="expression" dxfId="130" priority="22">
      <formula>$O73=1</formula>
    </cfRule>
  </conditionalFormatting>
  <conditionalFormatting sqref="E76:K76">
    <cfRule type="expression" dxfId="129" priority="19">
      <formula>$D76&lt;&gt;0</formula>
    </cfRule>
    <cfRule type="expression" dxfId="128" priority="20">
      <formula>$O76=1</formula>
    </cfRule>
  </conditionalFormatting>
  <conditionalFormatting sqref="E79:K79">
    <cfRule type="expression" dxfId="127" priority="17">
      <formula>$D79&lt;&gt;0</formula>
    </cfRule>
    <cfRule type="expression" dxfId="126" priority="18">
      <formula>$O79=1</formula>
    </cfRule>
  </conditionalFormatting>
  <conditionalFormatting sqref="E84:K84">
    <cfRule type="expression" dxfId="125" priority="15">
      <formula>$D84&lt;&gt;0</formula>
    </cfRule>
    <cfRule type="expression" dxfId="124" priority="16">
      <formula>$O84=1</formula>
    </cfRule>
  </conditionalFormatting>
  <conditionalFormatting sqref="E88:K88">
    <cfRule type="expression" dxfId="123" priority="13">
      <formula>$D88&lt;&gt;0</formula>
    </cfRule>
    <cfRule type="expression" dxfId="122" priority="14">
      <formula>$O88=1</formula>
    </cfRule>
  </conditionalFormatting>
  <conditionalFormatting sqref="E91:K91">
    <cfRule type="expression" dxfId="121" priority="11">
      <formula>$D91&lt;&gt;0</formula>
    </cfRule>
    <cfRule type="expression" dxfId="120" priority="12">
      <formula>$O91=1</formula>
    </cfRule>
  </conditionalFormatting>
  <conditionalFormatting sqref="E111:K111">
    <cfRule type="expression" dxfId="119" priority="9">
      <formula>$D111&lt;&gt;0</formula>
    </cfRule>
    <cfRule type="expression" dxfId="118" priority="10">
      <formula>$O111=1</formula>
    </cfRule>
  </conditionalFormatting>
  <conditionalFormatting sqref="E117:K117">
    <cfRule type="expression" dxfId="117" priority="7">
      <formula>$D117&lt;&gt;0</formula>
    </cfRule>
    <cfRule type="expression" dxfId="116" priority="8">
      <formula>$O117=1</formula>
    </cfRule>
  </conditionalFormatting>
  <conditionalFormatting sqref="E131:K131">
    <cfRule type="expression" dxfId="115" priority="5">
      <formula>$D131&lt;&gt;0</formula>
    </cfRule>
    <cfRule type="expression" dxfId="114" priority="6">
      <formula>$O131=1</formula>
    </cfRule>
  </conditionalFormatting>
  <conditionalFormatting sqref="E153:K153">
    <cfRule type="expression" dxfId="113" priority="3">
      <formula>$D153&lt;&gt;0</formula>
    </cfRule>
    <cfRule type="expression" dxfId="112" priority="4">
      <formula>$O153=1</formula>
    </cfRule>
  </conditionalFormatting>
  <conditionalFormatting sqref="E182:K182">
    <cfRule type="expression" dxfId="111" priority="1">
      <formula>$D182&lt;&gt;0</formula>
    </cfRule>
    <cfRule type="expression" dxfId="110" priority="2">
      <formula>$O182=1</formula>
    </cfRule>
  </conditionalFormatting>
  <printOptions horizontalCentered="1"/>
  <pageMargins left="0.31496062992125984" right="0.31496062992125984" top="0.39370078740157483" bottom="1.1417322834645669" header="0.31496062992125984" footer="0.31496062992125984"/>
  <pageSetup paperSize="9" scale="43" fitToHeight="0" orientation="landscape" r:id="rId1"/>
  <headerFooter>
    <oddHeader>&amp;R&amp;P</oddHeader>
    <oddFooter>&amp;LResp. Técnico Fiscalização: Nei Frederico
CREA: 101562139-2
&amp;RResp. Engenharia Civil: Jordan Moreira da Silva
CREA: BA 518626636
&amp;P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CI293"/>
  <sheetViews>
    <sheetView showGridLines="0" topLeftCell="E1" zoomScale="85" zoomScaleNormal="85" zoomScaleSheetLayoutView="80" workbookViewId="0">
      <pane ySplit="13" topLeftCell="A38" activePane="bottomLeft" state="frozen"/>
      <selection pane="bottomLeft" activeCell="BY13" sqref="BY13:BY284"/>
    </sheetView>
  </sheetViews>
  <sheetFormatPr defaultColWidth="9.33203125" defaultRowHeight="12.75" x14ac:dyDescent="0.2"/>
  <cols>
    <col min="1" max="1" width="12.5" style="66" customWidth="1"/>
    <col min="2" max="2" width="11.33203125" style="66" customWidth="1"/>
    <col min="3" max="3" width="11.5" style="71" customWidth="1"/>
    <col min="4" max="4" width="84.83203125" style="66" customWidth="1"/>
    <col min="5" max="5" width="11.5" style="66" customWidth="1"/>
    <col min="6" max="6" width="14" style="66" hidden="1" customWidth="1"/>
    <col min="7" max="7" width="21.5" style="75" customWidth="1"/>
    <col min="8" max="8" width="19.6640625" style="66" bestFit="1" customWidth="1"/>
    <col min="9" max="9" width="23.5" style="189" customWidth="1"/>
    <col min="10" max="10" width="17.33203125" style="189" customWidth="1"/>
    <col min="11" max="11" width="12.83203125" style="66" customWidth="1"/>
    <col min="12" max="12" width="21.1640625" style="78" customWidth="1"/>
    <col min="13" max="13" width="18.6640625" style="78" customWidth="1"/>
    <col min="14" max="14" width="23.1640625" style="78" bestFit="1" customWidth="1"/>
    <col min="15" max="15" width="20.33203125" style="75" customWidth="1"/>
    <col min="16" max="16" width="12.5" style="66" customWidth="1"/>
    <col min="17" max="17" width="9.33203125" style="66"/>
    <col min="18" max="18" width="0" style="66" hidden="1" customWidth="1"/>
    <col min="19" max="19" width="13.83203125" style="189" hidden="1" customWidth="1"/>
    <col min="20" max="20" width="11.1640625" style="189" hidden="1" customWidth="1"/>
    <col min="21" max="25" width="0" style="66" hidden="1" customWidth="1"/>
    <col min="26" max="26" width="12.33203125" style="66" hidden="1" customWidth="1"/>
    <col min="27" max="27" width="0" style="66" hidden="1" customWidth="1"/>
    <col min="28" max="28" width="13.5" style="66" hidden="1" customWidth="1"/>
    <col min="29" max="30" width="0" style="66" hidden="1" customWidth="1"/>
    <col min="31" max="31" width="15.6640625" style="66" hidden="1" customWidth="1"/>
    <col min="32" max="33" width="11.5" style="66" hidden="1" customWidth="1"/>
    <col min="34" max="71" width="0" style="66" hidden="1" customWidth="1"/>
    <col min="72" max="86" width="9.33203125" style="66"/>
    <col min="87" max="87" width="11.1640625" style="66" bestFit="1" customWidth="1"/>
    <col min="88" max="16384" width="9.33203125" style="66"/>
  </cols>
  <sheetData>
    <row r="1" spans="1:87" s="51" customFormat="1" ht="12" customHeight="1" x14ac:dyDescent="0.2">
      <c r="A1" s="876"/>
      <c r="B1" s="877"/>
      <c r="C1" s="877"/>
      <c r="D1" s="877"/>
      <c r="E1" s="886" t="s">
        <v>1801</v>
      </c>
      <c r="F1" s="886"/>
      <c r="G1" s="886"/>
      <c r="H1" s="886"/>
      <c r="I1" s="886"/>
      <c r="J1" s="886"/>
      <c r="K1" s="886"/>
      <c r="L1" s="886"/>
      <c r="M1" s="886"/>
      <c r="N1" s="886"/>
      <c r="O1" s="886"/>
      <c r="P1" s="887"/>
      <c r="S1" s="188"/>
      <c r="T1" s="188"/>
    </row>
    <row r="2" spans="1:87" s="51" customFormat="1" ht="12" customHeight="1" x14ac:dyDescent="0.2">
      <c r="A2" s="878"/>
      <c r="B2" s="879"/>
      <c r="C2" s="879"/>
      <c r="D2" s="879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9"/>
      <c r="S2" s="188"/>
      <c r="T2" s="188"/>
    </row>
    <row r="3" spans="1:87" s="51" customFormat="1" ht="12" customHeight="1" x14ac:dyDescent="0.2">
      <c r="A3" s="878"/>
      <c r="B3" s="879"/>
      <c r="C3" s="879"/>
      <c r="D3" s="879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9"/>
      <c r="S3" s="188"/>
      <c r="T3" s="188"/>
    </row>
    <row r="4" spans="1:87" s="51" customFormat="1" ht="12" customHeight="1" x14ac:dyDescent="0.2">
      <c r="A4" s="878"/>
      <c r="B4" s="879"/>
      <c r="C4" s="879"/>
      <c r="D4" s="879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9"/>
      <c r="S4" s="188"/>
      <c r="T4" s="188"/>
    </row>
    <row r="5" spans="1:87" s="51" customFormat="1" ht="31.5" customHeight="1" thickBot="1" x14ac:dyDescent="0.25">
      <c r="A5" s="880"/>
      <c r="B5" s="881"/>
      <c r="C5" s="881"/>
      <c r="D5" s="881"/>
      <c r="E5" s="890"/>
      <c r="F5" s="890"/>
      <c r="G5" s="890"/>
      <c r="H5" s="890"/>
      <c r="I5" s="890"/>
      <c r="J5" s="890"/>
      <c r="K5" s="890"/>
      <c r="L5" s="890"/>
      <c r="M5" s="890"/>
      <c r="N5" s="890"/>
      <c r="O5" s="890"/>
      <c r="P5" s="891"/>
      <c r="S5" s="188"/>
      <c r="T5" s="188"/>
    </row>
    <row r="6" spans="1:87" s="51" customFormat="1" ht="12.75" customHeight="1" x14ac:dyDescent="0.2">
      <c r="A6" s="518"/>
      <c r="B6" s="518"/>
      <c r="C6" s="518"/>
      <c r="D6" s="518"/>
      <c r="E6" s="519"/>
      <c r="F6" s="519"/>
      <c r="G6" s="519"/>
      <c r="H6" s="519"/>
      <c r="I6" s="519"/>
      <c r="J6" s="519"/>
      <c r="K6" s="519"/>
      <c r="L6" s="519"/>
      <c r="M6" s="519"/>
      <c r="N6" s="519"/>
      <c r="O6" s="519"/>
      <c r="P6" s="519"/>
      <c r="S6" s="188">
        <v>30999.574999999997</v>
      </c>
      <c r="T6" s="188" t="s">
        <v>1288</v>
      </c>
      <c r="Z6" s="64">
        <v>30999.574999999997</v>
      </c>
      <c r="AB6" s="64">
        <v>44898.842499999999</v>
      </c>
      <c r="AE6" s="371">
        <v>38575.583824999994</v>
      </c>
      <c r="AF6" s="372">
        <f>AE6-I7</f>
        <v>38575.583824999994</v>
      </c>
    </row>
    <row r="7" spans="1:87" s="51" customFormat="1" x14ac:dyDescent="0.2">
      <c r="A7" s="874" t="s">
        <v>1320</v>
      </c>
      <c r="B7" s="874"/>
      <c r="C7" s="874"/>
      <c r="D7" s="874"/>
      <c r="E7" s="894" t="s">
        <v>2019</v>
      </c>
      <c r="F7" s="894"/>
      <c r="G7" s="894"/>
      <c r="H7" s="506" t="s">
        <v>1323</v>
      </c>
      <c r="I7" s="485"/>
      <c r="L7" s="484"/>
      <c r="M7" s="483" t="s">
        <v>2021</v>
      </c>
      <c r="N7" s="504">
        <v>43658</v>
      </c>
      <c r="O7" s="491"/>
      <c r="P7" s="491"/>
      <c r="S7" s="188">
        <v>203365.995</v>
      </c>
      <c r="T7" s="188" t="s">
        <v>1309</v>
      </c>
      <c r="AB7" s="64">
        <v>152813.08250000002</v>
      </c>
    </row>
    <row r="8" spans="1:87" s="51" customFormat="1" x14ac:dyDescent="0.2">
      <c r="A8" s="875" t="s">
        <v>2014</v>
      </c>
      <c r="B8" s="875"/>
      <c r="C8" s="875"/>
      <c r="D8" s="875"/>
      <c r="E8" s="893" t="s">
        <v>2020</v>
      </c>
      <c r="F8" s="893"/>
      <c r="G8" s="893"/>
      <c r="H8" s="488">
        <f>664297.16</f>
        <v>664297.16</v>
      </c>
      <c r="I8" s="485"/>
      <c r="J8" s="195"/>
      <c r="K8" s="486"/>
      <c r="L8" s="484"/>
      <c r="M8" s="503" t="s">
        <v>3</v>
      </c>
      <c r="N8" s="505">
        <v>0.27139999999999997</v>
      </c>
      <c r="O8" s="491"/>
      <c r="P8" s="491"/>
      <c r="S8" s="188">
        <v>485968.91500000004</v>
      </c>
      <c r="T8" s="188" t="s">
        <v>1294</v>
      </c>
      <c r="AB8" s="64">
        <v>511484.07750000001</v>
      </c>
      <c r="AE8" s="107" t="e">
        <f>H8/I9</f>
        <v>#DIV/0!</v>
      </c>
    </row>
    <row r="9" spans="1:87" s="51" customFormat="1" ht="27.75" customHeight="1" x14ac:dyDescent="0.2">
      <c r="A9" s="874" t="s">
        <v>2017</v>
      </c>
      <c r="B9" s="874"/>
      <c r="C9" s="874"/>
      <c r="D9" s="874"/>
      <c r="E9" s="194"/>
      <c r="F9" s="482"/>
      <c r="G9" s="489"/>
      <c r="H9" s="484"/>
      <c r="I9" s="485"/>
      <c r="J9" s="195"/>
      <c r="K9" s="516"/>
      <c r="L9" s="490"/>
      <c r="M9" s="516" t="s">
        <v>2016</v>
      </c>
      <c r="N9" s="875" t="s">
        <v>2015</v>
      </c>
      <c r="O9" s="875"/>
      <c r="P9" s="517"/>
      <c r="S9" s="188"/>
      <c r="T9" s="188"/>
      <c r="AB9" s="485"/>
      <c r="AE9" s="493"/>
    </row>
    <row r="10" spans="1:87" s="51" customFormat="1" ht="24" customHeight="1" thickBot="1" x14ac:dyDescent="0.25">
      <c r="A10" s="514"/>
      <c r="B10" s="514"/>
      <c r="C10" s="514"/>
      <c r="D10" s="514"/>
      <c r="E10" s="517"/>
      <c r="F10" s="482"/>
      <c r="G10" s="483"/>
      <c r="H10" s="511"/>
      <c r="I10" s="485"/>
      <c r="J10" s="195"/>
      <c r="K10" s="492"/>
      <c r="L10" s="490"/>
      <c r="M10" s="492"/>
      <c r="N10" s="492"/>
      <c r="O10" s="492"/>
      <c r="P10" s="492"/>
      <c r="S10" s="188"/>
      <c r="T10" s="188"/>
    </row>
    <row r="11" spans="1:87" ht="23.25" customHeight="1" thickBot="1" x14ac:dyDescent="0.25">
      <c r="A11" s="882" t="s">
        <v>1325</v>
      </c>
      <c r="B11" s="884" t="s">
        <v>1326</v>
      </c>
      <c r="C11" s="882" t="s">
        <v>1327</v>
      </c>
      <c r="D11" s="882" t="s">
        <v>5</v>
      </c>
      <c r="E11" s="882" t="s">
        <v>6</v>
      </c>
      <c r="F11" s="903" t="s">
        <v>1316</v>
      </c>
      <c r="G11" s="895" t="s">
        <v>1317</v>
      </c>
      <c r="H11" s="897" t="s">
        <v>2008</v>
      </c>
      <c r="I11" s="898"/>
      <c r="J11" s="898"/>
      <c r="K11" s="899"/>
      <c r="L11" s="900" t="s">
        <v>2009</v>
      </c>
      <c r="M11" s="901"/>
      <c r="N11" s="901"/>
      <c r="O11" s="902"/>
      <c r="P11" s="515"/>
      <c r="S11" s="189" t="s">
        <v>1282</v>
      </c>
      <c r="T11" s="189" t="s">
        <v>1283</v>
      </c>
    </row>
    <row r="12" spans="1:87" ht="24.75" customHeight="1" thickBot="1" x14ac:dyDescent="0.25">
      <c r="A12" s="883"/>
      <c r="B12" s="885"/>
      <c r="C12" s="883"/>
      <c r="D12" s="883"/>
      <c r="E12" s="883"/>
      <c r="F12" s="904"/>
      <c r="G12" s="896"/>
      <c r="H12" s="499" t="s">
        <v>2018</v>
      </c>
      <c r="I12" s="494" t="s">
        <v>2013</v>
      </c>
      <c r="J12" s="494" t="s">
        <v>1819</v>
      </c>
      <c r="K12" s="495" t="s">
        <v>1295</v>
      </c>
      <c r="L12" s="502" t="s">
        <v>2018</v>
      </c>
      <c r="M12" s="500" t="s">
        <v>2013</v>
      </c>
      <c r="N12" s="500" t="s">
        <v>1819</v>
      </c>
      <c r="O12" s="513" t="s">
        <v>1295</v>
      </c>
      <c r="P12" s="495" t="s">
        <v>1296</v>
      </c>
    </row>
    <row r="13" spans="1:87" s="514" customFormat="1" ht="34.5" customHeight="1" x14ac:dyDescent="0.2">
      <c r="A13" s="475"/>
      <c r="B13" s="476"/>
      <c r="C13" s="477"/>
      <c r="D13" s="478" t="s">
        <v>2010</v>
      </c>
      <c r="E13" s="409"/>
      <c r="F13" s="479"/>
      <c r="G13" s="411"/>
      <c r="H13" s="410"/>
      <c r="I13" s="480"/>
      <c r="J13" s="480"/>
      <c r="K13" s="480"/>
      <c r="L13" s="480">
        <f>L14+L26+L32+L45+L69+L77+L92+L95+L98+L109+L120+L129+L168+L190+L194+L208+L214+L259+L268+L278</f>
        <v>664297.16159999999</v>
      </c>
      <c r="M13" s="480">
        <f>M14+M26+M32+M45+M69+M77+M92+M95+M98+M109+M120+M129+M168+M190+M194+M208+M214+M259+M268+M278</f>
        <v>31838.225388259994</v>
      </c>
      <c r="N13" s="480">
        <f>N14+N26+N32+N45+N69+N77+N92+N95+N98+N109+N120+N129+N168+N190+N194+N208+N214+N259+N268+N278</f>
        <v>145973.62707652</v>
      </c>
      <c r="O13" s="480">
        <f>O14+O26+O32+O45+O69+O77+O92+O95+O98+O109+O120+O129+O168+O190+O194+O208+O214+O259+O268+O278</f>
        <v>524216.5857</v>
      </c>
      <c r="P13" s="510">
        <f>N13/O13</f>
        <v>0.27846052768742069</v>
      </c>
      <c r="S13" s="190">
        <v>0</v>
      </c>
      <c r="T13" s="190">
        <v>2411.4</v>
      </c>
      <c r="BU13" s="514">
        <v>1</v>
      </c>
      <c r="BV13" s="514">
        <v>2</v>
      </c>
      <c r="BW13" s="514">
        <v>3</v>
      </c>
      <c r="BX13" s="522"/>
      <c r="BY13" s="514">
        <v>5</v>
      </c>
      <c r="BZ13" s="514">
        <v>6</v>
      </c>
      <c r="CA13" s="514">
        <v>7</v>
      </c>
      <c r="CB13" s="514">
        <v>8</v>
      </c>
      <c r="CC13" s="514">
        <v>9</v>
      </c>
      <c r="CD13" s="514">
        <v>10</v>
      </c>
      <c r="CE13" s="514">
        <v>11</v>
      </c>
      <c r="CF13" s="514">
        <v>12</v>
      </c>
      <c r="CG13" s="514">
        <v>13</v>
      </c>
      <c r="CH13" s="514">
        <v>14</v>
      </c>
      <c r="CI13" s="514" t="s">
        <v>2023</v>
      </c>
    </row>
    <row r="14" spans="1:87" x14ac:dyDescent="0.2">
      <c r="A14" s="412">
        <v>1</v>
      </c>
      <c r="B14" s="413"/>
      <c r="C14" s="413"/>
      <c r="D14" s="414" t="s">
        <v>9</v>
      </c>
      <c r="E14" s="415"/>
      <c r="F14" s="417"/>
      <c r="G14" s="418"/>
      <c r="H14" s="416"/>
      <c r="I14" s="420">
        <v>0</v>
      </c>
      <c r="J14" s="421"/>
      <c r="K14" s="420"/>
      <c r="L14" s="419">
        <f>SUM(L15:L25)</f>
        <v>32660.889999999992</v>
      </c>
      <c r="M14" s="419">
        <f>SUM(M15:M25)</f>
        <v>0</v>
      </c>
      <c r="N14" s="419">
        <f>SUM(N15:N25)</f>
        <v>32660.892</v>
      </c>
      <c r="O14" s="422">
        <f t="shared" ref="O14:O26" si="0">L14-N14</f>
        <v>-2.0000000076834112E-3</v>
      </c>
      <c r="P14" s="423">
        <f t="shared" ref="P14:P77" si="1">N14/L14</f>
        <v>1.0000000612353186</v>
      </c>
      <c r="S14" s="189">
        <v>0</v>
      </c>
      <c r="T14" s="189">
        <v>10</v>
      </c>
      <c r="BU14" s="523"/>
      <c r="BV14" s="523"/>
      <c r="BW14" s="523">
        <v>0</v>
      </c>
      <c r="BX14" s="523">
        <v>0</v>
      </c>
      <c r="BY14" s="523">
        <v>0</v>
      </c>
      <c r="BZ14" s="523"/>
      <c r="CA14" s="523"/>
      <c r="CB14" s="523"/>
      <c r="CC14" s="523"/>
      <c r="CD14" s="523"/>
      <c r="CE14" s="523"/>
      <c r="CF14" s="523"/>
      <c r="CG14" s="523"/>
      <c r="CH14" s="523"/>
      <c r="CI14" s="523">
        <f>SUM(BU14:CH14)</f>
        <v>0</v>
      </c>
    </row>
    <row r="15" spans="1:87" x14ac:dyDescent="0.2">
      <c r="A15" s="125" t="s">
        <v>10</v>
      </c>
      <c r="B15" s="126" t="s">
        <v>1328</v>
      </c>
      <c r="C15" s="126" t="s">
        <v>1324</v>
      </c>
      <c r="D15" s="127" t="s">
        <v>1329</v>
      </c>
      <c r="E15" s="128" t="s">
        <v>14</v>
      </c>
      <c r="F15" s="129"/>
      <c r="G15" s="130">
        <v>232.25</v>
      </c>
      <c r="H15" s="128">
        <v>10</v>
      </c>
      <c r="I15" s="132">
        <f>BY15</f>
        <v>0</v>
      </c>
      <c r="J15" s="374">
        <f>CI15</f>
        <v>10</v>
      </c>
      <c r="K15" s="132">
        <v>0</v>
      </c>
      <c r="L15" s="131">
        <f t="shared" ref="L15:L31" si="2">ROUND(H15*G15,2)</f>
        <v>2322.5</v>
      </c>
      <c r="M15" s="135">
        <v>0</v>
      </c>
      <c r="N15" s="135">
        <f>J15*G15</f>
        <v>2322.5</v>
      </c>
      <c r="O15" s="375">
        <f t="shared" si="0"/>
        <v>0</v>
      </c>
      <c r="P15" s="136">
        <f t="shared" si="1"/>
        <v>1</v>
      </c>
      <c r="S15" s="189">
        <v>0</v>
      </c>
      <c r="T15" s="189">
        <v>312.39999999999998</v>
      </c>
      <c r="BU15" s="523">
        <v>10</v>
      </c>
      <c r="BV15" s="523">
        <v>0</v>
      </c>
      <c r="BW15" s="523">
        <v>0</v>
      </c>
      <c r="BX15" s="523">
        <v>0</v>
      </c>
      <c r="BY15" s="523">
        <v>0</v>
      </c>
      <c r="BZ15" s="523"/>
      <c r="CA15" s="523"/>
      <c r="CB15" s="523"/>
      <c r="CC15" s="523"/>
      <c r="CD15" s="523"/>
      <c r="CE15" s="523"/>
      <c r="CF15" s="523"/>
      <c r="CG15" s="523"/>
      <c r="CH15" s="523"/>
      <c r="CI15" s="523">
        <f t="shared" ref="CI15:CI78" si="3">SUM(BU15:CH15)</f>
        <v>10</v>
      </c>
    </row>
    <row r="16" spans="1:87" ht="25.5" customHeight="1" x14ac:dyDescent="0.2">
      <c r="A16" s="125" t="s">
        <v>1330</v>
      </c>
      <c r="B16" s="126" t="s">
        <v>1331</v>
      </c>
      <c r="C16" s="126" t="s">
        <v>1324</v>
      </c>
      <c r="D16" s="127" t="s">
        <v>1332</v>
      </c>
      <c r="E16" s="128" t="s">
        <v>14</v>
      </c>
      <c r="F16" s="137">
        <v>595.62</v>
      </c>
      <c r="G16" s="130">
        <v>39.78</v>
      </c>
      <c r="H16" s="128">
        <v>312.39999999999998</v>
      </c>
      <c r="I16" s="132">
        <f t="shared" ref="I16:I31" si="4">BY16</f>
        <v>0</v>
      </c>
      <c r="J16" s="374">
        <f t="shared" ref="J16:J79" si="5">CI16</f>
        <v>312.39999999999998</v>
      </c>
      <c r="K16" s="132">
        <v>0</v>
      </c>
      <c r="L16" s="131">
        <f t="shared" si="2"/>
        <v>12427.27</v>
      </c>
      <c r="M16" s="135">
        <v>0</v>
      </c>
      <c r="N16" s="135">
        <f t="shared" ref="N16:N31" si="6">J16*G16</f>
        <v>12427.271999999999</v>
      </c>
      <c r="O16" s="375">
        <f t="shared" si="0"/>
        <v>-1.9999999985884642E-3</v>
      </c>
      <c r="P16" s="136">
        <f t="shared" si="1"/>
        <v>1.0000001609363922</v>
      </c>
      <c r="S16" s="189">
        <v>0</v>
      </c>
      <c r="T16" s="189">
        <v>1</v>
      </c>
      <c r="BU16" s="523">
        <v>108.9</v>
      </c>
      <c r="BV16" s="523">
        <v>203.49999999999997</v>
      </c>
      <c r="BW16" s="523">
        <v>0</v>
      </c>
      <c r="BX16" s="523">
        <v>0</v>
      </c>
      <c r="BY16" s="523">
        <v>0</v>
      </c>
      <c r="BZ16" s="523"/>
      <c r="CA16" s="523"/>
      <c r="CB16" s="523"/>
      <c r="CC16" s="523"/>
      <c r="CD16" s="523"/>
      <c r="CE16" s="523"/>
      <c r="CF16" s="523"/>
      <c r="CG16" s="523"/>
      <c r="CH16" s="523"/>
      <c r="CI16" s="523">
        <f t="shared" si="3"/>
        <v>312.39999999999998</v>
      </c>
    </row>
    <row r="17" spans="1:87" ht="25.5" x14ac:dyDescent="0.2">
      <c r="A17" s="125" t="s">
        <v>1333</v>
      </c>
      <c r="B17" s="126">
        <v>9540</v>
      </c>
      <c r="C17" s="126" t="s">
        <v>1324</v>
      </c>
      <c r="D17" s="127" t="s">
        <v>1334</v>
      </c>
      <c r="E17" s="128" t="s">
        <v>102</v>
      </c>
      <c r="F17" s="137">
        <v>256.73</v>
      </c>
      <c r="G17" s="130">
        <v>783.05</v>
      </c>
      <c r="H17" s="128">
        <v>1</v>
      </c>
      <c r="I17" s="132">
        <f t="shared" si="4"/>
        <v>0</v>
      </c>
      <c r="J17" s="374">
        <f t="shared" si="5"/>
        <v>1</v>
      </c>
      <c r="K17" s="132">
        <v>0</v>
      </c>
      <c r="L17" s="131">
        <f t="shared" si="2"/>
        <v>783.05</v>
      </c>
      <c r="M17" s="135">
        <v>0</v>
      </c>
      <c r="N17" s="135">
        <f t="shared" si="6"/>
        <v>783.05</v>
      </c>
      <c r="O17" s="375">
        <f t="shared" si="0"/>
        <v>0</v>
      </c>
      <c r="P17" s="136">
        <f t="shared" si="1"/>
        <v>1</v>
      </c>
      <c r="S17" s="189">
        <v>0</v>
      </c>
      <c r="T17" s="189">
        <v>1</v>
      </c>
      <c r="BU17" s="523">
        <v>0</v>
      </c>
      <c r="BV17" s="523">
        <v>1</v>
      </c>
      <c r="BW17" s="523">
        <v>0</v>
      </c>
      <c r="BX17" s="523"/>
      <c r="BY17" s="523"/>
      <c r="BZ17" s="523"/>
      <c r="CA17" s="523"/>
      <c r="CB17" s="523"/>
      <c r="CC17" s="523"/>
      <c r="CD17" s="523"/>
      <c r="CE17" s="523"/>
      <c r="CF17" s="523"/>
      <c r="CG17" s="523"/>
      <c r="CH17" s="523"/>
      <c r="CI17" s="523">
        <f t="shared" si="3"/>
        <v>1</v>
      </c>
    </row>
    <row r="18" spans="1:87" x14ac:dyDescent="0.2">
      <c r="A18" s="125" t="s">
        <v>1335</v>
      </c>
      <c r="B18" s="126" t="s">
        <v>1336</v>
      </c>
      <c r="C18" s="126" t="s">
        <v>1324</v>
      </c>
      <c r="D18" s="127" t="s">
        <v>1337</v>
      </c>
      <c r="E18" s="128" t="s">
        <v>102</v>
      </c>
      <c r="F18" s="137">
        <v>49.62</v>
      </c>
      <c r="G18" s="130">
        <v>1344.39</v>
      </c>
      <c r="H18" s="128">
        <v>1</v>
      </c>
      <c r="I18" s="132">
        <f t="shared" si="4"/>
        <v>0</v>
      </c>
      <c r="J18" s="374">
        <f t="shared" si="5"/>
        <v>1</v>
      </c>
      <c r="K18" s="132">
        <v>0</v>
      </c>
      <c r="L18" s="131">
        <f t="shared" si="2"/>
        <v>1344.39</v>
      </c>
      <c r="M18" s="135">
        <v>0</v>
      </c>
      <c r="N18" s="135">
        <f t="shared" si="6"/>
        <v>1344.39</v>
      </c>
      <c r="O18" s="375">
        <f t="shared" si="0"/>
        <v>0</v>
      </c>
      <c r="P18" s="136">
        <f t="shared" si="1"/>
        <v>1</v>
      </c>
      <c r="S18" s="189">
        <v>0</v>
      </c>
      <c r="T18" s="189">
        <v>1</v>
      </c>
      <c r="BU18" s="523">
        <v>0</v>
      </c>
      <c r="BV18" s="523">
        <v>1</v>
      </c>
      <c r="BW18" s="523">
        <v>0</v>
      </c>
      <c r="BX18" s="523">
        <v>0</v>
      </c>
      <c r="BY18" s="523">
        <v>0</v>
      </c>
      <c r="BZ18" s="523"/>
      <c r="CA18" s="523"/>
      <c r="CB18" s="523"/>
      <c r="CC18" s="523"/>
      <c r="CD18" s="523"/>
      <c r="CE18" s="523"/>
      <c r="CF18" s="523"/>
      <c r="CG18" s="523"/>
      <c r="CH18" s="523"/>
      <c r="CI18" s="523">
        <f t="shared" si="3"/>
        <v>1</v>
      </c>
    </row>
    <row r="19" spans="1:87" x14ac:dyDescent="0.2">
      <c r="A19" s="125" t="s">
        <v>1338</v>
      </c>
      <c r="B19" s="126" t="s">
        <v>2007</v>
      </c>
      <c r="C19" s="126" t="s">
        <v>1339</v>
      </c>
      <c r="D19" s="127" t="s">
        <v>1340</v>
      </c>
      <c r="E19" s="128" t="s">
        <v>102</v>
      </c>
      <c r="F19" s="137">
        <v>5.2</v>
      </c>
      <c r="G19" s="130">
        <v>823.61</v>
      </c>
      <c r="H19" s="128">
        <v>1</v>
      </c>
      <c r="I19" s="132">
        <f t="shared" si="4"/>
        <v>0</v>
      </c>
      <c r="J19" s="374">
        <f t="shared" si="5"/>
        <v>1</v>
      </c>
      <c r="K19" s="132">
        <v>0</v>
      </c>
      <c r="L19" s="131">
        <f t="shared" si="2"/>
        <v>823.61</v>
      </c>
      <c r="M19" s="135">
        <v>0</v>
      </c>
      <c r="N19" s="135">
        <f t="shared" si="6"/>
        <v>823.61</v>
      </c>
      <c r="O19" s="375">
        <f t="shared" si="0"/>
        <v>0</v>
      </c>
      <c r="P19" s="136">
        <f t="shared" si="1"/>
        <v>1</v>
      </c>
      <c r="S19" s="189">
        <v>0</v>
      </c>
      <c r="T19" s="189">
        <v>1</v>
      </c>
      <c r="BU19" s="523">
        <v>0</v>
      </c>
      <c r="BV19" s="523">
        <v>1</v>
      </c>
      <c r="BW19" s="523">
        <v>0</v>
      </c>
      <c r="BX19" s="523">
        <v>0</v>
      </c>
      <c r="BY19" s="523">
        <v>0</v>
      </c>
      <c r="BZ19" s="523"/>
      <c r="CA19" s="523"/>
      <c r="CB19" s="523"/>
      <c r="CC19" s="523"/>
      <c r="CD19" s="523"/>
      <c r="CE19" s="523"/>
      <c r="CF19" s="523"/>
      <c r="CG19" s="523"/>
      <c r="CH19" s="523"/>
      <c r="CI19" s="523">
        <f t="shared" si="3"/>
        <v>1</v>
      </c>
    </row>
    <row r="20" spans="1:87" ht="25.5" customHeight="1" x14ac:dyDescent="0.2">
      <c r="A20" s="125" t="s">
        <v>1341</v>
      </c>
      <c r="B20" s="126" t="s">
        <v>1342</v>
      </c>
      <c r="C20" s="126" t="s">
        <v>1343</v>
      </c>
      <c r="D20" s="127" t="s">
        <v>1344</v>
      </c>
      <c r="E20" s="128" t="s">
        <v>102</v>
      </c>
      <c r="F20" s="138"/>
      <c r="G20" s="130">
        <v>174.71</v>
      </c>
      <c r="H20" s="128">
        <v>1</v>
      </c>
      <c r="I20" s="132">
        <f t="shared" si="4"/>
        <v>0</v>
      </c>
      <c r="J20" s="374">
        <f t="shared" si="5"/>
        <v>1</v>
      </c>
      <c r="K20" s="132">
        <v>0</v>
      </c>
      <c r="L20" s="131">
        <f t="shared" si="2"/>
        <v>174.71</v>
      </c>
      <c r="M20" s="135">
        <v>0</v>
      </c>
      <c r="N20" s="135">
        <f t="shared" si="6"/>
        <v>174.71</v>
      </c>
      <c r="O20" s="375">
        <f t="shared" si="0"/>
        <v>0</v>
      </c>
      <c r="P20" s="136">
        <f t="shared" si="1"/>
        <v>1</v>
      </c>
      <c r="S20" s="189">
        <v>0</v>
      </c>
      <c r="T20" s="189">
        <v>1</v>
      </c>
      <c r="BU20" s="523">
        <v>0</v>
      </c>
      <c r="BV20" s="523">
        <v>1</v>
      </c>
      <c r="BW20" s="523">
        <v>0</v>
      </c>
      <c r="BX20" s="523">
        <v>0</v>
      </c>
      <c r="BY20" s="523">
        <v>0</v>
      </c>
      <c r="BZ20" s="523"/>
      <c r="CA20" s="523"/>
      <c r="CB20" s="523"/>
      <c r="CC20" s="523"/>
      <c r="CD20" s="523"/>
      <c r="CE20" s="523"/>
      <c r="CF20" s="523"/>
      <c r="CG20" s="523"/>
      <c r="CH20" s="523"/>
      <c r="CI20" s="523">
        <f t="shared" si="3"/>
        <v>1</v>
      </c>
    </row>
    <row r="21" spans="1:87" ht="25.5" x14ac:dyDescent="0.2">
      <c r="A21" s="125" t="s">
        <v>1345</v>
      </c>
      <c r="B21" s="126" t="s">
        <v>1346</v>
      </c>
      <c r="C21" s="126" t="s">
        <v>1324</v>
      </c>
      <c r="D21" s="127" t="s">
        <v>1347</v>
      </c>
      <c r="E21" s="128" t="s">
        <v>102</v>
      </c>
      <c r="F21" s="129"/>
      <c r="G21" s="130">
        <v>1343.12</v>
      </c>
      <c r="H21" s="128">
        <v>1</v>
      </c>
      <c r="I21" s="132">
        <f t="shared" si="4"/>
        <v>0</v>
      </c>
      <c r="J21" s="374">
        <f t="shared" si="5"/>
        <v>1</v>
      </c>
      <c r="K21" s="132">
        <v>0</v>
      </c>
      <c r="L21" s="131">
        <f t="shared" si="2"/>
        <v>1343.12</v>
      </c>
      <c r="M21" s="135">
        <v>0</v>
      </c>
      <c r="N21" s="135">
        <f t="shared" si="6"/>
        <v>1343.12</v>
      </c>
      <c r="O21" s="375">
        <f t="shared" si="0"/>
        <v>0</v>
      </c>
      <c r="P21" s="136">
        <f t="shared" si="1"/>
        <v>1</v>
      </c>
      <c r="S21" s="189">
        <v>0</v>
      </c>
      <c r="T21" s="189">
        <v>20</v>
      </c>
      <c r="BU21" s="523">
        <v>0</v>
      </c>
      <c r="BV21" s="523">
        <v>1</v>
      </c>
      <c r="BW21" s="523">
        <v>0</v>
      </c>
      <c r="BX21" s="523">
        <v>0</v>
      </c>
      <c r="BY21" s="523">
        <v>0</v>
      </c>
      <c r="BZ21" s="523"/>
      <c r="CA21" s="523"/>
      <c r="CB21" s="523"/>
      <c r="CC21" s="523"/>
      <c r="CD21" s="523"/>
      <c r="CE21" s="523"/>
      <c r="CF21" s="523"/>
      <c r="CG21" s="523"/>
      <c r="CH21" s="523"/>
      <c r="CI21" s="523">
        <f t="shared" si="3"/>
        <v>1</v>
      </c>
    </row>
    <row r="22" spans="1:87" x14ac:dyDescent="0.2">
      <c r="A22" s="125" t="s">
        <v>1348</v>
      </c>
      <c r="B22" s="126" t="s">
        <v>1349</v>
      </c>
      <c r="C22" s="126" t="s">
        <v>1324</v>
      </c>
      <c r="D22" s="127" t="s">
        <v>1350</v>
      </c>
      <c r="E22" s="128" t="s">
        <v>14</v>
      </c>
      <c r="F22" s="129"/>
      <c r="G22" s="130">
        <v>390.47</v>
      </c>
      <c r="H22" s="128">
        <v>20</v>
      </c>
      <c r="I22" s="132">
        <f t="shared" si="4"/>
        <v>0</v>
      </c>
      <c r="J22" s="374">
        <f t="shared" si="5"/>
        <v>20</v>
      </c>
      <c r="K22" s="132">
        <v>0</v>
      </c>
      <c r="L22" s="131">
        <f t="shared" si="2"/>
        <v>7809.4</v>
      </c>
      <c r="M22" s="135">
        <v>0</v>
      </c>
      <c r="N22" s="135">
        <f t="shared" si="6"/>
        <v>7809.4000000000005</v>
      </c>
      <c r="O22" s="375">
        <f t="shared" si="0"/>
        <v>0</v>
      </c>
      <c r="P22" s="136">
        <f t="shared" si="1"/>
        <v>1.0000000000000002</v>
      </c>
      <c r="S22" s="189">
        <v>0</v>
      </c>
      <c r="T22" s="189">
        <v>785</v>
      </c>
      <c r="BU22" s="523">
        <v>10</v>
      </c>
      <c r="BV22" s="523">
        <v>10</v>
      </c>
      <c r="BW22" s="523">
        <v>0</v>
      </c>
      <c r="BX22" s="523">
        <v>0</v>
      </c>
      <c r="BY22" s="523">
        <v>0</v>
      </c>
      <c r="BZ22" s="523"/>
      <c r="CA22" s="523"/>
      <c r="CB22" s="523"/>
      <c r="CC22" s="523"/>
      <c r="CD22" s="523"/>
      <c r="CE22" s="523"/>
      <c r="CF22" s="523"/>
      <c r="CG22" s="523"/>
      <c r="CH22" s="523"/>
      <c r="CI22" s="523">
        <f t="shared" si="3"/>
        <v>20</v>
      </c>
    </row>
    <row r="23" spans="1:87" x14ac:dyDescent="0.2">
      <c r="A23" s="125" t="s">
        <v>1351</v>
      </c>
      <c r="B23" s="126" t="s">
        <v>1352</v>
      </c>
      <c r="C23" s="126" t="s">
        <v>1324</v>
      </c>
      <c r="D23" s="127" t="s">
        <v>1353</v>
      </c>
      <c r="E23" s="128" t="s">
        <v>14</v>
      </c>
      <c r="F23" s="137">
        <v>302.64</v>
      </c>
      <c r="G23" s="130">
        <v>4.0999999999999996</v>
      </c>
      <c r="H23" s="128">
        <v>785</v>
      </c>
      <c r="I23" s="132">
        <f t="shared" si="4"/>
        <v>0</v>
      </c>
      <c r="J23" s="374">
        <f t="shared" si="5"/>
        <v>785</v>
      </c>
      <c r="K23" s="132">
        <v>0</v>
      </c>
      <c r="L23" s="131">
        <f t="shared" si="2"/>
        <v>3218.5</v>
      </c>
      <c r="M23" s="135">
        <v>0</v>
      </c>
      <c r="N23" s="135">
        <f t="shared" si="6"/>
        <v>3218.4999999999995</v>
      </c>
      <c r="O23" s="375">
        <f t="shared" si="0"/>
        <v>0</v>
      </c>
      <c r="P23" s="136">
        <f t="shared" si="1"/>
        <v>0.99999999999999989</v>
      </c>
      <c r="S23" s="189">
        <v>0</v>
      </c>
      <c r="T23" s="189">
        <v>49</v>
      </c>
      <c r="BU23" s="523">
        <v>785</v>
      </c>
      <c r="BV23" s="523">
        <v>0</v>
      </c>
      <c r="BW23" s="523">
        <v>0</v>
      </c>
      <c r="BX23" s="523">
        <v>0</v>
      </c>
      <c r="BY23" s="523">
        <v>0</v>
      </c>
      <c r="BZ23" s="523"/>
      <c r="CA23" s="523"/>
      <c r="CB23" s="523"/>
      <c r="CC23" s="523"/>
      <c r="CD23" s="523"/>
      <c r="CE23" s="523"/>
      <c r="CF23" s="523"/>
      <c r="CG23" s="523"/>
      <c r="CH23" s="523"/>
      <c r="CI23" s="523">
        <f t="shared" si="3"/>
        <v>785</v>
      </c>
    </row>
    <row r="24" spans="1:87" x14ac:dyDescent="0.2">
      <c r="A24" s="125" t="s">
        <v>1354</v>
      </c>
      <c r="B24" s="126" t="s">
        <v>1355</v>
      </c>
      <c r="C24" s="126" t="s">
        <v>1343</v>
      </c>
      <c r="D24" s="127" t="s">
        <v>1356</v>
      </c>
      <c r="E24" s="128" t="s">
        <v>81</v>
      </c>
      <c r="F24" s="137">
        <v>135.94</v>
      </c>
      <c r="G24" s="130">
        <v>46.26</v>
      </c>
      <c r="H24" s="128">
        <v>49</v>
      </c>
      <c r="I24" s="132">
        <f t="shared" si="4"/>
        <v>0</v>
      </c>
      <c r="J24" s="374">
        <f t="shared" si="5"/>
        <v>49</v>
      </c>
      <c r="K24" s="132">
        <v>0</v>
      </c>
      <c r="L24" s="131">
        <f t="shared" si="2"/>
        <v>2266.7399999999998</v>
      </c>
      <c r="M24" s="135">
        <v>0</v>
      </c>
      <c r="N24" s="135">
        <f t="shared" si="6"/>
        <v>2266.7399999999998</v>
      </c>
      <c r="O24" s="375">
        <f t="shared" si="0"/>
        <v>0</v>
      </c>
      <c r="P24" s="136">
        <f t="shared" si="1"/>
        <v>1</v>
      </c>
      <c r="S24" s="189">
        <v>0</v>
      </c>
      <c r="T24" s="189">
        <v>1230</v>
      </c>
      <c r="BU24" s="523">
        <v>49</v>
      </c>
      <c r="BV24" s="523">
        <v>0</v>
      </c>
      <c r="BW24" s="523">
        <v>0</v>
      </c>
      <c r="BX24" s="523">
        <v>0</v>
      </c>
      <c r="BY24" s="523">
        <v>0</v>
      </c>
      <c r="BZ24" s="523"/>
      <c r="CA24" s="523"/>
      <c r="CB24" s="523"/>
      <c r="CC24" s="523"/>
      <c r="CD24" s="523"/>
      <c r="CE24" s="523"/>
      <c r="CF24" s="523"/>
      <c r="CG24" s="523"/>
      <c r="CH24" s="523"/>
      <c r="CI24" s="523">
        <f t="shared" si="3"/>
        <v>49</v>
      </c>
    </row>
    <row r="25" spans="1:87" s="514" customFormat="1" x14ac:dyDescent="0.2">
      <c r="A25" s="125" t="s">
        <v>1357</v>
      </c>
      <c r="B25" s="126">
        <v>72213</v>
      </c>
      <c r="C25" s="126" t="s">
        <v>1324</v>
      </c>
      <c r="D25" s="127" t="s">
        <v>1358</v>
      </c>
      <c r="E25" s="128" t="s">
        <v>14</v>
      </c>
      <c r="F25" s="137">
        <v>5.86</v>
      </c>
      <c r="G25" s="130">
        <v>0.12</v>
      </c>
      <c r="H25" s="128">
        <v>1230</v>
      </c>
      <c r="I25" s="132">
        <f t="shared" si="4"/>
        <v>0</v>
      </c>
      <c r="J25" s="374">
        <f t="shared" si="5"/>
        <v>1230</v>
      </c>
      <c r="K25" s="132">
        <v>0</v>
      </c>
      <c r="L25" s="131">
        <f t="shared" si="2"/>
        <v>147.6</v>
      </c>
      <c r="M25" s="135">
        <v>0</v>
      </c>
      <c r="N25" s="135">
        <f t="shared" si="6"/>
        <v>147.6</v>
      </c>
      <c r="O25" s="375">
        <f t="shared" si="0"/>
        <v>0</v>
      </c>
      <c r="P25" s="136">
        <f t="shared" si="1"/>
        <v>1</v>
      </c>
      <c r="S25" s="190">
        <v>0</v>
      </c>
      <c r="T25" s="190">
        <v>415.90999999999997</v>
      </c>
      <c r="BU25" s="523">
        <v>1230</v>
      </c>
      <c r="BV25" s="523">
        <v>0</v>
      </c>
      <c r="BW25" s="523">
        <v>0</v>
      </c>
      <c r="BX25" s="523">
        <v>0</v>
      </c>
      <c r="BY25" s="523">
        <v>0</v>
      </c>
      <c r="BZ25" s="523"/>
      <c r="CA25" s="523"/>
      <c r="CB25" s="523"/>
      <c r="CC25" s="523"/>
      <c r="CD25" s="523"/>
      <c r="CE25" s="523"/>
      <c r="CF25" s="523"/>
      <c r="CG25" s="523"/>
      <c r="CH25" s="523"/>
      <c r="CI25" s="523">
        <f t="shared" si="3"/>
        <v>1230</v>
      </c>
    </row>
    <row r="26" spans="1:87" ht="25.5" customHeight="1" x14ac:dyDescent="0.2">
      <c r="A26" s="412">
        <v>2</v>
      </c>
      <c r="B26" s="413"/>
      <c r="C26" s="413"/>
      <c r="D26" s="414" t="s">
        <v>1359</v>
      </c>
      <c r="E26" s="415"/>
      <c r="F26" s="417"/>
      <c r="G26" s="418"/>
      <c r="H26" s="416"/>
      <c r="I26" s="420">
        <v>0</v>
      </c>
      <c r="J26" s="421"/>
      <c r="K26" s="420"/>
      <c r="L26" s="424">
        <f>SUM(L27:L31)</f>
        <v>11015.16</v>
      </c>
      <c r="M26" s="424">
        <f>SUM(M27:M31)</f>
        <v>0</v>
      </c>
      <c r="N26" s="424">
        <f>SUM(N27:N31)</f>
        <v>10356.599700000001</v>
      </c>
      <c r="O26" s="422">
        <f t="shared" si="0"/>
        <v>658.56029999999919</v>
      </c>
      <c r="P26" s="423">
        <f t="shared" si="1"/>
        <v>0.94021327879032179</v>
      </c>
      <c r="S26" s="189">
        <v>0</v>
      </c>
      <c r="T26" s="189">
        <v>154.94</v>
      </c>
      <c r="BU26" s="523">
        <v>158.464</v>
      </c>
      <c r="BV26" s="523">
        <v>194.56</v>
      </c>
      <c r="BW26" s="523">
        <v>62.89</v>
      </c>
      <c r="BX26" s="523">
        <v>0</v>
      </c>
      <c r="BY26" s="523">
        <v>0</v>
      </c>
      <c r="BZ26" s="523"/>
      <c r="CA26" s="523"/>
      <c r="CB26" s="523"/>
      <c r="CC26" s="523"/>
      <c r="CD26" s="523"/>
      <c r="CE26" s="523"/>
      <c r="CF26" s="523"/>
      <c r="CG26" s="523"/>
      <c r="CH26" s="523"/>
      <c r="CI26" s="523">
        <f t="shared" si="3"/>
        <v>415.91399999999999</v>
      </c>
    </row>
    <row r="27" spans="1:87" ht="25.5" x14ac:dyDescent="0.2">
      <c r="A27" s="125" t="s">
        <v>27</v>
      </c>
      <c r="B27" s="126">
        <v>55835</v>
      </c>
      <c r="C27" s="126" t="s">
        <v>1324</v>
      </c>
      <c r="D27" s="127" t="s">
        <v>1360</v>
      </c>
      <c r="E27" s="128" t="s">
        <v>48</v>
      </c>
      <c r="F27" s="129"/>
      <c r="G27" s="130">
        <v>29.27</v>
      </c>
      <c r="H27" s="128">
        <v>154.94</v>
      </c>
      <c r="I27" s="132">
        <f t="shared" si="4"/>
        <v>0</v>
      </c>
      <c r="J27" s="374">
        <f t="shared" si="5"/>
        <v>154.94</v>
      </c>
      <c r="K27" s="132">
        <v>0</v>
      </c>
      <c r="L27" s="131">
        <f t="shared" si="2"/>
        <v>4535.09</v>
      </c>
      <c r="M27" s="131">
        <f>I27*G27</f>
        <v>0</v>
      </c>
      <c r="N27" s="135">
        <f t="shared" si="6"/>
        <v>4535.0937999999996</v>
      </c>
      <c r="O27" s="377">
        <v>0</v>
      </c>
      <c r="P27" s="136">
        <f t="shared" si="1"/>
        <v>1.0000008379106036</v>
      </c>
      <c r="S27" s="189">
        <v>0</v>
      </c>
      <c r="T27" s="189">
        <v>83.25</v>
      </c>
      <c r="BU27" s="523">
        <v>0</v>
      </c>
      <c r="BV27" s="523">
        <v>154.94</v>
      </c>
      <c r="BW27" s="523">
        <v>0</v>
      </c>
      <c r="BX27" s="523">
        <v>0</v>
      </c>
      <c r="BY27" s="523">
        <v>0</v>
      </c>
      <c r="BZ27" s="523"/>
      <c r="CA27" s="523"/>
      <c r="CB27" s="523"/>
      <c r="CC27" s="523"/>
      <c r="CD27" s="523"/>
      <c r="CE27" s="523"/>
      <c r="CF27" s="523"/>
      <c r="CG27" s="523"/>
      <c r="CH27" s="523"/>
      <c r="CI27" s="523">
        <f t="shared" si="3"/>
        <v>154.94</v>
      </c>
    </row>
    <row r="28" spans="1:87" x14ac:dyDescent="0.2">
      <c r="A28" s="125" t="s">
        <v>1263</v>
      </c>
      <c r="B28" s="126">
        <v>79478</v>
      </c>
      <c r="C28" s="126" t="s">
        <v>1324</v>
      </c>
      <c r="D28" s="127" t="s">
        <v>1361</v>
      </c>
      <c r="E28" s="128" t="s">
        <v>48</v>
      </c>
      <c r="F28" s="137">
        <v>302.64</v>
      </c>
      <c r="G28" s="130">
        <v>46.94</v>
      </c>
      <c r="H28" s="128">
        <v>83.25</v>
      </c>
      <c r="I28" s="132">
        <f t="shared" si="4"/>
        <v>0</v>
      </c>
      <c r="J28" s="374">
        <f t="shared" si="5"/>
        <v>83.250000000000014</v>
      </c>
      <c r="K28" s="132">
        <v>0</v>
      </c>
      <c r="L28" s="131">
        <f t="shared" si="2"/>
        <v>3907.76</v>
      </c>
      <c r="M28" s="131">
        <f>I28*G28</f>
        <v>0</v>
      </c>
      <c r="N28" s="135">
        <f t="shared" si="6"/>
        <v>3907.7550000000006</v>
      </c>
      <c r="O28" s="377">
        <v>0</v>
      </c>
      <c r="P28" s="136">
        <f t="shared" si="1"/>
        <v>0.9999987204946057</v>
      </c>
      <c r="S28" s="189">
        <v>0</v>
      </c>
      <c r="T28" s="189">
        <v>114.83</v>
      </c>
      <c r="BU28" s="523">
        <v>66.600000000000009</v>
      </c>
      <c r="BV28" s="523">
        <v>16.650000000000006</v>
      </c>
      <c r="BW28" s="523">
        <v>0</v>
      </c>
      <c r="BX28" s="523">
        <v>0</v>
      </c>
      <c r="BY28" s="523">
        <v>0</v>
      </c>
      <c r="BZ28" s="523"/>
      <c r="CA28" s="523"/>
      <c r="CB28" s="523"/>
      <c r="CC28" s="523"/>
      <c r="CD28" s="523"/>
      <c r="CE28" s="523"/>
      <c r="CF28" s="523"/>
      <c r="CG28" s="523"/>
      <c r="CH28" s="523"/>
      <c r="CI28" s="523">
        <f t="shared" si="3"/>
        <v>83.250000000000014</v>
      </c>
    </row>
    <row r="29" spans="1:87" x14ac:dyDescent="0.2">
      <c r="A29" s="125" t="s">
        <v>1362</v>
      </c>
      <c r="B29" s="126">
        <v>79483</v>
      </c>
      <c r="C29" s="126" t="s">
        <v>1324</v>
      </c>
      <c r="D29" s="127" t="s">
        <v>1363</v>
      </c>
      <c r="E29" s="128" t="s">
        <v>14</v>
      </c>
      <c r="F29" s="137">
        <v>135.94</v>
      </c>
      <c r="G29" s="130">
        <v>5.4</v>
      </c>
      <c r="H29" s="128">
        <v>114.83</v>
      </c>
      <c r="I29" s="132">
        <f t="shared" si="4"/>
        <v>0</v>
      </c>
      <c r="J29" s="374">
        <f t="shared" si="5"/>
        <v>114.834</v>
      </c>
      <c r="K29" s="132">
        <v>0</v>
      </c>
      <c r="L29" s="131">
        <f t="shared" si="2"/>
        <v>620.08000000000004</v>
      </c>
      <c r="M29" s="131">
        <f>I29*G29</f>
        <v>0</v>
      </c>
      <c r="N29" s="135">
        <f t="shared" si="6"/>
        <v>620.10360000000003</v>
      </c>
      <c r="O29" s="377">
        <v>0</v>
      </c>
      <c r="P29" s="136">
        <f t="shared" si="1"/>
        <v>1.0000380596052123</v>
      </c>
      <c r="S29" s="189">
        <v>0</v>
      </c>
      <c r="T29" s="189">
        <v>62.89</v>
      </c>
      <c r="BU29" s="523">
        <v>91.864000000000004</v>
      </c>
      <c r="BV29" s="523">
        <v>22.97</v>
      </c>
      <c r="BW29" s="523">
        <v>0</v>
      </c>
      <c r="BX29" s="523">
        <v>0</v>
      </c>
      <c r="BY29" s="523">
        <v>0</v>
      </c>
      <c r="BZ29" s="523"/>
      <c r="CA29" s="523"/>
      <c r="CB29" s="523"/>
      <c r="CC29" s="523"/>
      <c r="CD29" s="523"/>
      <c r="CE29" s="523"/>
      <c r="CF29" s="523"/>
      <c r="CG29" s="523"/>
      <c r="CH29" s="523"/>
      <c r="CI29" s="523">
        <f t="shared" si="3"/>
        <v>114.834</v>
      </c>
    </row>
    <row r="30" spans="1:87" x14ac:dyDescent="0.2">
      <c r="A30" s="125" t="s">
        <v>1364</v>
      </c>
      <c r="B30" s="126">
        <v>53527</v>
      </c>
      <c r="C30" s="126" t="s">
        <v>1324</v>
      </c>
      <c r="D30" s="127" t="s">
        <v>1365</v>
      </c>
      <c r="E30" s="128" t="s">
        <v>48</v>
      </c>
      <c r="F30" s="137">
        <v>5.86</v>
      </c>
      <c r="G30" s="130">
        <v>20.57</v>
      </c>
      <c r="H30" s="128">
        <v>62.89</v>
      </c>
      <c r="I30" s="132">
        <f t="shared" si="4"/>
        <v>0</v>
      </c>
      <c r="J30" s="374">
        <f t="shared" si="5"/>
        <v>62.89</v>
      </c>
      <c r="K30" s="132">
        <v>0</v>
      </c>
      <c r="L30" s="131">
        <f t="shared" si="2"/>
        <v>1293.6500000000001</v>
      </c>
      <c r="M30" s="131">
        <f>I30*G30</f>
        <v>0</v>
      </c>
      <c r="N30" s="135">
        <f t="shared" si="6"/>
        <v>1293.6473000000001</v>
      </c>
      <c r="O30" s="377">
        <v>0</v>
      </c>
      <c r="P30" s="136">
        <f t="shared" si="1"/>
        <v>0.99999791288215512</v>
      </c>
      <c r="S30" s="189">
        <v>0</v>
      </c>
      <c r="T30" s="189">
        <v>0</v>
      </c>
      <c r="BU30" s="523">
        <v>0</v>
      </c>
      <c r="BV30" s="523"/>
      <c r="BW30" s="523">
        <v>62.89</v>
      </c>
      <c r="BX30" s="523">
        <v>0</v>
      </c>
      <c r="BY30" s="523">
        <v>0</v>
      </c>
      <c r="BZ30" s="523"/>
      <c r="CA30" s="523"/>
      <c r="CB30" s="523"/>
      <c r="CC30" s="523"/>
      <c r="CD30" s="523"/>
      <c r="CE30" s="523"/>
      <c r="CF30" s="523"/>
      <c r="CG30" s="523"/>
      <c r="CH30" s="523"/>
      <c r="CI30" s="523">
        <f t="shared" si="3"/>
        <v>62.89</v>
      </c>
    </row>
    <row r="31" spans="1:87" s="514" customFormat="1" x14ac:dyDescent="0.2">
      <c r="A31" s="125" t="s">
        <v>1366</v>
      </c>
      <c r="B31" s="126">
        <v>55835</v>
      </c>
      <c r="C31" s="126" t="s">
        <v>1324</v>
      </c>
      <c r="D31" s="127" t="s">
        <v>1367</v>
      </c>
      <c r="E31" s="128" t="s">
        <v>48</v>
      </c>
      <c r="F31" s="137">
        <v>59.37</v>
      </c>
      <c r="G31" s="130">
        <v>29.27</v>
      </c>
      <c r="H31" s="128">
        <v>22.5</v>
      </c>
      <c r="I31" s="132">
        <f t="shared" si="4"/>
        <v>0</v>
      </c>
      <c r="J31" s="374">
        <f t="shared" si="5"/>
        <v>0</v>
      </c>
      <c r="K31" s="137">
        <f>H31-J31</f>
        <v>22.5</v>
      </c>
      <c r="L31" s="131">
        <f t="shared" si="2"/>
        <v>658.58</v>
      </c>
      <c r="M31" s="131">
        <f>I31*G31</f>
        <v>0</v>
      </c>
      <c r="N31" s="135">
        <f t="shared" si="6"/>
        <v>0</v>
      </c>
      <c r="O31" s="375">
        <f t="shared" ref="O31:O38" si="7">L31-N31</f>
        <v>658.58</v>
      </c>
      <c r="P31" s="136">
        <f t="shared" si="1"/>
        <v>0</v>
      </c>
      <c r="S31" s="190">
        <v>0</v>
      </c>
      <c r="T31" s="190">
        <v>1922.15</v>
      </c>
      <c r="BU31" s="523">
        <v>0</v>
      </c>
      <c r="BV31" s="523">
        <v>0</v>
      </c>
      <c r="BW31" s="523">
        <v>0</v>
      </c>
      <c r="BX31" s="523">
        <v>0</v>
      </c>
      <c r="BY31" s="523">
        <v>0</v>
      </c>
      <c r="BZ31" s="523"/>
      <c r="CA31" s="523"/>
      <c r="CB31" s="523"/>
      <c r="CC31" s="523"/>
      <c r="CD31" s="523"/>
      <c r="CE31" s="523"/>
      <c r="CF31" s="523"/>
      <c r="CG31" s="523"/>
      <c r="CH31" s="523"/>
      <c r="CI31" s="523">
        <f t="shared" si="3"/>
        <v>0</v>
      </c>
    </row>
    <row r="32" spans="1:87" s="514" customFormat="1" x14ac:dyDescent="0.2">
      <c r="A32" s="412">
        <v>3</v>
      </c>
      <c r="B32" s="413"/>
      <c r="C32" s="413"/>
      <c r="D32" s="414" t="s">
        <v>1368</v>
      </c>
      <c r="E32" s="415"/>
      <c r="F32" s="417"/>
      <c r="G32" s="418"/>
      <c r="H32" s="416"/>
      <c r="I32" s="420">
        <v>0</v>
      </c>
      <c r="J32" s="421"/>
      <c r="K32" s="420"/>
      <c r="L32" s="424">
        <f>SUM(L33,L39)</f>
        <v>35418.720000000001</v>
      </c>
      <c r="M32" s="424">
        <f>SUM(M33,M39)</f>
        <v>0</v>
      </c>
      <c r="N32" s="424">
        <f>L32</f>
        <v>35418.720000000001</v>
      </c>
      <c r="O32" s="422">
        <f t="shared" si="7"/>
        <v>0</v>
      </c>
      <c r="P32" s="423">
        <f t="shared" si="1"/>
        <v>1</v>
      </c>
      <c r="S32" s="190">
        <v>0</v>
      </c>
      <c r="T32" s="190">
        <v>1242.5800000000002</v>
      </c>
      <c r="BU32" s="523">
        <v>727.32</v>
      </c>
      <c r="BV32" s="523">
        <v>504.28000000000003</v>
      </c>
      <c r="BW32" s="523">
        <v>679.56999999999994</v>
      </c>
      <c r="BX32" s="523">
        <v>0</v>
      </c>
      <c r="BY32" s="523">
        <v>0</v>
      </c>
      <c r="BZ32" s="523"/>
      <c r="CA32" s="523"/>
      <c r="CB32" s="523"/>
      <c r="CC32" s="523"/>
      <c r="CD32" s="523"/>
      <c r="CE32" s="523"/>
      <c r="CF32" s="523"/>
      <c r="CG32" s="523"/>
      <c r="CH32" s="523"/>
      <c r="CI32" s="523">
        <f t="shared" si="3"/>
        <v>1911.17</v>
      </c>
    </row>
    <row r="33" spans="1:87" x14ac:dyDescent="0.2">
      <c r="A33" s="449" t="s">
        <v>41</v>
      </c>
      <c r="B33" s="450"/>
      <c r="C33" s="450"/>
      <c r="D33" s="451" t="s">
        <v>1369</v>
      </c>
      <c r="E33" s="452"/>
      <c r="F33" s="453"/>
      <c r="G33" s="454"/>
      <c r="H33" s="472"/>
      <c r="I33" s="456">
        <v>0</v>
      </c>
      <c r="J33" s="457"/>
      <c r="K33" s="456">
        <v>0</v>
      </c>
      <c r="L33" s="455">
        <f>SUM(L34:L38)</f>
        <v>16448.150000000001</v>
      </c>
      <c r="M33" s="460">
        <f>SUM(M34:M38)</f>
        <v>0</v>
      </c>
      <c r="N33" s="455">
        <f>L33</f>
        <v>16448.150000000001</v>
      </c>
      <c r="O33" s="458">
        <f t="shared" si="7"/>
        <v>0</v>
      </c>
      <c r="P33" s="459">
        <f t="shared" si="1"/>
        <v>1</v>
      </c>
      <c r="S33" s="189">
        <v>0</v>
      </c>
      <c r="T33" s="189">
        <v>3.7699999999999996</v>
      </c>
      <c r="BU33" s="523">
        <v>727.32</v>
      </c>
      <c r="BV33" s="523">
        <v>504.28000000000003</v>
      </c>
      <c r="BW33" s="523">
        <v>0</v>
      </c>
      <c r="BX33" s="523">
        <v>0</v>
      </c>
      <c r="BY33" s="523">
        <v>0</v>
      </c>
      <c r="BZ33" s="523"/>
      <c r="CA33" s="523"/>
      <c r="CB33" s="523"/>
      <c r="CC33" s="523"/>
      <c r="CD33" s="523"/>
      <c r="CE33" s="523"/>
      <c r="CF33" s="523"/>
      <c r="CG33" s="523"/>
      <c r="CH33" s="523"/>
      <c r="CI33" s="523">
        <f t="shared" si="3"/>
        <v>1231.6000000000001</v>
      </c>
    </row>
    <row r="34" spans="1:87" x14ac:dyDescent="0.2">
      <c r="A34" s="146" t="s">
        <v>43</v>
      </c>
      <c r="B34" s="126">
        <v>83532</v>
      </c>
      <c r="C34" s="126" t="s">
        <v>1324</v>
      </c>
      <c r="D34" s="127" t="s">
        <v>1370</v>
      </c>
      <c r="E34" s="128" t="s">
        <v>48</v>
      </c>
      <c r="F34" s="129"/>
      <c r="G34" s="130">
        <v>19.86</v>
      </c>
      <c r="H34" s="147">
        <v>3.77</v>
      </c>
      <c r="I34" s="132">
        <f t="shared" ref="I34:I44" si="8">BY34</f>
        <v>0</v>
      </c>
      <c r="J34" s="374">
        <f t="shared" si="5"/>
        <v>3.77</v>
      </c>
      <c r="K34" s="132">
        <v>0</v>
      </c>
      <c r="L34" s="131">
        <f t="shared" ref="L34:L44" si="9">ROUND(H34*G34,2)</f>
        <v>74.87</v>
      </c>
      <c r="M34" s="131">
        <f>I34*G34</f>
        <v>0</v>
      </c>
      <c r="N34" s="135">
        <f>J34*G34</f>
        <v>74.872199999999992</v>
      </c>
      <c r="O34" s="375">
        <f t="shared" si="7"/>
        <v>-2.1999999999877673E-3</v>
      </c>
      <c r="P34" s="136">
        <f t="shared" si="1"/>
        <v>1.000029384266061</v>
      </c>
      <c r="S34" s="189">
        <v>0</v>
      </c>
      <c r="T34" s="189">
        <v>63.02</v>
      </c>
      <c r="BU34" s="523">
        <v>0</v>
      </c>
      <c r="BV34" s="523">
        <v>3.77</v>
      </c>
      <c r="BW34" s="523">
        <v>0</v>
      </c>
      <c r="BX34" s="523">
        <v>0</v>
      </c>
      <c r="BY34" s="523">
        <v>0</v>
      </c>
      <c r="BZ34" s="523"/>
      <c r="CA34" s="523"/>
      <c r="CB34" s="523"/>
      <c r="CC34" s="523"/>
      <c r="CD34" s="523"/>
      <c r="CE34" s="523"/>
      <c r="CF34" s="523"/>
      <c r="CG34" s="523"/>
      <c r="CH34" s="523"/>
      <c r="CI34" s="523">
        <f t="shared" si="3"/>
        <v>3.77</v>
      </c>
    </row>
    <row r="35" spans="1:87" ht="25.5" customHeight="1" x14ac:dyDescent="0.2">
      <c r="A35" s="146" t="s">
        <v>45</v>
      </c>
      <c r="B35" s="126">
        <v>5970</v>
      </c>
      <c r="C35" s="126" t="s">
        <v>1324</v>
      </c>
      <c r="D35" s="127" t="s">
        <v>1371</v>
      </c>
      <c r="E35" s="128" t="s">
        <v>14</v>
      </c>
      <c r="F35" s="137">
        <v>60.66</v>
      </c>
      <c r="G35" s="130">
        <v>93.42</v>
      </c>
      <c r="H35" s="147">
        <v>63.02</v>
      </c>
      <c r="I35" s="132">
        <f t="shared" si="8"/>
        <v>0</v>
      </c>
      <c r="J35" s="374">
        <f t="shared" si="5"/>
        <v>63.021999999999998</v>
      </c>
      <c r="K35" s="132">
        <v>0</v>
      </c>
      <c r="L35" s="131">
        <f t="shared" si="9"/>
        <v>5887.33</v>
      </c>
      <c r="M35" s="131">
        <f>I35*G35</f>
        <v>0</v>
      </c>
      <c r="N35" s="135">
        <f>J35*G35</f>
        <v>5887.5152399999997</v>
      </c>
      <c r="O35" s="375">
        <f t="shared" si="7"/>
        <v>-0.18523999999979424</v>
      </c>
      <c r="P35" s="136">
        <f t="shared" si="1"/>
        <v>1.0000314641781589</v>
      </c>
      <c r="S35" s="189">
        <v>0</v>
      </c>
      <c r="T35" s="189">
        <v>1094.27</v>
      </c>
      <c r="BU35" s="523">
        <v>37.811999999999998</v>
      </c>
      <c r="BV35" s="523">
        <v>25.21</v>
      </c>
      <c r="BW35" s="523">
        <v>0</v>
      </c>
      <c r="BX35" s="523">
        <v>0</v>
      </c>
      <c r="BY35" s="523">
        <v>0</v>
      </c>
      <c r="BZ35" s="523"/>
      <c r="CA35" s="523"/>
      <c r="CB35" s="523"/>
      <c r="CC35" s="523"/>
      <c r="CD35" s="523"/>
      <c r="CE35" s="523"/>
      <c r="CF35" s="523"/>
      <c r="CG35" s="523"/>
      <c r="CH35" s="523"/>
      <c r="CI35" s="523">
        <f t="shared" si="3"/>
        <v>63.021999999999998</v>
      </c>
    </row>
    <row r="36" spans="1:87" ht="25.5" customHeight="1" x14ac:dyDescent="0.2">
      <c r="A36" s="146" t="s">
        <v>47</v>
      </c>
      <c r="B36" s="126">
        <v>92793</v>
      </c>
      <c r="C36" s="126" t="s">
        <v>1324</v>
      </c>
      <c r="D36" s="127" t="s">
        <v>1372</v>
      </c>
      <c r="E36" s="128" t="s">
        <v>35</v>
      </c>
      <c r="F36" s="137">
        <v>5.86</v>
      </c>
      <c r="G36" s="130">
        <v>4.6500000000000004</v>
      </c>
      <c r="H36" s="147">
        <v>1094.27</v>
      </c>
      <c r="I36" s="132">
        <f t="shared" si="8"/>
        <v>0</v>
      </c>
      <c r="J36" s="374">
        <f t="shared" si="5"/>
        <v>1094.2719999999999</v>
      </c>
      <c r="K36" s="132">
        <v>0</v>
      </c>
      <c r="L36" s="131">
        <f t="shared" si="9"/>
        <v>5088.3599999999997</v>
      </c>
      <c r="M36" s="131">
        <f>I36*G36</f>
        <v>0</v>
      </c>
      <c r="N36" s="135">
        <f>J36*G36</f>
        <v>5088.3648000000003</v>
      </c>
      <c r="O36" s="375">
        <f t="shared" si="7"/>
        <v>-4.8000000006140908E-3</v>
      </c>
      <c r="P36" s="136">
        <f t="shared" si="1"/>
        <v>1.0000009433294814</v>
      </c>
      <c r="S36" s="189">
        <v>0</v>
      </c>
      <c r="T36" s="189">
        <v>65.89</v>
      </c>
      <c r="BU36" s="523">
        <v>656.56200000000001</v>
      </c>
      <c r="BV36" s="523">
        <v>437.71000000000004</v>
      </c>
      <c r="BW36" s="523">
        <v>0</v>
      </c>
      <c r="BX36" s="523">
        <v>0</v>
      </c>
      <c r="BY36" s="523">
        <v>0</v>
      </c>
      <c r="BZ36" s="523"/>
      <c r="CA36" s="523"/>
      <c r="CB36" s="523"/>
      <c r="CC36" s="523"/>
      <c r="CD36" s="523"/>
      <c r="CE36" s="523"/>
      <c r="CF36" s="523"/>
      <c r="CG36" s="523"/>
      <c r="CH36" s="523"/>
      <c r="CI36" s="523">
        <f t="shared" si="3"/>
        <v>1094.2719999999999</v>
      </c>
    </row>
    <row r="37" spans="1:87" ht="25.5" x14ac:dyDescent="0.2">
      <c r="A37" s="146" t="s">
        <v>49</v>
      </c>
      <c r="B37" s="126">
        <v>92791</v>
      </c>
      <c r="C37" s="126" t="s">
        <v>1324</v>
      </c>
      <c r="D37" s="127" t="s">
        <v>1373</v>
      </c>
      <c r="E37" s="128" t="s">
        <v>35</v>
      </c>
      <c r="F37" s="137">
        <v>302.64</v>
      </c>
      <c r="G37" s="130">
        <v>6.11</v>
      </c>
      <c r="H37" s="147">
        <v>54.91</v>
      </c>
      <c r="I37" s="132">
        <f t="shared" si="8"/>
        <v>0</v>
      </c>
      <c r="J37" s="374">
        <f t="shared" si="5"/>
        <v>54.905999999999992</v>
      </c>
      <c r="K37" s="132">
        <v>0</v>
      </c>
      <c r="L37" s="131">
        <f t="shared" si="9"/>
        <v>335.5</v>
      </c>
      <c r="M37" s="131">
        <f>I37*G37</f>
        <v>0</v>
      </c>
      <c r="N37" s="135">
        <f>J37*G37</f>
        <v>335.47565999999995</v>
      </c>
      <c r="O37" s="375">
        <f t="shared" si="7"/>
        <v>2.4340000000051987E-2</v>
      </c>
      <c r="P37" s="136">
        <f t="shared" si="1"/>
        <v>0.99992745156482843</v>
      </c>
      <c r="S37" s="189">
        <v>0</v>
      </c>
      <c r="T37" s="189">
        <v>15.630000000000003</v>
      </c>
      <c r="BU37" s="523">
        <v>32.945999999999998</v>
      </c>
      <c r="BV37" s="523">
        <v>21.959999999999994</v>
      </c>
      <c r="BW37" s="523">
        <v>0</v>
      </c>
      <c r="BX37" s="523">
        <v>0</v>
      </c>
      <c r="BY37" s="523">
        <v>0</v>
      </c>
      <c r="BZ37" s="523"/>
      <c r="CA37" s="523"/>
      <c r="CB37" s="523"/>
      <c r="CC37" s="523"/>
      <c r="CD37" s="523"/>
      <c r="CE37" s="523"/>
      <c r="CF37" s="523"/>
      <c r="CG37" s="523"/>
      <c r="CH37" s="523"/>
      <c r="CI37" s="523">
        <f t="shared" si="3"/>
        <v>54.905999999999992</v>
      </c>
    </row>
    <row r="38" spans="1:87" s="514" customFormat="1" x14ac:dyDescent="0.2">
      <c r="A38" s="146" t="s">
        <v>1374</v>
      </c>
      <c r="B38" s="126">
        <v>92720</v>
      </c>
      <c r="C38" s="126" t="s">
        <v>1324</v>
      </c>
      <c r="D38" s="127" t="s">
        <v>1375</v>
      </c>
      <c r="E38" s="128" t="s">
        <v>48</v>
      </c>
      <c r="F38" s="137">
        <v>135.94</v>
      </c>
      <c r="G38" s="130">
        <v>323.87</v>
      </c>
      <c r="H38" s="147">
        <v>15.63</v>
      </c>
      <c r="I38" s="132">
        <f t="shared" si="8"/>
        <v>0</v>
      </c>
      <c r="J38" s="374">
        <f t="shared" si="5"/>
        <v>15.63</v>
      </c>
      <c r="K38" s="132">
        <v>0</v>
      </c>
      <c r="L38" s="131">
        <f t="shared" si="9"/>
        <v>5062.09</v>
      </c>
      <c r="M38" s="131">
        <f>I38*G38</f>
        <v>0</v>
      </c>
      <c r="N38" s="135">
        <f>J38*G38</f>
        <v>5062.0880999999999</v>
      </c>
      <c r="O38" s="375">
        <f t="shared" si="7"/>
        <v>1.900000000205182E-3</v>
      </c>
      <c r="P38" s="136">
        <f t="shared" si="1"/>
        <v>0.99999962466096015</v>
      </c>
      <c r="S38" s="190">
        <v>0</v>
      </c>
      <c r="T38" s="190">
        <v>679.56999999999994</v>
      </c>
      <c r="BU38" s="523">
        <v>0</v>
      </c>
      <c r="BV38" s="523">
        <v>15.63</v>
      </c>
      <c r="BW38" s="523">
        <v>0</v>
      </c>
      <c r="BX38" s="523">
        <v>0</v>
      </c>
      <c r="BY38" s="523">
        <v>0</v>
      </c>
      <c r="BZ38" s="523"/>
      <c r="CA38" s="523"/>
      <c r="CB38" s="523"/>
      <c r="CC38" s="523"/>
      <c r="CD38" s="523"/>
      <c r="CE38" s="523"/>
      <c r="CF38" s="523"/>
      <c r="CG38" s="523"/>
      <c r="CH38" s="523"/>
      <c r="CI38" s="523">
        <f t="shared" si="3"/>
        <v>15.63</v>
      </c>
    </row>
    <row r="39" spans="1:87" x14ac:dyDescent="0.2">
      <c r="A39" s="449" t="s">
        <v>50</v>
      </c>
      <c r="B39" s="450"/>
      <c r="C39" s="450"/>
      <c r="D39" s="451" t="s">
        <v>1376</v>
      </c>
      <c r="E39" s="452"/>
      <c r="F39" s="453"/>
      <c r="G39" s="454"/>
      <c r="H39" s="472"/>
      <c r="I39" s="456">
        <v>0</v>
      </c>
      <c r="J39" s="457"/>
      <c r="K39" s="456">
        <v>0</v>
      </c>
      <c r="L39" s="454">
        <f>SUM(L40:L44)</f>
        <v>18970.57</v>
      </c>
      <c r="M39" s="454">
        <f>SUM(M40:M44)</f>
        <v>0</v>
      </c>
      <c r="N39" s="454">
        <f>SUM(N40:N44)</f>
        <v>18970.572</v>
      </c>
      <c r="O39" s="473">
        <f>0</f>
        <v>0</v>
      </c>
      <c r="P39" s="459">
        <f t="shared" si="1"/>
        <v>1.000000105426458</v>
      </c>
      <c r="S39" s="189">
        <v>0</v>
      </c>
      <c r="T39" s="189">
        <v>2.58</v>
      </c>
      <c r="BU39" s="523">
        <v>0</v>
      </c>
      <c r="BV39" s="523">
        <v>0</v>
      </c>
      <c r="BW39" s="523">
        <v>679.56999999999994</v>
      </c>
      <c r="BX39" s="523">
        <v>0</v>
      </c>
      <c r="BY39" s="523">
        <v>0</v>
      </c>
      <c r="BZ39" s="523"/>
      <c r="CA39" s="523"/>
      <c r="CB39" s="523"/>
      <c r="CC39" s="523"/>
      <c r="CD39" s="523"/>
      <c r="CE39" s="523"/>
      <c r="CF39" s="523"/>
      <c r="CG39" s="523"/>
      <c r="CH39" s="523"/>
      <c r="CI39" s="523">
        <f t="shared" si="3"/>
        <v>679.56999999999994</v>
      </c>
    </row>
    <row r="40" spans="1:87" x14ac:dyDescent="0.2">
      <c r="A40" s="125" t="s">
        <v>52</v>
      </c>
      <c r="B40" s="126">
        <v>83532</v>
      </c>
      <c r="C40" s="126" t="s">
        <v>1324</v>
      </c>
      <c r="D40" s="127" t="s">
        <v>1370</v>
      </c>
      <c r="E40" s="128" t="s">
        <v>48</v>
      </c>
      <c r="F40" s="137">
        <v>60.66</v>
      </c>
      <c r="G40" s="130">
        <v>19.86</v>
      </c>
      <c r="H40" s="147">
        <v>2.58</v>
      </c>
      <c r="I40" s="132">
        <f t="shared" si="8"/>
        <v>0</v>
      </c>
      <c r="J40" s="374">
        <f t="shared" si="5"/>
        <v>2.58</v>
      </c>
      <c r="K40" s="120">
        <v>0</v>
      </c>
      <c r="L40" s="131">
        <f t="shared" si="9"/>
        <v>51.24</v>
      </c>
      <c r="M40" s="131">
        <f>I40*G40</f>
        <v>0</v>
      </c>
      <c r="N40" s="131">
        <f>J40*G40</f>
        <v>51.238799999999998</v>
      </c>
      <c r="O40" s="375">
        <f>L40-N40</f>
        <v>1.2000000000043087E-3</v>
      </c>
      <c r="P40" s="136">
        <f t="shared" si="1"/>
        <v>0.99997658079625285</v>
      </c>
      <c r="S40" s="189">
        <v>0</v>
      </c>
      <c r="T40" s="189">
        <v>139.57</v>
      </c>
      <c r="BU40" s="523">
        <v>0</v>
      </c>
      <c r="BV40" s="523">
        <v>0</v>
      </c>
      <c r="BW40" s="523">
        <v>2.58</v>
      </c>
      <c r="BX40" s="523">
        <v>0</v>
      </c>
      <c r="BY40" s="523">
        <v>0</v>
      </c>
      <c r="BZ40" s="523"/>
      <c r="CA40" s="523"/>
      <c r="CB40" s="523"/>
      <c r="CC40" s="523"/>
      <c r="CD40" s="523"/>
      <c r="CE40" s="523"/>
      <c r="CF40" s="523"/>
      <c r="CG40" s="523"/>
      <c r="CH40" s="523"/>
      <c r="CI40" s="523">
        <f t="shared" si="3"/>
        <v>2.58</v>
      </c>
    </row>
    <row r="41" spans="1:87" ht="25.5" customHeight="1" x14ac:dyDescent="0.2">
      <c r="A41" s="125" t="s">
        <v>53</v>
      </c>
      <c r="B41" s="126">
        <v>5970</v>
      </c>
      <c r="C41" s="126" t="s">
        <v>1324</v>
      </c>
      <c r="D41" s="127" t="s">
        <v>1371</v>
      </c>
      <c r="E41" s="128" t="s">
        <v>14</v>
      </c>
      <c r="F41" s="137">
        <v>5.86</v>
      </c>
      <c r="G41" s="130">
        <v>93.42</v>
      </c>
      <c r="H41" s="147">
        <v>139.57</v>
      </c>
      <c r="I41" s="132">
        <f t="shared" si="8"/>
        <v>0</v>
      </c>
      <c r="J41" s="374">
        <f t="shared" si="5"/>
        <v>139.57</v>
      </c>
      <c r="K41" s="120">
        <v>0</v>
      </c>
      <c r="L41" s="131">
        <f t="shared" si="9"/>
        <v>13038.63</v>
      </c>
      <c r="M41" s="131">
        <f>I41*G41</f>
        <v>0</v>
      </c>
      <c r="N41" s="131">
        <f>J41*G41</f>
        <v>13038.6294</v>
      </c>
      <c r="O41" s="375">
        <f>L41-N41</f>
        <v>5.9999999939464033E-4</v>
      </c>
      <c r="P41" s="136">
        <f t="shared" si="1"/>
        <v>0.99999995398289554</v>
      </c>
      <c r="S41" s="189">
        <v>0</v>
      </c>
      <c r="T41" s="189">
        <v>389.64</v>
      </c>
      <c r="BU41" s="523">
        <v>0</v>
      </c>
      <c r="BV41" s="523">
        <v>0</v>
      </c>
      <c r="BW41" s="523">
        <v>139.57</v>
      </c>
      <c r="BX41" s="523">
        <v>0</v>
      </c>
      <c r="BY41" s="523">
        <v>0</v>
      </c>
      <c r="BZ41" s="523"/>
      <c r="CA41" s="523"/>
      <c r="CB41" s="523"/>
      <c r="CC41" s="523"/>
      <c r="CD41" s="523"/>
      <c r="CE41" s="523"/>
      <c r="CF41" s="523"/>
      <c r="CG41" s="523"/>
      <c r="CH41" s="523"/>
      <c r="CI41" s="523">
        <f t="shared" si="3"/>
        <v>139.57</v>
      </c>
    </row>
    <row r="42" spans="1:87" ht="25.5" customHeight="1" x14ac:dyDescent="0.2">
      <c r="A42" s="125" t="s">
        <v>54</v>
      </c>
      <c r="B42" s="126">
        <v>92793</v>
      </c>
      <c r="C42" s="126" t="s">
        <v>1324</v>
      </c>
      <c r="D42" s="127" t="s">
        <v>1372</v>
      </c>
      <c r="E42" s="128" t="s">
        <v>35</v>
      </c>
      <c r="F42" s="137">
        <v>302.64</v>
      </c>
      <c r="G42" s="130">
        <v>4.6500000000000004</v>
      </c>
      <c r="H42" s="147">
        <v>389.64</v>
      </c>
      <c r="I42" s="132">
        <f t="shared" si="8"/>
        <v>0</v>
      </c>
      <c r="J42" s="374">
        <f t="shared" si="5"/>
        <v>389.64</v>
      </c>
      <c r="K42" s="120">
        <v>0</v>
      </c>
      <c r="L42" s="131">
        <f t="shared" si="9"/>
        <v>1811.83</v>
      </c>
      <c r="M42" s="131">
        <f>I42*G42</f>
        <v>0</v>
      </c>
      <c r="N42" s="131">
        <f>J42*G42</f>
        <v>1811.826</v>
      </c>
      <c r="O42" s="375">
        <f>L42-N42</f>
        <v>3.9999999999054126E-3</v>
      </c>
      <c r="P42" s="136">
        <f t="shared" si="1"/>
        <v>0.99999779228735597</v>
      </c>
      <c r="S42" s="189">
        <v>0</v>
      </c>
      <c r="T42" s="189">
        <v>137.72999999999999</v>
      </c>
      <c r="BU42" s="523">
        <v>0</v>
      </c>
      <c r="BV42" s="523">
        <v>0</v>
      </c>
      <c r="BW42" s="523">
        <v>389.64</v>
      </c>
      <c r="BX42" s="523">
        <v>0</v>
      </c>
      <c r="BY42" s="523">
        <v>0</v>
      </c>
      <c r="BZ42" s="523"/>
      <c r="CA42" s="523"/>
      <c r="CB42" s="523"/>
      <c r="CC42" s="523"/>
      <c r="CD42" s="523"/>
      <c r="CE42" s="523"/>
      <c r="CF42" s="523"/>
      <c r="CG42" s="523"/>
      <c r="CH42" s="523"/>
      <c r="CI42" s="523">
        <f t="shared" si="3"/>
        <v>389.64</v>
      </c>
    </row>
    <row r="43" spans="1:87" ht="25.5" x14ac:dyDescent="0.2">
      <c r="A43" s="125" t="s">
        <v>55</v>
      </c>
      <c r="B43" s="126">
        <v>92791</v>
      </c>
      <c r="C43" s="126" t="s">
        <v>1324</v>
      </c>
      <c r="D43" s="127" t="s">
        <v>1373</v>
      </c>
      <c r="E43" s="128" t="s">
        <v>35</v>
      </c>
      <c r="F43" s="137">
        <v>135.94</v>
      </c>
      <c r="G43" s="130">
        <v>5.91</v>
      </c>
      <c r="H43" s="147">
        <v>137.72999999999999</v>
      </c>
      <c r="I43" s="132">
        <f t="shared" si="8"/>
        <v>0</v>
      </c>
      <c r="J43" s="374">
        <f t="shared" si="5"/>
        <v>137.72999999999999</v>
      </c>
      <c r="K43" s="120">
        <v>0</v>
      </c>
      <c r="L43" s="131">
        <f t="shared" si="9"/>
        <v>813.98</v>
      </c>
      <c r="M43" s="131">
        <f>I43*G43</f>
        <v>0</v>
      </c>
      <c r="N43" s="131">
        <f>J43*G43</f>
        <v>813.98429999999996</v>
      </c>
      <c r="O43" s="375">
        <f>L43-N43</f>
        <v>-4.2999999999437932E-3</v>
      </c>
      <c r="P43" s="136">
        <f t="shared" si="1"/>
        <v>1.0000052826850783</v>
      </c>
      <c r="S43" s="189">
        <v>0</v>
      </c>
      <c r="T43" s="189">
        <v>10.050000000000001</v>
      </c>
      <c r="BU43" s="523">
        <v>0</v>
      </c>
      <c r="BV43" s="523">
        <v>0</v>
      </c>
      <c r="BW43" s="523">
        <v>137.72999999999999</v>
      </c>
      <c r="BX43" s="523">
        <v>0</v>
      </c>
      <c r="BY43" s="523">
        <v>0</v>
      </c>
      <c r="BZ43" s="523"/>
      <c r="CA43" s="523"/>
      <c r="CB43" s="523"/>
      <c r="CC43" s="523"/>
      <c r="CD43" s="523"/>
      <c r="CE43" s="523"/>
      <c r="CF43" s="523"/>
      <c r="CG43" s="523"/>
      <c r="CH43" s="523"/>
      <c r="CI43" s="523">
        <f t="shared" si="3"/>
        <v>137.72999999999999</v>
      </c>
    </row>
    <row r="44" spans="1:87" s="517" customFormat="1" x14ac:dyDescent="0.2">
      <c r="A44" s="125" t="s">
        <v>1377</v>
      </c>
      <c r="B44" s="126">
        <v>92720</v>
      </c>
      <c r="C44" s="126" t="s">
        <v>1324</v>
      </c>
      <c r="D44" s="127" t="s">
        <v>1375</v>
      </c>
      <c r="E44" s="128" t="s">
        <v>48</v>
      </c>
      <c r="F44" s="129"/>
      <c r="G44" s="130">
        <v>323.87</v>
      </c>
      <c r="H44" s="147">
        <v>10.050000000000001</v>
      </c>
      <c r="I44" s="132">
        <f t="shared" si="8"/>
        <v>0</v>
      </c>
      <c r="J44" s="374">
        <f t="shared" si="5"/>
        <v>10.050000000000001</v>
      </c>
      <c r="K44" s="120">
        <v>0</v>
      </c>
      <c r="L44" s="131">
        <f t="shared" si="9"/>
        <v>3254.89</v>
      </c>
      <c r="M44" s="131">
        <f>I44*G44</f>
        <v>0</v>
      </c>
      <c r="N44" s="131">
        <f>J44*G44</f>
        <v>3254.8935000000001</v>
      </c>
      <c r="O44" s="375">
        <f>L44-N44</f>
        <v>-3.5000000002582965E-3</v>
      </c>
      <c r="P44" s="136">
        <f t="shared" si="1"/>
        <v>1.0000010753051563</v>
      </c>
      <c r="S44" s="191">
        <v>0</v>
      </c>
      <c r="T44" s="191">
        <v>0</v>
      </c>
      <c r="BU44" s="523">
        <v>0</v>
      </c>
      <c r="BV44" s="523">
        <v>0</v>
      </c>
      <c r="BW44" s="523">
        <v>10.050000000000001</v>
      </c>
      <c r="BX44" s="523">
        <v>0</v>
      </c>
      <c r="BY44" s="523">
        <v>0</v>
      </c>
      <c r="BZ44" s="523"/>
      <c r="CA44" s="523"/>
      <c r="CB44" s="523"/>
      <c r="CC44" s="523"/>
      <c r="CD44" s="523"/>
      <c r="CE44" s="523"/>
      <c r="CF44" s="523"/>
      <c r="CG44" s="523"/>
      <c r="CH44" s="523"/>
      <c r="CI44" s="523">
        <f t="shared" si="3"/>
        <v>10.050000000000001</v>
      </c>
    </row>
    <row r="45" spans="1:87" s="517" customFormat="1" x14ac:dyDescent="0.2">
      <c r="A45" s="425">
        <v>4</v>
      </c>
      <c r="B45" s="426"/>
      <c r="C45" s="426"/>
      <c r="D45" s="427" t="s">
        <v>1378</v>
      </c>
      <c r="E45" s="415"/>
      <c r="F45" s="417"/>
      <c r="G45" s="418"/>
      <c r="H45" s="416"/>
      <c r="I45" s="420"/>
      <c r="J45" s="421"/>
      <c r="K45" s="420"/>
      <c r="L45" s="429">
        <f>SUM(L46,L51,L57,L62,L67)</f>
        <v>88897.260000000009</v>
      </c>
      <c r="M45" s="429">
        <f>SUM(M46,M51,M57,M62,M67)</f>
        <v>12102.487788259998</v>
      </c>
      <c r="N45" s="429">
        <f>SUM(N46,N51,N57,N62,N67)+0.01</f>
        <v>47846.275576519998</v>
      </c>
      <c r="O45" s="430">
        <f>SUM(O46,O51,O57,O62,O67)</f>
        <v>45363.275599999994</v>
      </c>
      <c r="P45" s="431">
        <f t="shared" si="1"/>
        <v>0.53821991337550779</v>
      </c>
      <c r="S45" s="191">
        <v>0</v>
      </c>
      <c r="T45" s="191">
        <v>0</v>
      </c>
      <c r="BU45" s="523"/>
      <c r="BV45" s="523"/>
      <c r="BW45" s="523"/>
      <c r="BX45" s="523">
        <v>273.85380799999996</v>
      </c>
      <c r="BY45" s="523">
        <v>273.85380799999996</v>
      </c>
      <c r="BZ45" s="523"/>
      <c r="CA45" s="523"/>
      <c r="CB45" s="523"/>
      <c r="CC45" s="523"/>
      <c r="CD45" s="523"/>
      <c r="CE45" s="523"/>
      <c r="CF45" s="523"/>
      <c r="CG45" s="523"/>
      <c r="CH45" s="523"/>
      <c r="CI45" s="523">
        <f t="shared" si="3"/>
        <v>547.70761599999992</v>
      </c>
    </row>
    <row r="46" spans="1:87" s="110" customFormat="1" x14ac:dyDescent="0.2">
      <c r="A46" s="461" t="s">
        <v>74</v>
      </c>
      <c r="B46" s="462"/>
      <c r="C46" s="462"/>
      <c r="D46" s="463" t="s">
        <v>1379</v>
      </c>
      <c r="E46" s="464"/>
      <c r="F46" s="452">
        <f t="shared" ref="F46:O46" si="10">SUM(F47:F50)</f>
        <v>499.24</v>
      </c>
      <c r="G46" s="465">
        <f t="shared" si="10"/>
        <v>428.05</v>
      </c>
      <c r="H46" s="464">
        <f>SUM(H47:H50)</f>
        <v>691.15</v>
      </c>
      <c r="I46" s="457"/>
      <c r="J46" s="457"/>
      <c r="K46" s="457">
        <v>0</v>
      </c>
      <c r="L46" s="474">
        <f>SUM(L47:L50)</f>
        <v>17368.48</v>
      </c>
      <c r="M46" s="474">
        <f t="shared" si="10"/>
        <v>3574.2421999999997</v>
      </c>
      <c r="N46" s="474">
        <f t="shared" si="10"/>
        <v>9264.8044000000009</v>
      </c>
      <c r="O46" s="471">
        <f t="shared" si="10"/>
        <v>8103.6755999999996</v>
      </c>
      <c r="P46" s="466">
        <f t="shared" si="1"/>
        <v>0.53342632170460524</v>
      </c>
      <c r="S46" s="192">
        <v>22.81</v>
      </c>
      <c r="T46" s="192">
        <v>126.72</v>
      </c>
      <c r="BU46" s="523"/>
      <c r="BV46" s="523"/>
      <c r="BW46" s="523"/>
      <c r="BX46" s="523">
        <v>51.01</v>
      </c>
      <c r="BY46" s="523">
        <v>51.01</v>
      </c>
      <c r="BZ46" s="523"/>
      <c r="CA46" s="523"/>
      <c r="CB46" s="523"/>
      <c r="CC46" s="523"/>
      <c r="CD46" s="523"/>
      <c r="CE46" s="523"/>
      <c r="CF46" s="523"/>
      <c r="CG46" s="523"/>
      <c r="CH46" s="523"/>
      <c r="CI46" s="523">
        <f t="shared" si="3"/>
        <v>102.02</v>
      </c>
    </row>
    <row r="47" spans="1:87" s="110" customFormat="1" ht="25.5" x14ac:dyDescent="0.2">
      <c r="A47" s="379" t="s">
        <v>76</v>
      </c>
      <c r="B47" s="380">
        <v>92448</v>
      </c>
      <c r="C47" s="380" t="s">
        <v>1324</v>
      </c>
      <c r="D47" s="381" t="s">
        <v>1380</v>
      </c>
      <c r="E47" s="382" t="s">
        <v>14</v>
      </c>
      <c r="F47" s="137">
        <v>302.64</v>
      </c>
      <c r="G47" s="383">
        <v>93.42</v>
      </c>
      <c r="H47" s="382">
        <v>126.72</v>
      </c>
      <c r="I47" s="132">
        <f t="shared" ref="I47:I68" si="11">BY47</f>
        <v>22.81</v>
      </c>
      <c r="J47" s="374">
        <f t="shared" si="5"/>
        <v>45.62</v>
      </c>
      <c r="K47" s="376">
        <v>0</v>
      </c>
      <c r="L47" s="384">
        <f>ROUND(H47*G47,2)</f>
        <v>11838.18</v>
      </c>
      <c r="M47" s="386">
        <f>I47*G47</f>
        <v>2130.9101999999998</v>
      </c>
      <c r="N47" s="386">
        <f>J47*G47</f>
        <v>4261.8203999999996</v>
      </c>
      <c r="O47" s="387">
        <f>L47-N47</f>
        <v>7576.3596000000007</v>
      </c>
      <c r="P47" s="388">
        <f t="shared" si="1"/>
        <v>0.36000638611678482</v>
      </c>
      <c r="S47" s="192">
        <v>78.55</v>
      </c>
      <c r="T47" s="192">
        <v>428.55</v>
      </c>
      <c r="BU47" s="523"/>
      <c r="BV47" s="523">
        <v>0</v>
      </c>
      <c r="BW47" s="523">
        <v>0</v>
      </c>
      <c r="BX47" s="523">
        <v>22.81</v>
      </c>
      <c r="BY47" s="523">
        <v>22.81</v>
      </c>
      <c r="BZ47" s="523"/>
      <c r="CA47" s="523"/>
      <c r="CB47" s="523"/>
      <c r="CC47" s="523"/>
      <c r="CD47" s="523"/>
      <c r="CE47" s="523"/>
      <c r="CF47" s="523"/>
      <c r="CG47" s="523"/>
      <c r="CH47" s="523"/>
      <c r="CI47" s="523">
        <f t="shared" si="3"/>
        <v>45.62</v>
      </c>
    </row>
    <row r="48" spans="1:87" s="110" customFormat="1" ht="25.5" x14ac:dyDescent="0.2">
      <c r="A48" s="379" t="s">
        <v>79</v>
      </c>
      <c r="B48" s="380">
        <v>92793</v>
      </c>
      <c r="C48" s="380" t="s">
        <v>1324</v>
      </c>
      <c r="D48" s="381" t="s">
        <v>1372</v>
      </c>
      <c r="E48" s="382" t="s">
        <v>35</v>
      </c>
      <c r="F48" s="137">
        <v>135.94</v>
      </c>
      <c r="G48" s="383">
        <v>4.6500000000000004</v>
      </c>
      <c r="H48" s="382">
        <v>428.55</v>
      </c>
      <c r="I48" s="132">
        <f t="shared" si="11"/>
        <v>0</v>
      </c>
      <c r="J48" s="374">
        <f t="shared" si="5"/>
        <v>350</v>
      </c>
      <c r="K48" s="376">
        <f>0</f>
        <v>0</v>
      </c>
      <c r="L48" s="384">
        <f>ROUND(H48*G48,2)</f>
        <v>1992.76</v>
      </c>
      <c r="M48" s="386">
        <f>I48*G48</f>
        <v>0</v>
      </c>
      <c r="N48" s="386">
        <f>J48*G48</f>
        <v>1627.5000000000002</v>
      </c>
      <c r="O48" s="387">
        <f>L48-N48</f>
        <v>365.25999999999976</v>
      </c>
      <c r="P48" s="388">
        <f t="shared" si="1"/>
        <v>0.81670647744836322</v>
      </c>
      <c r="S48" s="192">
        <v>23.16</v>
      </c>
      <c r="T48" s="192">
        <v>127.36</v>
      </c>
      <c r="BU48" s="523"/>
      <c r="BV48" s="523">
        <v>0</v>
      </c>
      <c r="BW48" s="523">
        <v>350</v>
      </c>
      <c r="BX48" s="523">
        <v>0</v>
      </c>
      <c r="BY48" s="523">
        <v>0</v>
      </c>
      <c r="BZ48" s="523"/>
      <c r="CA48" s="523"/>
      <c r="CB48" s="523"/>
      <c r="CC48" s="523"/>
      <c r="CD48" s="523"/>
      <c r="CE48" s="523"/>
      <c r="CF48" s="523"/>
      <c r="CG48" s="523"/>
      <c r="CH48" s="523"/>
      <c r="CI48" s="523">
        <f t="shared" si="3"/>
        <v>350</v>
      </c>
    </row>
    <row r="49" spans="1:87" s="110" customFormat="1" ht="25.5" x14ac:dyDescent="0.2">
      <c r="A49" s="379" t="s">
        <v>83</v>
      </c>
      <c r="B49" s="380">
        <v>92791</v>
      </c>
      <c r="C49" s="380" t="s">
        <v>1324</v>
      </c>
      <c r="D49" s="381" t="s">
        <v>1373</v>
      </c>
      <c r="E49" s="382" t="s">
        <v>35</v>
      </c>
      <c r="F49" s="129"/>
      <c r="G49" s="383">
        <v>6.11</v>
      </c>
      <c r="H49" s="382">
        <v>127.36</v>
      </c>
      <c r="I49" s="132">
        <f t="shared" si="11"/>
        <v>24.2</v>
      </c>
      <c r="J49" s="374">
        <f t="shared" si="5"/>
        <v>128.4</v>
      </c>
      <c r="K49" s="376">
        <v>0</v>
      </c>
      <c r="L49" s="384">
        <f>ROUND(H49*G49,2)</f>
        <v>778.17</v>
      </c>
      <c r="M49" s="386">
        <f>I49*G49-0.01</f>
        <v>147.852</v>
      </c>
      <c r="N49" s="386">
        <f>J49*G49</f>
        <v>784.52400000000011</v>
      </c>
      <c r="O49" s="387">
        <f>L49-N49</f>
        <v>-6.3540000000001555</v>
      </c>
      <c r="P49" s="388">
        <f t="shared" si="1"/>
        <v>1.0081653109217783</v>
      </c>
      <c r="S49" s="192">
        <v>4.5199999999999996</v>
      </c>
      <c r="T49" s="192">
        <v>8.52</v>
      </c>
      <c r="BU49" s="523"/>
      <c r="BV49" s="523">
        <v>0</v>
      </c>
      <c r="BW49" s="523">
        <v>80</v>
      </c>
      <c r="BX49" s="523">
        <v>24.2</v>
      </c>
      <c r="BY49" s="523">
        <v>24.2</v>
      </c>
      <c r="BZ49" s="523"/>
      <c r="CA49" s="523"/>
      <c r="CB49" s="523"/>
      <c r="CC49" s="523"/>
      <c r="CD49" s="523"/>
      <c r="CE49" s="523"/>
      <c r="CF49" s="523"/>
      <c r="CG49" s="523"/>
      <c r="CH49" s="523"/>
      <c r="CI49" s="523">
        <f t="shared" si="3"/>
        <v>128.4</v>
      </c>
    </row>
    <row r="50" spans="1:87" s="517" customFormat="1" x14ac:dyDescent="0.2">
      <c r="A50" s="379" t="s">
        <v>86</v>
      </c>
      <c r="B50" s="380">
        <v>92720</v>
      </c>
      <c r="C50" s="380" t="s">
        <v>1324</v>
      </c>
      <c r="D50" s="381" t="s">
        <v>1375</v>
      </c>
      <c r="E50" s="382" t="s">
        <v>48</v>
      </c>
      <c r="F50" s="137">
        <v>60.66</v>
      </c>
      <c r="G50" s="383">
        <v>323.87</v>
      </c>
      <c r="H50" s="382">
        <v>8.52</v>
      </c>
      <c r="I50" s="132">
        <f t="shared" si="11"/>
        <v>4</v>
      </c>
      <c r="J50" s="374">
        <f t="shared" si="5"/>
        <v>8</v>
      </c>
      <c r="K50" s="376">
        <v>0</v>
      </c>
      <c r="L50" s="384">
        <f>ROUND(H50*G50,2)</f>
        <v>2759.37</v>
      </c>
      <c r="M50" s="386">
        <f>I50*G50</f>
        <v>1295.48</v>
      </c>
      <c r="N50" s="386">
        <f>J50*G50</f>
        <v>2590.96</v>
      </c>
      <c r="O50" s="387">
        <f>L50-N50</f>
        <v>168.40999999999985</v>
      </c>
      <c r="P50" s="388">
        <f t="shared" si="1"/>
        <v>0.9389679528298126</v>
      </c>
      <c r="S50" s="191">
        <v>0</v>
      </c>
      <c r="T50" s="191">
        <v>0</v>
      </c>
      <c r="BU50" s="523"/>
      <c r="BV50" s="523">
        <v>0</v>
      </c>
      <c r="BW50" s="523">
        <v>0</v>
      </c>
      <c r="BX50" s="523">
        <v>4</v>
      </c>
      <c r="BY50" s="523">
        <v>4</v>
      </c>
      <c r="BZ50" s="523"/>
      <c r="CA50" s="523"/>
      <c r="CB50" s="523"/>
      <c r="CC50" s="523"/>
      <c r="CD50" s="523"/>
      <c r="CE50" s="523"/>
      <c r="CF50" s="523"/>
      <c r="CG50" s="523"/>
      <c r="CH50" s="523"/>
      <c r="CI50" s="523">
        <f t="shared" si="3"/>
        <v>8</v>
      </c>
    </row>
    <row r="51" spans="1:87" s="110" customFormat="1" x14ac:dyDescent="0.2">
      <c r="A51" s="461" t="s">
        <v>1381</v>
      </c>
      <c r="B51" s="462"/>
      <c r="C51" s="462"/>
      <c r="D51" s="463" t="s">
        <v>1382</v>
      </c>
      <c r="E51" s="465"/>
      <c r="F51" s="468"/>
      <c r="G51" s="465"/>
      <c r="H51" s="465"/>
      <c r="I51" s="465"/>
      <c r="J51" s="474"/>
      <c r="K51" s="474"/>
      <c r="L51" s="465">
        <f>SUM(L52:L56)</f>
        <v>33356.590000000004</v>
      </c>
      <c r="M51" s="465">
        <f>SUM(M52:M56)</f>
        <v>7615.6575882599991</v>
      </c>
      <c r="N51" s="467">
        <f>SUM(N52:N56)+0.01</f>
        <v>36756.285176519996</v>
      </c>
      <c r="O51" s="471">
        <v>0</v>
      </c>
      <c r="P51" s="520">
        <f t="shared" si="1"/>
        <v>1.101919745888893</v>
      </c>
      <c r="S51" s="192">
        <v>30.35</v>
      </c>
      <c r="T51" s="192">
        <v>0</v>
      </c>
      <c r="BU51" s="523"/>
      <c r="BV51" s="523"/>
      <c r="BW51" s="523"/>
      <c r="BX51" s="523">
        <v>188.94380799999999</v>
      </c>
      <c r="BY51" s="523">
        <v>188.94380799999999</v>
      </c>
      <c r="BZ51" s="523"/>
      <c r="CA51" s="523"/>
      <c r="CB51" s="523"/>
      <c r="CC51" s="523"/>
      <c r="CD51" s="523"/>
      <c r="CE51" s="523"/>
      <c r="CF51" s="523"/>
      <c r="CG51" s="523"/>
      <c r="CH51" s="523"/>
      <c r="CI51" s="523">
        <f t="shared" si="3"/>
        <v>377.88761599999998</v>
      </c>
    </row>
    <row r="52" spans="1:87" s="110" customFormat="1" x14ac:dyDescent="0.2">
      <c r="A52" s="379" t="s">
        <v>1383</v>
      </c>
      <c r="B52" s="380">
        <v>92510</v>
      </c>
      <c r="C52" s="380" t="s">
        <v>1324</v>
      </c>
      <c r="D52" s="381" t="s">
        <v>1384</v>
      </c>
      <c r="E52" s="382" t="s">
        <v>14</v>
      </c>
      <c r="F52" s="137">
        <v>302.64</v>
      </c>
      <c r="G52" s="383">
        <v>93.42</v>
      </c>
      <c r="H52" s="382">
        <v>155.72999999999999</v>
      </c>
      <c r="I52" s="132">
        <f t="shared" si="11"/>
        <v>25.383990000000001</v>
      </c>
      <c r="J52" s="374">
        <f t="shared" si="5"/>
        <v>150.76797999999999</v>
      </c>
      <c r="K52" s="374">
        <v>0</v>
      </c>
      <c r="L52" s="384">
        <f>ROUND(H52*G52,2)</f>
        <v>14548.3</v>
      </c>
      <c r="M52" s="386">
        <f>I52*G52</f>
        <v>2371.3723457999999</v>
      </c>
      <c r="N52" s="386">
        <f>J52*G52</f>
        <v>14084.744691599999</v>
      </c>
      <c r="O52" s="387">
        <f>L52-N52</f>
        <v>463.55530840000029</v>
      </c>
      <c r="P52" s="388">
        <f t="shared" si="1"/>
        <v>0.96813680578486827</v>
      </c>
      <c r="S52" s="192">
        <v>95.84</v>
      </c>
      <c r="T52" s="192">
        <v>0</v>
      </c>
      <c r="BU52" s="523"/>
      <c r="BV52" s="523">
        <v>0</v>
      </c>
      <c r="BW52" s="523">
        <v>100</v>
      </c>
      <c r="BX52" s="523">
        <v>25.383990000000001</v>
      </c>
      <c r="BY52" s="523">
        <v>25.383990000000001</v>
      </c>
      <c r="BZ52" s="523"/>
      <c r="CA52" s="523"/>
      <c r="CB52" s="523"/>
      <c r="CC52" s="523"/>
      <c r="CD52" s="523"/>
      <c r="CE52" s="523"/>
      <c r="CF52" s="523"/>
      <c r="CG52" s="523"/>
      <c r="CH52" s="523"/>
      <c r="CI52" s="523">
        <f t="shared" si="3"/>
        <v>150.76797999999999</v>
      </c>
    </row>
    <row r="53" spans="1:87" s="110" customFormat="1" ht="25.5" x14ac:dyDescent="0.2">
      <c r="A53" s="379" t="s">
        <v>1385</v>
      </c>
      <c r="B53" s="380">
        <v>92793</v>
      </c>
      <c r="C53" s="380" t="s">
        <v>1324</v>
      </c>
      <c r="D53" s="381" t="s">
        <v>1372</v>
      </c>
      <c r="E53" s="382" t="s">
        <v>35</v>
      </c>
      <c r="F53" s="137">
        <v>135.94</v>
      </c>
      <c r="G53" s="383">
        <v>4.6500000000000004</v>
      </c>
      <c r="H53" s="382">
        <v>1946.45</v>
      </c>
      <c r="I53" s="132">
        <f t="shared" si="11"/>
        <v>50.607700000000001</v>
      </c>
      <c r="J53" s="374">
        <f t="shared" si="5"/>
        <v>1901.2154</v>
      </c>
      <c r="K53" s="374">
        <v>0</v>
      </c>
      <c r="L53" s="384">
        <f>ROUND(H53*G53,2)</f>
        <v>9050.99</v>
      </c>
      <c r="M53" s="386">
        <f>I53*G53</f>
        <v>235.32580500000003</v>
      </c>
      <c r="N53" s="386">
        <f>J53*G53</f>
        <v>8840.6516100000008</v>
      </c>
      <c r="O53" s="387">
        <f>L53-N53</f>
        <v>210.33838999999898</v>
      </c>
      <c r="P53" s="388">
        <f t="shared" si="1"/>
        <v>0.97676073114653772</v>
      </c>
      <c r="S53" s="192">
        <v>11.599999999999994</v>
      </c>
      <c r="T53" s="192">
        <v>0</v>
      </c>
      <c r="BU53" s="523"/>
      <c r="BV53" s="523">
        <v>0</v>
      </c>
      <c r="BW53" s="523">
        <v>1800</v>
      </c>
      <c r="BX53" s="523">
        <v>50.607700000000001</v>
      </c>
      <c r="BY53" s="523">
        <v>50.607700000000001</v>
      </c>
      <c r="BZ53" s="523"/>
      <c r="CA53" s="523"/>
      <c r="CB53" s="523"/>
      <c r="CC53" s="523"/>
      <c r="CD53" s="523"/>
      <c r="CE53" s="523"/>
      <c r="CF53" s="523"/>
      <c r="CG53" s="523"/>
      <c r="CH53" s="523"/>
      <c r="CI53" s="523">
        <f t="shared" si="3"/>
        <v>1901.2154</v>
      </c>
    </row>
    <row r="54" spans="1:87" s="110" customFormat="1" ht="25.5" x14ac:dyDescent="0.2">
      <c r="A54" s="379" t="s">
        <v>1386</v>
      </c>
      <c r="B54" s="380">
        <v>92791</v>
      </c>
      <c r="C54" s="380" t="s">
        <v>1324</v>
      </c>
      <c r="D54" s="381" t="s">
        <v>1373</v>
      </c>
      <c r="E54" s="382" t="s">
        <v>35</v>
      </c>
      <c r="F54" s="138"/>
      <c r="G54" s="383">
        <v>6.11</v>
      </c>
      <c r="H54" s="382">
        <v>240.18</v>
      </c>
      <c r="I54" s="132">
        <f t="shared" si="11"/>
        <v>28.581419999999998</v>
      </c>
      <c r="J54" s="374">
        <f t="shared" si="5"/>
        <v>257.16284000000002</v>
      </c>
      <c r="K54" s="374">
        <v>0</v>
      </c>
      <c r="L54" s="384">
        <f>ROUND(H54*G54,2)</f>
        <v>1467.5</v>
      </c>
      <c r="M54" s="386">
        <f>I54*G54</f>
        <v>174.63247619999999</v>
      </c>
      <c r="N54" s="386">
        <f>J54*G54</f>
        <v>1571.2649524000001</v>
      </c>
      <c r="O54" s="387">
        <f>L54-N54</f>
        <v>-103.76495240000008</v>
      </c>
      <c r="P54" s="388">
        <f t="shared" si="1"/>
        <v>1.0707086558091994</v>
      </c>
      <c r="S54" s="192">
        <v>2.6700000000000017</v>
      </c>
      <c r="T54" s="192">
        <v>10.71</v>
      </c>
      <c r="BU54" s="523"/>
      <c r="BV54" s="523">
        <v>0</v>
      </c>
      <c r="BW54" s="523">
        <v>200</v>
      </c>
      <c r="BX54" s="523">
        <v>28.581419999999998</v>
      </c>
      <c r="BY54" s="523">
        <v>28.581419999999998</v>
      </c>
      <c r="BZ54" s="523"/>
      <c r="CA54" s="523"/>
      <c r="CB54" s="523"/>
      <c r="CC54" s="523"/>
      <c r="CD54" s="523"/>
      <c r="CE54" s="523"/>
      <c r="CF54" s="523"/>
      <c r="CG54" s="523"/>
      <c r="CH54" s="523"/>
      <c r="CI54" s="523">
        <f t="shared" si="3"/>
        <v>257.16284000000002</v>
      </c>
    </row>
    <row r="55" spans="1:87" x14ac:dyDescent="0.2">
      <c r="A55" s="379" t="s">
        <v>1387</v>
      </c>
      <c r="B55" s="380">
        <v>92720</v>
      </c>
      <c r="C55" s="380" t="s">
        <v>1324</v>
      </c>
      <c r="D55" s="381" t="s">
        <v>1375</v>
      </c>
      <c r="E55" s="382" t="s">
        <v>48</v>
      </c>
      <c r="F55" s="129"/>
      <c r="G55" s="383">
        <v>323.87</v>
      </c>
      <c r="H55" s="382">
        <v>10.71</v>
      </c>
      <c r="I55" s="132">
        <f t="shared" si="11"/>
        <v>4.0698000000000005E-2</v>
      </c>
      <c r="J55" s="374">
        <f t="shared" si="5"/>
        <v>8.0813960000000016</v>
      </c>
      <c r="K55" s="374">
        <v>0</v>
      </c>
      <c r="L55" s="384">
        <f>ROUND(H55*G55,2)</f>
        <v>3468.65</v>
      </c>
      <c r="M55" s="386">
        <f>I55*G55</f>
        <v>13.180861260000002</v>
      </c>
      <c r="N55" s="386">
        <f>J55*G55</f>
        <v>2617.3217225200005</v>
      </c>
      <c r="O55" s="387">
        <f>L55-N55</f>
        <v>851.32827747999954</v>
      </c>
      <c r="P55" s="388">
        <f t="shared" si="1"/>
        <v>0.75456495250890132</v>
      </c>
      <c r="S55" s="189">
        <v>0</v>
      </c>
      <c r="T55" s="189">
        <v>84.33</v>
      </c>
      <c r="BU55" s="523"/>
      <c r="BV55" s="523">
        <v>0</v>
      </c>
      <c r="BW55" s="523">
        <v>8</v>
      </c>
      <c r="BX55" s="523">
        <v>4.0698000000000005E-2</v>
      </c>
      <c r="BY55" s="523">
        <v>4.0698000000000005E-2</v>
      </c>
      <c r="BZ55" s="523"/>
      <c r="CA55" s="523"/>
      <c r="CB55" s="523"/>
      <c r="CC55" s="523"/>
      <c r="CD55" s="523"/>
      <c r="CE55" s="523"/>
      <c r="CF55" s="523"/>
      <c r="CG55" s="523"/>
      <c r="CH55" s="523"/>
      <c r="CI55" s="523">
        <f t="shared" si="3"/>
        <v>8.0813960000000016</v>
      </c>
    </row>
    <row r="56" spans="1:87" s="514" customFormat="1" x14ac:dyDescent="0.2">
      <c r="A56" s="125" t="s">
        <v>1388</v>
      </c>
      <c r="B56" s="126" t="s">
        <v>1389</v>
      </c>
      <c r="C56" s="126" t="s">
        <v>1324</v>
      </c>
      <c r="D56" s="127" t="s">
        <v>1390</v>
      </c>
      <c r="E56" s="128" t="s">
        <v>14</v>
      </c>
      <c r="F56" s="129"/>
      <c r="G56" s="130">
        <v>57.17</v>
      </c>
      <c r="H56" s="128">
        <v>84.33</v>
      </c>
      <c r="I56" s="132">
        <f t="shared" si="11"/>
        <v>84.33</v>
      </c>
      <c r="J56" s="374">
        <f t="shared" si="5"/>
        <v>168.66</v>
      </c>
      <c r="K56" s="132">
        <v>0</v>
      </c>
      <c r="L56" s="131">
        <f>ROUND(H56*G56,2)</f>
        <v>4821.1499999999996</v>
      </c>
      <c r="M56" s="131">
        <f>I56*G56</f>
        <v>4821.1460999999999</v>
      </c>
      <c r="N56" s="386">
        <f>J56*G56</f>
        <v>9642.2921999999999</v>
      </c>
      <c r="O56" s="377">
        <v>0</v>
      </c>
      <c r="P56" s="136">
        <f t="shared" si="1"/>
        <v>1.9999983821287453</v>
      </c>
      <c r="S56" s="190">
        <v>0</v>
      </c>
      <c r="T56" s="190">
        <v>0</v>
      </c>
      <c r="BU56" s="523"/>
      <c r="BV56" s="523">
        <v>0</v>
      </c>
      <c r="BW56" s="523">
        <v>0</v>
      </c>
      <c r="BX56" s="523">
        <v>84.33</v>
      </c>
      <c r="BY56" s="523">
        <v>84.33</v>
      </c>
      <c r="BZ56" s="523"/>
      <c r="CA56" s="523"/>
      <c r="CB56" s="523"/>
      <c r="CC56" s="523"/>
      <c r="CD56" s="523"/>
      <c r="CE56" s="523"/>
      <c r="CF56" s="523"/>
      <c r="CG56" s="523"/>
      <c r="CH56" s="523"/>
      <c r="CI56" s="523">
        <f t="shared" si="3"/>
        <v>168.66</v>
      </c>
    </row>
    <row r="57" spans="1:87" x14ac:dyDescent="0.2">
      <c r="A57" s="449" t="s">
        <v>1391</v>
      </c>
      <c r="B57" s="450"/>
      <c r="C57" s="450"/>
      <c r="D57" s="451" t="s">
        <v>1392</v>
      </c>
      <c r="E57" s="465"/>
      <c r="F57" s="468"/>
      <c r="G57" s="465"/>
      <c r="H57" s="465"/>
      <c r="I57" s="465"/>
      <c r="J57" s="474"/>
      <c r="K57" s="474"/>
      <c r="L57" s="468">
        <f>SUM(L58:L61)</f>
        <v>13794.349999999999</v>
      </c>
      <c r="M57" s="468">
        <f>SUM(M58:M61)</f>
        <v>0</v>
      </c>
      <c r="N57" s="467">
        <f>SUM(N58:N61)</f>
        <v>0</v>
      </c>
      <c r="O57" s="469">
        <f>SUM(O58:O61)</f>
        <v>13794.349999999999</v>
      </c>
      <c r="P57" s="459">
        <f t="shared" si="1"/>
        <v>0</v>
      </c>
      <c r="S57" s="189">
        <v>0</v>
      </c>
      <c r="T57" s="189">
        <v>0</v>
      </c>
      <c r="BU57" s="523"/>
      <c r="BV57" s="523"/>
      <c r="BW57" s="523"/>
      <c r="BX57" s="523">
        <v>0</v>
      </c>
      <c r="BY57" s="523">
        <v>0</v>
      </c>
      <c r="BZ57" s="523"/>
      <c r="CA57" s="523"/>
      <c r="CB57" s="523"/>
      <c r="CC57" s="523"/>
      <c r="CD57" s="523"/>
      <c r="CE57" s="523"/>
      <c r="CF57" s="523"/>
      <c r="CG57" s="523"/>
      <c r="CH57" s="523"/>
      <c r="CI57" s="523">
        <f t="shared" si="3"/>
        <v>0</v>
      </c>
    </row>
    <row r="58" spans="1:87" x14ac:dyDescent="0.2">
      <c r="A58" s="125" t="s">
        <v>1393</v>
      </c>
      <c r="B58" s="126">
        <v>92510</v>
      </c>
      <c r="C58" s="126" t="s">
        <v>1324</v>
      </c>
      <c r="D58" s="127" t="s">
        <v>1384</v>
      </c>
      <c r="E58" s="128" t="s">
        <v>14</v>
      </c>
      <c r="F58" s="137">
        <v>41.64</v>
      </c>
      <c r="G58" s="130">
        <v>93.42</v>
      </c>
      <c r="H58" s="128">
        <v>111.8</v>
      </c>
      <c r="I58" s="132">
        <f t="shared" si="11"/>
        <v>0</v>
      </c>
      <c r="J58" s="374">
        <f t="shared" si="5"/>
        <v>0</v>
      </c>
      <c r="K58" s="137">
        <f t="shared" ref="K58:K66" si="12">H58-J58</f>
        <v>111.8</v>
      </c>
      <c r="L58" s="131">
        <f>ROUND(H58*G58,2)</f>
        <v>10444.36</v>
      </c>
      <c r="M58" s="131">
        <f t="shared" ref="M58:M66" si="13">I58*G58</f>
        <v>0</v>
      </c>
      <c r="N58" s="386">
        <f t="shared" ref="N58:N66" si="14">J58*G58</f>
        <v>0</v>
      </c>
      <c r="O58" s="375">
        <f t="shared" ref="O58:O66" si="15">L58-N58</f>
        <v>10444.36</v>
      </c>
      <c r="P58" s="136">
        <f t="shared" si="1"/>
        <v>0</v>
      </c>
      <c r="S58" s="189">
        <v>0</v>
      </c>
      <c r="T58" s="189">
        <v>0</v>
      </c>
      <c r="BU58" s="523"/>
      <c r="BV58" s="523">
        <v>0</v>
      </c>
      <c r="BW58" s="523">
        <v>0</v>
      </c>
      <c r="BX58" s="523">
        <v>0</v>
      </c>
      <c r="BY58" s="523">
        <v>0</v>
      </c>
      <c r="BZ58" s="523"/>
      <c r="CA58" s="523"/>
      <c r="CB58" s="523"/>
      <c r="CC58" s="523"/>
      <c r="CD58" s="523"/>
      <c r="CE58" s="523"/>
      <c r="CF58" s="523"/>
      <c r="CG58" s="523"/>
      <c r="CH58" s="523"/>
      <c r="CI58" s="523">
        <f t="shared" si="3"/>
        <v>0</v>
      </c>
    </row>
    <row r="59" spans="1:87" ht="25.5" x14ac:dyDescent="0.2">
      <c r="A59" s="125" t="s">
        <v>1394</v>
      </c>
      <c r="B59" s="126">
        <v>92793</v>
      </c>
      <c r="C59" s="126" t="s">
        <v>1324</v>
      </c>
      <c r="D59" s="127" t="s">
        <v>1372</v>
      </c>
      <c r="E59" s="128" t="s">
        <v>35</v>
      </c>
      <c r="F59" s="137">
        <v>7.91</v>
      </c>
      <c r="G59" s="130">
        <v>4.6500000000000004</v>
      </c>
      <c r="H59" s="128">
        <v>135.38999999999999</v>
      </c>
      <c r="I59" s="132">
        <f t="shared" si="11"/>
        <v>0</v>
      </c>
      <c r="J59" s="374">
        <f t="shared" si="5"/>
        <v>0</v>
      </c>
      <c r="K59" s="137">
        <f t="shared" si="12"/>
        <v>135.38999999999999</v>
      </c>
      <c r="L59" s="131">
        <f>ROUND(H59*G59,2)</f>
        <v>629.55999999999995</v>
      </c>
      <c r="M59" s="131">
        <f t="shared" si="13"/>
        <v>0</v>
      </c>
      <c r="N59" s="386">
        <f t="shared" si="14"/>
        <v>0</v>
      </c>
      <c r="O59" s="375">
        <f t="shared" si="15"/>
        <v>629.55999999999995</v>
      </c>
      <c r="P59" s="136">
        <f t="shared" si="1"/>
        <v>0</v>
      </c>
      <c r="S59" s="189">
        <v>0</v>
      </c>
      <c r="T59" s="189">
        <v>0</v>
      </c>
      <c r="BU59" s="523"/>
      <c r="BV59" s="523">
        <v>0</v>
      </c>
      <c r="BW59" s="523">
        <v>0</v>
      </c>
      <c r="BX59" s="523">
        <v>0</v>
      </c>
      <c r="BY59" s="523">
        <v>0</v>
      </c>
      <c r="BZ59" s="523"/>
      <c r="CA59" s="523"/>
      <c r="CB59" s="523"/>
      <c r="CC59" s="523"/>
      <c r="CD59" s="523"/>
      <c r="CE59" s="523"/>
      <c r="CF59" s="523"/>
      <c r="CG59" s="523"/>
      <c r="CH59" s="523"/>
      <c r="CI59" s="523">
        <f t="shared" si="3"/>
        <v>0</v>
      </c>
    </row>
    <row r="60" spans="1:87" ht="25.5" x14ac:dyDescent="0.2">
      <c r="A60" s="125" t="s">
        <v>1395</v>
      </c>
      <c r="B60" s="126">
        <v>92791</v>
      </c>
      <c r="C60" s="126" t="s">
        <v>1324</v>
      </c>
      <c r="D60" s="127" t="s">
        <v>1373</v>
      </c>
      <c r="E60" s="128" t="s">
        <v>35</v>
      </c>
      <c r="F60" s="137">
        <v>53.52</v>
      </c>
      <c r="G60" s="130">
        <v>6.11</v>
      </c>
      <c r="H60" s="128">
        <v>95.93</v>
      </c>
      <c r="I60" s="132">
        <f t="shared" si="11"/>
        <v>0</v>
      </c>
      <c r="J60" s="374">
        <f t="shared" si="5"/>
        <v>0</v>
      </c>
      <c r="K60" s="137">
        <f t="shared" si="12"/>
        <v>95.93</v>
      </c>
      <c r="L60" s="131">
        <f>ROUND(H60*G60,2)</f>
        <v>586.13</v>
      </c>
      <c r="M60" s="131">
        <f t="shared" si="13"/>
        <v>0</v>
      </c>
      <c r="N60" s="386">
        <f t="shared" si="14"/>
        <v>0</v>
      </c>
      <c r="O60" s="375">
        <f t="shared" si="15"/>
        <v>586.13</v>
      </c>
      <c r="P60" s="136">
        <f t="shared" si="1"/>
        <v>0</v>
      </c>
      <c r="S60" s="189">
        <v>0</v>
      </c>
      <c r="T60" s="189">
        <v>0</v>
      </c>
      <c r="BU60" s="523"/>
      <c r="BV60" s="523">
        <v>0</v>
      </c>
      <c r="BW60" s="523">
        <v>0</v>
      </c>
      <c r="BX60" s="523">
        <v>0</v>
      </c>
      <c r="BY60" s="523">
        <v>0</v>
      </c>
      <c r="BZ60" s="523"/>
      <c r="CA60" s="523"/>
      <c r="CB60" s="523"/>
      <c r="CC60" s="523"/>
      <c r="CD60" s="523"/>
      <c r="CE60" s="523"/>
      <c r="CF60" s="523"/>
      <c r="CG60" s="523"/>
      <c r="CH60" s="523"/>
      <c r="CI60" s="523">
        <f t="shared" si="3"/>
        <v>0</v>
      </c>
    </row>
    <row r="61" spans="1:87" s="514" customFormat="1" x14ac:dyDescent="0.2">
      <c r="A61" s="125" t="s">
        <v>1396</v>
      </c>
      <c r="B61" s="126">
        <v>92720</v>
      </c>
      <c r="C61" s="126" t="s">
        <v>1324</v>
      </c>
      <c r="D61" s="127" t="s">
        <v>1375</v>
      </c>
      <c r="E61" s="128" t="s">
        <v>48</v>
      </c>
      <c r="F61" s="137">
        <v>203.72</v>
      </c>
      <c r="G61" s="130">
        <v>323.87</v>
      </c>
      <c r="H61" s="128">
        <v>6.59</v>
      </c>
      <c r="I61" s="132">
        <f t="shared" si="11"/>
        <v>0</v>
      </c>
      <c r="J61" s="374">
        <f t="shared" si="5"/>
        <v>0</v>
      </c>
      <c r="K61" s="137">
        <f t="shared" si="12"/>
        <v>6.59</v>
      </c>
      <c r="L61" s="131">
        <f>ROUND(H61*G61,2)</f>
        <v>2134.3000000000002</v>
      </c>
      <c r="M61" s="131">
        <f t="shared" si="13"/>
        <v>0</v>
      </c>
      <c r="N61" s="386">
        <f t="shared" si="14"/>
        <v>0</v>
      </c>
      <c r="O61" s="375">
        <f t="shared" si="15"/>
        <v>2134.3000000000002</v>
      </c>
      <c r="P61" s="136">
        <f t="shared" si="1"/>
        <v>0</v>
      </c>
      <c r="S61" s="190">
        <v>0</v>
      </c>
      <c r="T61" s="190">
        <v>0</v>
      </c>
      <c r="BU61" s="523"/>
      <c r="BV61" s="523">
        <v>0</v>
      </c>
      <c r="BW61" s="523">
        <v>0</v>
      </c>
      <c r="BX61" s="523">
        <v>0</v>
      </c>
      <c r="BY61" s="523">
        <v>0</v>
      </c>
      <c r="BZ61" s="523"/>
      <c r="CA61" s="523"/>
      <c r="CB61" s="523"/>
      <c r="CC61" s="523"/>
      <c r="CD61" s="523"/>
      <c r="CE61" s="523"/>
      <c r="CF61" s="523"/>
      <c r="CG61" s="523"/>
      <c r="CH61" s="523"/>
      <c r="CI61" s="523">
        <f t="shared" si="3"/>
        <v>0</v>
      </c>
    </row>
    <row r="62" spans="1:87" x14ac:dyDescent="0.2">
      <c r="A62" s="449" t="s">
        <v>1397</v>
      </c>
      <c r="B62" s="450"/>
      <c r="C62" s="450"/>
      <c r="D62" s="451" t="s">
        <v>1398</v>
      </c>
      <c r="E62" s="465"/>
      <c r="F62" s="468"/>
      <c r="G62" s="465"/>
      <c r="H62" s="465"/>
      <c r="I62" s="465"/>
      <c r="J62" s="474"/>
      <c r="K62" s="474"/>
      <c r="L62" s="452">
        <f>SUM(L63:L66)</f>
        <v>23465.25</v>
      </c>
      <c r="M62" s="460">
        <f t="shared" si="13"/>
        <v>0</v>
      </c>
      <c r="N62" s="467">
        <f t="shared" si="14"/>
        <v>0</v>
      </c>
      <c r="O62" s="458">
        <f t="shared" si="15"/>
        <v>23465.25</v>
      </c>
      <c r="P62" s="459">
        <f t="shared" si="1"/>
        <v>0</v>
      </c>
      <c r="S62" s="189">
        <v>0</v>
      </c>
      <c r="T62" s="189">
        <v>0</v>
      </c>
      <c r="BU62" s="523"/>
      <c r="BV62" s="523"/>
      <c r="BW62" s="523"/>
      <c r="BX62" s="523">
        <v>0</v>
      </c>
      <c r="BY62" s="523">
        <v>0</v>
      </c>
      <c r="BZ62" s="523"/>
      <c r="CA62" s="523"/>
      <c r="CB62" s="523"/>
      <c r="CC62" s="523"/>
      <c r="CD62" s="523"/>
      <c r="CE62" s="523"/>
      <c r="CF62" s="523"/>
      <c r="CG62" s="523"/>
      <c r="CH62" s="523"/>
      <c r="CI62" s="523">
        <f t="shared" si="3"/>
        <v>0</v>
      </c>
    </row>
    <row r="63" spans="1:87" x14ac:dyDescent="0.2">
      <c r="A63" s="125" t="s">
        <v>1399</v>
      </c>
      <c r="B63" s="126">
        <v>92422</v>
      </c>
      <c r="C63" s="126" t="s">
        <v>1324</v>
      </c>
      <c r="D63" s="127" t="s">
        <v>1384</v>
      </c>
      <c r="E63" s="128" t="s">
        <v>14</v>
      </c>
      <c r="F63" s="137">
        <v>52.6</v>
      </c>
      <c r="G63" s="130">
        <v>93.42</v>
      </c>
      <c r="H63" s="128">
        <v>10.8</v>
      </c>
      <c r="I63" s="132">
        <f t="shared" si="11"/>
        <v>0</v>
      </c>
      <c r="J63" s="374">
        <f t="shared" si="5"/>
        <v>0</v>
      </c>
      <c r="K63" s="137">
        <f t="shared" si="12"/>
        <v>10.8</v>
      </c>
      <c r="L63" s="131">
        <f>ROUND(H63*G63,2)</f>
        <v>1008.94</v>
      </c>
      <c r="M63" s="131">
        <f t="shared" si="13"/>
        <v>0</v>
      </c>
      <c r="N63" s="386">
        <f t="shared" si="14"/>
        <v>0</v>
      </c>
      <c r="O63" s="375">
        <f t="shared" si="15"/>
        <v>1008.94</v>
      </c>
      <c r="P63" s="136">
        <f t="shared" si="1"/>
        <v>0</v>
      </c>
      <c r="S63" s="189">
        <v>0</v>
      </c>
      <c r="T63" s="189">
        <v>0</v>
      </c>
      <c r="BU63" s="523"/>
      <c r="BV63" s="523">
        <v>0</v>
      </c>
      <c r="BW63" s="523">
        <v>0</v>
      </c>
      <c r="BX63" s="523">
        <v>0</v>
      </c>
      <c r="BY63" s="523">
        <v>0</v>
      </c>
      <c r="BZ63" s="523"/>
      <c r="CA63" s="523"/>
      <c r="CB63" s="523"/>
      <c r="CC63" s="523"/>
      <c r="CD63" s="523"/>
      <c r="CE63" s="523"/>
      <c r="CF63" s="523"/>
      <c r="CG63" s="523"/>
      <c r="CH63" s="523"/>
      <c r="CI63" s="523">
        <f t="shared" si="3"/>
        <v>0</v>
      </c>
    </row>
    <row r="64" spans="1:87" x14ac:dyDescent="0.2">
      <c r="A64" s="125" t="s">
        <v>1400</v>
      </c>
      <c r="B64" s="126" t="s">
        <v>1401</v>
      </c>
      <c r="C64" s="126" t="s">
        <v>1324</v>
      </c>
      <c r="D64" s="127" t="s">
        <v>1402</v>
      </c>
      <c r="E64" s="128" t="s">
        <v>48</v>
      </c>
      <c r="F64" s="137">
        <v>49.48</v>
      </c>
      <c r="G64" s="130">
        <v>98.55</v>
      </c>
      <c r="H64" s="128">
        <v>33.83</v>
      </c>
      <c r="I64" s="132">
        <f t="shared" si="11"/>
        <v>0</v>
      </c>
      <c r="J64" s="374">
        <f t="shared" si="5"/>
        <v>0</v>
      </c>
      <c r="K64" s="137">
        <f t="shared" si="12"/>
        <v>33.83</v>
      </c>
      <c r="L64" s="131">
        <f>ROUND(H64*G64,2)</f>
        <v>3333.95</v>
      </c>
      <c r="M64" s="131">
        <f t="shared" si="13"/>
        <v>0</v>
      </c>
      <c r="N64" s="386">
        <f t="shared" si="14"/>
        <v>0</v>
      </c>
      <c r="O64" s="375">
        <f t="shared" si="15"/>
        <v>3333.95</v>
      </c>
      <c r="P64" s="136">
        <f t="shared" si="1"/>
        <v>0</v>
      </c>
      <c r="S64" s="189">
        <v>0</v>
      </c>
      <c r="T64" s="189">
        <v>0</v>
      </c>
      <c r="BU64" s="523"/>
      <c r="BV64" s="523">
        <v>0</v>
      </c>
      <c r="BW64" s="523">
        <v>0</v>
      </c>
      <c r="BX64" s="523">
        <v>0</v>
      </c>
      <c r="BY64" s="523">
        <v>0</v>
      </c>
      <c r="BZ64" s="523"/>
      <c r="CA64" s="523"/>
      <c r="CB64" s="523"/>
      <c r="CC64" s="523"/>
      <c r="CD64" s="523"/>
      <c r="CE64" s="523"/>
      <c r="CF64" s="523"/>
      <c r="CG64" s="523"/>
      <c r="CH64" s="523"/>
      <c r="CI64" s="523">
        <f t="shared" si="3"/>
        <v>0</v>
      </c>
    </row>
    <row r="65" spans="1:87" x14ac:dyDescent="0.2">
      <c r="A65" s="125" t="s">
        <v>1403</v>
      </c>
      <c r="B65" s="126">
        <v>85662</v>
      </c>
      <c r="C65" s="126" t="s">
        <v>1324</v>
      </c>
      <c r="D65" s="127" t="s">
        <v>1404</v>
      </c>
      <c r="E65" s="128" t="s">
        <v>14</v>
      </c>
      <c r="F65" s="138"/>
      <c r="G65" s="130">
        <v>10.34</v>
      </c>
      <c r="H65" s="128">
        <v>1001.47</v>
      </c>
      <c r="I65" s="132">
        <f t="shared" si="11"/>
        <v>0</v>
      </c>
      <c r="J65" s="374">
        <f t="shared" si="5"/>
        <v>0</v>
      </c>
      <c r="K65" s="137">
        <f t="shared" si="12"/>
        <v>1001.47</v>
      </c>
      <c r="L65" s="131">
        <f>ROUND(H65*G65,2)</f>
        <v>10355.200000000001</v>
      </c>
      <c r="M65" s="131">
        <f t="shared" si="13"/>
        <v>0</v>
      </c>
      <c r="N65" s="386">
        <f t="shared" si="14"/>
        <v>0</v>
      </c>
      <c r="O65" s="375">
        <f t="shared" si="15"/>
        <v>10355.200000000001</v>
      </c>
      <c r="P65" s="136">
        <f t="shared" si="1"/>
        <v>0</v>
      </c>
      <c r="S65" s="189">
        <v>0</v>
      </c>
      <c r="T65" s="189">
        <v>0</v>
      </c>
      <c r="BU65" s="523"/>
      <c r="BV65" s="523">
        <v>0</v>
      </c>
      <c r="BW65" s="523">
        <v>0</v>
      </c>
      <c r="BX65" s="523">
        <v>0</v>
      </c>
      <c r="BY65" s="523">
        <v>0</v>
      </c>
      <c r="BZ65" s="523"/>
      <c r="CA65" s="523"/>
      <c r="CB65" s="523"/>
      <c r="CC65" s="523"/>
      <c r="CD65" s="523"/>
      <c r="CE65" s="523"/>
      <c r="CF65" s="523"/>
      <c r="CG65" s="523"/>
      <c r="CH65" s="523"/>
      <c r="CI65" s="523">
        <f t="shared" si="3"/>
        <v>0</v>
      </c>
    </row>
    <row r="66" spans="1:87" s="514" customFormat="1" x14ac:dyDescent="0.2">
      <c r="A66" s="125" t="s">
        <v>1405</v>
      </c>
      <c r="B66" s="126">
        <v>92720</v>
      </c>
      <c r="C66" s="126" t="s">
        <v>1324</v>
      </c>
      <c r="D66" s="127" t="s">
        <v>1375</v>
      </c>
      <c r="E66" s="128" t="s">
        <v>48</v>
      </c>
      <c r="F66" s="129"/>
      <c r="G66" s="130">
        <v>323.87</v>
      </c>
      <c r="H66" s="128">
        <v>27.07</v>
      </c>
      <c r="I66" s="132">
        <f t="shared" si="11"/>
        <v>0</v>
      </c>
      <c r="J66" s="374">
        <f t="shared" si="5"/>
        <v>0</v>
      </c>
      <c r="K66" s="137">
        <f t="shared" si="12"/>
        <v>27.07</v>
      </c>
      <c r="L66" s="131">
        <f>ROUND(H66*G66,2)</f>
        <v>8767.16</v>
      </c>
      <c r="M66" s="131">
        <f t="shared" si="13"/>
        <v>0</v>
      </c>
      <c r="N66" s="386">
        <f t="shared" si="14"/>
        <v>0</v>
      </c>
      <c r="O66" s="375">
        <f t="shared" si="15"/>
        <v>8767.16</v>
      </c>
      <c r="P66" s="136">
        <f t="shared" si="1"/>
        <v>0</v>
      </c>
      <c r="S66" s="190">
        <v>0</v>
      </c>
      <c r="T66" s="190">
        <v>33.9</v>
      </c>
      <c r="BU66" s="523"/>
      <c r="BV66" s="523">
        <v>0</v>
      </c>
      <c r="BW66" s="523">
        <v>0</v>
      </c>
      <c r="BX66" s="523">
        <v>0</v>
      </c>
      <c r="BY66" s="523">
        <v>0</v>
      </c>
      <c r="BZ66" s="523"/>
      <c r="CA66" s="523"/>
      <c r="CB66" s="523"/>
      <c r="CC66" s="523"/>
      <c r="CD66" s="523"/>
      <c r="CE66" s="523"/>
      <c r="CF66" s="523"/>
      <c r="CG66" s="523"/>
      <c r="CH66" s="523"/>
      <c r="CI66" s="523">
        <f t="shared" si="3"/>
        <v>0</v>
      </c>
    </row>
    <row r="67" spans="1:87" x14ac:dyDescent="0.2">
      <c r="A67" s="449" t="s">
        <v>1406</v>
      </c>
      <c r="B67" s="450"/>
      <c r="C67" s="450"/>
      <c r="D67" s="451" t="s">
        <v>1407</v>
      </c>
      <c r="E67" s="465"/>
      <c r="F67" s="468"/>
      <c r="G67" s="465"/>
      <c r="H67" s="465"/>
      <c r="I67" s="465"/>
      <c r="J67" s="474"/>
      <c r="K67" s="474"/>
      <c r="L67" s="452">
        <f>L68</f>
        <v>912.59</v>
      </c>
      <c r="M67" s="468">
        <f>M68</f>
        <v>912.58799999999997</v>
      </c>
      <c r="N67" s="467">
        <f>N68</f>
        <v>1825.1759999999999</v>
      </c>
      <c r="O67" s="469">
        <f>O68</f>
        <v>0</v>
      </c>
      <c r="P67" s="459">
        <f t="shared" si="1"/>
        <v>1.9999956168706647</v>
      </c>
      <c r="S67" s="189">
        <v>0</v>
      </c>
      <c r="T67" s="189">
        <v>33.9</v>
      </c>
      <c r="BU67" s="523"/>
      <c r="BV67" s="523"/>
      <c r="BW67" s="523"/>
      <c r="BX67" s="523">
        <v>33.9</v>
      </c>
      <c r="BY67" s="523">
        <v>33.9</v>
      </c>
      <c r="BZ67" s="523"/>
      <c r="CA67" s="523"/>
      <c r="CB67" s="523"/>
      <c r="CC67" s="523"/>
      <c r="CD67" s="523"/>
      <c r="CE67" s="523"/>
      <c r="CF67" s="523"/>
      <c r="CG67" s="523"/>
      <c r="CH67" s="523"/>
      <c r="CI67" s="523">
        <f t="shared" si="3"/>
        <v>67.8</v>
      </c>
    </row>
    <row r="68" spans="1:87" s="514" customFormat="1" x14ac:dyDescent="0.2">
      <c r="A68" s="125" t="s">
        <v>1408</v>
      </c>
      <c r="B68" s="126" t="s">
        <v>1409</v>
      </c>
      <c r="C68" s="126" t="s">
        <v>1324</v>
      </c>
      <c r="D68" s="127" t="s">
        <v>1410</v>
      </c>
      <c r="E68" s="128" t="s">
        <v>81</v>
      </c>
      <c r="F68" s="137">
        <v>329.55</v>
      </c>
      <c r="G68" s="130">
        <v>26.92</v>
      </c>
      <c r="H68" s="128">
        <v>33.9</v>
      </c>
      <c r="I68" s="132">
        <f t="shared" si="11"/>
        <v>33.9</v>
      </c>
      <c r="J68" s="374">
        <f t="shared" si="5"/>
        <v>67.8</v>
      </c>
      <c r="K68" s="116">
        <f>0</f>
        <v>0</v>
      </c>
      <c r="L68" s="131">
        <f>ROUND(H68*G68,2)</f>
        <v>912.59</v>
      </c>
      <c r="M68" s="131">
        <f>I68*G68</f>
        <v>912.58799999999997</v>
      </c>
      <c r="N68" s="386">
        <f>J68*G68</f>
        <v>1825.1759999999999</v>
      </c>
      <c r="O68" s="375">
        <f>0</f>
        <v>0</v>
      </c>
      <c r="P68" s="136">
        <f t="shared" si="1"/>
        <v>1.9999956168706647</v>
      </c>
      <c r="S68" s="190">
        <v>0</v>
      </c>
      <c r="T68" s="190">
        <v>0</v>
      </c>
      <c r="BU68" s="523"/>
      <c r="BV68" s="523">
        <v>0</v>
      </c>
      <c r="BW68" s="523">
        <v>0</v>
      </c>
      <c r="BX68" s="523">
        <v>33.9</v>
      </c>
      <c r="BY68" s="523">
        <v>33.9</v>
      </c>
      <c r="BZ68" s="523"/>
      <c r="CA68" s="523"/>
      <c r="CB68" s="523"/>
      <c r="CC68" s="523"/>
      <c r="CD68" s="523"/>
      <c r="CE68" s="523"/>
      <c r="CF68" s="523"/>
      <c r="CG68" s="523"/>
      <c r="CH68" s="523"/>
      <c r="CI68" s="523">
        <f t="shared" si="3"/>
        <v>67.8</v>
      </c>
    </row>
    <row r="69" spans="1:87" s="514" customFormat="1" x14ac:dyDescent="0.2">
      <c r="A69" s="412">
        <v>5</v>
      </c>
      <c r="B69" s="413"/>
      <c r="C69" s="413"/>
      <c r="D69" s="414" t="s">
        <v>1411</v>
      </c>
      <c r="E69" s="415"/>
      <c r="F69" s="417"/>
      <c r="G69" s="418"/>
      <c r="H69" s="416"/>
      <c r="I69" s="420"/>
      <c r="J69" s="421"/>
      <c r="K69" s="420"/>
      <c r="L69" s="424">
        <f>SUM(L70,L72,L75)</f>
        <v>31428.92</v>
      </c>
      <c r="M69" s="424">
        <f>SUM(M72,M75)</f>
        <v>9890.1677</v>
      </c>
      <c r="N69" s="432">
        <f>J69*G69</f>
        <v>0</v>
      </c>
      <c r="O69" s="422">
        <f>L69-N69</f>
        <v>31428.92</v>
      </c>
      <c r="P69" s="423">
        <f t="shared" si="1"/>
        <v>0</v>
      </c>
      <c r="S69" s="190">
        <v>0</v>
      </c>
      <c r="T69" s="190">
        <v>0</v>
      </c>
      <c r="BU69" s="523"/>
      <c r="BV69" s="523"/>
      <c r="BW69" s="523"/>
      <c r="BX69" s="523">
        <v>0</v>
      </c>
      <c r="BY69" s="523">
        <v>0</v>
      </c>
      <c r="BZ69" s="523"/>
      <c r="CA69" s="523"/>
      <c r="CB69" s="523"/>
      <c r="CC69" s="523"/>
      <c r="CD69" s="523"/>
      <c r="CE69" s="523"/>
      <c r="CF69" s="523"/>
      <c r="CG69" s="523"/>
      <c r="CH69" s="523"/>
      <c r="CI69" s="523">
        <f t="shared" si="3"/>
        <v>0</v>
      </c>
    </row>
    <row r="70" spans="1:87" x14ac:dyDescent="0.2">
      <c r="A70" s="449" t="s">
        <v>98</v>
      </c>
      <c r="B70" s="450"/>
      <c r="C70" s="450"/>
      <c r="D70" s="451" t="s">
        <v>1412</v>
      </c>
      <c r="E70" s="465"/>
      <c r="F70" s="468"/>
      <c r="G70" s="465"/>
      <c r="H70" s="465"/>
      <c r="I70" s="465"/>
      <c r="J70" s="474"/>
      <c r="K70" s="474"/>
      <c r="L70" s="452">
        <f>L71</f>
        <v>7200.78</v>
      </c>
      <c r="M70" s="468">
        <f>M71</f>
        <v>0</v>
      </c>
      <c r="N70" s="467">
        <f>N71</f>
        <v>0</v>
      </c>
      <c r="O70" s="469">
        <f>O71</f>
        <v>7200.78</v>
      </c>
      <c r="P70" s="459">
        <f t="shared" si="1"/>
        <v>0</v>
      </c>
      <c r="S70" s="189">
        <v>0</v>
      </c>
      <c r="T70" s="189">
        <v>0</v>
      </c>
      <c r="BU70" s="523"/>
      <c r="BV70" s="523"/>
      <c r="BW70" s="523"/>
      <c r="BX70" s="523">
        <v>0</v>
      </c>
      <c r="BY70" s="523">
        <v>0</v>
      </c>
      <c r="BZ70" s="523"/>
      <c r="CA70" s="523"/>
      <c r="CB70" s="523"/>
      <c r="CC70" s="523"/>
      <c r="CD70" s="523"/>
      <c r="CE70" s="523"/>
      <c r="CF70" s="523"/>
      <c r="CG70" s="523"/>
      <c r="CH70" s="523"/>
      <c r="CI70" s="523">
        <f t="shared" si="3"/>
        <v>0</v>
      </c>
    </row>
    <row r="71" spans="1:87" s="514" customFormat="1" ht="25.5" x14ac:dyDescent="0.2">
      <c r="A71" s="125" t="s">
        <v>100</v>
      </c>
      <c r="B71" s="126" t="s">
        <v>1413</v>
      </c>
      <c r="C71" s="126" t="s">
        <v>1324</v>
      </c>
      <c r="D71" s="127" t="s">
        <v>1414</v>
      </c>
      <c r="E71" s="128" t="s">
        <v>14</v>
      </c>
      <c r="F71" s="137">
        <v>222.6</v>
      </c>
      <c r="G71" s="130">
        <v>53.45</v>
      </c>
      <c r="H71" s="128">
        <v>134.72</v>
      </c>
      <c r="I71" s="132">
        <f>BY71</f>
        <v>0</v>
      </c>
      <c r="J71" s="374">
        <f t="shared" si="5"/>
        <v>0</v>
      </c>
      <c r="K71" s="168">
        <f>H71-J71</f>
        <v>134.72</v>
      </c>
      <c r="L71" s="131">
        <f>ROUND(H71*G71,2)</f>
        <v>7200.78</v>
      </c>
      <c r="M71" s="131">
        <f>I71*G71</f>
        <v>0</v>
      </c>
      <c r="N71" s="386">
        <f>J71*G71</f>
        <v>0</v>
      </c>
      <c r="O71" s="375">
        <f>L71-N71</f>
        <v>7200.78</v>
      </c>
      <c r="P71" s="136">
        <f t="shared" si="1"/>
        <v>0</v>
      </c>
      <c r="S71" s="190">
        <v>0</v>
      </c>
      <c r="T71" s="190">
        <v>328.62</v>
      </c>
      <c r="BU71" s="523"/>
      <c r="BV71" s="523">
        <v>0</v>
      </c>
      <c r="BW71" s="523">
        <v>0</v>
      </c>
      <c r="BX71" s="523">
        <v>0</v>
      </c>
      <c r="BY71" s="523">
        <v>0</v>
      </c>
      <c r="BZ71" s="523"/>
      <c r="CA71" s="523"/>
      <c r="CB71" s="523"/>
      <c r="CC71" s="523"/>
      <c r="CD71" s="523"/>
      <c r="CE71" s="523"/>
      <c r="CF71" s="523"/>
      <c r="CG71" s="523"/>
      <c r="CH71" s="523"/>
      <c r="CI71" s="523">
        <f t="shared" si="3"/>
        <v>0</v>
      </c>
    </row>
    <row r="72" spans="1:87" x14ac:dyDescent="0.2">
      <c r="A72" s="449" t="s">
        <v>116</v>
      </c>
      <c r="B72" s="450"/>
      <c r="C72" s="450"/>
      <c r="D72" s="451" t="s">
        <v>1415</v>
      </c>
      <c r="E72" s="465"/>
      <c r="F72" s="468"/>
      <c r="G72" s="465"/>
      <c r="H72" s="465"/>
      <c r="I72" s="465"/>
      <c r="J72" s="474"/>
      <c r="K72" s="474"/>
      <c r="L72" s="468">
        <f>SUM(L73:L74)</f>
        <v>15726.869999999999</v>
      </c>
      <c r="M72" s="468">
        <f>SUM(M73:M74)</f>
        <v>9890.1677</v>
      </c>
      <c r="N72" s="467">
        <f>SUM(N73:N74)-0.01</f>
        <v>25616.922920000005</v>
      </c>
      <c r="O72" s="469">
        <f>SUM(O73:O74)</f>
        <v>0</v>
      </c>
      <c r="P72" s="459">
        <f t="shared" si="1"/>
        <v>1.6288633987563963</v>
      </c>
      <c r="S72" s="189">
        <v>0</v>
      </c>
      <c r="T72" s="189">
        <v>259.22000000000003</v>
      </c>
      <c r="BU72" s="523"/>
      <c r="BV72" s="523"/>
      <c r="BW72" s="523"/>
      <c r="BX72" s="523">
        <v>224.93</v>
      </c>
      <c r="BY72" s="523">
        <v>224.93</v>
      </c>
      <c r="BZ72" s="523"/>
      <c r="CA72" s="523"/>
      <c r="CB72" s="523"/>
      <c r="CC72" s="523"/>
      <c r="CD72" s="523"/>
      <c r="CE72" s="523"/>
      <c r="CF72" s="523"/>
      <c r="CG72" s="523"/>
      <c r="CH72" s="523"/>
      <c r="CI72" s="523">
        <f t="shared" si="3"/>
        <v>449.86</v>
      </c>
    </row>
    <row r="73" spans="1:87" ht="25.5" x14ac:dyDescent="0.2">
      <c r="A73" s="125" t="s">
        <v>118</v>
      </c>
      <c r="B73" s="126">
        <v>87519</v>
      </c>
      <c r="C73" s="126" t="s">
        <v>1324</v>
      </c>
      <c r="D73" s="127" t="s">
        <v>1416</v>
      </c>
      <c r="E73" s="128" t="s">
        <v>14</v>
      </c>
      <c r="F73" s="137">
        <v>378.98</v>
      </c>
      <c r="G73" s="130">
        <v>56.29</v>
      </c>
      <c r="H73" s="128">
        <v>259.22000000000003</v>
      </c>
      <c r="I73" s="132">
        <f>BY73</f>
        <v>155.53</v>
      </c>
      <c r="J73" s="374">
        <f t="shared" si="5"/>
        <v>414.74800000000005</v>
      </c>
      <c r="K73" s="116">
        <f>0</f>
        <v>0</v>
      </c>
      <c r="L73" s="131">
        <f>ROUND(H73*G73,2)</f>
        <v>14591.49</v>
      </c>
      <c r="M73" s="131">
        <f>I73*G73</f>
        <v>8754.7837</v>
      </c>
      <c r="N73" s="386">
        <f>J73*G73</f>
        <v>23346.164920000003</v>
      </c>
      <c r="O73" s="375">
        <f>0</f>
        <v>0</v>
      </c>
      <c r="P73" s="136">
        <f t="shared" si="1"/>
        <v>1.5999849857691026</v>
      </c>
      <c r="S73" s="189">
        <v>0</v>
      </c>
      <c r="T73" s="189">
        <v>69.400000000000006</v>
      </c>
      <c r="BU73" s="523"/>
      <c r="BV73" s="523">
        <v>0</v>
      </c>
      <c r="BW73" s="523">
        <v>103.68800000000002</v>
      </c>
      <c r="BX73" s="523">
        <v>155.53</v>
      </c>
      <c r="BY73" s="523">
        <v>155.53</v>
      </c>
      <c r="BZ73" s="523"/>
      <c r="CA73" s="523"/>
      <c r="CB73" s="523"/>
      <c r="CC73" s="523"/>
      <c r="CD73" s="523"/>
      <c r="CE73" s="523"/>
      <c r="CF73" s="523"/>
      <c r="CG73" s="523"/>
      <c r="CH73" s="523"/>
      <c r="CI73" s="523">
        <f t="shared" si="3"/>
        <v>414.74800000000005</v>
      </c>
    </row>
    <row r="74" spans="1:87" s="514" customFormat="1" ht="38.25" x14ac:dyDescent="0.2">
      <c r="A74" s="125" t="s">
        <v>123</v>
      </c>
      <c r="B74" s="126" t="s">
        <v>1417</v>
      </c>
      <c r="C74" s="126" t="s">
        <v>1324</v>
      </c>
      <c r="D74" s="127" t="s">
        <v>1418</v>
      </c>
      <c r="E74" s="128" t="s">
        <v>81</v>
      </c>
      <c r="F74" s="137">
        <v>421.82</v>
      </c>
      <c r="G74" s="130">
        <v>16.36</v>
      </c>
      <c r="H74" s="128">
        <v>69.400000000000006</v>
      </c>
      <c r="I74" s="132">
        <f>BY74</f>
        <v>69.400000000000006</v>
      </c>
      <c r="J74" s="374">
        <f t="shared" si="5"/>
        <v>138.80000000000001</v>
      </c>
      <c r="K74" s="116">
        <f>0</f>
        <v>0</v>
      </c>
      <c r="L74" s="131">
        <f>ROUND(H74*G74,2)</f>
        <v>1135.3800000000001</v>
      </c>
      <c r="M74" s="131">
        <f>I74*G74</f>
        <v>1135.384</v>
      </c>
      <c r="N74" s="386">
        <f>J74*G74</f>
        <v>2270.768</v>
      </c>
      <c r="O74" s="375">
        <f>0</f>
        <v>0</v>
      </c>
      <c r="P74" s="136">
        <f t="shared" si="1"/>
        <v>2.0000070460991033</v>
      </c>
      <c r="S74" s="190">
        <v>0</v>
      </c>
      <c r="T74" s="190">
        <v>0</v>
      </c>
      <c r="BU74" s="523"/>
      <c r="BV74" s="523">
        <v>0</v>
      </c>
      <c r="BW74" s="523">
        <v>0</v>
      </c>
      <c r="BX74" s="523">
        <v>69.400000000000006</v>
      </c>
      <c r="BY74" s="523">
        <v>69.400000000000006</v>
      </c>
      <c r="BZ74" s="523"/>
      <c r="CA74" s="523"/>
      <c r="CB74" s="523"/>
      <c r="CC74" s="523"/>
      <c r="CD74" s="523"/>
      <c r="CE74" s="523"/>
      <c r="CF74" s="523"/>
      <c r="CG74" s="523"/>
      <c r="CH74" s="523"/>
      <c r="CI74" s="523">
        <f t="shared" si="3"/>
        <v>138.80000000000001</v>
      </c>
    </row>
    <row r="75" spans="1:87" x14ac:dyDescent="0.2">
      <c r="A75" s="449" t="s">
        <v>1419</v>
      </c>
      <c r="B75" s="450"/>
      <c r="C75" s="450"/>
      <c r="D75" s="451" t="s">
        <v>1420</v>
      </c>
      <c r="E75" s="465"/>
      <c r="F75" s="468"/>
      <c r="G75" s="465"/>
      <c r="H75" s="465"/>
      <c r="I75" s="465"/>
      <c r="J75" s="474"/>
      <c r="K75" s="474"/>
      <c r="L75" s="468">
        <f>L76</f>
        <v>8501.27</v>
      </c>
      <c r="M75" s="468">
        <f>M76</f>
        <v>0</v>
      </c>
      <c r="N75" s="467">
        <f>N76</f>
        <v>0</v>
      </c>
      <c r="O75" s="469">
        <f>L75</f>
        <v>8501.27</v>
      </c>
      <c r="P75" s="459">
        <f t="shared" si="1"/>
        <v>0</v>
      </c>
      <c r="S75" s="189">
        <v>0</v>
      </c>
      <c r="T75" s="189">
        <v>0</v>
      </c>
      <c r="BU75" s="523"/>
      <c r="BV75" s="523"/>
      <c r="BW75" s="523"/>
      <c r="BX75" s="523">
        <v>0</v>
      </c>
      <c r="BY75" s="523">
        <v>0</v>
      </c>
      <c r="BZ75" s="523"/>
      <c r="CA75" s="523"/>
      <c r="CB75" s="523"/>
      <c r="CC75" s="523"/>
      <c r="CD75" s="523"/>
      <c r="CE75" s="523"/>
      <c r="CF75" s="523"/>
      <c r="CG75" s="523"/>
      <c r="CH75" s="523"/>
      <c r="CI75" s="523">
        <f t="shared" si="3"/>
        <v>0</v>
      </c>
    </row>
    <row r="76" spans="1:87" ht="25.5" x14ac:dyDescent="0.2">
      <c r="A76" s="125" t="s">
        <v>1421</v>
      </c>
      <c r="B76" s="126" t="s">
        <v>1422</v>
      </c>
      <c r="C76" s="126" t="s">
        <v>1324</v>
      </c>
      <c r="D76" s="127" t="s">
        <v>1423</v>
      </c>
      <c r="E76" s="128" t="s">
        <v>14</v>
      </c>
      <c r="F76" s="138"/>
      <c r="G76" s="130">
        <v>57.41</v>
      </c>
      <c r="H76" s="128">
        <v>148.08000000000001</v>
      </c>
      <c r="I76" s="132">
        <f>BY76</f>
        <v>0</v>
      </c>
      <c r="J76" s="374">
        <f t="shared" si="5"/>
        <v>0</v>
      </c>
      <c r="K76" s="128">
        <f>H76</f>
        <v>148.08000000000001</v>
      </c>
      <c r="L76" s="131">
        <f>ROUND(H76*G76,2)</f>
        <v>8501.27</v>
      </c>
      <c r="M76" s="149">
        <f>M77</f>
        <v>0</v>
      </c>
      <c r="N76" s="386">
        <f>N77</f>
        <v>0</v>
      </c>
      <c r="O76" s="377">
        <f>L76</f>
        <v>8501.27</v>
      </c>
      <c r="P76" s="136">
        <f t="shared" si="1"/>
        <v>0</v>
      </c>
      <c r="S76" s="189">
        <v>0</v>
      </c>
      <c r="T76" s="189">
        <v>0</v>
      </c>
      <c r="BU76" s="523"/>
      <c r="BV76" s="523">
        <v>0</v>
      </c>
      <c r="BW76" s="523">
        <v>0</v>
      </c>
      <c r="BX76" s="523">
        <v>0</v>
      </c>
      <c r="BY76" s="523">
        <v>0</v>
      </c>
      <c r="BZ76" s="523"/>
      <c r="CA76" s="523"/>
      <c r="CB76" s="523"/>
      <c r="CC76" s="523"/>
      <c r="CD76" s="523"/>
      <c r="CE76" s="523"/>
      <c r="CF76" s="523"/>
      <c r="CG76" s="523"/>
      <c r="CH76" s="523"/>
      <c r="CI76" s="523">
        <f t="shared" si="3"/>
        <v>0</v>
      </c>
    </row>
    <row r="77" spans="1:87" s="514" customFormat="1" x14ac:dyDescent="0.2">
      <c r="A77" s="412">
        <v>6</v>
      </c>
      <c r="B77" s="413"/>
      <c r="C77" s="413"/>
      <c r="D77" s="414" t="s">
        <v>97</v>
      </c>
      <c r="E77" s="415"/>
      <c r="F77" s="417"/>
      <c r="G77" s="418"/>
      <c r="H77" s="416"/>
      <c r="I77" s="420"/>
      <c r="J77" s="421"/>
      <c r="K77" s="420"/>
      <c r="L77" s="433">
        <f>SUM(L78,L83,L87,L90)</f>
        <v>10373.979999999998</v>
      </c>
      <c r="M77" s="433">
        <f>SUM(M78,M83,M87,M90)</f>
        <v>0</v>
      </c>
      <c r="N77" s="432">
        <f>SUM(N78,N83,N87,N90)</f>
        <v>0</v>
      </c>
      <c r="O77" s="434">
        <f>SUM(O78,O83,O87,O90)</f>
        <v>10373.979999999998</v>
      </c>
      <c r="P77" s="423">
        <f t="shared" si="1"/>
        <v>0</v>
      </c>
      <c r="S77" s="190">
        <v>0</v>
      </c>
      <c r="T77" s="190">
        <v>0</v>
      </c>
      <c r="BU77" s="523"/>
      <c r="BV77" s="523"/>
      <c r="BW77" s="523"/>
      <c r="BX77" s="523">
        <v>0</v>
      </c>
      <c r="BY77" s="523">
        <v>0</v>
      </c>
      <c r="BZ77" s="523"/>
      <c r="CA77" s="523"/>
      <c r="CB77" s="523"/>
      <c r="CC77" s="523"/>
      <c r="CD77" s="523"/>
      <c r="CE77" s="523"/>
      <c r="CF77" s="523"/>
      <c r="CG77" s="523"/>
      <c r="CH77" s="523"/>
      <c r="CI77" s="523">
        <f t="shared" si="3"/>
        <v>0</v>
      </c>
    </row>
    <row r="78" spans="1:87" x14ac:dyDescent="0.2">
      <c r="A78" s="449" t="s">
        <v>186</v>
      </c>
      <c r="B78" s="450"/>
      <c r="C78" s="450"/>
      <c r="D78" s="451" t="s">
        <v>1424</v>
      </c>
      <c r="E78" s="465"/>
      <c r="F78" s="468"/>
      <c r="G78" s="465"/>
      <c r="H78" s="465"/>
      <c r="I78" s="465"/>
      <c r="J78" s="474"/>
      <c r="K78" s="474"/>
      <c r="L78" s="468">
        <f>SUM(L79:L82)</f>
        <v>7440.7899999999991</v>
      </c>
      <c r="M78" s="468">
        <f>SUM(M79:M82)</f>
        <v>0</v>
      </c>
      <c r="N78" s="467">
        <f>SUM(N79:N82)</f>
        <v>0</v>
      </c>
      <c r="O78" s="469">
        <f>SUM(O79:O82)</f>
        <v>7440.7899999999991</v>
      </c>
      <c r="P78" s="459">
        <f t="shared" ref="P78:P87" si="16">N78/L78</f>
        <v>0</v>
      </c>
      <c r="S78" s="189">
        <v>0</v>
      </c>
      <c r="T78" s="189">
        <v>0</v>
      </c>
      <c r="BU78" s="523"/>
      <c r="BV78" s="523"/>
      <c r="BW78" s="523"/>
      <c r="BX78" s="523">
        <v>0</v>
      </c>
      <c r="BY78" s="523">
        <v>0</v>
      </c>
      <c r="BZ78" s="523"/>
      <c r="CA78" s="523"/>
      <c r="CB78" s="523"/>
      <c r="CC78" s="523"/>
      <c r="CD78" s="523"/>
      <c r="CE78" s="523"/>
      <c r="CF78" s="523"/>
      <c r="CG78" s="523"/>
      <c r="CH78" s="523"/>
      <c r="CI78" s="523">
        <f t="shared" si="3"/>
        <v>0</v>
      </c>
    </row>
    <row r="79" spans="1:87" ht="25.5" x14ac:dyDescent="0.2">
      <c r="A79" s="125" t="s">
        <v>1425</v>
      </c>
      <c r="B79" s="126">
        <v>90843</v>
      </c>
      <c r="C79" s="126" t="s">
        <v>1324</v>
      </c>
      <c r="D79" s="127" t="s">
        <v>1426</v>
      </c>
      <c r="E79" s="128" t="s">
        <v>102</v>
      </c>
      <c r="F79" s="129"/>
      <c r="G79" s="130">
        <v>688.65</v>
      </c>
      <c r="H79" s="128">
        <v>2</v>
      </c>
      <c r="I79" s="132">
        <f t="shared" ref="I79:I142" si="17">BY79</f>
        <v>0</v>
      </c>
      <c r="J79" s="374">
        <f t="shared" si="5"/>
        <v>0</v>
      </c>
      <c r="K79" s="137">
        <f>H79-J79</f>
        <v>2</v>
      </c>
      <c r="L79" s="135">
        <f>H79*G79</f>
        <v>1377.3</v>
      </c>
      <c r="M79" s="131">
        <f>I79*G79</f>
        <v>0</v>
      </c>
      <c r="N79" s="386">
        <f>J79*G79</f>
        <v>0</v>
      </c>
      <c r="O79" s="375">
        <f>L79-N79</f>
        <v>1377.3</v>
      </c>
      <c r="P79" s="136">
        <f t="shared" si="16"/>
        <v>0</v>
      </c>
      <c r="S79" s="189">
        <v>0</v>
      </c>
      <c r="T79" s="189">
        <v>0</v>
      </c>
      <c r="BU79" s="523"/>
      <c r="BV79" s="523">
        <v>0</v>
      </c>
      <c r="BW79" s="523">
        <v>0</v>
      </c>
      <c r="BX79" s="523">
        <v>0</v>
      </c>
      <c r="BY79" s="523">
        <v>0</v>
      </c>
      <c r="BZ79" s="523"/>
      <c r="CA79" s="523"/>
      <c r="CB79" s="523"/>
      <c r="CC79" s="523"/>
      <c r="CD79" s="523"/>
      <c r="CE79" s="523"/>
      <c r="CF79" s="523"/>
      <c r="CG79" s="523"/>
      <c r="CH79" s="523"/>
      <c r="CI79" s="523">
        <f t="shared" ref="CI79:CI142" si="18">SUM(BU79:CH79)</f>
        <v>0</v>
      </c>
    </row>
    <row r="80" spans="1:87" ht="25.5" x14ac:dyDescent="0.2">
      <c r="A80" s="125" t="s">
        <v>1427</v>
      </c>
      <c r="B80" s="126">
        <v>90844</v>
      </c>
      <c r="C80" s="126" t="s">
        <v>1324</v>
      </c>
      <c r="D80" s="127" t="s">
        <v>1428</v>
      </c>
      <c r="E80" s="128" t="s">
        <v>102</v>
      </c>
      <c r="F80" s="137">
        <v>179.33</v>
      </c>
      <c r="G80" s="130">
        <v>926.13</v>
      </c>
      <c r="H80" s="128">
        <v>1</v>
      </c>
      <c r="I80" s="133">
        <f t="shared" si="17"/>
        <v>0</v>
      </c>
      <c r="J80" s="374">
        <f t="shared" ref="J80:J143" si="19">CI80</f>
        <v>0</v>
      </c>
      <c r="K80" s="137">
        <f>H80-J80</f>
        <v>1</v>
      </c>
      <c r="L80" s="135">
        <f>H80*G80</f>
        <v>926.13</v>
      </c>
      <c r="M80" s="131">
        <f>I80*G80</f>
        <v>0</v>
      </c>
      <c r="N80" s="386">
        <f>J80*G80</f>
        <v>0</v>
      </c>
      <c r="O80" s="375">
        <f>L80-N80</f>
        <v>926.13</v>
      </c>
      <c r="P80" s="136">
        <f t="shared" si="16"/>
        <v>0</v>
      </c>
      <c r="S80" s="189">
        <v>0</v>
      </c>
      <c r="T80" s="189">
        <v>0</v>
      </c>
      <c r="BU80" s="523"/>
      <c r="BV80" s="523">
        <v>0</v>
      </c>
      <c r="BW80" s="523">
        <v>0</v>
      </c>
      <c r="BX80" s="523">
        <v>0</v>
      </c>
      <c r="BY80" s="523">
        <v>0</v>
      </c>
      <c r="BZ80" s="523"/>
      <c r="CA80" s="523"/>
      <c r="CB80" s="523"/>
      <c r="CC80" s="523"/>
      <c r="CD80" s="523"/>
      <c r="CE80" s="523"/>
      <c r="CF80" s="523"/>
      <c r="CG80" s="523"/>
      <c r="CH80" s="523"/>
      <c r="CI80" s="523">
        <f t="shared" si="18"/>
        <v>0</v>
      </c>
    </row>
    <row r="81" spans="1:87" ht="25.5" x14ac:dyDescent="0.2">
      <c r="A81" s="125" t="s">
        <v>1429</v>
      </c>
      <c r="B81" s="126" t="s">
        <v>1430</v>
      </c>
      <c r="C81" s="126" t="s">
        <v>1324</v>
      </c>
      <c r="D81" s="127" t="s">
        <v>1431</v>
      </c>
      <c r="E81" s="128" t="s">
        <v>102</v>
      </c>
      <c r="F81" s="137">
        <v>268.98</v>
      </c>
      <c r="G81" s="130">
        <v>825.22</v>
      </c>
      <c r="H81" s="128">
        <v>4</v>
      </c>
      <c r="I81" s="133">
        <f t="shared" si="17"/>
        <v>0</v>
      </c>
      <c r="J81" s="374">
        <f t="shared" si="19"/>
        <v>0</v>
      </c>
      <c r="K81" s="137">
        <f>H81-J81</f>
        <v>4</v>
      </c>
      <c r="L81" s="135">
        <f>H81*G81</f>
        <v>3300.88</v>
      </c>
      <c r="M81" s="131">
        <f>I81*G81</f>
        <v>0</v>
      </c>
      <c r="N81" s="386">
        <f>J81*G81</f>
        <v>0</v>
      </c>
      <c r="O81" s="375">
        <f>L81-N81</f>
        <v>3300.88</v>
      </c>
      <c r="P81" s="136">
        <f t="shared" si="16"/>
        <v>0</v>
      </c>
      <c r="S81" s="189">
        <v>0</v>
      </c>
      <c r="T81" s="189">
        <v>0</v>
      </c>
      <c r="BU81" s="523"/>
      <c r="BV81" s="523">
        <v>0</v>
      </c>
      <c r="BW81" s="523">
        <v>0</v>
      </c>
      <c r="BX81" s="523">
        <v>0</v>
      </c>
      <c r="BY81" s="523">
        <v>0</v>
      </c>
      <c r="BZ81" s="523"/>
      <c r="CA81" s="523"/>
      <c r="CB81" s="523"/>
      <c r="CC81" s="523"/>
      <c r="CD81" s="523"/>
      <c r="CE81" s="523"/>
      <c r="CF81" s="523"/>
      <c r="CG81" s="523"/>
      <c r="CH81" s="523"/>
      <c r="CI81" s="523">
        <f t="shared" si="18"/>
        <v>0</v>
      </c>
    </row>
    <row r="82" spans="1:87" s="514" customFormat="1" ht="25.5" x14ac:dyDescent="0.2">
      <c r="A82" s="125" t="s">
        <v>1432</v>
      </c>
      <c r="B82" s="126" t="s">
        <v>1433</v>
      </c>
      <c r="C82" s="126" t="s">
        <v>1324</v>
      </c>
      <c r="D82" s="127" t="s">
        <v>1434</v>
      </c>
      <c r="E82" s="128" t="s">
        <v>102</v>
      </c>
      <c r="F82" s="137">
        <v>134.49</v>
      </c>
      <c r="G82" s="130">
        <v>918.24</v>
      </c>
      <c r="H82" s="128">
        <v>2</v>
      </c>
      <c r="I82" s="133">
        <f t="shared" si="17"/>
        <v>0</v>
      </c>
      <c r="J82" s="374">
        <f t="shared" si="19"/>
        <v>0</v>
      </c>
      <c r="K82" s="137">
        <f>H82-J82</f>
        <v>2</v>
      </c>
      <c r="L82" s="135">
        <f>H82*G82</f>
        <v>1836.48</v>
      </c>
      <c r="M82" s="131">
        <f>I82*G82</f>
        <v>0</v>
      </c>
      <c r="N82" s="386">
        <f>J82*G82</f>
        <v>0</v>
      </c>
      <c r="O82" s="375">
        <f>L82-N82</f>
        <v>1836.48</v>
      </c>
      <c r="P82" s="136">
        <f t="shared" si="16"/>
        <v>0</v>
      </c>
      <c r="S82" s="190">
        <v>0</v>
      </c>
      <c r="T82" s="190">
        <v>0</v>
      </c>
      <c r="BU82" s="523"/>
      <c r="BV82" s="523">
        <v>0</v>
      </c>
      <c r="BW82" s="523">
        <v>0</v>
      </c>
      <c r="BX82" s="523">
        <v>0</v>
      </c>
      <c r="BY82" s="523">
        <v>0</v>
      </c>
      <c r="BZ82" s="523"/>
      <c r="CA82" s="523"/>
      <c r="CB82" s="523"/>
      <c r="CC82" s="523"/>
      <c r="CD82" s="523"/>
      <c r="CE82" s="523"/>
      <c r="CF82" s="523"/>
      <c r="CG82" s="523"/>
      <c r="CH82" s="523"/>
      <c r="CI82" s="523">
        <f t="shared" si="18"/>
        <v>0</v>
      </c>
    </row>
    <row r="83" spans="1:87" x14ac:dyDescent="0.2">
      <c r="A83" s="449" t="s">
        <v>188</v>
      </c>
      <c r="B83" s="450"/>
      <c r="C83" s="450"/>
      <c r="D83" s="451" t="s">
        <v>1435</v>
      </c>
      <c r="E83" s="465"/>
      <c r="F83" s="468"/>
      <c r="G83" s="465"/>
      <c r="H83" s="465"/>
      <c r="I83" s="465"/>
      <c r="J83" s="474"/>
      <c r="K83" s="474"/>
      <c r="L83" s="452">
        <f>SUM(L84:L86)</f>
        <v>773.29</v>
      </c>
      <c r="M83" s="468">
        <f>SUM(M84:M86)</f>
        <v>0</v>
      </c>
      <c r="N83" s="467">
        <f>SUM(N84:N86)</f>
        <v>0</v>
      </c>
      <c r="O83" s="469">
        <f>SUM(O84:O86)</f>
        <v>773.29</v>
      </c>
      <c r="P83" s="459">
        <f t="shared" si="16"/>
        <v>0</v>
      </c>
      <c r="S83" s="189">
        <v>0</v>
      </c>
      <c r="T83" s="189">
        <v>0</v>
      </c>
      <c r="BU83" s="523"/>
      <c r="BV83" s="523"/>
      <c r="BW83" s="523"/>
      <c r="BX83" s="523">
        <v>0</v>
      </c>
      <c r="BY83" s="523">
        <v>0</v>
      </c>
      <c r="BZ83" s="523"/>
      <c r="CA83" s="523"/>
      <c r="CB83" s="523"/>
      <c r="CC83" s="523"/>
      <c r="CD83" s="523"/>
      <c r="CE83" s="523"/>
      <c r="CF83" s="523"/>
      <c r="CG83" s="523"/>
      <c r="CH83" s="523"/>
      <c r="CI83" s="523">
        <f t="shared" si="18"/>
        <v>0</v>
      </c>
    </row>
    <row r="84" spans="1:87" ht="25.5" x14ac:dyDescent="0.2">
      <c r="A84" s="125" t="s">
        <v>1436</v>
      </c>
      <c r="B84" s="126" t="s">
        <v>2007</v>
      </c>
      <c r="C84" s="126" t="s">
        <v>1339</v>
      </c>
      <c r="D84" s="127" t="s">
        <v>1437</v>
      </c>
      <c r="E84" s="128" t="s">
        <v>81</v>
      </c>
      <c r="F84" s="137">
        <v>627.62</v>
      </c>
      <c r="G84" s="130">
        <v>48.24</v>
      </c>
      <c r="H84" s="128">
        <v>11.6</v>
      </c>
      <c r="I84" s="133">
        <f t="shared" si="17"/>
        <v>0</v>
      </c>
      <c r="J84" s="374">
        <f t="shared" si="19"/>
        <v>0</v>
      </c>
      <c r="K84" s="137">
        <f t="shared" ref="K84:K91" si="20">H84-J84</f>
        <v>11.6</v>
      </c>
      <c r="L84" s="131">
        <f>ROUND(H84*G84,2)</f>
        <v>559.58000000000004</v>
      </c>
      <c r="M84" s="131">
        <f t="shared" ref="M84:M91" si="21">I84*G84</f>
        <v>0</v>
      </c>
      <c r="N84" s="386">
        <f t="shared" ref="N84:N91" si="22">J84*G84</f>
        <v>0</v>
      </c>
      <c r="O84" s="375">
        <f t="shared" ref="O84:O91" si="23">L84-N84</f>
        <v>559.58000000000004</v>
      </c>
      <c r="P84" s="136">
        <f t="shared" si="16"/>
        <v>0</v>
      </c>
      <c r="S84" s="189">
        <v>0</v>
      </c>
      <c r="T84" s="189">
        <v>0</v>
      </c>
      <c r="BU84" s="523"/>
      <c r="BV84" s="523">
        <v>0</v>
      </c>
      <c r="BW84" s="523">
        <v>0</v>
      </c>
      <c r="BX84" s="523">
        <v>0</v>
      </c>
      <c r="BY84" s="523">
        <v>0</v>
      </c>
      <c r="BZ84" s="523"/>
      <c r="CA84" s="523"/>
      <c r="CB84" s="523"/>
      <c r="CC84" s="523"/>
      <c r="CD84" s="523"/>
      <c r="CE84" s="523"/>
      <c r="CF84" s="523"/>
      <c r="CG84" s="523"/>
      <c r="CH84" s="523"/>
      <c r="CI84" s="523">
        <f t="shared" si="18"/>
        <v>0</v>
      </c>
    </row>
    <row r="85" spans="1:87" ht="25.5" x14ac:dyDescent="0.2">
      <c r="A85" s="125" t="s">
        <v>1438</v>
      </c>
      <c r="B85" s="126" t="s">
        <v>2007</v>
      </c>
      <c r="C85" s="126" t="s">
        <v>1339</v>
      </c>
      <c r="D85" s="127" t="s">
        <v>1439</v>
      </c>
      <c r="E85" s="128" t="s">
        <v>14</v>
      </c>
      <c r="F85" s="137">
        <v>358.64</v>
      </c>
      <c r="G85" s="130">
        <v>5.44</v>
      </c>
      <c r="H85" s="128">
        <v>4.3</v>
      </c>
      <c r="I85" s="133">
        <f t="shared" si="17"/>
        <v>0</v>
      </c>
      <c r="J85" s="374">
        <f t="shared" si="19"/>
        <v>0</v>
      </c>
      <c r="K85" s="137">
        <f t="shared" si="20"/>
        <v>4.3</v>
      </c>
      <c r="L85" s="131">
        <f>ROUND(H85*G85,2)</f>
        <v>23.39</v>
      </c>
      <c r="M85" s="131">
        <f t="shared" si="21"/>
        <v>0</v>
      </c>
      <c r="N85" s="386">
        <f t="shared" si="22"/>
        <v>0</v>
      </c>
      <c r="O85" s="375">
        <f t="shared" si="23"/>
        <v>23.39</v>
      </c>
      <c r="P85" s="136">
        <f t="shared" si="16"/>
        <v>0</v>
      </c>
      <c r="S85" s="189">
        <v>0</v>
      </c>
      <c r="T85" s="189">
        <v>0</v>
      </c>
      <c r="BU85" s="523"/>
      <c r="BV85" s="523">
        <v>0</v>
      </c>
      <c r="BW85" s="523">
        <v>0</v>
      </c>
      <c r="BX85" s="523">
        <v>0</v>
      </c>
      <c r="BY85" s="523">
        <v>0</v>
      </c>
      <c r="BZ85" s="523"/>
      <c r="CA85" s="523"/>
      <c r="CB85" s="523"/>
      <c r="CC85" s="523"/>
      <c r="CD85" s="523"/>
      <c r="CE85" s="523"/>
      <c r="CF85" s="523"/>
      <c r="CG85" s="523"/>
      <c r="CH85" s="523"/>
      <c r="CI85" s="523">
        <f t="shared" si="18"/>
        <v>0</v>
      </c>
    </row>
    <row r="86" spans="1:87" s="514" customFormat="1" x14ac:dyDescent="0.2">
      <c r="A86" s="125" t="s">
        <v>1440</v>
      </c>
      <c r="B86" s="126" t="s">
        <v>1441</v>
      </c>
      <c r="C86" s="126" t="s">
        <v>1324</v>
      </c>
      <c r="D86" s="127" t="s">
        <v>1442</v>
      </c>
      <c r="E86" s="128" t="s">
        <v>102</v>
      </c>
      <c r="F86" s="137">
        <v>448.3</v>
      </c>
      <c r="G86" s="130">
        <v>31.72</v>
      </c>
      <c r="H86" s="128">
        <v>6</v>
      </c>
      <c r="I86" s="133">
        <f t="shared" si="17"/>
        <v>0</v>
      </c>
      <c r="J86" s="374">
        <f t="shared" si="19"/>
        <v>0</v>
      </c>
      <c r="K86" s="137">
        <f t="shared" si="20"/>
        <v>6</v>
      </c>
      <c r="L86" s="131">
        <f>ROUND(H86*G86,2)</f>
        <v>190.32</v>
      </c>
      <c r="M86" s="131">
        <f t="shared" si="21"/>
        <v>0</v>
      </c>
      <c r="N86" s="386">
        <f t="shared" si="22"/>
        <v>0</v>
      </c>
      <c r="O86" s="375">
        <f t="shared" si="23"/>
        <v>190.32</v>
      </c>
      <c r="P86" s="136">
        <f t="shared" si="16"/>
        <v>0</v>
      </c>
      <c r="S86" s="190">
        <v>0</v>
      </c>
      <c r="T86" s="190">
        <v>0</v>
      </c>
      <c r="BU86" s="523"/>
      <c r="BV86" s="523">
        <v>0</v>
      </c>
      <c r="BW86" s="523">
        <v>0</v>
      </c>
      <c r="BX86" s="523">
        <v>0</v>
      </c>
      <c r="BY86" s="523">
        <v>0</v>
      </c>
      <c r="BZ86" s="523"/>
      <c r="CA86" s="523"/>
      <c r="CB86" s="523"/>
      <c r="CC86" s="523"/>
      <c r="CD86" s="523"/>
      <c r="CE86" s="523"/>
      <c r="CF86" s="523"/>
      <c r="CG86" s="523"/>
      <c r="CH86" s="523"/>
      <c r="CI86" s="523">
        <f t="shared" si="18"/>
        <v>0</v>
      </c>
    </row>
    <row r="87" spans="1:87" x14ac:dyDescent="0.2">
      <c r="A87" s="449" t="s">
        <v>1443</v>
      </c>
      <c r="B87" s="450"/>
      <c r="C87" s="450"/>
      <c r="D87" s="451" t="s">
        <v>1444</v>
      </c>
      <c r="E87" s="465"/>
      <c r="F87" s="468"/>
      <c r="G87" s="465"/>
      <c r="H87" s="465"/>
      <c r="I87" s="465"/>
      <c r="J87" s="474"/>
      <c r="K87" s="474"/>
      <c r="L87" s="460">
        <f>L89</f>
        <v>331.68</v>
      </c>
      <c r="M87" s="460">
        <f t="shared" si="21"/>
        <v>0</v>
      </c>
      <c r="N87" s="467">
        <f t="shared" si="22"/>
        <v>0</v>
      </c>
      <c r="O87" s="458">
        <f t="shared" si="23"/>
        <v>331.68</v>
      </c>
      <c r="P87" s="459">
        <f t="shared" si="16"/>
        <v>0</v>
      </c>
      <c r="S87" s="189">
        <v>0</v>
      </c>
      <c r="T87" s="189">
        <v>0</v>
      </c>
      <c r="BU87" s="523"/>
      <c r="BV87" s="523"/>
      <c r="BW87" s="523"/>
      <c r="BX87" s="523">
        <v>0</v>
      </c>
      <c r="BY87" s="523">
        <v>0</v>
      </c>
      <c r="BZ87" s="523"/>
      <c r="CA87" s="523"/>
      <c r="CB87" s="523"/>
      <c r="CC87" s="523"/>
      <c r="CD87" s="523"/>
      <c r="CE87" s="523"/>
      <c r="CF87" s="523"/>
      <c r="CG87" s="523"/>
      <c r="CH87" s="523"/>
      <c r="CI87" s="523">
        <f t="shared" si="18"/>
        <v>0</v>
      </c>
    </row>
    <row r="88" spans="1:87" x14ac:dyDescent="0.2">
      <c r="A88" s="125" t="s">
        <v>1445</v>
      </c>
      <c r="B88" s="126">
        <v>68052</v>
      </c>
      <c r="C88" s="126" t="s">
        <v>1324</v>
      </c>
      <c r="D88" s="397" t="s">
        <v>1446</v>
      </c>
      <c r="E88" s="128" t="s">
        <v>14</v>
      </c>
      <c r="F88" s="137">
        <v>390.13</v>
      </c>
      <c r="G88" s="130">
        <v>0</v>
      </c>
      <c r="H88" s="128">
        <v>10.8</v>
      </c>
      <c r="I88" s="133">
        <f t="shared" si="17"/>
        <v>0</v>
      </c>
      <c r="J88" s="374">
        <f t="shared" si="19"/>
        <v>0</v>
      </c>
      <c r="K88" s="137">
        <f t="shared" si="20"/>
        <v>10.8</v>
      </c>
      <c r="L88" s="131">
        <f>ROUND(H88*G88,2)</f>
        <v>0</v>
      </c>
      <c r="M88" s="131">
        <f t="shared" si="21"/>
        <v>0</v>
      </c>
      <c r="N88" s="386">
        <f t="shared" si="22"/>
        <v>0</v>
      </c>
      <c r="O88" s="375">
        <f t="shared" si="23"/>
        <v>0</v>
      </c>
      <c r="P88" s="136">
        <v>1</v>
      </c>
      <c r="S88" s="189">
        <v>0</v>
      </c>
      <c r="T88" s="189">
        <v>0</v>
      </c>
      <c r="BU88" s="523"/>
      <c r="BV88" s="523">
        <v>0</v>
      </c>
      <c r="BW88" s="523">
        <v>0</v>
      </c>
      <c r="BX88" s="523">
        <v>0</v>
      </c>
      <c r="BY88" s="523">
        <v>0</v>
      </c>
      <c r="BZ88" s="523"/>
      <c r="CA88" s="523"/>
      <c r="CB88" s="523"/>
      <c r="CC88" s="523"/>
      <c r="CD88" s="523"/>
      <c r="CE88" s="523"/>
      <c r="CF88" s="523"/>
      <c r="CG88" s="523"/>
      <c r="CH88" s="523"/>
      <c r="CI88" s="523">
        <f t="shared" si="18"/>
        <v>0</v>
      </c>
    </row>
    <row r="89" spans="1:87" s="514" customFormat="1" ht="25.5" x14ac:dyDescent="0.2">
      <c r="A89" s="125" t="s">
        <v>1447</v>
      </c>
      <c r="B89" s="126">
        <v>85010</v>
      </c>
      <c r="C89" s="126" t="s">
        <v>1324</v>
      </c>
      <c r="D89" s="127" t="s">
        <v>1448</v>
      </c>
      <c r="E89" s="128" t="s">
        <v>14</v>
      </c>
      <c r="F89" s="137">
        <v>975.33</v>
      </c>
      <c r="G89" s="130">
        <v>159.46</v>
      </c>
      <c r="H89" s="128">
        <v>2.08</v>
      </c>
      <c r="I89" s="133">
        <f t="shared" si="17"/>
        <v>0</v>
      </c>
      <c r="J89" s="374">
        <f t="shared" si="19"/>
        <v>0</v>
      </c>
      <c r="K89" s="137">
        <f t="shared" si="20"/>
        <v>2.08</v>
      </c>
      <c r="L89" s="131">
        <f>ROUND(H89*G89,2)</f>
        <v>331.68</v>
      </c>
      <c r="M89" s="131">
        <f t="shared" si="21"/>
        <v>0</v>
      </c>
      <c r="N89" s="386">
        <f t="shared" si="22"/>
        <v>0</v>
      </c>
      <c r="O89" s="375">
        <f t="shared" si="23"/>
        <v>331.68</v>
      </c>
      <c r="P89" s="136">
        <f t="shared" ref="P89:P139" si="24">N89/L89</f>
        <v>0</v>
      </c>
      <c r="S89" s="190">
        <v>0</v>
      </c>
      <c r="T89" s="190">
        <v>0</v>
      </c>
      <c r="BU89" s="523"/>
      <c r="BV89" s="523">
        <v>0</v>
      </c>
      <c r="BW89" s="523">
        <v>0</v>
      </c>
      <c r="BX89" s="523">
        <v>0</v>
      </c>
      <c r="BY89" s="523">
        <v>0</v>
      </c>
      <c r="BZ89" s="523"/>
      <c r="CA89" s="523"/>
      <c r="CB89" s="523"/>
      <c r="CC89" s="523"/>
      <c r="CD89" s="523"/>
      <c r="CE89" s="523"/>
      <c r="CF89" s="523"/>
      <c r="CG89" s="523"/>
      <c r="CH89" s="523"/>
      <c r="CI89" s="523">
        <f t="shared" si="18"/>
        <v>0</v>
      </c>
    </row>
    <row r="90" spans="1:87" x14ac:dyDescent="0.2">
      <c r="A90" s="449" t="s">
        <v>1449</v>
      </c>
      <c r="B90" s="450"/>
      <c r="C90" s="450"/>
      <c r="D90" s="451" t="s">
        <v>184</v>
      </c>
      <c r="E90" s="465"/>
      <c r="F90" s="468"/>
      <c r="G90" s="465"/>
      <c r="H90" s="465"/>
      <c r="I90" s="465"/>
      <c r="J90" s="474"/>
      <c r="K90" s="474"/>
      <c r="L90" s="460">
        <f>L91</f>
        <v>1828.22</v>
      </c>
      <c r="M90" s="460">
        <f t="shared" si="21"/>
        <v>0</v>
      </c>
      <c r="N90" s="467">
        <f t="shared" si="22"/>
        <v>0</v>
      </c>
      <c r="O90" s="458">
        <f t="shared" si="23"/>
        <v>1828.22</v>
      </c>
      <c r="P90" s="459">
        <f t="shared" si="24"/>
        <v>0</v>
      </c>
      <c r="S90" s="189">
        <v>0</v>
      </c>
      <c r="T90" s="189">
        <v>0</v>
      </c>
      <c r="BU90" s="523"/>
      <c r="BV90" s="523"/>
      <c r="BW90" s="523"/>
      <c r="BX90" s="523">
        <v>0</v>
      </c>
      <c r="BY90" s="523">
        <v>0</v>
      </c>
      <c r="BZ90" s="523"/>
      <c r="CA90" s="523"/>
      <c r="CB90" s="523"/>
      <c r="CC90" s="523"/>
      <c r="CD90" s="523"/>
      <c r="CE90" s="523"/>
      <c r="CF90" s="523"/>
      <c r="CG90" s="523"/>
      <c r="CH90" s="523"/>
      <c r="CI90" s="523">
        <f t="shared" si="18"/>
        <v>0</v>
      </c>
    </row>
    <row r="91" spans="1:87" ht="25.5" x14ac:dyDescent="0.2">
      <c r="A91" s="125" t="s">
        <v>1450</v>
      </c>
      <c r="B91" s="126" t="s">
        <v>1451</v>
      </c>
      <c r="C91" s="126" t="s">
        <v>1324</v>
      </c>
      <c r="D91" s="127" t="s">
        <v>1452</v>
      </c>
      <c r="E91" s="128" t="s">
        <v>14</v>
      </c>
      <c r="F91" s="137">
        <v>877.8</v>
      </c>
      <c r="G91" s="130">
        <v>423.2</v>
      </c>
      <c r="H91" s="128">
        <v>4.32</v>
      </c>
      <c r="I91" s="133">
        <f t="shared" si="17"/>
        <v>0</v>
      </c>
      <c r="J91" s="374">
        <f t="shared" si="19"/>
        <v>0</v>
      </c>
      <c r="K91" s="137">
        <f t="shared" si="20"/>
        <v>4.32</v>
      </c>
      <c r="L91" s="131">
        <f>ROUND(H91*G91,2)</f>
        <v>1828.22</v>
      </c>
      <c r="M91" s="131">
        <f t="shared" si="21"/>
        <v>0</v>
      </c>
      <c r="N91" s="386">
        <f t="shared" si="22"/>
        <v>0</v>
      </c>
      <c r="O91" s="375">
        <f t="shared" si="23"/>
        <v>1828.22</v>
      </c>
      <c r="P91" s="136">
        <f t="shared" si="24"/>
        <v>0</v>
      </c>
      <c r="S91" s="189">
        <v>0</v>
      </c>
      <c r="T91" s="189">
        <v>0</v>
      </c>
      <c r="BU91" s="523"/>
      <c r="BV91" s="523">
        <v>0</v>
      </c>
      <c r="BW91" s="523">
        <v>0</v>
      </c>
      <c r="BX91" s="523">
        <v>0</v>
      </c>
      <c r="BY91" s="523">
        <v>0</v>
      </c>
      <c r="BZ91" s="523"/>
      <c r="CA91" s="523"/>
      <c r="CB91" s="523"/>
      <c r="CC91" s="523"/>
      <c r="CD91" s="523"/>
      <c r="CE91" s="523"/>
      <c r="CF91" s="523"/>
      <c r="CG91" s="523"/>
      <c r="CH91" s="523"/>
      <c r="CI91" s="523">
        <f t="shared" si="18"/>
        <v>0</v>
      </c>
    </row>
    <row r="92" spans="1:87" x14ac:dyDescent="0.2">
      <c r="A92" s="412">
        <v>7</v>
      </c>
      <c r="B92" s="413"/>
      <c r="C92" s="413"/>
      <c r="D92" s="414" t="s">
        <v>1453</v>
      </c>
      <c r="E92" s="415"/>
      <c r="F92" s="417"/>
      <c r="G92" s="418"/>
      <c r="H92" s="416"/>
      <c r="I92" s="420"/>
      <c r="J92" s="421">
        <f t="shared" si="19"/>
        <v>0</v>
      </c>
      <c r="K92" s="420"/>
      <c r="L92" s="433">
        <f>SUM(L93:L94)</f>
        <v>173274.06</v>
      </c>
      <c r="M92" s="433">
        <f>SUM(M93:M94)</f>
        <v>0</v>
      </c>
      <c r="N92" s="432">
        <f>SUM(N93:N94)</f>
        <v>0</v>
      </c>
      <c r="O92" s="434">
        <f>SUM(O93:O94)</f>
        <v>173274.06</v>
      </c>
      <c r="P92" s="423">
        <f t="shared" si="24"/>
        <v>0</v>
      </c>
      <c r="S92" s="189">
        <v>0</v>
      </c>
      <c r="T92" s="189">
        <v>0</v>
      </c>
      <c r="BU92" s="523"/>
      <c r="BV92" s="523"/>
      <c r="BW92" s="523"/>
      <c r="BX92" s="523">
        <v>0</v>
      </c>
      <c r="BY92" s="523">
        <v>0</v>
      </c>
      <c r="BZ92" s="523"/>
      <c r="CA92" s="523"/>
      <c r="CB92" s="523"/>
      <c r="CC92" s="523"/>
      <c r="CD92" s="523"/>
      <c r="CE92" s="523"/>
      <c r="CF92" s="523"/>
      <c r="CG92" s="523"/>
      <c r="CH92" s="523"/>
      <c r="CI92" s="523">
        <f t="shared" si="18"/>
        <v>0</v>
      </c>
    </row>
    <row r="93" spans="1:87" ht="25.5" x14ac:dyDescent="0.2">
      <c r="A93" s="125" t="s">
        <v>193</v>
      </c>
      <c r="B93" s="126" t="s">
        <v>1454</v>
      </c>
      <c r="C93" s="126" t="s">
        <v>1324</v>
      </c>
      <c r="D93" s="127" t="s">
        <v>1455</v>
      </c>
      <c r="E93" s="128" t="s">
        <v>14</v>
      </c>
      <c r="F93" s="144">
        <v>1560.54</v>
      </c>
      <c r="G93" s="130">
        <v>51.14</v>
      </c>
      <c r="H93" s="128">
        <v>1030.4000000000001</v>
      </c>
      <c r="I93" s="133">
        <f t="shared" si="17"/>
        <v>0</v>
      </c>
      <c r="J93" s="374">
        <f t="shared" si="19"/>
        <v>0</v>
      </c>
      <c r="K93" s="137">
        <f>H93-J93</f>
        <v>1030.4000000000001</v>
      </c>
      <c r="L93" s="131">
        <f>ROUND(H93*G93,2)</f>
        <v>52694.66</v>
      </c>
      <c r="M93" s="131">
        <f>I93*G93</f>
        <v>0</v>
      </c>
      <c r="N93" s="386">
        <f>J93*G93</f>
        <v>0</v>
      </c>
      <c r="O93" s="375">
        <f>L93-N93</f>
        <v>52694.66</v>
      </c>
      <c r="P93" s="136">
        <f t="shared" si="24"/>
        <v>0</v>
      </c>
      <c r="S93" s="189">
        <v>0</v>
      </c>
      <c r="T93" s="189">
        <v>0</v>
      </c>
      <c r="BU93" s="523"/>
      <c r="BV93" s="523">
        <v>0</v>
      </c>
      <c r="BW93" s="523">
        <v>0</v>
      </c>
      <c r="BX93" s="523">
        <v>0</v>
      </c>
      <c r="BY93" s="523">
        <v>0</v>
      </c>
      <c r="BZ93" s="523"/>
      <c r="CA93" s="523"/>
      <c r="CB93" s="523"/>
      <c r="CC93" s="523"/>
      <c r="CD93" s="523"/>
      <c r="CE93" s="523"/>
      <c r="CF93" s="523"/>
      <c r="CG93" s="523"/>
      <c r="CH93" s="523"/>
      <c r="CI93" s="523">
        <f t="shared" si="18"/>
        <v>0</v>
      </c>
    </row>
    <row r="94" spans="1:87" s="110" customFormat="1" x14ac:dyDescent="0.2">
      <c r="A94" s="125" t="s">
        <v>195</v>
      </c>
      <c r="B94" s="126">
        <v>72112</v>
      </c>
      <c r="C94" s="126" t="s">
        <v>1324</v>
      </c>
      <c r="D94" s="127" t="s">
        <v>1456</v>
      </c>
      <c r="E94" s="128" t="s">
        <v>14</v>
      </c>
      <c r="F94" s="144">
        <v>1950.67</v>
      </c>
      <c r="G94" s="130">
        <v>122.99</v>
      </c>
      <c r="H94" s="128">
        <v>980.4</v>
      </c>
      <c r="I94" s="133">
        <f t="shared" si="17"/>
        <v>0</v>
      </c>
      <c r="J94" s="374">
        <f t="shared" si="19"/>
        <v>0</v>
      </c>
      <c r="K94" s="137">
        <f>H94-J94</f>
        <v>980.4</v>
      </c>
      <c r="L94" s="131">
        <f>ROUND(H94*G94,2)</f>
        <v>120579.4</v>
      </c>
      <c r="M94" s="131">
        <f>I94*G94</f>
        <v>0</v>
      </c>
      <c r="N94" s="386">
        <f>J94*G94</f>
        <v>0</v>
      </c>
      <c r="O94" s="375">
        <f>L94-N94</f>
        <v>120579.4</v>
      </c>
      <c r="P94" s="136">
        <f t="shared" si="24"/>
        <v>0</v>
      </c>
      <c r="S94" s="192">
        <v>0</v>
      </c>
      <c r="T94" s="192">
        <v>0</v>
      </c>
      <c r="BU94" s="523"/>
      <c r="BV94" s="523">
        <v>0</v>
      </c>
      <c r="BW94" s="523">
        <v>0</v>
      </c>
      <c r="BX94" s="523">
        <v>0</v>
      </c>
      <c r="BY94" s="523">
        <v>0</v>
      </c>
      <c r="BZ94" s="523"/>
      <c r="CA94" s="523"/>
      <c r="CB94" s="523"/>
      <c r="CC94" s="523"/>
      <c r="CD94" s="523"/>
      <c r="CE94" s="523"/>
      <c r="CF94" s="523"/>
      <c r="CG94" s="523"/>
      <c r="CH94" s="523"/>
      <c r="CI94" s="523">
        <f t="shared" si="18"/>
        <v>0</v>
      </c>
    </row>
    <row r="95" spans="1:87" s="110" customFormat="1" x14ac:dyDescent="0.2">
      <c r="A95" s="425">
        <v>8</v>
      </c>
      <c r="B95" s="426"/>
      <c r="C95" s="426"/>
      <c r="D95" s="427" t="s">
        <v>208</v>
      </c>
      <c r="E95" s="415"/>
      <c r="F95" s="417"/>
      <c r="G95" s="418"/>
      <c r="H95" s="416"/>
      <c r="I95" s="420"/>
      <c r="J95" s="421">
        <f t="shared" si="19"/>
        <v>0</v>
      </c>
      <c r="K95" s="420"/>
      <c r="L95" s="428">
        <f>SUM(L96:L97)</f>
        <v>5634.27</v>
      </c>
      <c r="M95" s="429">
        <f>SUM(M96:M97)</f>
        <v>0</v>
      </c>
      <c r="N95" s="432">
        <f>SUM(N96:N97)</f>
        <v>0</v>
      </c>
      <c r="O95" s="430">
        <f>SUM(O96:O97)</f>
        <v>3376.58</v>
      </c>
      <c r="P95" s="431">
        <f t="shared" si="24"/>
        <v>0</v>
      </c>
      <c r="S95" s="192">
        <v>265.61</v>
      </c>
      <c r="T95" s="192">
        <v>265.61</v>
      </c>
      <c r="BU95" s="523"/>
      <c r="BV95" s="523"/>
      <c r="BW95" s="523"/>
      <c r="BX95" s="523">
        <v>0</v>
      </c>
      <c r="BY95" s="523">
        <v>0</v>
      </c>
      <c r="BZ95" s="523"/>
      <c r="CA95" s="523"/>
      <c r="CB95" s="523"/>
      <c r="CC95" s="523"/>
      <c r="CD95" s="523"/>
      <c r="CE95" s="523"/>
      <c r="CF95" s="523"/>
      <c r="CG95" s="523"/>
      <c r="CH95" s="523"/>
      <c r="CI95" s="523">
        <f t="shared" si="18"/>
        <v>0</v>
      </c>
    </row>
    <row r="96" spans="1:87" x14ac:dyDescent="0.2">
      <c r="A96" s="379" t="s">
        <v>210</v>
      </c>
      <c r="B96" s="380" t="s">
        <v>1457</v>
      </c>
      <c r="C96" s="380" t="s">
        <v>1324</v>
      </c>
      <c r="D96" s="381" t="s">
        <v>1458</v>
      </c>
      <c r="E96" s="382" t="s">
        <v>14</v>
      </c>
      <c r="F96" s="144">
        <v>3121.08</v>
      </c>
      <c r="G96" s="383">
        <v>8.5</v>
      </c>
      <c r="H96" s="382">
        <v>265.61</v>
      </c>
      <c r="I96" s="385">
        <f t="shared" si="17"/>
        <v>0</v>
      </c>
      <c r="J96" s="374">
        <f t="shared" si="19"/>
        <v>0</v>
      </c>
      <c r="K96" s="378">
        <v>0</v>
      </c>
      <c r="L96" s="384">
        <f>ROUND(H96*G96,2)</f>
        <v>2257.69</v>
      </c>
      <c r="M96" s="386">
        <f>I96*G96</f>
        <v>0</v>
      </c>
      <c r="N96" s="386">
        <f>J96*G96</f>
        <v>0</v>
      </c>
      <c r="O96" s="387">
        <f>TRUNC(0)</f>
        <v>0</v>
      </c>
      <c r="P96" s="388">
        <f t="shared" si="24"/>
        <v>0</v>
      </c>
      <c r="S96" s="189">
        <v>0</v>
      </c>
      <c r="T96" s="189">
        <v>0</v>
      </c>
      <c r="BU96" s="523"/>
      <c r="BV96" s="523">
        <v>0</v>
      </c>
      <c r="BW96" s="523">
        <v>0</v>
      </c>
      <c r="BX96" s="523">
        <v>0</v>
      </c>
      <c r="BY96" s="523">
        <v>0</v>
      </c>
      <c r="BZ96" s="523"/>
      <c r="CA96" s="523"/>
      <c r="CB96" s="523"/>
      <c r="CC96" s="523"/>
      <c r="CD96" s="523"/>
      <c r="CE96" s="523"/>
      <c r="CF96" s="523"/>
      <c r="CG96" s="523"/>
      <c r="CH96" s="523"/>
      <c r="CI96" s="523">
        <f t="shared" si="18"/>
        <v>0</v>
      </c>
    </row>
    <row r="97" spans="1:87" s="517" customFormat="1" ht="25.5" x14ac:dyDescent="0.2">
      <c r="A97" s="125" t="s">
        <v>213</v>
      </c>
      <c r="B97" s="126">
        <v>68053</v>
      </c>
      <c r="C97" s="126" t="s">
        <v>1324</v>
      </c>
      <c r="D97" s="127" t="s">
        <v>1459</v>
      </c>
      <c r="E97" s="128" t="s">
        <v>14</v>
      </c>
      <c r="F97" s="144">
        <v>1137.9000000000001</v>
      </c>
      <c r="G97" s="130">
        <v>4.99</v>
      </c>
      <c r="H97" s="128">
        <v>676.67</v>
      </c>
      <c r="I97" s="133">
        <f t="shared" si="17"/>
        <v>0</v>
      </c>
      <c r="J97" s="374">
        <f t="shared" si="19"/>
        <v>0</v>
      </c>
      <c r="K97" s="137">
        <f>H97-J97</f>
        <v>676.67</v>
      </c>
      <c r="L97" s="131">
        <f>ROUND(H97*G97,2)</f>
        <v>3376.58</v>
      </c>
      <c r="M97" s="131">
        <f>I97*G97</f>
        <v>0</v>
      </c>
      <c r="N97" s="386">
        <f>J97*G97</f>
        <v>0</v>
      </c>
      <c r="O97" s="375">
        <f>L97-N97</f>
        <v>3376.58</v>
      </c>
      <c r="P97" s="136">
        <f t="shared" si="24"/>
        <v>0</v>
      </c>
      <c r="S97" s="191">
        <v>0</v>
      </c>
      <c r="T97" s="191">
        <v>0</v>
      </c>
      <c r="BU97" s="523"/>
      <c r="BV97" s="523">
        <v>0</v>
      </c>
      <c r="BW97" s="523">
        <v>0</v>
      </c>
      <c r="BX97" s="523">
        <v>0</v>
      </c>
      <c r="BY97" s="523">
        <v>0</v>
      </c>
      <c r="BZ97" s="523"/>
      <c r="CA97" s="523"/>
      <c r="CB97" s="523"/>
      <c r="CC97" s="523"/>
      <c r="CD97" s="523"/>
      <c r="CE97" s="523"/>
      <c r="CF97" s="523"/>
      <c r="CG97" s="523"/>
      <c r="CH97" s="523"/>
      <c r="CI97" s="523">
        <f t="shared" si="18"/>
        <v>0</v>
      </c>
    </row>
    <row r="98" spans="1:87" x14ac:dyDescent="0.2">
      <c r="A98" s="425">
        <v>9</v>
      </c>
      <c r="B98" s="426"/>
      <c r="C98" s="426"/>
      <c r="D98" s="427" t="s">
        <v>1460</v>
      </c>
      <c r="E98" s="415"/>
      <c r="F98" s="417"/>
      <c r="G98" s="418"/>
      <c r="H98" s="416"/>
      <c r="I98" s="420"/>
      <c r="J98" s="421"/>
      <c r="K98" s="420"/>
      <c r="L98" s="428">
        <f>SUM(L99:L108)</f>
        <v>51794.2</v>
      </c>
      <c r="M98" s="429">
        <f>SUM(M99:M108)</f>
        <v>4906.8799000000008</v>
      </c>
      <c r="N98" s="432">
        <f>SUM(N99:N108)</f>
        <v>9813.7598000000016</v>
      </c>
      <c r="O98" s="430">
        <f>SUM(O99:O108)</f>
        <v>41980.440200000005</v>
      </c>
      <c r="P98" s="431">
        <f t="shared" si="24"/>
        <v>0.18947603785752076</v>
      </c>
      <c r="S98" s="189">
        <v>0</v>
      </c>
      <c r="T98" s="189">
        <v>803.09</v>
      </c>
      <c r="BU98" s="523"/>
      <c r="BV98" s="523"/>
      <c r="BW98" s="523"/>
      <c r="BX98" s="523">
        <v>803.09</v>
      </c>
      <c r="BY98" s="523">
        <v>803.09</v>
      </c>
      <c r="BZ98" s="523"/>
      <c r="CA98" s="523"/>
      <c r="CB98" s="523"/>
      <c r="CC98" s="523"/>
      <c r="CD98" s="523"/>
      <c r="CE98" s="523"/>
      <c r="CF98" s="523"/>
      <c r="CG98" s="523"/>
      <c r="CH98" s="523"/>
      <c r="CI98" s="523">
        <f t="shared" si="18"/>
        <v>1606.18</v>
      </c>
    </row>
    <row r="99" spans="1:87" x14ac:dyDescent="0.2">
      <c r="A99" s="125" t="s">
        <v>223</v>
      </c>
      <c r="B99" s="126">
        <v>87905</v>
      </c>
      <c r="C99" s="126" t="s">
        <v>1324</v>
      </c>
      <c r="D99" s="127" t="s">
        <v>1461</v>
      </c>
      <c r="E99" s="128" t="s">
        <v>14</v>
      </c>
      <c r="F99" s="137">
        <v>582.46</v>
      </c>
      <c r="G99" s="130">
        <v>6.11</v>
      </c>
      <c r="H99" s="128">
        <v>803.09</v>
      </c>
      <c r="I99" s="133">
        <f t="shared" si="17"/>
        <v>803.09</v>
      </c>
      <c r="J99" s="374">
        <f t="shared" si="19"/>
        <v>1606.18</v>
      </c>
      <c r="K99" s="137">
        <f t="shared" ref="K99:K108" si="25">H99-J99</f>
        <v>-803.09</v>
      </c>
      <c r="L99" s="131">
        <f t="shared" ref="L99:L108" si="26">ROUND(H99*G99,2)</f>
        <v>4906.88</v>
      </c>
      <c r="M99" s="131">
        <f t="shared" ref="M99:M108" si="27">I99*G99</f>
        <v>4906.8799000000008</v>
      </c>
      <c r="N99" s="386">
        <f t="shared" ref="N99:N108" si="28">J99*G99</f>
        <v>9813.7598000000016</v>
      </c>
      <c r="O99" s="375">
        <f t="shared" ref="O99:O108" si="29">L99-N99</f>
        <v>-4906.8798000000015</v>
      </c>
      <c r="P99" s="136">
        <f t="shared" si="24"/>
        <v>1.9999999592409028</v>
      </c>
      <c r="S99" s="189">
        <v>0</v>
      </c>
      <c r="T99" s="189">
        <v>0</v>
      </c>
      <c r="BU99" s="523"/>
      <c r="BV99" s="523">
        <v>0</v>
      </c>
      <c r="BW99" s="523">
        <v>0</v>
      </c>
      <c r="BX99" s="523">
        <v>803.09</v>
      </c>
      <c r="BY99" s="523">
        <v>803.09</v>
      </c>
      <c r="BZ99" s="523"/>
      <c r="CA99" s="523"/>
      <c r="CB99" s="523"/>
      <c r="CC99" s="523"/>
      <c r="CD99" s="523"/>
      <c r="CE99" s="523"/>
      <c r="CF99" s="523"/>
      <c r="CG99" s="523"/>
      <c r="CH99" s="523"/>
      <c r="CI99" s="523">
        <f t="shared" si="18"/>
        <v>1606.18</v>
      </c>
    </row>
    <row r="100" spans="1:87" s="110" customFormat="1" x14ac:dyDescent="0.2">
      <c r="A100" s="125" t="s">
        <v>239</v>
      </c>
      <c r="B100" s="126">
        <v>87882</v>
      </c>
      <c r="C100" s="126" t="s">
        <v>1324</v>
      </c>
      <c r="D100" s="127" t="s">
        <v>1462</v>
      </c>
      <c r="E100" s="128" t="s">
        <v>14</v>
      </c>
      <c r="F100" s="129"/>
      <c r="G100" s="130">
        <v>4.03</v>
      </c>
      <c r="H100" s="128">
        <v>84.33</v>
      </c>
      <c r="I100" s="133">
        <f t="shared" si="17"/>
        <v>0</v>
      </c>
      <c r="J100" s="374">
        <f t="shared" si="19"/>
        <v>0</v>
      </c>
      <c r="K100" s="137">
        <f t="shared" si="25"/>
        <v>84.33</v>
      </c>
      <c r="L100" s="131">
        <f t="shared" si="26"/>
        <v>339.85</v>
      </c>
      <c r="M100" s="131">
        <f t="shared" si="27"/>
        <v>0</v>
      </c>
      <c r="N100" s="386">
        <f t="shared" si="28"/>
        <v>0</v>
      </c>
      <c r="O100" s="375">
        <f t="shared" si="29"/>
        <v>339.85</v>
      </c>
      <c r="P100" s="136">
        <f t="shared" si="24"/>
        <v>0</v>
      </c>
      <c r="S100" s="192">
        <v>600</v>
      </c>
      <c r="T100" s="192">
        <v>600</v>
      </c>
      <c r="BU100" s="523"/>
      <c r="BV100" s="523">
        <v>0</v>
      </c>
      <c r="BW100" s="523">
        <v>0</v>
      </c>
      <c r="BX100" s="523">
        <v>0</v>
      </c>
      <c r="BY100" s="523">
        <v>0</v>
      </c>
      <c r="BZ100" s="523"/>
      <c r="CA100" s="523"/>
      <c r="CB100" s="523"/>
      <c r="CC100" s="523"/>
      <c r="CD100" s="523"/>
      <c r="CE100" s="523"/>
      <c r="CF100" s="523"/>
      <c r="CG100" s="523"/>
      <c r="CH100" s="523"/>
      <c r="CI100" s="523">
        <f t="shared" si="18"/>
        <v>0</v>
      </c>
    </row>
    <row r="101" spans="1:87" s="110" customFormat="1" ht="25.5" x14ac:dyDescent="0.2">
      <c r="A101" s="379" t="s">
        <v>1463</v>
      </c>
      <c r="B101" s="380">
        <v>87531</v>
      </c>
      <c r="C101" s="380" t="s">
        <v>1324</v>
      </c>
      <c r="D101" s="381" t="s">
        <v>1464</v>
      </c>
      <c r="E101" s="382" t="s">
        <v>14</v>
      </c>
      <c r="F101" s="137">
        <v>180.11</v>
      </c>
      <c r="G101" s="383">
        <v>26.27</v>
      </c>
      <c r="H101" s="382">
        <v>743.93</v>
      </c>
      <c r="I101" s="385">
        <f t="shared" si="17"/>
        <v>0</v>
      </c>
      <c r="J101" s="374">
        <f t="shared" si="19"/>
        <v>0</v>
      </c>
      <c r="K101" s="390">
        <f t="shared" si="25"/>
        <v>743.93</v>
      </c>
      <c r="L101" s="384">
        <f t="shared" si="26"/>
        <v>19543.04</v>
      </c>
      <c r="M101" s="386">
        <f t="shared" si="27"/>
        <v>0</v>
      </c>
      <c r="N101" s="386">
        <f t="shared" si="28"/>
        <v>0</v>
      </c>
      <c r="O101" s="387">
        <f t="shared" si="29"/>
        <v>19543.04</v>
      </c>
      <c r="P101" s="388">
        <f t="shared" si="24"/>
        <v>0</v>
      </c>
      <c r="S101" s="192">
        <v>358.92</v>
      </c>
      <c r="T101" s="192">
        <v>358.92</v>
      </c>
      <c r="BU101" s="523"/>
      <c r="BV101" s="523">
        <v>0</v>
      </c>
      <c r="BW101" s="523">
        <v>0</v>
      </c>
      <c r="BX101" s="523">
        <v>0</v>
      </c>
      <c r="BY101" s="523">
        <v>0</v>
      </c>
      <c r="BZ101" s="523"/>
      <c r="CA101" s="523"/>
      <c r="CB101" s="523"/>
      <c r="CC101" s="523"/>
      <c r="CD101" s="523"/>
      <c r="CE101" s="523"/>
      <c r="CF101" s="523"/>
      <c r="CG101" s="523"/>
      <c r="CH101" s="523"/>
      <c r="CI101" s="523">
        <f t="shared" si="18"/>
        <v>0</v>
      </c>
    </row>
    <row r="102" spans="1:87" x14ac:dyDescent="0.2">
      <c r="A102" s="379" t="s">
        <v>1465</v>
      </c>
      <c r="B102" s="380" t="s">
        <v>1466</v>
      </c>
      <c r="C102" s="380" t="s">
        <v>1324</v>
      </c>
      <c r="D102" s="381" t="s">
        <v>1467</v>
      </c>
      <c r="E102" s="382" t="s">
        <v>14</v>
      </c>
      <c r="F102" s="137">
        <v>327.47000000000003</v>
      </c>
      <c r="G102" s="383">
        <v>12.12</v>
      </c>
      <c r="H102" s="382">
        <v>445.04</v>
      </c>
      <c r="I102" s="385">
        <f t="shared" si="17"/>
        <v>0</v>
      </c>
      <c r="J102" s="374">
        <f t="shared" si="19"/>
        <v>0</v>
      </c>
      <c r="K102" s="390">
        <f t="shared" si="25"/>
        <v>445.04</v>
      </c>
      <c r="L102" s="384">
        <f t="shared" si="26"/>
        <v>5393.88</v>
      </c>
      <c r="M102" s="386">
        <f t="shared" si="27"/>
        <v>0</v>
      </c>
      <c r="N102" s="386">
        <f t="shared" si="28"/>
        <v>0</v>
      </c>
      <c r="O102" s="387">
        <f t="shared" si="29"/>
        <v>5393.88</v>
      </c>
      <c r="P102" s="388">
        <f t="shared" si="24"/>
        <v>0</v>
      </c>
      <c r="S102" s="189">
        <v>0</v>
      </c>
      <c r="T102" s="189">
        <v>0</v>
      </c>
      <c r="BU102" s="523"/>
      <c r="BV102" s="523">
        <v>0</v>
      </c>
      <c r="BW102" s="523">
        <v>0</v>
      </c>
      <c r="BX102" s="523">
        <v>0</v>
      </c>
      <c r="BY102" s="523">
        <v>0</v>
      </c>
      <c r="BZ102" s="523"/>
      <c r="CA102" s="523"/>
      <c r="CB102" s="523"/>
      <c r="CC102" s="523"/>
      <c r="CD102" s="523"/>
      <c r="CE102" s="523"/>
      <c r="CF102" s="523"/>
      <c r="CG102" s="523"/>
      <c r="CH102" s="523"/>
      <c r="CI102" s="523">
        <f t="shared" si="18"/>
        <v>0</v>
      </c>
    </row>
    <row r="103" spans="1:87" x14ac:dyDescent="0.2">
      <c r="A103" s="125" t="s">
        <v>1468</v>
      </c>
      <c r="B103" s="126" t="s">
        <v>1466</v>
      </c>
      <c r="C103" s="126" t="s">
        <v>1324</v>
      </c>
      <c r="D103" s="127" t="s">
        <v>1469</v>
      </c>
      <c r="E103" s="128" t="s">
        <v>14</v>
      </c>
      <c r="F103" s="137">
        <v>381.87</v>
      </c>
      <c r="G103" s="130">
        <v>14.08</v>
      </c>
      <c r="H103" s="128">
        <v>84.33</v>
      </c>
      <c r="I103" s="133">
        <f t="shared" si="17"/>
        <v>0</v>
      </c>
      <c r="J103" s="374">
        <f t="shared" si="19"/>
        <v>0</v>
      </c>
      <c r="K103" s="137">
        <f t="shared" si="25"/>
        <v>84.33</v>
      </c>
      <c r="L103" s="131">
        <f t="shared" si="26"/>
        <v>1187.3699999999999</v>
      </c>
      <c r="M103" s="131">
        <f t="shared" si="27"/>
        <v>0</v>
      </c>
      <c r="N103" s="386">
        <f t="shared" si="28"/>
        <v>0</v>
      </c>
      <c r="O103" s="375">
        <f t="shared" si="29"/>
        <v>1187.3699999999999</v>
      </c>
      <c r="P103" s="136">
        <f t="shared" si="24"/>
        <v>0</v>
      </c>
      <c r="S103" s="189">
        <v>0</v>
      </c>
      <c r="T103" s="189">
        <v>0</v>
      </c>
      <c r="BU103" s="523"/>
      <c r="BV103" s="523">
        <v>0</v>
      </c>
      <c r="BW103" s="523">
        <v>0</v>
      </c>
      <c r="BX103" s="523">
        <v>0</v>
      </c>
      <c r="BY103" s="523">
        <v>0</v>
      </c>
      <c r="BZ103" s="523"/>
      <c r="CA103" s="523"/>
      <c r="CB103" s="523"/>
      <c r="CC103" s="523"/>
      <c r="CD103" s="523"/>
      <c r="CE103" s="523"/>
      <c r="CF103" s="523"/>
      <c r="CG103" s="523"/>
      <c r="CH103" s="523"/>
      <c r="CI103" s="523">
        <f t="shared" si="18"/>
        <v>0</v>
      </c>
    </row>
    <row r="104" spans="1:87" x14ac:dyDescent="0.2">
      <c r="A104" s="125" t="s">
        <v>1470</v>
      </c>
      <c r="B104" s="126">
        <v>87905</v>
      </c>
      <c r="C104" s="126" t="s">
        <v>1324</v>
      </c>
      <c r="D104" s="127" t="s">
        <v>1471</v>
      </c>
      <c r="E104" s="128" t="s">
        <v>14</v>
      </c>
      <c r="F104" s="138"/>
      <c r="G104" s="130">
        <v>6.11</v>
      </c>
      <c r="H104" s="128">
        <v>140.33000000000001</v>
      </c>
      <c r="I104" s="133">
        <f t="shared" si="17"/>
        <v>0</v>
      </c>
      <c r="J104" s="374">
        <f t="shared" si="19"/>
        <v>0</v>
      </c>
      <c r="K104" s="137">
        <f t="shared" si="25"/>
        <v>140.33000000000001</v>
      </c>
      <c r="L104" s="131">
        <f t="shared" si="26"/>
        <v>857.42</v>
      </c>
      <c r="M104" s="131">
        <f t="shared" si="27"/>
        <v>0</v>
      </c>
      <c r="N104" s="386">
        <f t="shared" si="28"/>
        <v>0</v>
      </c>
      <c r="O104" s="375">
        <f t="shared" si="29"/>
        <v>857.42</v>
      </c>
      <c r="P104" s="136">
        <f t="shared" si="24"/>
        <v>0</v>
      </c>
      <c r="S104" s="189">
        <v>0</v>
      </c>
      <c r="T104" s="189">
        <v>0</v>
      </c>
      <c r="BU104" s="523"/>
      <c r="BV104" s="523">
        <v>0</v>
      </c>
      <c r="BW104" s="523">
        <v>0</v>
      </c>
      <c r="BX104" s="523">
        <v>0</v>
      </c>
      <c r="BY104" s="523">
        <v>0</v>
      </c>
      <c r="BZ104" s="523"/>
      <c r="CA104" s="523"/>
      <c r="CB104" s="523"/>
      <c r="CC104" s="523"/>
      <c r="CD104" s="523"/>
      <c r="CE104" s="523"/>
      <c r="CF104" s="523"/>
      <c r="CG104" s="523"/>
      <c r="CH104" s="523"/>
      <c r="CI104" s="523">
        <f t="shared" si="18"/>
        <v>0</v>
      </c>
    </row>
    <row r="105" spans="1:87" x14ac:dyDescent="0.2">
      <c r="A105" s="125" t="s">
        <v>1472</v>
      </c>
      <c r="B105" s="126">
        <v>87531</v>
      </c>
      <c r="C105" s="126" t="s">
        <v>1324</v>
      </c>
      <c r="D105" s="127" t="s">
        <v>1473</v>
      </c>
      <c r="E105" s="128" t="s">
        <v>14</v>
      </c>
      <c r="F105" s="138"/>
      <c r="G105" s="130">
        <v>26.27</v>
      </c>
      <c r="H105" s="128">
        <v>140.33000000000001</v>
      </c>
      <c r="I105" s="133">
        <f t="shared" si="17"/>
        <v>0</v>
      </c>
      <c r="J105" s="374">
        <f t="shared" si="19"/>
        <v>0</v>
      </c>
      <c r="K105" s="137">
        <f t="shared" si="25"/>
        <v>140.33000000000001</v>
      </c>
      <c r="L105" s="131">
        <f t="shared" si="26"/>
        <v>3686.47</v>
      </c>
      <c r="M105" s="131">
        <f t="shared" si="27"/>
        <v>0</v>
      </c>
      <c r="N105" s="386">
        <f t="shared" si="28"/>
        <v>0</v>
      </c>
      <c r="O105" s="375">
        <f t="shared" si="29"/>
        <v>3686.47</v>
      </c>
      <c r="P105" s="136">
        <f t="shared" si="24"/>
        <v>0</v>
      </c>
      <c r="S105" s="189">
        <v>0</v>
      </c>
      <c r="T105" s="189">
        <v>0</v>
      </c>
      <c r="BU105" s="523"/>
      <c r="BV105" s="523">
        <v>0</v>
      </c>
      <c r="BW105" s="523">
        <v>0</v>
      </c>
      <c r="BX105" s="523">
        <v>0</v>
      </c>
      <c r="BY105" s="523">
        <v>0</v>
      </c>
      <c r="BZ105" s="523"/>
      <c r="CA105" s="523"/>
      <c r="CB105" s="523"/>
      <c r="CC105" s="523"/>
      <c r="CD105" s="523"/>
      <c r="CE105" s="523"/>
      <c r="CF105" s="523"/>
      <c r="CG105" s="523"/>
      <c r="CH105" s="523"/>
      <c r="CI105" s="523">
        <f t="shared" si="18"/>
        <v>0</v>
      </c>
    </row>
    <row r="106" spans="1:87" ht="25.5" x14ac:dyDescent="0.2">
      <c r="A106" s="125" t="s">
        <v>1474</v>
      </c>
      <c r="B106" s="126" t="s">
        <v>1466</v>
      </c>
      <c r="C106" s="126" t="s">
        <v>1324</v>
      </c>
      <c r="D106" s="127" t="s">
        <v>1475</v>
      </c>
      <c r="E106" s="128" t="s">
        <v>14</v>
      </c>
      <c r="F106" s="138"/>
      <c r="G106" s="130">
        <v>16.23</v>
      </c>
      <c r="H106" s="128">
        <v>140.33000000000001</v>
      </c>
      <c r="I106" s="133">
        <f t="shared" si="17"/>
        <v>0</v>
      </c>
      <c r="J106" s="374">
        <f t="shared" si="19"/>
        <v>0</v>
      </c>
      <c r="K106" s="137">
        <f t="shared" si="25"/>
        <v>140.33000000000001</v>
      </c>
      <c r="L106" s="131">
        <f t="shared" si="26"/>
        <v>2277.56</v>
      </c>
      <c r="M106" s="131">
        <f t="shared" si="27"/>
        <v>0</v>
      </c>
      <c r="N106" s="386">
        <f t="shared" si="28"/>
        <v>0</v>
      </c>
      <c r="O106" s="375">
        <f t="shared" si="29"/>
        <v>2277.56</v>
      </c>
      <c r="P106" s="136">
        <f t="shared" si="24"/>
        <v>0</v>
      </c>
      <c r="S106" s="189">
        <v>0</v>
      </c>
      <c r="T106" s="189">
        <v>0</v>
      </c>
      <c r="BU106" s="523"/>
      <c r="BV106" s="523">
        <v>0</v>
      </c>
      <c r="BW106" s="523">
        <v>0</v>
      </c>
      <c r="BX106" s="523">
        <v>0</v>
      </c>
      <c r="BY106" s="523">
        <v>0</v>
      </c>
      <c r="BZ106" s="523"/>
      <c r="CA106" s="523"/>
      <c r="CB106" s="523"/>
      <c r="CC106" s="523"/>
      <c r="CD106" s="523"/>
      <c r="CE106" s="523"/>
      <c r="CF106" s="523"/>
      <c r="CG106" s="523"/>
      <c r="CH106" s="523"/>
      <c r="CI106" s="523">
        <f t="shared" si="18"/>
        <v>0</v>
      </c>
    </row>
    <row r="107" spans="1:87" ht="25.5" x14ac:dyDescent="0.2">
      <c r="A107" s="125" t="s">
        <v>1476</v>
      </c>
      <c r="B107" s="126">
        <v>87272</v>
      </c>
      <c r="C107" s="126" t="s">
        <v>1324</v>
      </c>
      <c r="D107" s="127" t="s">
        <v>1477</v>
      </c>
      <c r="E107" s="128" t="s">
        <v>14</v>
      </c>
      <c r="F107" s="137">
        <v>319.5</v>
      </c>
      <c r="G107" s="130">
        <v>45.67</v>
      </c>
      <c r="H107" s="128">
        <v>210.5</v>
      </c>
      <c r="I107" s="133">
        <f t="shared" si="17"/>
        <v>0</v>
      </c>
      <c r="J107" s="374">
        <f t="shared" si="19"/>
        <v>0</v>
      </c>
      <c r="K107" s="137">
        <f t="shared" si="25"/>
        <v>210.5</v>
      </c>
      <c r="L107" s="131">
        <f t="shared" si="26"/>
        <v>9613.5400000000009</v>
      </c>
      <c r="M107" s="131">
        <f t="shared" si="27"/>
        <v>0</v>
      </c>
      <c r="N107" s="386">
        <f t="shared" si="28"/>
        <v>0</v>
      </c>
      <c r="O107" s="375">
        <f t="shared" si="29"/>
        <v>9613.5400000000009</v>
      </c>
      <c r="P107" s="136">
        <f t="shared" si="24"/>
        <v>0</v>
      </c>
      <c r="S107" s="189">
        <v>0</v>
      </c>
      <c r="T107" s="189">
        <v>0</v>
      </c>
      <c r="BU107" s="523"/>
      <c r="BV107" s="523">
        <v>0</v>
      </c>
      <c r="BW107" s="523">
        <v>0</v>
      </c>
      <c r="BX107" s="523">
        <v>0</v>
      </c>
      <c r="BY107" s="523">
        <v>0</v>
      </c>
      <c r="BZ107" s="523"/>
      <c r="CA107" s="523"/>
      <c r="CB107" s="523"/>
      <c r="CC107" s="523"/>
      <c r="CD107" s="523"/>
      <c r="CE107" s="523"/>
      <c r="CF107" s="523"/>
      <c r="CG107" s="523"/>
      <c r="CH107" s="523"/>
      <c r="CI107" s="523">
        <f t="shared" si="18"/>
        <v>0</v>
      </c>
    </row>
    <row r="108" spans="1:87" ht="25.5" x14ac:dyDescent="0.2">
      <c r="A108" s="125" t="s">
        <v>1478</v>
      </c>
      <c r="B108" s="126">
        <v>87267</v>
      </c>
      <c r="C108" s="126" t="s">
        <v>1324</v>
      </c>
      <c r="D108" s="127" t="s">
        <v>1479</v>
      </c>
      <c r="E108" s="128" t="s">
        <v>14</v>
      </c>
      <c r="F108" s="137">
        <v>347.14</v>
      </c>
      <c r="G108" s="130">
        <v>46.64</v>
      </c>
      <c r="H108" s="128">
        <v>85.51</v>
      </c>
      <c r="I108" s="133">
        <f t="shared" si="17"/>
        <v>0</v>
      </c>
      <c r="J108" s="374">
        <f t="shared" si="19"/>
        <v>0</v>
      </c>
      <c r="K108" s="137">
        <f t="shared" si="25"/>
        <v>85.51</v>
      </c>
      <c r="L108" s="131">
        <f t="shared" si="26"/>
        <v>3988.19</v>
      </c>
      <c r="M108" s="131">
        <f t="shared" si="27"/>
        <v>0</v>
      </c>
      <c r="N108" s="386">
        <f t="shared" si="28"/>
        <v>0</v>
      </c>
      <c r="O108" s="375">
        <f t="shared" si="29"/>
        <v>3988.19</v>
      </c>
      <c r="P108" s="136">
        <f t="shared" si="24"/>
        <v>0</v>
      </c>
      <c r="S108" s="189">
        <v>0</v>
      </c>
      <c r="T108" s="189">
        <v>0</v>
      </c>
      <c r="BU108" s="523"/>
      <c r="BV108" s="523">
        <v>0</v>
      </c>
      <c r="BW108" s="523">
        <v>0</v>
      </c>
      <c r="BX108" s="523">
        <v>0</v>
      </c>
      <c r="BY108" s="523">
        <v>0</v>
      </c>
      <c r="BZ108" s="523"/>
      <c r="CA108" s="523"/>
      <c r="CB108" s="523"/>
      <c r="CC108" s="523"/>
      <c r="CD108" s="523"/>
      <c r="CE108" s="523"/>
      <c r="CF108" s="523"/>
      <c r="CG108" s="523"/>
      <c r="CH108" s="523"/>
      <c r="CI108" s="523">
        <f t="shared" si="18"/>
        <v>0</v>
      </c>
    </row>
    <row r="109" spans="1:87" s="514" customFormat="1" x14ac:dyDescent="0.2">
      <c r="A109" s="412">
        <v>10</v>
      </c>
      <c r="B109" s="413"/>
      <c r="C109" s="413"/>
      <c r="D109" s="414" t="s">
        <v>1480</v>
      </c>
      <c r="E109" s="415"/>
      <c r="F109" s="417"/>
      <c r="G109" s="418"/>
      <c r="H109" s="416"/>
      <c r="I109" s="420"/>
      <c r="J109" s="421"/>
      <c r="K109" s="420"/>
      <c r="L109" s="416">
        <f>SUM(L110,L116)</f>
        <v>60566.091099999991</v>
      </c>
      <c r="M109" s="433">
        <f>SUM(M110,M115)</f>
        <v>0</v>
      </c>
      <c r="N109" s="432">
        <f>SUM(N110,N115)</f>
        <v>0</v>
      </c>
      <c r="O109" s="434">
        <f>SUM(O110,O116)</f>
        <v>60566.091099999991</v>
      </c>
      <c r="P109" s="423">
        <f t="shared" si="24"/>
        <v>0</v>
      </c>
      <c r="S109" s="190">
        <v>0</v>
      </c>
      <c r="T109" s="190">
        <v>0</v>
      </c>
      <c r="BU109" s="523"/>
      <c r="BV109" s="523"/>
      <c r="BW109" s="523"/>
      <c r="BX109" s="523">
        <v>0</v>
      </c>
      <c r="BY109" s="523">
        <v>0</v>
      </c>
      <c r="BZ109" s="523"/>
      <c r="CA109" s="523"/>
      <c r="CB109" s="523"/>
      <c r="CC109" s="523"/>
      <c r="CD109" s="523"/>
      <c r="CE109" s="523"/>
      <c r="CF109" s="523"/>
      <c r="CG109" s="523"/>
      <c r="CH109" s="523"/>
      <c r="CI109" s="523">
        <f t="shared" si="18"/>
        <v>0</v>
      </c>
    </row>
    <row r="110" spans="1:87" x14ac:dyDescent="0.2">
      <c r="A110" s="449" t="s">
        <v>254</v>
      </c>
      <c r="B110" s="450"/>
      <c r="C110" s="450"/>
      <c r="D110" s="451" t="s">
        <v>1481</v>
      </c>
      <c r="E110" s="465"/>
      <c r="F110" s="468"/>
      <c r="G110" s="465"/>
      <c r="H110" s="465"/>
      <c r="I110" s="465"/>
      <c r="J110" s="474"/>
      <c r="K110" s="474"/>
      <c r="L110" s="452">
        <f>SUM(L111:L115)+0.01</f>
        <v>54520.321099999994</v>
      </c>
      <c r="M110" s="468">
        <f>SUM(M111:M115)</f>
        <v>0</v>
      </c>
      <c r="N110" s="467">
        <f>SUM(N111:N115)</f>
        <v>0</v>
      </c>
      <c r="O110" s="469">
        <f>SUM(O111:O115)+0.01</f>
        <v>54520.321099999994</v>
      </c>
      <c r="P110" s="459">
        <f t="shared" si="24"/>
        <v>0</v>
      </c>
      <c r="S110" s="189">
        <v>0</v>
      </c>
      <c r="T110" s="189">
        <v>0</v>
      </c>
      <c r="BU110" s="523"/>
      <c r="BV110" s="523"/>
      <c r="BW110" s="523"/>
      <c r="BX110" s="523">
        <v>0</v>
      </c>
      <c r="BY110" s="523">
        <v>0</v>
      </c>
      <c r="BZ110" s="523"/>
      <c r="CA110" s="523"/>
      <c r="CB110" s="523"/>
      <c r="CC110" s="523"/>
      <c r="CD110" s="523"/>
      <c r="CE110" s="523"/>
      <c r="CF110" s="523"/>
      <c r="CG110" s="523"/>
      <c r="CH110" s="523"/>
      <c r="CI110" s="523">
        <f t="shared" si="18"/>
        <v>0</v>
      </c>
    </row>
    <row r="111" spans="1:87" x14ac:dyDescent="0.2">
      <c r="A111" s="125" t="s">
        <v>1482</v>
      </c>
      <c r="B111" s="126" t="s">
        <v>2007</v>
      </c>
      <c r="C111" s="126" t="s">
        <v>1339</v>
      </c>
      <c r="D111" s="127" t="s">
        <v>1483</v>
      </c>
      <c r="E111" s="128" t="s">
        <v>14</v>
      </c>
      <c r="F111" s="137">
        <v>52.1</v>
      </c>
      <c r="G111" s="130">
        <v>30.94</v>
      </c>
      <c r="H111" s="128">
        <v>64.91</v>
      </c>
      <c r="I111" s="133">
        <f t="shared" si="17"/>
        <v>0</v>
      </c>
      <c r="J111" s="374">
        <f t="shared" si="19"/>
        <v>0</v>
      </c>
      <c r="K111" s="137">
        <f>H111-J111</f>
        <v>64.91</v>
      </c>
      <c r="L111" s="131">
        <f>H111*G111</f>
        <v>2008.3154</v>
      </c>
      <c r="M111" s="131">
        <f>I111*G111</f>
        <v>0</v>
      </c>
      <c r="N111" s="386">
        <f t="shared" ref="N111:N119" si="30">SUM(N112:N116)</f>
        <v>0</v>
      </c>
      <c r="O111" s="375">
        <f>L111-N111</f>
        <v>2008.3154</v>
      </c>
      <c r="P111" s="136">
        <f t="shared" si="24"/>
        <v>0</v>
      </c>
      <c r="S111" s="189">
        <v>0</v>
      </c>
      <c r="T111" s="189">
        <v>0</v>
      </c>
      <c r="BU111" s="523"/>
      <c r="BV111" s="523">
        <v>0</v>
      </c>
      <c r="BW111" s="523">
        <v>0</v>
      </c>
      <c r="BX111" s="523">
        <v>0</v>
      </c>
      <c r="BY111" s="523">
        <v>0</v>
      </c>
      <c r="BZ111" s="523"/>
      <c r="CA111" s="523"/>
      <c r="CB111" s="523"/>
      <c r="CC111" s="523"/>
      <c r="CD111" s="523"/>
      <c r="CE111" s="523"/>
      <c r="CF111" s="523"/>
      <c r="CG111" s="523"/>
      <c r="CH111" s="523"/>
      <c r="CI111" s="523">
        <f t="shared" si="18"/>
        <v>0</v>
      </c>
    </row>
    <row r="112" spans="1:87" x14ac:dyDescent="0.2">
      <c r="A112" s="125" t="s">
        <v>1484</v>
      </c>
      <c r="B112" s="126">
        <v>87630</v>
      </c>
      <c r="C112" s="126" t="s">
        <v>1324</v>
      </c>
      <c r="D112" s="127" t="s">
        <v>1485</v>
      </c>
      <c r="E112" s="128" t="s">
        <v>14</v>
      </c>
      <c r="F112" s="137">
        <v>15.24</v>
      </c>
      <c r="G112" s="130">
        <v>30.71</v>
      </c>
      <c r="H112" s="128">
        <v>64.91</v>
      </c>
      <c r="I112" s="133">
        <f t="shared" si="17"/>
        <v>0</v>
      </c>
      <c r="J112" s="374">
        <f t="shared" si="19"/>
        <v>0</v>
      </c>
      <c r="K112" s="137">
        <f>H112-J112</f>
        <v>64.91</v>
      </c>
      <c r="L112" s="131">
        <f>H112*G112</f>
        <v>1993.3860999999999</v>
      </c>
      <c r="M112" s="131">
        <f>I112*G112</f>
        <v>0</v>
      </c>
      <c r="N112" s="386">
        <f t="shared" si="30"/>
        <v>0</v>
      </c>
      <c r="O112" s="375">
        <f>L112-N112</f>
        <v>1993.3860999999999</v>
      </c>
      <c r="P112" s="136">
        <f t="shared" si="24"/>
        <v>0</v>
      </c>
      <c r="S112" s="189">
        <v>0</v>
      </c>
      <c r="T112" s="189">
        <v>0</v>
      </c>
      <c r="BU112" s="523"/>
      <c r="BV112" s="523">
        <v>0</v>
      </c>
      <c r="BW112" s="523">
        <v>0</v>
      </c>
      <c r="BX112" s="523">
        <v>0</v>
      </c>
      <c r="BY112" s="523">
        <v>0</v>
      </c>
      <c r="BZ112" s="523"/>
      <c r="CA112" s="523"/>
      <c r="CB112" s="523"/>
      <c r="CC112" s="523"/>
      <c r="CD112" s="523"/>
      <c r="CE112" s="523"/>
      <c r="CF112" s="523"/>
      <c r="CG112" s="523"/>
      <c r="CH112" s="523"/>
      <c r="CI112" s="523">
        <f t="shared" si="18"/>
        <v>0</v>
      </c>
    </row>
    <row r="113" spans="1:87" ht="25.5" x14ac:dyDescent="0.2">
      <c r="A113" s="125" t="s">
        <v>1486</v>
      </c>
      <c r="B113" s="126">
        <v>72136</v>
      </c>
      <c r="C113" s="126" t="s">
        <v>1324</v>
      </c>
      <c r="D113" s="127" t="s">
        <v>1487</v>
      </c>
      <c r="E113" s="128" t="s">
        <v>14</v>
      </c>
      <c r="F113" s="137">
        <v>584.54999999999995</v>
      </c>
      <c r="G113" s="130">
        <v>71.489999999999995</v>
      </c>
      <c r="H113" s="128">
        <v>676.67</v>
      </c>
      <c r="I113" s="133">
        <f t="shared" si="17"/>
        <v>0</v>
      </c>
      <c r="J113" s="374">
        <f t="shared" si="19"/>
        <v>0</v>
      </c>
      <c r="K113" s="137">
        <f>H113-J113</f>
        <v>676.67</v>
      </c>
      <c r="L113" s="131">
        <f>H113*G113</f>
        <v>48375.138299999991</v>
      </c>
      <c r="M113" s="131">
        <f>I113*G113</f>
        <v>0</v>
      </c>
      <c r="N113" s="386">
        <f t="shared" si="30"/>
        <v>0</v>
      </c>
      <c r="O113" s="375">
        <f>L113-N113</f>
        <v>48375.138299999991</v>
      </c>
      <c r="P113" s="136">
        <f t="shared" si="24"/>
        <v>0</v>
      </c>
      <c r="S113" s="189">
        <v>0</v>
      </c>
      <c r="T113" s="189">
        <v>0</v>
      </c>
      <c r="BU113" s="523"/>
      <c r="BV113" s="523">
        <v>0</v>
      </c>
      <c r="BW113" s="523">
        <v>0</v>
      </c>
      <c r="BX113" s="523">
        <v>0</v>
      </c>
      <c r="BY113" s="523">
        <v>0</v>
      </c>
      <c r="BZ113" s="523"/>
      <c r="CA113" s="523"/>
      <c r="CB113" s="523"/>
      <c r="CC113" s="523"/>
      <c r="CD113" s="523"/>
      <c r="CE113" s="523"/>
      <c r="CF113" s="523"/>
      <c r="CG113" s="523"/>
      <c r="CH113" s="523"/>
      <c r="CI113" s="523">
        <f t="shared" si="18"/>
        <v>0</v>
      </c>
    </row>
    <row r="114" spans="1:87" ht="25.5" x14ac:dyDescent="0.2">
      <c r="A114" s="125" t="s">
        <v>1488</v>
      </c>
      <c r="B114" s="126">
        <v>87251</v>
      </c>
      <c r="C114" s="126" t="s">
        <v>1324</v>
      </c>
      <c r="D114" s="127" t="s">
        <v>1489</v>
      </c>
      <c r="E114" s="128" t="s">
        <v>14</v>
      </c>
      <c r="F114" s="137">
        <v>18.86</v>
      </c>
      <c r="G114" s="130">
        <v>31.13</v>
      </c>
      <c r="H114" s="128">
        <v>64.91</v>
      </c>
      <c r="I114" s="133">
        <f t="shared" si="17"/>
        <v>0</v>
      </c>
      <c r="J114" s="374">
        <f t="shared" si="19"/>
        <v>0</v>
      </c>
      <c r="K114" s="137">
        <f>H114-J114</f>
        <v>64.91</v>
      </c>
      <c r="L114" s="131">
        <f>H114*G114</f>
        <v>2020.6482999999998</v>
      </c>
      <c r="M114" s="131">
        <f>I114*G114</f>
        <v>0</v>
      </c>
      <c r="N114" s="386">
        <f t="shared" si="30"/>
        <v>0</v>
      </c>
      <c r="O114" s="375">
        <f>L114-N114</f>
        <v>2020.6482999999998</v>
      </c>
      <c r="P114" s="136">
        <f t="shared" si="24"/>
        <v>0</v>
      </c>
      <c r="S114" s="189">
        <v>0</v>
      </c>
      <c r="T114" s="189">
        <v>0</v>
      </c>
      <c r="BU114" s="523"/>
      <c r="BV114" s="523">
        <v>0</v>
      </c>
      <c r="BW114" s="523">
        <v>0</v>
      </c>
      <c r="BX114" s="523">
        <v>0</v>
      </c>
      <c r="BY114" s="523">
        <v>0</v>
      </c>
      <c r="BZ114" s="523"/>
      <c r="CA114" s="523"/>
      <c r="CB114" s="523"/>
      <c r="CC114" s="523"/>
      <c r="CD114" s="523"/>
      <c r="CE114" s="523"/>
      <c r="CF114" s="523"/>
      <c r="CG114" s="523"/>
      <c r="CH114" s="523"/>
      <c r="CI114" s="523">
        <f t="shared" si="18"/>
        <v>0</v>
      </c>
    </row>
    <row r="115" spans="1:87" s="514" customFormat="1" x14ac:dyDescent="0.2">
      <c r="A115" s="125" t="s">
        <v>1490</v>
      </c>
      <c r="B115" s="126" t="s">
        <v>2007</v>
      </c>
      <c r="C115" s="126" t="s">
        <v>1339</v>
      </c>
      <c r="D115" s="127" t="s">
        <v>1491</v>
      </c>
      <c r="E115" s="128" t="s">
        <v>81</v>
      </c>
      <c r="F115" s="137">
        <v>42.78</v>
      </c>
      <c r="G115" s="130">
        <v>45.49</v>
      </c>
      <c r="H115" s="128">
        <v>2.7</v>
      </c>
      <c r="I115" s="133">
        <f t="shared" si="17"/>
        <v>0</v>
      </c>
      <c r="J115" s="374">
        <f t="shared" si="19"/>
        <v>0</v>
      </c>
      <c r="K115" s="137">
        <f>H115-J115</f>
        <v>2.7</v>
      </c>
      <c r="L115" s="131">
        <f>H115*G115</f>
        <v>122.82300000000001</v>
      </c>
      <c r="M115" s="131">
        <f>I115*G115</f>
        <v>0</v>
      </c>
      <c r="N115" s="386">
        <f t="shared" si="30"/>
        <v>0</v>
      </c>
      <c r="O115" s="375">
        <f>L115-N115</f>
        <v>122.82300000000001</v>
      </c>
      <c r="P115" s="136">
        <f t="shared" si="24"/>
        <v>0</v>
      </c>
      <c r="S115" s="190">
        <v>0</v>
      </c>
      <c r="T115" s="190">
        <v>0</v>
      </c>
      <c r="BU115" s="523"/>
      <c r="BV115" s="523">
        <v>0</v>
      </c>
      <c r="BW115" s="523">
        <v>0</v>
      </c>
      <c r="BX115" s="523">
        <v>0</v>
      </c>
      <c r="BY115" s="523">
        <v>0</v>
      </c>
      <c r="BZ115" s="523"/>
      <c r="CA115" s="523"/>
      <c r="CB115" s="523"/>
      <c r="CC115" s="523"/>
      <c r="CD115" s="523"/>
      <c r="CE115" s="523"/>
      <c r="CF115" s="523"/>
      <c r="CG115" s="523"/>
      <c r="CH115" s="523"/>
      <c r="CI115" s="523">
        <f t="shared" si="18"/>
        <v>0</v>
      </c>
    </row>
    <row r="116" spans="1:87" x14ac:dyDescent="0.2">
      <c r="A116" s="449" t="s">
        <v>256</v>
      </c>
      <c r="B116" s="450"/>
      <c r="C116" s="450"/>
      <c r="D116" s="451" t="s">
        <v>1256</v>
      </c>
      <c r="E116" s="465"/>
      <c r="F116" s="468"/>
      <c r="G116" s="465"/>
      <c r="H116" s="465"/>
      <c r="I116" s="465"/>
      <c r="J116" s="474"/>
      <c r="K116" s="474"/>
      <c r="L116" s="452">
        <f>SUM(L117:L119)</f>
        <v>6045.77</v>
      </c>
      <c r="M116" s="468">
        <f>SUM(M117:M119)</f>
        <v>0</v>
      </c>
      <c r="N116" s="467">
        <f t="shared" si="30"/>
        <v>0</v>
      </c>
      <c r="O116" s="469">
        <f>SUM(O117:O119)</f>
        <v>6045.77</v>
      </c>
      <c r="P116" s="459">
        <f t="shared" si="24"/>
        <v>0</v>
      </c>
      <c r="S116" s="189">
        <v>0</v>
      </c>
      <c r="T116" s="189">
        <v>0</v>
      </c>
      <c r="BU116" s="523"/>
      <c r="BV116" s="523"/>
      <c r="BW116" s="523"/>
      <c r="BX116" s="523">
        <v>0</v>
      </c>
      <c r="BY116" s="523">
        <v>0</v>
      </c>
      <c r="BZ116" s="523"/>
      <c r="CA116" s="523"/>
      <c r="CB116" s="523"/>
      <c r="CC116" s="523"/>
      <c r="CD116" s="523"/>
      <c r="CE116" s="523"/>
      <c r="CF116" s="523"/>
      <c r="CG116" s="523"/>
      <c r="CH116" s="523"/>
      <c r="CI116" s="523">
        <f t="shared" si="18"/>
        <v>0</v>
      </c>
    </row>
    <row r="117" spans="1:87" x14ac:dyDescent="0.2">
      <c r="A117" s="125" t="s">
        <v>1492</v>
      </c>
      <c r="B117" s="126">
        <v>85181</v>
      </c>
      <c r="C117" s="126" t="s">
        <v>1324</v>
      </c>
      <c r="D117" s="127" t="s">
        <v>1493</v>
      </c>
      <c r="E117" s="128" t="s">
        <v>14</v>
      </c>
      <c r="F117" s="172"/>
      <c r="G117" s="130">
        <v>523.70000000000005</v>
      </c>
      <c r="H117" s="128">
        <v>9.7899999999999991</v>
      </c>
      <c r="I117" s="133">
        <f t="shared" si="17"/>
        <v>0</v>
      </c>
      <c r="J117" s="374">
        <f t="shared" si="19"/>
        <v>0</v>
      </c>
      <c r="K117" s="137">
        <f>H117-J117</f>
        <v>9.7899999999999991</v>
      </c>
      <c r="L117" s="131">
        <f>ROUND(H117*G117,2)</f>
        <v>5127.0200000000004</v>
      </c>
      <c r="M117" s="178">
        <f>0</f>
        <v>0</v>
      </c>
      <c r="N117" s="386">
        <f t="shared" si="30"/>
        <v>0</v>
      </c>
      <c r="O117" s="375">
        <f>L117-N117</f>
        <v>5127.0200000000004</v>
      </c>
      <c r="P117" s="136">
        <f t="shared" si="24"/>
        <v>0</v>
      </c>
      <c r="S117" s="189">
        <v>0</v>
      </c>
      <c r="T117" s="189">
        <v>0</v>
      </c>
      <c r="BU117" s="523"/>
      <c r="BV117" s="523">
        <v>0</v>
      </c>
      <c r="BW117" s="523">
        <v>0</v>
      </c>
      <c r="BX117" s="523">
        <v>0</v>
      </c>
      <c r="BY117" s="523">
        <v>0</v>
      </c>
      <c r="BZ117" s="523"/>
      <c r="CA117" s="523"/>
      <c r="CB117" s="523"/>
      <c r="CC117" s="523"/>
      <c r="CD117" s="523"/>
      <c r="CE117" s="523"/>
      <c r="CF117" s="523"/>
      <c r="CG117" s="523"/>
      <c r="CH117" s="523"/>
      <c r="CI117" s="523">
        <f t="shared" si="18"/>
        <v>0</v>
      </c>
    </row>
    <row r="118" spans="1:87" x14ac:dyDescent="0.2">
      <c r="A118" s="125" t="s">
        <v>1494</v>
      </c>
      <c r="B118" s="126">
        <v>5652</v>
      </c>
      <c r="C118" s="126" t="s">
        <v>1324</v>
      </c>
      <c r="D118" s="127" t="s">
        <v>1495</v>
      </c>
      <c r="E118" s="128" t="s">
        <v>48</v>
      </c>
      <c r="F118" s="172"/>
      <c r="G118" s="130">
        <v>276.27</v>
      </c>
      <c r="H118" s="128">
        <v>1.82</v>
      </c>
      <c r="I118" s="133">
        <f t="shared" si="17"/>
        <v>0</v>
      </c>
      <c r="J118" s="374">
        <f t="shared" si="19"/>
        <v>0</v>
      </c>
      <c r="K118" s="137">
        <f>H118-J118</f>
        <v>1.82</v>
      </c>
      <c r="L118" s="131">
        <f>ROUND(H118*G118,2)</f>
        <v>502.81</v>
      </c>
      <c r="M118" s="178">
        <f>0</f>
        <v>0</v>
      </c>
      <c r="N118" s="386">
        <f t="shared" si="30"/>
        <v>0</v>
      </c>
      <c r="O118" s="375">
        <f>L118-N118</f>
        <v>502.81</v>
      </c>
      <c r="P118" s="136">
        <f t="shared" si="24"/>
        <v>0</v>
      </c>
      <c r="S118" s="189">
        <v>0</v>
      </c>
      <c r="T118" s="189">
        <v>0</v>
      </c>
      <c r="BU118" s="523"/>
      <c r="BV118" s="523">
        <v>0</v>
      </c>
      <c r="BW118" s="523">
        <v>0</v>
      </c>
      <c r="BX118" s="523">
        <v>0</v>
      </c>
      <c r="BY118" s="523">
        <v>0</v>
      </c>
      <c r="BZ118" s="523"/>
      <c r="CA118" s="523"/>
      <c r="CB118" s="523"/>
      <c r="CC118" s="523"/>
      <c r="CD118" s="523"/>
      <c r="CE118" s="523"/>
      <c r="CF118" s="523"/>
      <c r="CG118" s="523"/>
      <c r="CH118" s="523"/>
      <c r="CI118" s="523">
        <f t="shared" si="18"/>
        <v>0</v>
      </c>
    </row>
    <row r="119" spans="1:87" s="514" customFormat="1" ht="25.5" x14ac:dyDescent="0.2">
      <c r="A119" s="125" t="s">
        <v>1496</v>
      </c>
      <c r="B119" s="126" t="s">
        <v>2007</v>
      </c>
      <c r="C119" s="126" t="s">
        <v>1339</v>
      </c>
      <c r="D119" s="127" t="s">
        <v>1497</v>
      </c>
      <c r="E119" s="128" t="s">
        <v>14</v>
      </c>
      <c r="F119" s="137">
        <v>7.73</v>
      </c>
      <c r="G119" s="130">
        <v>71.099999999999994</v>
      </c>
      <c r="H119" s="128">
        <v>5.85</v>
      </c>
      <c r="I119" s="133">
        <f t="shared" si="17"/>
        <v>0</v>
      </c>
      <c r="J119" s="374">
        <f t="shared" si="19"/>
        <v>0</v>
      </c>
      <c r="K119" s="137">
        <f>H119-J119</f>
        <v>5.85</v>
      </c>
      <c r="L119" s="131">
        <f>ROUND(H119*G119,2)</f>
        <v>415.94</v>
      </c>
      <c r="M119" s="178">
        <f>0</f>
        <v>0</v>
      </c>
      <c r="N119" s="386">
        <f t="shared" si="30"/>
        <v>0</v>
      </c>
      <c r="O119" s="375">
        <f>L119-N119</f>
        <v>415.94</v>
      </c>
      <c r="P119" s="136">
        <f t="shared" si="24"/>
        <v>0</v>
      </c>
      <c r="S119" s="190">
        <v>0</v>
      </c>
      <c r="T119" s="190">
        <v>0</v>
      </c>
      <c r="BU119" s="523"/>
      <c r="BV119" s="523">
        <v>0</v>
      </c>
      <c r="BW119" s="523">
        <v>0</v>
      </c>
      <c r="BX119" s="523">
        <v>0</v>
      </c>
      <c r="BY119" s="523">
        <v>0</v>
      </c>
      <c r="BZ119" s="523"/>
      <c r="CA119" s="523"/>
      <c r="CB119" s="523"/>
      <c r="CC119" s="523"/>
      <c r="CD119" s="523"/>
      <c r="CE119" s="523"/>
      <c r="CF119" s="523"/>
      <c r="CG119" s="523"/>
      <c r="CH119" s="523"/>
      <c r="CI119" s="523">
        <f t="shared" si="18"/>
        <v>0</v>
      </c>
    </row>
    <row r="120" spans="1:87" x14ac:dyDescent="0.2">
      <c r="A120" s="412">
        <v>11</v>
      </c>
      <c r="B120" s="413"/>
      <c r="C120" s="413"/>
      <c r="D120" s="414" t="s">
        <v>1498</v>
      </c>
      <c r="E120" s="415"/>
      <c r="F120" s="417"/>
      <c r="G120" s="418"/>
      <c r="H120" s="416"/>
      <c r="I120" s="420">
        <f t="shared" si="17"/>
        <v>0</v>
      </c>
      <c r="J120" s="421">
        <f t="shared" si="19"/>
        <v>0</v>
      </c>
      <c r="K120" s="420"/>
      <c r="L120" s="433">
        <f>SUM(L121:L128)</f>
        <v>62088.5</v>
      </c>
      <c r="M120" s="433">
        <f>SUM(M121:M128)</f>
        <v>0</v>
      </c>
      <c r="N120" s="432">
        <f>SUM(N121:N128)</f>
        <v>0</v>
      </c>
      <c r="O120" s="434">
        <f>SUM(O121:O128)</f>
        <v>62088.5</v>
      </c>
      <c r="P120" s="423">
        <f t="shared" si="24"/>
        <v>0</v>
      </c>
      <c r="S120" s="189">
        <v>0</v>
      </c>
      <c r="T120" s="189">
        <v>0</v>
      </c>
      <c r="BU120" s="523"/>
      <c r="BV120" s="523"/>
      <c r="BW120" s="523"/>
      <c r="BX120" s="523">
        <v>0</v>
      </c>
      <c r="BY120" s="523">
        <v>0</v>
      </c>
      <c r="BZ120" s="523"/>
      <c r="CA120" s="523"/>
      <c r="CB120" s="523"/>
      <c r="CC120" s="523"/>
      <c r="CD120" s="523"/>
      <c r="CE120" s="523"/>
      <c r="CF120" s="523"/>
      <c r="CG120" s="523"/>
      <c r="CH120" s="523"/>
      <c r="CI120" s="523">
        <f t="shared" si="18"/>
        <v>0</v>
      </c>
    </row>
    <row r="121" spans="1:87" x14ac:dyDescent="0.2">
      <c r="A121" s="125" t="s">
        <v>274</v>
      </c>
      <c r="B121" s="126" t="s">
        <v>2007</v>
      </c>
      <c r="C121" s="126" t="s">
        <v>1339</v>
      </c>
      <c r="D121" s="127" t="s">
        <v>1499</v>
      </c>
      <c r="E121" s="128" t="s">
        <v>14</v>
      </c>
      <c r="F121" s="137">
        <v>14.07</v>
      </c>
      <c r="G121" s="130">
        <v>7.03</v>
      </c>
      <c r="H121" s="128">
        <v>529.37</v>
      </c>
      <c r="I121" s="133">
        <f t="shared" si="17"/>
        <v>0</v>
      </c>
      <c r="J121" s="374">
        <f t="shared" si="19"/>
        <v>0</v>
      </c>
      <c r="K121" s="137">
        <f t="shared" ref="K121:K128" si="31">H121-J121</f>
        <v>529.37</v>
      </c>
      <c r="L121" s="131">
        <f t="shared" ref="L121:L128" si="32">ROUND(H121*G121,2)</f>
        <v>3721.47</v>
      </c>
      <c r="M121" s="131">
        <f t="shared" ref="M121:M128" si="33">I121*G121</f>
        <v>0</v>
      </c>
      <c r="N121" s="386">
        <f t="shared" ref="N121:N128" si="34">J121*G121</f>
        <v>0</v>
      </c>
      <c r="O121" s="375">
        <f t="shared" ref="O121:O128" si="35">L121-N121</f>
        <v>3721.47</v>
      </c>
      <c r="P121" s="136">
        <f t="shared" si="24"/>
        <v>0</v>
      </c>
      <c r="S121" s="189">
        <v>0</v>
      </c>
      <c r="T121" s="189">
        <v>0</v>
      </c>
      <c r="BU121" s="523"/>
      <c r="BV121" s="523">
        <v>0</v>
      </c>
      <c r="BW121" s="523">
        <v>0</v>
      </c>
      <c r="BX121" s="523">
        <v>0</v>
      </c>
      <c r="BY121" s="523">
        <v>0</v>
      </c>
      <c r="BZ121" s="523"/>
      <c r="CA121" s="523"/>
      <c r="CB121" s="523"/>
      <c r="CC121" s="523"/>
      <c r="CD121" s="523"/>
      <c r="CE121" s="523"/>
      <c r="CF121" s="523"/>
      <c r="CG121" s="523"/>
      <c r="CH121" s="523"/>
      <c r="CI121" s="523">
        <f t="shared" si="18"/>
        <v>0</v>
      </c>
    </row>
    <row r="122" spans="1:87" x14ac:dyDescent="0.2">
      <c r="A122" s="125" t="s">
        <v>276</v>
      </c>
      <c r="B122" s="126">
        <v>88489</v>
      </c>
      <c r="C122" s="126" t="s">
        <v>1324</v>
      </c>
      <c r="D122" s="127" t="s">
        <v>1500</v>
      </c>
      <c r="E122" s="128" t="s">
        <v>14</v>
      </c>
      <c r="F122" s="137">
        <v>14.07</v>
      </c>
      <c r="G122" s="130">
        <v>9.48</v>
      </c>
      <c r="H122" s="128">
        <v>445.04</v>
      </c>
      <c r="I122" s="133">
        <f t="shared" si="17"/>
        <v>0</v>
      </c>
      <c r="J122" s="374">
        <f t="shared" si="19"/>
        <v>0</v>
      </c>
      <c r="K122" s="137">
        <f t="shared" si="31"/>
        <v>445.04</v>
      </c>
      <c r="L122" s="131">
        <f t="shared" si="32"/>
        <v>4218.9799999999996</v>
      </c>
      <c r="M122" s="131">
        <f t="shared" si="33"/>
        <v>0</v>
      </c>
      <c r="N122" s="386">
        <f t="shared" si="34"/>
        <v>0</v>
      </c>
      <c r="O122" s="375">
        <f t="shared" si="35"/>
        <v>4218.9799999999996</v>
      </c>
      <c r="P122" s="136">
        <f t="shared" si="24"/>
        <v>0</v>
      </c>
      <c r="S122" s="189">
        <v>0</v>
      </c>
      <c r="T122" s="189">
        <v>0</v>
      </c>
      <c r="BU122" s="523"/>
      <c r="BV122" s="523">
        <v>0</v>
      </c>
      <c r="BW122" s="523">
        <v>0</v>
      </c>
      <c r="BX122" s="523">
        <v>0</v>
      </c>
      <c r="BY122" s="523">
        <v>0</v>
      </c>
      <c r="BZ122" s="523"/>
      <c r="CA122" s="523"/>
      <c r="CB122" s="523"/>
      <c r="CC122" s="523"/>
      <c r="CD122" s="523"/>
      <c r="CE122" s="523"/>
      <c r="CF122" s="523"/>
      <c r="CG122" s="523"/>
      <c r="CH122" s="523"/>
      <c r="CI122" s="523">
        <f t="shared" si="18"/>
        <v>0</v>
      </c>
    </row>
    <row r="123" spans="1:87" x14ac:dyDescent="0.2">
      <c r="A123" s="125" t="s">
        <v>278</v>
      </c>
      <c r="B123" s="126">
        <v>88486</v>
      </c>
      <c r="C123" s="126" t="s">
        <v>1324</v>
      </c>
      <c r="D123" s="127" t="s">
        <v>1501</v>
      </c>
      <c r="E123" s="128" t="s">
        <v>14</v>
      </c>
      <c r="F123" s="138"/>
      <c r="G123" s="130">
        <v>8.2899999999999991</v>
      </c>
      <c r="H123" s="128">
        <v>84.33</v>
      </c>
      <c r="I123" s="133">
        <f t="shared" si="17"/>
        <v>0</v>
      </c>
      <c r="J123" s="374">
        <f t="shared" si="19"/>
        <v>0</v>
      </c>
      <c r="K123" s="137">
        <f t="shared" si="31"/>
        <v>84.33</v>
      </c>
      <c r="L123" s="131">
        <f t="shared" si="32"/>
        <v>699.1</v>
      </c>
      <c r="M123" s="131">
        <f t="shared" si="33"/>
        <v>0</v>
      </c>
      <c r="N123" s="386">
        <f t="shared" si="34"/>
        <v>0</v>
      </c>
      <c r="O123" s="375">
        <f t="shared" si="35"/>
        <v>699.1</v>
      </c>
      <c r="P123" s="136">
        <f t="shared" si="24"/>
        <v>0</v>
      </c>
      <c r="S123" s="189">
        <v>0</v>
      </c>
      <c r="T123" s="189">
        <v>0</v>
      </c>
      <c r="BU123" s="523"/>
      <c r="BV123" s="523">
        <v>0</v>
      </c>
      <c r="BW123" s="523">
        <v>0</v>
      </c>
      <c r="BX123" s="523">
        <v>0</v>
      </c>
      <c r="BY123" s="523">
        <v>0</v>
      </c>
      <c r="BZ123" s="523"/>
      <c r="CA123" s="523"/>
      <c r="CB123" s="523"/>
      <c r="CC123" s="523"/>
      <c r="CD123" s="523"/>
      <c r="CE123" s="523"/>
      <c r="CF123" s="523"/>
      <c r="CG123" s="523"/>
      <c r="CH123" s="523"/>
      <c r="CI123" s="523">
        <f t="shared" si="18"/>
        <v>0</v>
      </c>
    </row>
    <row r="124" spans="1:87" x14ac:dyDescent="0.2">
      <c r="A124" s="125" t="s">
        <v>281</v>
      </c>
      <c r="B124" s="126">
        <v>72815</v>
      </c>
      <c r="C124" s="126" t="s">
        <v>1324</v>
      </c>
      <c r="D124" s="127" t="s">
        <v>1502</v>
      </c>
      <c r="E124" s="128" t="s">
        <v>14</v>
      </c>
      <c r="F124" s="138"/>
      <c r="G124" s="130">
        <v>43.08</v>
      </c>
      <c r="H124" s="128">
        <v>483.8</v>
      </c>
      <c r="I124" s="133">
        <f t="shared" si="17"/>
        <v>0</v>
      </c>
      <c r="J124" s="374">
        <f t="shared" si="19"/>
        <v>0</v>
      </c>
      <c r="K124" s="137">
        <f t="shared" si="31"/>
        <v>483.8</v>
      </c>
      <c r="L124" s="131">
        <f t="shared" si="32"/>
        <v>20842.099999999999</v>
      </c>
      <c r="M124" s="131">
        <f t="shared" si="33"/>
        <v>0</v>
      </c>
      <c r="N124" s="386">
        <f t="shared" si="34"/>
        <v>0</v>
      </c>
      <c r="O124" s="375">
        <f t="shared" si="35"/>
        <v>20842.099999999999</v>
      </c>
      <c r="P124" s="136">
        <f t="shared" si="24"/>
        <v>0</v>
      </c>
      <c r="S124" s="189">
        <v>0</v>
      </c>
      <c r="T124" s="189">
        <v>0</v>
      </c>
      <c r="BU124" s="523"/>
      <c r="BV124" s="523">
        <v>0</v>
      </c>
      <c r="BW124" s="523">
        <v>0</v>
      </c>
      <c r="BX124" s="523">
        <v>0</v>
      </c>
      <c r="BY124" s="523">
        <v>0</v>
      </c>
      <c r="BZ124" s="523"/>
      <c r="CA124" s="523"/>
      <c r="CB124" s="523"/>
      <c r="CC124" s="523"/>
      <c r="CD124" s="523"/>
      <c r="CE124" s="523"/>
      <c r="CF124" s="523"/>
      <c r="CG124" s="523"/>
      <c r="CH124" s="523"/>
      <c r="CI124" s="523">
        <f t="shared" si="18"/>
        <v>0</v>
      </c>
    </row>
    <row r="125" spans="1:87" x14ac:dyDescent="0.2">
      <c r="A125" s="125" t="s">
        <v>1503</v>
      </c>
      <c r="B125" s="126">
        <v>41595</v>
      </c>
      <c r="C125" s="126" t="s">
        <v>1324</v>
      </c>
      <c r="D125" s="127" t="s">
        <v>1504</v>
      </c>
      <c r="E125" s="128" t="s">
        <v>81</v>
      </c>
      <c r="F125" s="138"/>
      <c r="G125" s="130">
        <v>8.86</v>
      </c>
      <c r="H125" s="128">
        <v>275.60000000000002</v>
      </c>
      <c r="I125" s="133">
        <f t="shared" si="17"/>
        <v>0</v>
      </c>
      <c r="J125" s="374">
        <f t="shared" si="19"/>
        <v>0</v>
      </c>
      <c r="K125" s="137">
        <f t="shared" si="31"/>
        <v>275.60000000000002</v>
      </c>
      <c r="L125" s="131">
        <f t="shared" si="32"/>
        <v>2441.8200000000002</v>
      </c>
      <c r="M125" s="131">
        <f t="shared" si="33"/>
        <v>0</v>
      </c>
      <c r="N125" s="386">
        <f t="shared" si="34"/>
        <v>0</v>
      </c>
      <c r="O125" s="375">
        <f t="shared" si="35"/>
        <v>2441.8200000000002</v>
      </c>
      <c r="P125" s="136">
        <f t="shared" si="24"/>
        <v>0</v>
      </c>
      <c r="S125" s="189">
        <v>0</v>
      </c>
      <c r="T125" s="189">
        <v>0</v>
      </c>
      <c r="BU125" s="523"/>
      <c r="BV125" s="523">
        <v>0</v>
      </c>
      <c r="BW125" s="523">
        <v>0</v>
      </c>
      <c r="BX125" s="523">
        <v>0</v>
      </c>
      <c r="BY125" s="523">
        <v>0</v>
      </c>
      <c r="BZ125" s="523"/>
      <c r="CA125" s="523"/>
      <c r="CB125" s="523"/>
      <c r="CC125" s="523"/>
      <c r="CD125" s="523"/>
      <c r="CE125" s="523"/>
      <c r="CF125" s="523"/>
      <c r="CG125" s="523"/>
      <c r="CH125" s="523"/>
      <c r="CI125" s="523">
        <f t="shared" si="18"/>
        <v>0</v>
      </c>
    </row>
    <row r="126" spans="1:87" x14ac:dyDescent="0.2">
      <c r="A126" s="125" t="s">
        <v>1505</v>
      </c>
      <c r="B126" s="126" t="s">
        <v>1506</v>
      </c>
      <c r="C126" s="126" t="s">
        <v>1324</v>
      </c>
      <c r="D126" s="127" t="s">
        <v>1507</v>
      </c>
      <c r="E126" s="128" t="s">
        <v>14</v>
      </c>
      <c r="F126" s="129"/>
      <c r="G126" s="130">
        <v>7.25</v>
      </c>
      <c r="H126" s="128">
        <v>366.82</v>
      </c>
      <c r="I126" s="133">
        <f t="shared" si="17"/>
        <v>0</v>
      </c>
      <c r="J126" s="374">
        <f t="shared" si="19"/>
        <v>0</v>
      </c>
      <c r="K126" s="137">
        <f t="shared" si="31"/>
        <v>366.82</v>
      </c>
      <c r="L126" s="131">
        <f t="shared" si="32"/>
        <v>2659.45</v>
      </c>
      <c r="M126" s="131">
        <f t="shared" si="33"/>
        <v>0</v>
      </c>
      <c r="N126" s="386">
        <f t="shared" si="34"/>
        <v>0</v>
      </c>
      <c r="O126" s="375">
        <f t="shared" si="35"/>
        <v>2659.45</v>
      </c>
      <c r="P126" s="136">
        <f t="shared" si="24"/>
        <v>0</v>
      </c>
      <c r="S126" s="189">
        <v>0</v>
      </c>
      <c r="T126" s="189">
        <v>0</v>
      </c>
      <c r="BU126" s="523"/>
      <c r="BV126" s="523">
        <v>0</v>
      </c>
      <c r="BW126" s="523">
        <v>0</v>
      </c>
      <c r="BX126" s="523">
        <v>0</v>
      </c>
      <c r="BY126" s="523">
        <v>0</v>
      </c>
      <c r="BZ126" s="523"/>
      <c r="CA126" s="523"/>
      <c r="CB126" s="523"/>
      <c r="CC126" s="523"/>
      <c r="CD126" s="523"/>
      <c r="CE126" s="523"/>
      <c r="CF126" s="523"/>
      <c r="CG126" s="523"/>
      <c r="CH126" s="523"/>
      <c r="CI126" s="523">
        <f t="shared" si="18"/>
        <v>0</v>
      </c>
    </row>
    <row r="127" spans="1:87" x14ac:dyDescent="0.2">
      <c r="A127" s="125" t="s">
        <v>1508</v>
      </c>
      <c r="B127" s="126" t="s">
        <v>1509</v>
      </c>
      <c r="C127" s="126" t="s">
        <v>1324</v>
      </c>
      <c r="D127" s="127" t="s">
        <v>1510</v>
      </c>
      <c r="E127" s="128" t="s">
        <v>14</v>
      </c>
      <c r="F127" s="137">
        <v>37.78</v>
      </c>
      <c r="G127" s="130">
        <v>21.62</v>
      </c>
      <c r="H127" s="128">
        <v>567.82000000000005</v>
      </c>
      <c r="I127" s="133">
        <f t="shared" si="17"/>
        <v>0</v>
      </c>
      <c r="J127" s="374">
        <f t="shared" si="19"/>
        <v>0</v>
      </c>
      <c r="K127" s="137">
        <f t="shared" si="31"/>
        <v>567.82000000000005</v>
      </c>
      <c r="L127" s="131">
        <f t="shared" si="32"/>
        <v>12276.27</v>
      </c>
      <c r="M127" s="131">
        <f t="shared" si="33"/>
        <v>0</v>
      </c>
      <c r="N127" s="386">
        <f t="shared" si="34"/>
        <v>0</v>
      </c>
      <c r="O127" s="375">
        <f t="shared" si="35"/>
        <v>12276.27</v>
      </c>
      <c r="P127" s="136">
        <f t="shared" si="24"/>
        <v>0</v>
      </c>
      <c r="S127" s="189">
        <v>0</v>
      </c>
      <c r="T127" s="189">
        <v>0</v>
      </c>
      <c r="BU127" s="523"/>
      <c r="BV127" s="523">
        <v>0</v>
      </c>
      <c r="BW127" s="523">
        <v>0</v>
      </c>
      <c r="BX127" s="523">
        <v>0</v>
      </c>
      <c r="BY127" s="523">
        <v>0</v>
      </c>
      <c r="BZ127" s="523"/>
      <c r="CA127" s="523"/>
      <c r="CB127" s="523"/>
      <c r="CC127" s="523"/>
      <c r="CD127" s="523"/>
      <c r="CE127" s="523"/>
      <c r="CF127" s="523"/>
      <c r="CG127" s="523"/>
      <c r="CH127" s="523"/>
      <c r="CI127" s="523">
        <f t="shared" si="18"/>
        <v>0</v>
      </c>
    </row>
    <row r="128" spans="1:87" x14ac:dyDescent="0.2">
      <c r="A128" s="125" t="s">
        <v>1511</v>
      </c>
      <c r="B128" s="126" t="s">
        <v>1512</v>
      </c>
      <c r="C128" s="126" t="s">
        <v>1324</v>
      </c>
      <c r="D128" s="127" t="s">
        <v>1513</v>
      </c>
      <c r="E128" s="128" t="s">
        <v>14</v>
      </c>
      <c r="F128" s="137">
        <v>21.63</v>
      </c>
      <c r="G128" s="130">
        <v>14.78</v>
      </c>
      <c r="H128" s="128">
        <v>1030.4000000000001</v>
      </c>
      <c r="I128" s="133">
        <f t="shared" si="17"/>
        <v>0</v>
      </c>
      <c r="J128" s="374">
        <f t="shared" si="19"/>
        <v>0</v>
      </c>
      <c r="K128" s="137">
        <f t="shared" si="31"/>
        <v>1030.4000000000001</v>
      </c>
      <c r="L128" s="131">
        <f t="shared" si="32"/>
        <v>15229.31</v>
      </c>
      <c r="M128" s="131">
        <f t="shared" si="33"/>
        <v>0</v>
      </c>
      <c r="N128" s="386">
        <f t="shared" si="34"/>
        <v>0</v>
      </c>
      <c r="O128" s="375">
        <f t="shared" si="35"/>
        <v>15229.31</v>
      </c>
      <c r="P128" s="136">
        <f t="shared" si="24"/>
        <v>0</v>
      </c>
      <c r="S128" s="189">
        <v>0</v>
      </c>
      <c r="T128" s="189">
        <v>271</v>
      </c>
      <c r="BU128" s="523"/>
      <c r="BV128" s="523">
        <v>0</v>
      </c>
      <c r="BW128" s="523">
        <v>0</v>
      </c>
      <c r="BX128" s="523">
        <v>0</v>
      </c>
      <c r="BY128" s="523">
        <v>0</v>
      </c>
      <c r="BZ128" s="523"/>
      <c r="CA128" s="523"/>
      <c r="CB128" s="523"/>
      <c r="CC128" s="523"/>
      <c r="CD128" s="523"/>
      <c r="CE128" s="523"/>
      <c r="CF128" s="523"/>
      <c r="CG128" s="523"/>
      <c r="CH128" s="523"/>
      <c r="CI128" s="523">
        <f t="shared" si="18"/>
        <v>0</v>
      </c>
    </row>
    <row r="129" spans="1:87" s="514" customFormat="1" x14ac:dyDescent="0.2">
      <c r="A129" s="412">
        <v>12</v>
      </c>
      <c r="B129" s="413"/>
      <c r="C129" s="413"/>
      <c r="D129" s="414" t="s">
        <v>1514</v>
      </c>
      <c r="E129" s="415"/>
      <c r="F129" s="417"/>
      <c r="G129" s="418"/>
      <c r="H129" s="416"/>
      <c r="I129" s="420"/>
      <c r="J129" s="421"/>
      <c r="K129" s="420"/>
      <c r="L129" s="416">
        <f>SUM(L130,L152)</f>
        <v>4556.04</v>
      </c>
      <c r="M129" s="433">
        <f>SUM(M130,M152)</f>
        <v>1885.7800000000002</v>
      </c>
      <c r="N129" s="432">
        <f>SUM(N130,N152)</f>
        <v>3771.5600000000004</v>
      </c>
      <c r="O129" s="434">
        <f>SUM(O130,O152)</f>
        <v>950.62000000000012</v>
      </c>
      <c r="P129" s="423">
        <f t="shared" si="24"/>
        <v>0.8278153835348242</v>
      </c>
      <c r="S129" s="190">
        <v>0</v>
      </c>
      <c r="T129" s="190">
        <v>237</v>
      </c>
      <c r="BU129" s="523"/>
      <c r="BV129" s="523"/>
      <c r="BW129" s="523"/>
      <c r="BX129" s="523">
        <v>271</v>
      </c>
      <c r="BY129" s="523">
        <v>271</v>
      </c>
      <c r="BZ129" s="523"/>
      <c r="CA129" s="523"/>
      <c r="CB129" s="523"/>
      <c r="CC129" s="523"/>
      <c r="CD129" s="523"/>
      <c r="CE129" s="523"/>
      <c r="CF129" s="523"/>
      <c r="CG129" s="523"/>
      <c r="CH129" s="523"/>
      <c r="CI129" s="523">
        <f t="shared" si="18"/>
        <v>542</v>
      </c>
    </row>
    <row r="130" spans="1:87" x14ac:dyDescent="0.2">
      <c r="A130" s="449" t="s">
        <v>1515</v>
      </c>
      <c r="B130" s="450"/>
      <c r="C130" s="450"/>
      <c r="D130" s="451" t="s">
        <v>1516</v>
      </c>
      <c r="E130" s="465"/>
      <c r="F130" s="468"/>
      <c r="G130" s="465"/>
      <c r="H130" s="465"/>
      <c r="I130" s="465"/>
      <c r="J130" s="474"/>
      <c r="K130" s="474"/>
      <c r="L130" s="452">
        <f>SUM(L131:L151)</f>
        <v>1719.64</v>
      </c>
      <c r="M130" s="468">
        <f>SUM(M131:M151)</f>
        <v>1719.64</v>
      </c>
      <c r="N130" s="467">
        <f>SUM(N131:N151)</f>
        <v>3439.28</v>
      </c>
      <c r="O130" s="458">
        <f t="shared" ref="O130:O139" si="36">L130-N130</f>
        <v>-1719.64</v>
      </c>
      <c r="P130" s="459">
        <f t="shared" si="24"/>
        <v>2</v>
      </c>
      <c r="S130" s="189">
        <v>0</v>
      </c>
      <c r="T130" s="189">
        <v>12</v>
      </c>
      <c r="BU130" s="523"/>
      <c r="BV130" s="523"/>
      <c r="BW130" s="523"/>
      <c r="BX130" s="523">
        <v>237</v>
      </c>
      <c r="BY130" s="523">
        <v>237</v>
      </c>
      <c r="BZ130" s="523"/>
      <c r="CA130" s="523"/>
      <c r="CB130" s="523"/>
      <c r="CC130" s="523"/>
      <c r="CD130" s="523"/>
      <c r="CE130" s="523"/>
      <c r="CF130" s="523"/>
      <c r="CG130" s="523"/>
      <c r="CH130" s="523"/>
      <c r="CI130" s="523">
        <f t="shared" si="18"/>
        <v>474</v>
      </c>
    </row>
    <row r="131" spans="1:87" x14ac:dyDescent="0.2">
      <c r="A131" s="125" t="s">
        <v>1517</v>
      </c>
      <c r="B131" s="126">
        <v>89401</v>
      </c>
      <c r="C131" s="126" t="s">
        <v>1324</v>
      </c>
      <c r="D131" s="127" t="s">
        <v>1518</v>
      </c>
      <c r="E131" s="128" t="s">
        <v>81</v>
      </c>
      <c r="F131" s="137">
        <v>22.03</v>
      </c>
      <c r="G131" s="130">
        <v>5.29</v>
      </c>
      <c r="H131" s="128">
        <v>12</v>
      </c>
      <c r="I131" s="133">
        <f t="shared" si="17"/>
        <v>12</v>
      </c>
      <c r="J131" s="374">
        <f t="shared" si="19"/>
        <v>24</v>
      </c>
      <c r="K131" s="116">
        <f>0</f>
        <v>0</v>
      </c>
      <c r="L131" s="131">
        <f t="shared" ref="L131:L151" si="37">ROUND(H131*G131,2)</f>
        <v>63.48</v>
      </c>
      <c r="M131" s="131">
        <f t="shared" ref="M131:M151" si="38">I131*G131</f>
        <v>63.480000000000004</v>
      </c>
      <c r="N131" s="386">
        <f t="shared" ref="N131:N151" si="39">J131*G131</f>
        <v>126.96000000000001</v>
      </c>
      <c r="O131" s="375">
        <f t="shared" si="36"/>
        <v>-63.480000000000011</v>
      </c>
      <c r="P131" s="136">
        <f t="shared" si="24"/>
        <v>2.0000000000000004</v>
      </c>
      <c r="S131" s="189">
        <v>0</v>
      </c>
      <c r="T131" s="189">
        <v>42</v>
      </c>
      <c r="BU131" s="523"/>
      <c r="BV131" s="523">
        <v>0</v>
      </c>
      <c r="BW131" s="523">
        <v>0</v>
      </c>
      <c r="BX131" s="523">
        <v>12</v>
      </c>
      <c r="BY131" s="523">
        <v>12</v>
      </c>
      <c r="BZ131" s="523"/>
      <c r="CA131" s="523"/>
      <c r="CB131" s="523"/>
      <c r="CC131" s="523"/>
      <c r="CD131" s="523"/>
      <c r="CE131" s="523"/>
      <c r="CF131" s="523"/>
      <c r="CG131" s="523"/>
      <c r="CH131" s="523"/>
      <c r="CI131" s="523">
        <f t="shared" si="18"/>
        <v>24</v>
      </c>
    </row>
    <row r="132" spans="1:87" x14ac:dyDescent="0.2">
      <c r="A132" s="125" t="s">
        <v>1519</v>
      </c>
      <c r="B132" s="126">
        <v>89446</v>
      </c>
      <c r="C132" s="126" t="s">
        <v>1324</v>
      </c>
      <c r="D132" s="127" t="s">
        <v>1520</v>
      </c>
      <c r="E132" s="128" t="s">
        <v>81</v>
      </c>
      <c r="F132" s="138"/>
      <c r="G132" s="130">
        <v>3.19</v>
      </c>
      <c r="H132" s="128">
        <v>42</v>
      </c>
      <c r="I132" s="133">
        <f t="shared" si="17"/>
        <v>42</v>
      </c>
      <c r="J132" s="374">
        <f t="shared" si="19"/>
        <v>84</v>
      </c>
      <c r="K132" s="116">
        <f>0</f>
        <v>0</v>
      </c>
      <c r="L132" s="131">
        <f t="shared" si="37"/>
        <v>133.97999999999999</v>
      </c>
      <c r="M132" s="131">
        <f t="shared" si="38"/>
        <v>133.97999999999999</v>
      </c>
      <c r="N132" s="386">
        <f t="shared" si="39"/>
        <v>267.95999999999998</v>
      </c>
      <c r="O132" s="375">
        <f t="shared" si="36"/>
        <v>-133.97999999999999</v>
      </c>
      <c r="P132" s="136">
        <f t="shared" si="24"/>
        <v>2</v>
      </c>
      <c r="S132" s="189">
        <v>0</v>
      </c>
      <c r="T132" s="189">
        <v>28</v>
      </c>
      <c r="BU132" s="523"/>
      <c r="BV132" s="523">
        <v>0</v>
      </c>
      <c r="BW132" s="523">
        <v>0</v>
      </c>
      <c r="BX132" s="523">
        <v>42</v>
      </c>
      <c r="BY132" s="523">
        <v>42</v>
      </c>
      <c r="BZ132" s="523"/>
      <c r="CA132" s="523"/>
      <c r="CB132" s="523"/>
      <c r="CC132" s="523"/>
      <c r="CD132" s="523"/>
      <c r="CE132" s="523"/>
      <c r="CF132" s="523"/>
      <c r="CG132" s="523"/>
      <c r="CH132" s="523"/>
      <c r="CI132" s="523">
        <f t="shared" si="18"/>
        <v>84</v>
      </c>
    </row>
    <row r="133" spans="1:87" x14ac:dyDescent="0.2">
      <c r="A133" s="125" t="s">
        <v>1521</v>
      </c>
      <c r="B133" s="126">
        <v>89447</v>
      </c>
      <c r="C133" s="126" t="s">
        <v>1324</v>
      </c>
      <c r="D133" s="127" t="s">
        <v>1522</v>
      </c>
      <c r="E133" s="128" t="s">
        <v>81</v>
      </c>
      <c r="F133" s="138"/>
      <c r="G133" s="130">
        <v>6.33</v>
      </c>
      <c r="H133" s="128">
        <v>28</v>
      </c>
      <c r="I133" s="133">
        <f t="shared" si="17"/>
        <v>28</v>
      </c>
      <c r="J133" s="374">
        <f t="shared" si="19"/>
        <v>56</v>
      </c>
      <c r="K133" s="116">
        <f>0</f>
        <v>0</v>
      </c>
      <c r="L133" s="131">
        <f t="shared" si="37"/>
        <v>177.24</v>
      </c>
      <c r="M133" s="131">
        <f t="shared" si="38"/>
        <v>177.24</v>
      </c>
      <c r="N133" s="386">
        <f t="shared" si="39"/>
        <v>354.48</v>
      </c>
      <c r="O133" s="375">
        <f t="shared" si="36"/>
        <v>-177.24</v>
      </c>
      <c r="P133" s="136">
        <f t="shared" si="24"/>
        <v>2</v>
      </c>
      <c r="S133" s="189">
        <v>0</v>
      </c>
      <c r="T133" s="189">
        <v>30</v>
      </c>
      <c r="BU133" s="523"/>
      <c r="BV133" s="523">
        <v>0</v>
      </c>
      <c r="BW133" s="523">
        <v>0</v>
      </c>
      <c r="BX133" s="523">
        <v>28</v>
      </c>
      <c r="BY133" s="523">
        <v>28</v>
      </c>
      <c r="BZ133" s="523"/>
      <c r="CA133" s="523"/>
      <c r="CB133" s="523"/>
      <c r="CC133" s="523"/>
      <c r="CD133" s="523"/>
      <c r="CE133" s="523"/>
      <c r="CF133" s="523"/>
      <c r="CG133" s="523"/>
      <c r="CH133" s="523"/>
      <c r="CI133" s="523">
        <f t="shared" si="18"/>
        <v>56</v>
      </c>
    </row>
    <row r="134" spans="1:87" x14ac:dyDescent="0.2">
      <c r="A134" s="125" t="s">
        <v>1523</v>
      </c>
      <c r="B134" s="126">
        <v>89448</v>
      </c>
      <c r="C134" s="126" t="s">
        <v>1324</v>
      </c>
      <c r="D134" s="127" t="s">
        <v>1524</v>
      </c>
      <c r="E134" s="128" t="s">
        <v>81</v>
      </c>
      <c r="F134" s="129"/>
      <c r="G134" s="130">
        <v>10.15</v>
      </c>
      <c r="H134" s="128">
        <v>30</v>
      </c>
      <c r="I134" s="133">
        <f t="shared" si="17"/>
        <v>30</v>
      </c>
      <c r="J134" s="374">
        <f t="shared" si="19"/>
        <v>60</v>
      </c>
      <c r="K134" s="116">
        <f>0</f>
        <v>0</v>
      </c>
      <c r="L134" s="131">
        <f t="shared" si="37"/>
        <v>304.5</v>
      </c>
      <c r="M134" s="131">
        <f t="shared" si="38"/>
        <v>304.5</v>
      </c>
      <c r="N134" s="386">
        <f t="shared" si="39"/>
        <v>609</v>
      </c>
      <c r="O134" s="375">
        <f t="shared" si="36"/>
        <v>-304.5</v>
      </c>
      <c r="P134" s="136">
        <f t="shared" si="24"/>
        <v>2</v>
      </c>
      <c r="S134" s="189">
        <v>0</v>
      </c>
      <c r="T134" s="189">
        <v>36</v>
      </c>
      <c r="BU134" s="523"/>
      <c r="BV134" s="523">
        <v>0</v>
      </c>
      <c r="BW134" s="523">
        <v>0</v>
      </c>
      <c r="BX134" s="523">
        <v>30</v>
      </c>
      <c r="BY134" s="523">
        <v>30</v>
      </c>
      <c r="BZ134" s="523"/>
      <c r="CA134" s="523"/>
      <c r="CB134" s="523"/>
      <c r="CC134" s="523"/>
      <c r="CD134" s="523"/>
      <c r="CE134" s="523"/>
      <c r="CF134" s="523"/>
      <c r="CG134" s="523"/>
      <c r="CH134" s="523"/>
      <c r="CI134" s="523">
        <f t="shared" si="18"/>
        <v>60</v>
      </c>
    </row>
    <row r="135" spans="1:87" x14ac:dyDescent="0.2">
      <c r="A135" s="125" t="s">
        <v>1525</v>
      </c>
      <c r="B135" s="126">
        <v>89449</v>
      </c>
      <c r="C135" s="126" t="s">
        <v>1324</v>
      </c>
      <c r="D135" s="127" t="s">
        <v>1526</v>
      </c>
      <c r="E135" s="128" t="s">
        <v>81</v>
      </c>
      <c r="F135" s="137">
        <v>5.81</v>
      </c>
      <c r="G135" s="130">
        <v>11.27</v>
      </c>
      <c r="H135" s="128">
        <v>36</v>
      </c>
      <c r="I135" s="133">
        <f t="shared" si="17"/>
        <v>36</v>
      </c>
      <c r="J135" s="374">
        <f t="shared" si="19"/>
        <v>72</v>
      </c>
      <c r="K135" s="116">
        <f>0</f>
        <v>0</v>
      </c>
      <c r="L135" s="131">
        <f t="shared" si="37"/>
        <v>405.72</v>
      </c>
      <c r="M135" s="131">
        <f t="shared" si="38"/>
        <v>405.71999999999997</v>
      </c>
      <c r="N135" s="386">
        <f t="shared" si="39"/>
        <v>811.43999999999994</v>
      </c>
      <c r="O135" s="375">
        <f t="shared" si="36"/>
        <v>-405.71999999999991</v>
      </c>
      <c r="P135" s="136">
        <f t="shared" si="24"/>
        <v>1.9999999999999998</v>
      </c>
      <c r="S135" s="189">
        <v>0</v>
      </c>
      <c r="T135" s="189">
        <v>15</v>
      </c>
      <c r="BU135" s="523"/>
      <c r="BV135" s="523">
        <v>0</v>
      </c>
      <c r="BW135" s="523">
        <v>0</v>
      </c>
      <c r="BX135" s="523">
        <v>36</v>
      </c>
      <c r="BY135" s="523">
        <v>36</v>
      </c>
      <c r="BZ135" s="523"/>
      <c r="CA135" s="523"/>
      <c r="CB135" s="523"/>
      <c r="CC135" s="523"/>
      <c r="CD135" s="523"/>
      <c r="CE135" s="523"/>
      <c r="CF135" s="523"/>
      <c r="CG135" s="523"/>
      <c r="CH135" s="523"/>
      <c r="CI135" s="523">
        <f t="shared" si="18"/>
        <v>72</v>
      </c>
    </row>
    <row r="136" spans="1:87" x14ac:dyDescent="0.2">
      <c r="A136" s="125" t="s">
        <v>1527</v>
      </c>
      <c r="B136" s="126">
        <v>89408</v>
      </c>
      <c r="C136" s="126" t="s">
        <v>1324</v>
      </c>
      <c r="D136" s="127" t="s">
        <v>1528</v>
      </c>
      <c r="E136" s="128" t="s">
        <v>102</v>
      </c>
      <c r="F136" s="137">
        <v>37.78</v>
      </c>
      <c r="G136" s="130">
        <v>4.28</v>
      </c>
      <c r="H136" s="128">
        <v>15</v>
      </c>
      <c r="I136" s="133">
        <f t="shared" si="17"/>
        <v>15</v>
      </c>
      <c r="J136" s="374">
        <f t="shared" si="19"/>
        <v>30</v>
      </c>
      <c r="K136" s="116">
        <f>0</f>
        <v>0</v>
      </c>
      <c r="L136" s="131">
        <f t="shared" si="37"/>
        <v>64.2</v>
      </c>
      <c r="M136" s="131">
        <f t="shared" si="38"/>
        <v>64.2</v>
      </c>
      <c r="N136" s="386">
        <f t="shared" si="39"/>
        <v>128.4</v>
      </c>
      <c r="O136" s="375">
        <f t="shared" si="36"/>
        <v>-64.2</v>
      </c>
      <c r="P136" s="136">
        <f t="shared" si="24"/>
        <v>2</v>
      </c>
      <c r="S136" s="189">
        <v>0</v>
      </c>
      <c r="T136" s="189">
        <v>8</v>
      </c>
      <c r="BU136" s="523"/>
      <c r="BV136" s="523">
        <v>0</v>
      </c>
      <c r="BW136" s="523">
        <v>0</v>
      </c>
      <c r="BX136" s="523">
        <v>15</v>
      </c>
      <c r="BY136" s="523">
        <v>15</v>
      </c>
      <c r="BZ136" s="523"/>
      <c r="CA136" s="523"/>
      <c r="CB136" s="523"/>
      <c r="CC136" s="523"/>
      <c r="CD136" s="523"/>
      <c r="CE136" s="523"/>
      <c r="CF136" s="523"/>
      <c r="CG136" s="523"/>
      <c r="CH136" s="523"/>
      <c r="CI136" s="523">
        <f t="shared" si="18"/>
        <v>30</v>
      </c>
    </row>
    <row r="137" spans="1:87" x14ac:dyDescent="0.2">
      <c r="A137" s="395" t="s">
        <v>1529</v>
      </c>
      <c r="B137" s="396">
        <v>89492</v>
      </c>
      <c r="C137" s="396" t="s">
        <v>1324</v>
      </c>
      <c r="D137" s="397" t="s">
        <v>1530</v>
      </c>
      <c r="E137" s="398" t="s">
        <v>102</v>
      </c>
      <c r="F137" s="399">
        <v>21.63</v>
      </c>
      <c r="G137" s="400">
        <v>4.79</v>
      </c>
      <c r="H137" s="398">
        <v>8</v>
      </c>
      <c r="I137" s="402">
        <f t="shared" si="17"/>
        <v>8</v>
      </c>
      <c r="J137" s="403">
        <f t="shared" si="19"/>
        <v>16</v>
      </c>
      <c r="K137" s="404">
        <f>0</f>
        <v>0</v>
      </c>
      <c r="L137" s="401">
        <f t="shared" si="37"/>
        <v>38.32</v>
      </c>
      <c r="M137" s="401">
        <f t="shared" si="38"/>
        <v>38.32</v>
      </c>
      <c r="N137" s="405">
        <f t="shared" si="39"/>
        <v>76.64</v>
      </c>
      <c r="O137" s="406">
        <f t="shared" si="36"/>
        <v>-38.32</v>
      </c>
      <c r="P137" s="407">
        <f t="shared" si="24"/>
        <v>2</v>
      </c>
      <c r="S137" s="189">
        <v>0</v>
      </c>
      <c r="T137" s="189">
        <v>6</v>
      </c>
      <c r="BU137" s="523"/>
      <c r="BV137" s="523">
        <v>0</v>
      </c>
      <c r="BW137" s="523">
        <v>0</v>
      </c>
      <c r="BX137" s="523">
        <v>8</v>
      </c>
      <c r="BY137" s="523">
        <v>8</v>
      </c>
      <c r="BZ137" s="523"/>
      <c r="CA137" s="523"/>
      <c r="CB137" s="523"/>
      <c r="CC137" s="523"/>
      <c r="CD137" s="523"/>
      <c r="CE137" s="523"/>
      <c r="CF137" s="523"/>
      <c r="CG137" s="523"/>
      <c r="CH137" s="523"/>
      <c r="CI137" s="523">
        <f t="shared" si="18"/>
        <v>16</v>
      </c>
    </row>
    <row r="138" spans="1:87" x14ac:dyDescent="0.2">
      <c r="A138" s="395" t="s">
        <v>1531</v>
      </c>
      <c r="B138" s="396">
        <v>89501</v>
      </c>
      <c r="C138" s="396" t="s">
        <v>1324</v>
      </c>
      <c r="D138" s="397" t="s">
        <v>1532</v>
      </c>
      <c r="E138" s="398" t="s">
        <v>102</v>
      </c>
      <c r="F138" s="399">
        <v>38.770000000000003</v>
      </c>
      <c r="G138" s="400">
        <v>9.3800000000000008</v>
      </c>
      <c r="H138" s="398">
        <v>6</v>
      </c>
      <c r="I138" s="402">
        <f t="shared" si="17"/>
        <v>6</v>
      </c>
      <c r="J138" s="403">
        <f t="shared" si="19"/>
        <v>12</v>
      </c>
      <c r="K138" s="404">
        <f>0</f>
        <v>0</v>
      </c>
      <c r="L138" s="401">
        <f t="shared" si="37"/>
        <v>56.28</v>
      </c>
      <c r="M138" s="401">
        <f t="shared" si="38"/>
        <v>56.28</v>
      </c>
      <c r="N138" s="405">
        <f t="shared" si="39"/>
        <v>112.56</v>
      </c>
      <c r="O138" s="406">
        <f t="shared" si="36"/>
        <v>-56.28</v>
      </c>
      <c r="P138" s="407">
        <f t="shared" si="24"/>
        <v>2</v>
      </c>
      <c r="S138" s="189">
        <v>0</v>
      </c>
      <c r="T138" s="189">
        <v>2</v>
      </c>
      <c r="BU138" s="523"/>
      <c r="BV138" s="523">
        <v>0</v>
      </c>
      <c r="BW138" s="523">
        <v>0</v>
      </c>
      <c r="BX138" s="523">
        <v>6</v>
      </c>
      <c r="BY138" s="523">
        <v>6</v>
      </c>
      <c r="BZ138" s="523"/>
      <c r="CA138" s="523"/>
      <c r="CB138" s="523"/>
      <c r="CC138" s="523"/>
      <c r="CD138" s="523"/>
      <c r="CE138" s="523"/>
      <c r="CF138" s="523"/>
      <c r="CG138" s="523"/>
      <c r="CH138" s="523"/>
      <c r="CI138" s="523">
        <f t="shared" si="18"/>
        <v>12</v>
      </c>
    </row>
    <row r="139" spans="1:87" ht="25.5" x14ac:dyDescent="0.2">
      <c r="A139" s="395" t="s">
        <v>1533</v>
      </c>
      <c r="B139" s="396">
        <v>90373</v>
      </c>
      <c r="C139" s="396" t="s">
        <v>1324</v>
      </c>
      <c r="D139" s="397" t="s">
        <v>1534</v>
      </c>
      <c r="E139" s="398" t="s">
        <v>102</v>
      </c>
      <c r="F139" s="138"/>
      <c r="G139" s="400">
        <v>10.06</v>
      </c>
      <c r="H139" s="398">
        <v>2</v>
      </c>
      <c r="I139" s="402">
        <f t="shared" si="17"/>
        <v>2</v>
      </c>
      <c r="J139" s="403">
        <f t="shared" si="19"/>
        <v>4</v>
      </c>
      <c r="K139" s="404">
        <f>0</f>
        <v>0</v>
      </c>
      <c r="L139" s="401">
        <f t="shared" si="37"/>
        <v>20.12</v>
      </c>
      <c r="M139" s="401">
        <f t="shared" si="38"/>
        <v>20.12</v>
      </c>
      <c r="N139" s="405">
        <f t="shared" si="39"/>
        <v>40.24</v>
      </c>
      <c r="O139" s="406">
        <f t="shared" si="36"/>
        <v>-20.12</v>
      </c>
      <c r="P139" s="407">
        <f t="shared" si="24"/>
        <v>2</v>
      </c>
      <c r="S139" s="189">
        <v>0</v>
      </c>
      <c r="T139" s="189">
        <v>4</v>
      </c>
      <c r="BU139" s="523"/>
      <c r="BV139" s="523">
        <v>0</v>
      </c>
      <c r="BW139" s="523">
        <v>0</v>
      </c>
      <c r="BX139" s="523">
        <v>2</v>
      </c>
      <c r="BY139" s="523">
        <v>2</v>
      </c>
      <c r="BZ139" s="523"/>
      <c r="CA139" s="523"/>
      <c r="CB139" s="523"/>
      <c r="CC139" s="523"/>
      <c r="CD139" s="523"/>
      <c r="CE139" s="523"/>
      <c r="CF139" s="523"/>
      <c r="CG139" s="523"/>
      <c r="CH139" s="523"/>
      <c r="CI139" s="523">
        <f t="shared" si="18"/>
        <v>4</v>
      </c>
    </row>
    <row r="140" spans="1:87" x14ac:dyDescent="0.2">
      <c r="A140" s="395" t="s">
        <v>1535</v>
      </c>
      <c r="B140" s="396" t="s">
        <v>2007</v>
      </c>
      <c r="C140" s="396" t="s">
        <v>1339</v>
      </c>
      <c r="D140" s="397" t="s">
        <v>1536</v>
      </c>
      <c r="E140" s="398" t="s">
        <v>102</v>
      </c>
      <c r="F140" s="138"/>
      <c r="G140" s="400">
        <v>0</v>
      </c>
      <c r="H140" s="398">
        <v>4</v>
      </c>
      <c r="I140" s="402">
        <f t="shared" si="17"/>
        <v>4</v>
      </c>
      <c r="J140" s="403">
        <f t="shared" si="19"/>
        <v>8</v>
      </c>
      <c r="K140" s="404">
        <f>0</f>
        <v>0</v>
      </c>
      <c r="L140" s="401">
        <f t="shared" si="37"/>
        <v>0</v>
      </c>
      <c r="M140" s="401">
        <f t="shared" si="38"/>
        <v>0</v>
      </c>
      <c r="N140" s="405">
        <f t="shared" si="39"/>
        <v>0</v>
      </c>
      <c r="O140" s="408">
        <f>0</f>
        <v>0</v>
      </c>
      <c r="P140" s="407">
        <v>0</v>
      </c>
      <c r="S140" s="189">
        <v>0</v>
      </c>
      <c r="T140" s="189">
        <v>16</v>
      </c>
      <c r="BU140" s="523"/>
      <c r="BV140" s="523">
        <v>0</v>
      </c>
      <c r="BW140" s="523">
        <v>0</v>
      </c>
      <c r="BX140" s="523">
        <v>4</v>
      </c>
      <c r="BY140" s="523">
        <v>4</v>
      </c>
      <c r="BZ140" s="523"/>
      <c r="CA140" s="523"/>
      <c r="CB140" s="523"/>
      <c r="CC140" s="523"/>
      <c r="CD140" s="523"/>
      <c r="CE140" s="523"/>
      <c r="CF140" s="523"/>
      <c r="CG140" s="523"/>
      <c r="CH140" s="523"/>
      <c r="CI140" s="523">
        <f t="shared" si="18"/>
        <v>8</v>
      </c>
    </row>
    <row r="141" spans="1:87" ht="25.5" x14ac:dyDescent="0.2">
      <c r="A141" s="395" t="s">
        <v>1537</v>
      </c>
      <c r="B141" s="396">
        <v>90373</v>
      </c>
      <c r="C141" s="396" t="s">
        <v>1324</v>
      </c>
      <c r="D141" s="397" t="s">
        <v>1538</v>
      </c>
      <c r="E141" s="398" t="s">
        <v>102</v>
      </c>
      <c r="F141" s="138"/>
      <c r="G141" s="400">
        <v>10.06</v>
      </c>
      <c r="H141" s="398">
        <v>16</v>
      </c>
      <c r="I141" s="402">
        <f t="shared" si="17"/>
        <v>16</v>
      </c>
      <c r="J141" s="403">
        <f t="shared" si="19"/>
        <v>32</v>
      </c>
      <c r="K141" s="404">
        <f>0</f>
        <v>0</v>
      </c>
      <c r="L141" s="401">
        <f t="shared" si="37"/>
        <v>160.96</v>
      </c>
      <c r="M141" s="401">
        <f t="shared" si="38"/>
        <v>160.96</v>
      </c>
      <c r="N141" s="405">
        <f t="shared" si="39"/>
        <v>321.92</v>
      </c>
      <c r="O141" s="406">
        <f t="shared" ref="O141:O151" si="40">L141-N141</f>
        <v>-160.96</v>
      </c>
      <c r="P141" s="407">
        <f t="shared" ref="P141:P204" si="41">N141/L141</f>
        <v>2</v>
      </c>
      <c r="S141" s="189">
        <v>0</v>
      </c>
      <c r="T141" s="189">
        <v>4</v>
      </c>
      <c r="BU141" s="523"/>
      <c r="BV141" s="523">
        <v>0</v>
      </c>
      <c r="BW141" s="523">
        <v>0</v>
      </c>
      <c r="BX141" s="523">
        <v>16</v>
      </c>
      <c r="BY141" s="523">
        <v>16</v>
      </c>
      <c r="BZ141" s="523"/>
      <c r="CA141" s="523"/>
      <c r="CB141" s="523"/>
      <c r="CC141" s="523"/>
      <c r="CD141" s="523"/>
      <c r="CE141" s="523"/>
      <c r="CF141" s="523"/>
      <c r="CG141" s="523"/>
      <c r="CH141" s="523"/>
      <c r="CI141" s="523">
        <f t="shared" si="18"/>
        <v>32</v>
      </c>
    </row>
    <row r="142" spans="1:87" x14ac:dyDescent="0.2">
      <c r="A142" s="395" t="s">
        <v>1539</v>
      </c>
      <c r="B142" s="396">
        <v>89622</v>
      </c>
      <c r="C142" s="396" t="s">
        <v>1324</v>
      </c>
      <c r="D142" s="397" t="s">
        <v>1540</v>
      </c>
      <c r="E142" s="398" t="s">
        <v>102</v>
      </c>
      <c r="F142" s="399">
        <v>29.86</v>
      </c>
      <c r="G142" s="400">
        <v>9.23</v>
      </c>
      <c r="H142" s="398">
        <v>4</v>
      </c>
      <c r="I142" s="402">
        <f t="shared" si="17"/>
        <v>4</v>
      </c>
      <c r="J142" s="403">
        <f t="shared" si="19"/>
        <v>8</v>
      </c>
      <c r="K142" s="404">
        <f>0</f>
        <v>0</v>
      </c>
      <c r="L142" s="401">
        <f t="shared" si="37"/>
        <v>36.92</v>
      </c>
      <c r="M142" s="401">
        <f t="shared" si="38"/>
        <v>36.92</v>
      </c>
      <c r="N142" s="405">
        <f t="shared" si="39"/>
        <v>73.84</v>
      </c>
      <c r="O142" s="406">
        <f t="shared" si="40"/>
        <v>-36.92</v>
      </c>
      <c r="P142" s="407">
        <f t="shared" si="41"/>
        <v>2</v>
      </c>
      <c r="S142" s="189">
        <v>0</v>
      </c>
      <c r="T142" s="189">
        <v>2</v>
      </c>
      <c r="BU142" s="523"/>
      <c r="BV142" s="523">
        <v>0</v>
      </c>
      <c r="BW142" s="523">
        <v>0</v>
      </c>
      <c r="BX142" s="523">
        <v>4</v>
      </c>
      <c r="BY142" s="523">
        <v>4</v>
      </c>
      <c r="BZ142" s="523"/>
      <c r="CA142" s="523"/>
      <c r="CB142" s="523"/>
      <c r="CC142" s="523"/>
      <c r="CD142" s="523"/>
      <c r="CE142" s="523"/>
      <c r="CF142" s="523"/>
      <c r="CG142" s="523"/>
      <c r="CH142" s="523"/>
      <c r="CI142" s="523">
        <f t="shared" si="18"/>
        <v>8</v>
      </c>
    </row>
    <row r="143" spans="1:87" x14ac:dyDescent="0.2">
      <c r="A143" s="395" t="s">
        <v>1541</v>
      </c>
      <c r="B143" s="396">
        <v>89626</v>
      </c>
      <c r="C143" s="396" t="s">
        <v>1324</v>
      </c>
      <c r="D143" s="397" t="s">
        <v>1542</v>
      </c>
      <c r="E143" s="398" t="s">
        <v>102</v>
      </c>
      <c r="F143" s="399">
        <v>32.090000000000003</v>
      </c>
      <c r="G143" s="400">
        <v>17.79</v>
      </c>
      <c r="H143" s="398">
        <v>2</v>
      </c>
      <c r="I143" s="402">
        <f t="shared" ref="I143:I206" si="42">BY143</f>
        <v>2</v>
      </c>
      <c r="J143" s="403">
        <f t="shared" si="19"/>
        <v>4</v>
      </c>
      <c r="K143" s="404">
        <f>0</f>
        <v>0</v>
      </c>
      <c r="L143" s="401">
        <f t="shared" si="37"/>
        <v>35.58</v>
      </c>
      <c r="M143" s="401">
        <f t="shared" si="38"/>
        <v>35.58</v>
      </c>
      <c r="N143" s="405">
        <f t="shared" si="39"/>
        <v>71.16</v>
      </c>
      <c r="O143" s="406">
        <f t="shared" si="40"/>
        <v>-35.58</v>
      </c>
      <c r="P143" s="407">
        <f t="shared" si="41"/>
        <v>2</v>
      </c>
      <c r="S143" s="189">
        <v>0</v>
      </c>
      <c r="T143" s="189">
        <v>8</v>
      </c>
      <c r="BU143" s="523"/>
      <c r="BV143" s="523">
        <v>0</v>
      </c>
      <c r="BW143" s="523">
        <v>0</v>
      </c>
      <c r="BX143" s="523">
        <v>2</v>
      </c>
      <c r="BY143" s="523">
        <v>2</v>
      </c>
      <c r="BZ143" s="523"/>
      <c r="CA143" s="523"/>
      <c r="CB143" s="523"/>
      <c r="CC143" s="523"/>
      <c r="CD143" s="523"/>
      <c r="CE143" s="523"/>
      <c r="CF143" s="523"/>
      <c r="CG143" s="523"/>
      <c r="CH143" s="523"/>
      <c r="CI143" s="523">
        <f t="shared" ref="CI143:CI206" si="43">SUM(BU143:CH143)</f>
        <v>4</v>
      </c>
    </row>
    <row r="144" spans="1:87" x14ac:dyDescent="0.2">
      <c r="A144" s="395" t="s">
        <v>1543</v>
      </c>
      <c r="B144" s="396">
        <v>89534</v>
      </c>
      <c r="C144" s="396" t="s">
        <v>1324</v>
      </c>
      <c r="D144" s="397" t="s">
        <v>1544</v>
      </c>
      <c r="E144" s="398" t="s">
        <v>102</v>
      </c>
      <c r="F144" s="399">
        <v>46.88</v>
      </c>
      <c r="G144" s="400">
        <v>2.9</v>
      </c>
      <c r="H144" s="398">
        <v>8</v>
      </c>
      <c r="I144" s="402">
        <f t="shared" si="42"/>
        <v>8</v>
      </c>
      <c r="J144" s="403">
        <f t="shared" ref="J144:J207" si="44">CI144</f>
        <v>16</v>
      </c>
      <c r="K144" s="404">
        <f>0</f>
        <v>0</v>
      </c>
      <c r="L144" s="401">
        <f t="shared" si="37"/>
        <v>23.2</v>
      </c>
      <c r="M144" s="401">
        <f t="shared" si="38"/>
        <v>23.2</v>
      </c>
      <c r="N144" s="405">
        <f t="shared" si="39"/>
        <v>46.4</v>
      </c>
      <c r="O144" s="406">
        <f t="shared" si="40"/>
        <v>-23.2</v>
      </c>
      <c r="P144" s="407">
        <f t="shared" si="41"/>
        <v>2</v>
      </c>
      <c r="S144" s="189">
        <v>0</v>
      </c>
      <c r="T144" s="189">
        <v>4</v>
      </c>
      <c r="BU144" s="523"/>
      <c r="BV144" s="523">
        <v>0</v>
      </c>
      <c r="BW144" s="523">
        <v>0</v>
      </c>
      <c r="BX144" s="523">
        <v>8</v>
      </c>
      <c r="BY144" s="523">
        <v>8</v>
      </c>
      <c r="BZ144" s="523"/>
      <c r="CA144" s="523"/>
      <c r="CB144" s="523"/>
      <c r="CC144" s="523"/>
      <c r="CD144" s="523"/>
      <c r="CE144" s="523"/>
      <c r="CF144" s="523"/>
      <c r="CG144" s="523"/>
      <c r="CH144" s="523"/>
      <c r="CI144" s="523">
        <f t="shared" si="43"/>
        <v>16</v>
      </c>
    </row>
    <row r="145" spans="1:87" x14ac:dyDescent="0.2">
      <c r="A145" s="395" t="s">
        <v>1545</v>
      </c>
      <c r="B145" s="396">
        <v>89386</v>
      </c>
      <c r="C145" s="396" t="s">
        <v>1324</v>
      </c>
      <c r="D145" s="397" t="s">
        <v>1546</v>
      </c>
      <c r="E145" s="398" t="s">
        <v>102</v>
      </c>
      <c r="F145" s="399">
        <v>31.2</v>
      </c>
      <c r="G145" s="400">
        <v>6</v>
      </c>
      <c r="H145" s="398">
        <v>4</v>
      </c>
      <c r="I145" s="402">
        <f t="shared" si="42"/>
        <v>4</v>
      </c>
      <c r="J145" s="403">
        <f t="shared" si="44"/>
        <v>8</v>
      </c>
      <c r="K145" s="404">
        <f>0</f>
        <v>0</v>
      </c>
      <c r="L145" s="401">
        <f t="shared" si="37"/>
        <v>24</v>
      </c>
      <c r="M145" s="401">
        <f t="shared" si="38"/>
        <v>24</v>
      </c>
      <c r="N145" s="405">
        <f t="shared" si="39"/>
        <v>48</v>
      </c>
      <c r="O145" s="406">
        <f t="shared" si="40"/>
        <v>-24</v>
      </c>
      <c r="P145" s="407">
        <f t="shared" si="41"/>
        <v>2</v>
      </c>
      <c r="S145" s="189">
        <v>0</v>
      </c>
      <c r="T145" s="189">
        <v>4</v>
      </c>
      <c r="BU145" s="523"/>
      <c r="BV145" s="523">
        <v>0</v>
      </c>
      <c r="BW145" s="523">
        <v>0</v>
      </c>
      <c r="BX145" s="523">
        <v>4</v>
      </c>
      <c r="BY145" s="523">
        <v>4</v>
      </c>
      <c r="BZ145" s="523"/>
      <c r="CA145" s="523"/>
      <c r="CB145" s="523"/>
      <c r="CC145" s="523"/>
      <c r="CD145" s="523"/>
      <c r="CE145" s="523"/>
      <c r="CF145" s="523"/>
      <c r="CG145" s="523"/>
      <c r="CH145" s="523"/>
      <c r="CI145" s="523">
        <f t="shared" si="43"/>
        <v>8</v>
      </c>
    </row>
    <row r="146" spans="1:87" x14ac:dyDescent="0.2">
      <c r="A146" s="395" t="s">
        <v>1547</v>
      </c>
      <c r="B146" s="396">
        <v>89433</v>
      </c>
      <c r="C146" s="396" t="s">
        <v>1324</v>
      </c>
      <c r="D146" s="397" t="s">
        <v>1548</v>
      </c>
      <c r="E146" s="398" t="s">
        <v>102</v>
      </c>
      <c r="F146" s="399">
        <v>19.170000000000002</v>
      </c>
      <c r="G146" s="400">
        <v>5.63</v>
      </c>
      <c r="H146" s="398">
        <v>4</v>
      </c>
      <c r="I146" s="402">
        <f t="shared" si="42"/>
        <v>4</v>
      </c>
      <c r="J146" s="403">
        <f t="shared" si="44"/>
        <v>8</v>
      </c>
      <c r="K146" s="404">
        <f>0</f>
        <v>0</v>
      </c>
      <c r="L146" s="401">
        <f t="shared" si="37"/>
        <v>22.52</v>
      </c>
      <c r="M146" s="401">
        <f t="shared" si="38"/>
        <v>22.52</v>
      </c>
      <c r="N146" s="405">
        <f t="shared" si="39"/>
        <v>45.04</v>
      </c>
      <c r="O146" s="406">
        <f t="shared" si="40"/>
        <v>-22.52</v>
      </c>
      <c r="P146" s="407">
        <f t="shared" si="41"/>
        <v>2</v>
      </c>
      <c r="S146" s="189">
        <v>0</v>
      </c>
      <c r="T146" s="189">
        <v>2</v>
      </c>
      <c r="BU146" s="523"/>
      <c r="BV146" s="523">
        <v>0</v>
      </c>
      <c r="BW146" s="523">
        <v>0</v>
      </c>
      <c r="BX146" s="523">
        <v>4</v>
      </c>
      <c r="BY146" s="523">
        <v>4</v>
      </c>
      <c r="BZ146" s="523"/>
      <c r="CA146" s="523"/>
      <c r="CB146" s="523"/>
      <c r="CC146" s="523"/>
      <c r="CD146" s="523"/>
      <c r="CE146" s="523"/>
      <c r="CF146" s="523"/>
      <c r="CG146" s="523"/>
      <c r="CH146" s="523"/>
      <c r="CI146" s="523">
        <f t="shared" si="43"/>
        <v>8</v>
      </c>
    </row>
    <row r="147" spans="1:87" x14ac:dyDescent="0.2">
      <c r="A147" s="125" t="s">
        <v>1549</v>
      </c>
      <c r="B147" s="126">
        <v>89605</v>
      </c>
      <c r="C147" s="126" t="s">
        <v>1324</v>
      </c>
      <c r="D147" s="127" t="s">
        <v>1550</v>
      </c>
      <c r="E147" s="128" t="s">
        <v>102</v>
      </c>
      <c r="F147" s="137">
        <v>98.11</v>
      </c>
      <c r="G147" s="130">
        <v>11.65</v>
      </c>
      <c r="H147" s="128">
        <v>2</v>
      </c>
      <c r="I147" s="133">
        <f t="shared" si="42"/>
        <v>2</v>
      </c>
      <c r="J147" s="374">
        <f t="shared" si="44"/>
        <v>4</v>
      </c>
      <c r="K147" s="116">
        <f>0</f>
        <v>0</v>
      </c>
      <c r="L147" s="131">
        <f t="shared" si="37"/>
        <v>23.3</v>
      </c>
      <c r="M147" s="131">
        <f t="shared" si="38"/>
        <v>23.3</v>
      </c>
      <c r="N147" s="386">
        <f t="shared" si="39"/>
        <v>46.6</v>
      </c>
      <c r="O147" s="375">
        <f t="shared" si="40"/>
        <v>-23.3</v>
      </c>
      <c r="P147" s="136">
        <f t="shared" si="41"/>
        <v>2</v>
      </c>
      <c r="S147" s="189">
        <v>0</v>
      </c>
      <c r="T147" s="189">
        <v>2</v>
      </c>
      <c r="BU147" s="523"/>
      <c r="BV147" s="523">
        <v>0</v>
      </c>
      <c r="BW147" s="523">
        <v>0</v>
      </c>
      <c r="BX147" s="523">
        <v>2</v>
      </c>
      <c r="BY147" s="523">
        <v>2</v>
      </c>
      <c r="BZ147" s="523"/>
      <c r="CA147" s="523"/>
      <c r="CB147" s="523"/>
      <c r="CC147" s="523"/>
      <c r="CD147" s="523"/>
      <c r="CE147" s="523"/>
      <c r="CF147" s="523"/>
      <c r="CG147" s="523"/>
      <c r="CH147" s="523"/>
      <c r="CI147" s="523">
        <f t="shared" si="43"/>
        <v>4</v>
      </c>
    </row>
    <row r="148" spans="1:87" x14ac:dyDescent="0.2">
      <c r="A148" s="125" t="s">
        <v>1551</v>
      </c>
      <c r="B148" s="126">
        <v>90375</v>
      </c>
      <c r="C148" s="126" t="s">
        <v>1324</v>
      </c>
      <c r="D148" s="127" t="s">
        <v>1552</v>
      </c>
      <c r="E148" s="128" t="s">
        <v>102</v>
      </c>
      <c r="F148" s="137">
        <v>174.65</v>
      </c>
      <c r="G148" s="130">
        <v>6.61</v>
      </c>
      <c r="H148" s="128">
        <v>2</v>
      </c>
      <c r="I148" s="133">
        <f t="shared" si="42"/>
        <v>2</v>
      </c>
      <c r="J148" s="374">
        <f t="shared" si="44"/>
        <v>4</v>
      </c>
      <c r="K148" s="116">
        <f>0</f>
        <v>0</v>
      </c>
      <c r="L148" s="131">
        <f t="shared" si="37"/>
        <v>13.22</v>
      </c>
      <c r="M148" s="131">
        <f t="shared" si="38"/>
        <v>13.22</v>
      </c>
      <c r="N148" s="386">
        <f t="shared" si="39"/>
        <v>26.44</v>
      </c>
      <c r="O148" s="375">
        <f t="shared" si="40"/>
        <v>-13.22</v>
      </c>
      <c r="P148" s="136">
        <f t="shared" si="41"/>
        <v>2</v>
      </c>
      <c r="S148" s="189">
        <v>0</v>
      </c>
      <c r="T148" s="189">
        <v>4</v>
      </c>
      <c r="BU148" s="523"/>
      <c r="BV148" s="523">
        <v>0</v>
      </c>
      <c r="BW148" s="523">
        <v>0</v>
      </c>
      <c r="BX148" s="523">
        <v>2</v>
      </c>
      <c r="BY148" s="523">
        <v>2</v>
      </c>
      <c r="BZ148" s="523"/>
      <c r="CA148" s="523"/>
      <c r="CB148" s="523"/>
      <c r="CC148" s="523"/>
      <c r="CD148" s="523"/>
      <c r="CE148" s="523"/>
      <c r="CF148" s="523"/>
      <c r="CG148" s="523"/>
      <c r="CH148" s="523"/>
      <c r="CI148" s="523">
        <f t="shared" si="43"/>
        <v>4</v>
      </c>
    </row>
    <row r="149" spans="1:87" x14ac:dyDescent="0.2">
      <c r="A149" s="125" t="s">
        <v>1553</v>
      </c>
      <c r="B149" s="126">
        <v>90375</v>
      </c>
      <c r="C149" s="126" t="s">
        <v>1324</v>
      </c>
      <c r="D149" s="127" t="s">
        <v>1554</v>
      </c>
      <c r="E149" s="128" t="s">
        <v>102</v>
      </c>
      <c r="F149" s="138"/>
      <c r="G149" s="130">
        <v>6.61</v>
      </c>
      <c r="H149" s="128">
        <v>4</v>
      </c>
      <c r="I149" s="133">
        <f t="shared" si="42"/>
        <v>4</v>
      </c>
      <c r="J149" s="374">
        <f t="shared" si="44"/>
        <v>8</v>
      </c>
      <c r="K149" s="116">
        <f>0</f>
        <v>0</v>
      </c>
      <c r="L149" s="131">
        <f t="shared" si="37"/>
        <v>26.44</v>
      </c>
      <c r="M149" s="131">
        <f t="shared" si="38"/>
        <v>26.44</v>
      </c>
      <c r="N149" s="386">
        <f t="shared" si="39"/>
        <v>52.88</v>
      </c>
      <c r="O149" s="375">
        <f t="shared" si="40"/>
        <v>-26.44</v>
      </c>
      <c r="P149" s="136">
        <f t="shared" si="41"/>
        <v>2</v>
      </c>
      <c r="S149" s="189">
        <v>0</v>
      </c>
      <c r="T149" s="189">
        <v>6</v>
      </c>
      <c r="BU149" s="523"/>
      <c r="BV149" s="523">
        <v>0</v>
      </c>
      <c r="BW149" s="523">
        <v>0</v>
      </c>
      <c r="BX149" s="523">
        <v>4</v>
      </c>
      <c r="BY149" s="523">
        <v>4</v>
      </c>
      <c r="BZ149" s="523"/>
      <c r="CA149" s="523"/>
      <c r="CB149" s="523"/>
      <c r="CC149" s="523"/>
      <c r="CD149" s="523"/>
      <c r="CE149" s="523"/>
      <c r="CF149" s="523"/>
      <c r="CG149" s="523"/>
      <c r="CH149" s="523"/>
      <c r="CI149" s="523">
        <f t="shared" si="43"/>
        <v>8</v>
      </c>
    </row>
    <row r="150" spans="1:87" x14ac:dyDescent="0.2">
      <c r="A150" s="125" t="s">
        <v>1555</v>
      </c>
      <c r="B150" s="126">
        <v>89375</v>
      </c>
      <c r="C150" s="126" t="s">
        <v>1324</v>
      </c>
      <c r="D150" s="127" t="s">
        <v>1556</v>
      </c>
      <c r="E150" s="128" t="s">
        <v>102</v>
      </c>
      <c r="F150" s="138"/>
      <c r="G150" s="130">
        <v>7.45</v>
      </c>
      <c r="H150" s="128">
        <v>6</v>
      </c>
      <c r="I150" s="133">
        <f t="shared" si="42"/>
        <v>6</v>
      </c>
      <c r="J150" s="374">
        <f t="shared" si="44"/>
        <v>12</v>
      </c>
      <c r="K150" s="116">
        <f>0</f>
        <v>0</v>
      </c>
      <c r="L150" s="131">
        <f t="shared" si="37"/>
        <v>44.7</v>
      </c>
      <c r="M150" s="131">
        <f t="shared" si="38"/>
        <v>44.7</v>
      </c>
      <c r="N150" s="386">
        <f t="shared" si="39"/>
        <v>89.4</v>
      </c>
      <c r="O150" s="375">
        <f t="shared" si="40"/>
        <v>-44.7</v>
      </c>
      <c r="P150" s="136">
        <f t="shared" si="41"/>
        <v>2</v>
      </c>
      <c r="S150" s="189">
        <v>0</v>
      </c>
      <c r="T150" s="189">
        <v>2</v>
      </c>
      <c r="BU150" s="523"/>
      <c r="BV150" s="523">
        <v>0</v>
      </c>
      <c r="BW150" s="523">
        <v>0</v>
      </c>
      <c r="BX150" s="523">
        <v>6</v>
      </c>
      <c r="BY150" s="523">
        <v>6</v>
      </c>
      <c r="BZ150" s="523"/>
      <c r="CA150" s="523"/>
      <c r="CB150" s="523"/>
      <c r="CC150" s="523"/>
      <c r="CD150" s="523"/>
      <c r="CE150" s="523"/>
      <c r="CF150" s="523"/>
      <c r="CG150" s="523"/>
      <c r="CH150" s="523"/>
      <c r="CI150" s="523">
        <f t="shared" si="43"/>
        <v>12</v>
      </c>
    </row>
    <row r="151" spans="1:87" s="514" customFormat="1" x14ac:dyDescent="0.2">
      <c r="A151" s="125" t="s">
        <v>1557</v>
      </c>
      <c r="B151" s="126">
        <v>89594</v>
      </c>
      <c r="C151" s="126" t="s">
        <v>1324</v>
      </c>
      <c r="D151" s="127" t="s">
        <v>1558</v>
      </c>
      <c r="E151" s="128" t="s">
        <v>102</v>
      </c>
      <c r="F151" s="137">
        <v>33.909999999999997</v>
      </c>
      <c r="G151" s="130">
        <v>22.48</v>
      </c>
      <c r="H151" s="128">
        <v>2</v>
      </c>
      <c r="I151" s="133">
        <f t="shared" si="42"/>
        <v>2</v>
      </c>
      <c r="J151" s="374">
        <f t="shared" si="44"/>
        <v>4</v>
      </c>
      <c r="K151" s="116">
        <f>0</f>
        <v>0</v>
      </c>
      <c r="L151" s="131">
        <f t="shared" si="37"/>
        <v>44.96</v>
      </c>
      <c r="M151" s="131">
        <f t="shared" si="38"/>
        <v>44.96</v>
      </c>
      <c r="N151" s="386">
        <f t="shared" si="39"/>
        <v>89.92</v>
      </c>
      <c r="O151" s="375">
        <f t="shared" si="40"/>
        <v>-44.96</v>
      </c>
      <c r="P151" s="136">
        <f t="shared" si="41"/>
        <v>2</v>
      </c>
      <c r="S151" s="190">
        <v>0</v>
      </c>
      <c r="T151" s="190">
        <v>34</v>
      </c>
      <c r="BU151" s="523"/>
      <c r="BV151" s="523">
        <v>0</v>
      </c>
      <c r="BW151" s="523">
        <v>0</v>
      </c>
      <c r="BX151" s="523">
        <v>2</v>
      </c>
      <c r="BY151" s="523">
        <v>2</v>
      </c>
      <c r="BZ151" s="523"/>
      <c r="CA151" s="523"/>
      <c r="CB151" s="523"/>
      <c r="CC151" s="523"/>
      <c r="CD151" s="523"/>
      <c r="CE151" s="523"/>
      <c r="CF151" s="523"/>
      <c r="CG151" s="523"/>
      <c r="CH151" s="523"/>
      <c r="CI151" s="523">
        <f t="shared" si="43"/>
        <v>4</v>
      </c>
    </row>
    <row r="152" spans="1:87" x14ac:dyDescent="0.2">
      <c r="A152" s="449" t="s">
        <v>290</v>
      </c>
      <c r="B152" s="450"/>
      <c r="C152" s="450"/>
      <c r="D152" s="451" t="s">
        <v>1559</v>
      </c>
      <c r="E152" s="465"/>
      <c r="F152" s="468"/>
      <c r="G152" s="465"/>
      <c r="H152" s="465"/>
      <c r="I152" s="465"/>
      <c r="J152" s="474"/>
      <c r="K152" s="474"/>
      <c r="L152" s="452">
        <f>SUM(L153:L167)</f>
        <v>2836.4</v>
      </c>
      <c r="M152" s="468">
        <f>SUM(M153:M167)</f>
        <v>166.14000000000001</v>
      </c>
      <c r="N152" s="467">
        <f>SUM(N153:N167)</f>
        <v>332.28000000000003</v>
      </c>
      <c r="O152" s="469">
        <f>SUM(O153:O167)</f>
        <v>2670.26</v>
      </c>
      <c r="P152" s="459">
        <f t="shared" si="41"/>
        <v>0.11714849809617826</v>
      </c>
      <c r="S152" s="189">
        <v>0</v>
      </c>
      <c r="T152" s="189">
        <v>0</v>
      </c>
      <c r="BU152" s="523"/>
      <c r="BV152" s="523"/>
      <c r="BW152" s="523"/>
      <c r="BX152" s="523">
        <v>34</v>
      </c>
      <c r="BY152" s="523">
        <v>34</v>
      </c>
      <c r="BZ152" s="523"/>
      <c r="CA152" s="523"/>
      <c r="CB152" s="523"/>
      <c r="CC152" s="523"/>
      <c r="CD152" s="523"/>
      <c r="CE152" s="523"/>
      <c r="CF152" s="523"/>
      <c r="CG152" s="523"/>
      <c r="CH152" s="523"/>
      <c r="CI152" s="523">
        <f t="shared" si="43"/>
        <v>68</v>
      </c>
    </row>
    <row r="153" spans="1:87" x14ac:dyDescent="0.2">
      <c r="A153" s="125" t="s">
        <v>1560</v>
      </c>
      <c r="B153" s="126">
        <v>89353</v>
      </c>
      <c r="C153" s="126" t="s">
        <v>1324</v>
      </c>
      <c r="D153" s="127" t="s">
        <v>1561</v>
      </c>
      <c r="E153" s="128" t="s">
        <v>102</v>
      </c>
      <c r="F153" s="137">
        <v>9.81</v>
      </c>
      <c r="G153" s="130">
        <v>30.67</v>
      </c>
      <c r="H153" s="128">
        <v>1</v>
      </c>
      <c r="I153" s="133">
        <f t="shared" si="42"/>
        <v>0</v>
      </c>
      <c r="J153" s="374">
        <f t="shared" si="44"/>
        <v>0</v>
      </c>
      <c r="K153" s="116">
        <f>0</f>
        <v>0</v>
      </c>
      <c r="L153" s="131">
        <f t="shared" ref="L153:L167" si="45">ROUND(H153*G153,2)</f>
        <v>30.67</v>
      </c>
      <c r="M153" s="131">
        <f t="shared" ref="M153:M167" si="46">I153*G153</f>
        <v>0</v>
      </c>
      <c r="N153" s="386">
        <f t="shared" ref="N153:N167" si="47">J153*G153</f>
        <v>0</v>
      </c>
      <c r="O153" s="375">
        <f t="shared" ref="O153:O159" si="48">L153-N153</f>
        <v>30.67</v>
      </c>
      <c r="P153" s="136">
        <f t="shared" si="41"/>
        <v>0</v>
      </c>
      <c r="S153" s="189">
        <v>0</v>
      </c>
      <c r="T153" s="189">
        <v>0</v>
      </c>
      <c r="BU153" s="523"/>
      <c r="BV153" s="523">
        <v>0</v>
      </c>
      <c r="BW153" s="523">
        <v>0</v>
      </c>
      <c r="BX153" s="523">
        <v>0</v>
      </c>
      <c r="BY153" s="523">
        <v>0</v>
      </c>
      <c r="BZ153" s="523"/>
      <c r="CA153" s="523"/>
      <c r="CB153" s="523"/>
      <c r="CC153" s="523"/>
      <c r="CD153" s="523"/>
      <c r="CE153" s="523"/>
      <c r="CF153" s="523"/>
      <c r="CG153" s="523"/>
      <c r="CH153" s="523"/>
      <c r="CI153" s="523">
        <f t="shared" si="43"/>
        <v>0</v>
      </c>
    </row>
    <row r="154" spans="1:87" x14ac:dyDescent="0.2">
      <c r="A154" s="125" t="s">
        <v>1562</v>
      </c>
      <c r="B154" s="126" t="s">
        <v>1563</v>
      </c>
      <c r="C154" s="126" t="s">
        <v>1324</v>
      </c>
      <c r="D154" s="127" t="s">
        <v>1564</v>
      </c>
      <c r="E154" s="128" t="s">
        <v>102</v>
      </c>
      <c r="F154" s="137">
        <v>12.72</v>
      </c>
      <c r="G154" s="130">
        <v>86.64</v>
      </c>
      <c r="H154" s="128">
        <v>2</v>
      </c>
      <c r="I154" s="133">
        <f t="shared" si="42"/>
        <v>0</v>
      </c>
      <c r="J154" s="374">
        <f t="shared" si="44"/>
        <v>0</v>
      </c>
      <c r="K154" s="116">
        <f>0</f>
        <v>0</v>
      </c>
      <c r="L154" s="131">
        <f t="shared" si="45"/>
        <v>173.28</v>
      </c>
      <c r="M154" s="131">
        <f t="shared" si="46"/>
        <v>0</v>
      </c>
      <c r="N154" s="386">
        <f t="shared" si="47"/>
        <v>0</v>
      </c>
      <c r="O154" s="375">
        <f t="shared" si="48"/>
        <v>173.28</v>
      </c>
      <c r="P154" s="136">
        <f t="shared" si="41"/>
        <v>0</v>
      </c>
      <c r="S154" s="189">
        <v>0</v>
      </c>
      <c r="T154" s="189">
        <v>0</v>
      </c>
      <c r="BU154" s="523"/>
      <c r="BV154" s="523">
        <v>0</v>
      </c>
      <c r="BW154" s="523">
        <v>0</v>
      </c>
      <c r="BX154" s="523">
        <v>0</v>
      </c>
      <c r="BY154" s="523">
        <v>0</v>
      </c>
      <c r="BZ154" s="523"/>
      <c r="CA154" s="523"/>
      <c r="CB154" s="523"/>
      <c r="CC154" s="523"/>
      <c r="CD154" s="523"/>
      <c r="CE154" s="523"/>
      <c r="CF154" s="523"/>
      <c r="CG154" s="523"/>
      <c r="CH154" s="523"/>
      <c r="CI154" s="523">
        <f t="shared" si="43"/>
        <v>0</v>
      </c>
    </row>
    <row r="155" spans="1:87" x14ac:dyDescent="0.2">
      <c r="A155" s="125" t="s">
        <v>1565</v>
      </c>
      <c r="B155" s="126" t="s">
        <v>1566</v>
      </c>
      <c r="C155" s="126" t="s">
        <v>1324</v>
      </c>
      <c r="D155" s="127" t="s">
        <v>1567</v>
      </c>
      <c r="E155" s="128" t="s">
        <v>102</v>
      </c>
      <c r="F155" s="138"/>
      <c r="G155" s="130">
        <v>52.59</v>
      </c>
      <c r="H155" s="128">
        <v>2</v>
      </c>
      <c r="I155" s="133">
        <f t="shared" si="42"/>
        <v>0</v>
      </c>
      <c r="J155" s="374">
        <f t="shared" si="44"/>
        <v>0</v>
      </c>
      <c r="K155" s="116">
        <f>0</f>
        <v>0</v>
      </c>
      <c r="L155" s="131">
        <f t="shared" si="45"/>
        <v>105.18</v>
      </c>
      <c r="M155" s="131">
        <f t="shared" si="46"/>
        <v>0</v>
      </c>
      <c r="N155" s="386">
        <f t="shared" si="47"/>
        <v>0</v>
      </c>
      <c r="O155" s="375">
        <f t="shared" si="48"/>
        <v>105.18</v>
      </c>
      <c r="P155" s="136">
        <f t="shared" si="41"/>
        <v>0</v>
      </c>
      <c r="S155" s="189">
        <v>0</v>
      </c>
      <c r="T155" s="189">
        <v>0</v>
      </c>
      <c r="BU155" s="523"/>
      <c r="BV155" s="523">
        <v>0</v>
      </c>
      <c r="BW155" s="523">
        <v>0</v>
      </c>
      <c r="BX155" s="523">
        <v>0</v>
      </c>
      <c r="BY155" s="523">
        <v>0</v>
      </c>
      <c r="BZ155" s="523"/>
      <c r="CA155" s="523"/>
      <c r="CB155" s="523"/>
      <c r="CC155" s="523"/>
      <c r="CD155" s="523"/>
      <c r="CE155" s="523"/>
      <c r="CF155" s="523"/>
      <c r="CG155" s="523"/>
      <c r="CH155" s="523"/>
      <c r="CI155" s="523">
        <f t="shared" si="43"/>
        <v>0</v>
      </c>
    </row>
    <row r="156" spans="1:87" x14ac:dyDescent="0.2">
      <c r="A156" s="125" t="s">
        <v>1568</v>
      </c>
      <c r="B156" s="126" t="s">
        <v>1569</v>
      </c>
      <c r="C156" s="126" t="s">
        <v>1324</v>
      </c>
      <c r="D156" s="127" t="s">
        <v>1570</v>
      </c>
      <c r="E156" s="128" t="s">
        <v>102</v>
      </c>
      <c r="F156" s="138"/>
      <c r="G156" s="130">
        <v>120.21</v>
      </c>
      <c r="H156" s="128">
        <v>2</v>
      </c>
      <c r="I156" s="133">
        <f t="shared" si="42"/>
        <v>0</v>
      </c>
      <c r="J156" s="374">
        <f t="shared" si="44"/>
        <v>0</v>
      </c>
      <c r="K156" s="116">
        <f>0</f>
        <v>0</v>
      </c>
      <c r="L156" s="131">
        <f t="shared" si="45"/>
        <v>240.42</v>
      </c>
      <c r="M156" s="131">
        <f t="shared" si="46"/>
        <v>0</v>
      </c>
      <c r="N156" s="386">
        <f t="shared" si="47"/>
        <v>0</v>
      </c>
      <c r="O156" s="375">
        <f t="shared" si="48"/>
        <v>240.42</v>
      </c>
      <c r="P156" s="136">
        <f t="shared" si="41"/>
        <v>0</v>
      </c>
      <c r="S156" s="189">
        <v>0</v>
      </c>
      <c r="T156" s="189">
        <v>0</v>
      </c>
      <c r="BU156" s="523"/>
      <c r="BV156" s="523">
        <v>0</v>
      </c>
      <c r="BW156" s="523">
        <v>0</v>
      </c>
      <c r="BX156" s="523">
        <v>0</v>
      </c>
      <c r="BY156" s="523">
        <v>0</v>
      </c>
      <c r="BZ156" s="523"/>
      <c r="CA156" s="523"/>
      <c r="CB156" s="523"/>
      <c r="CC156" s="523"/>
      <c r="CD156" s="523"/>
      <c r="CE156" s="523"/>
      <c r="CF156" s="523"/>
      <c r="CG156" s="523"/>
      <c r="CH156" s="523"/>
      <c r="CI156" s="523">
        <f t="shared" si="43"/>
        <v>0</v>
      </c>
    </row>
    <row r="157" spans="1:87" x14ac:dyDescent="0.2">
      <c r="A157" s="125" t="s">
        <v>1571</v>
      </c>
      <c r="B157" s="126" t="s">
        <v>1572</v>
      </c>
      <c r="C157" s="126" t="s">
        <v>1324</v>
      </c>
      <c r="D157" s="127" t="s">
        <v>1573</v>
      </c>
      <c r="E157" s="128" t="s">
        <v>102</v>
      </c>
      <c r="F157" s="129"/>
      <c r="G157" s="130">
        <v>67.349999999999994</v>
      </c>
      <c r="H157" s="128">
        <v>2</v>
      </c>
      <c r="I157" s="133">
        <f t="shared" si="42"/>
        <v>0</v>
      </c>
      <c r="J157" s="374">
        <f t="shared" si="44"/>
        <v>0</v>
      </c>
      <c r="K157" s="116">
        <f>0</f>
        <v>0</v>
      </c>
      <c r="L157" s="131">
        <f t="shared" si="45"/>
        <v>134.69999999999999</v>
      </c>
      <c r="M157" s="131">
        <f t="shared" si="46"/>
        <v>0</v>
      </c>
      <c r="N157" s="386">
        <f t="shared" si="47"/>
        <v>0</v>
      </c>
      <c r="O157" s="375">
        <f t="shared" si="48"/>
        <v>134.69999999999999</v>
      </c>
      <c r="P157" s="136">
        <f t="shared" si="41"/>
        <v>0</v>
      </c>
      <c r="S157" s="189">
        <v>0</v>
      </c>
      <c r="T157" s="189">
        <v>0</v>
      </c>
      <c r="BU157" s="523"/>
      <c r="BV157" s="523">
        <v>0</v>
      </c>
      <c r="BW157" s="523">
        <v>0</v>
      </c>
      <c r="BX157" s="523">
        <v>0</v>
      </c>
      <c r="BY157" s="523">
        <v>0</v>
      </c>
      <c r="BZ157" s="523"/>
      <c r="CA157" s="523"/>
      <c r="CB157" s="523"/>
      <c r="CC157" s="523"/>
      <c r="CD157" s="523"/>
      <c r="CE157" s="523"/>
      <c r="CF157" s="523"/>
      <c r="CG157" s="523"/>
      <c r="CH157" s="523"/>
      <c r="CI157" s="523">
        <f t="shared" si="43"/>
        <v>0</v>
      </c>
    </row>
    <row r="158" spans="1:87" x14ac:dyDescent="0.2">
      <c r="A158" s="125" t="s">
        <v>1574</v>
      </c>
      <c r="B158" s="126">
        <v>89987</v>
      </c>
      <c r="C158" s="126" t="s">
        <v>1324</v>
      </c>
      <c r="D158" s="127" t="s">
        <v>1575</v>
      </c>
      <c r="E158" s="128" t="s">
        <v>102</v>
      </c>
      <c r="F158" s="137">
        <v>8.41</v>
      </c>
      <c r="G158" s="130">
        <v>35.92</v>
      </c>
      <c r="H158" s="128">
        <v>2</v>
      </c>
      <c r="I158" s="133">
        <f t="shared" si="42"/>
        <v>0</v>
      </c>
      <c r="J158" s="374">
        <f t="shared" si="44"/>
        <v>0</v>
      </c>
      <c r="K158" s="116">
        <f>0</f>
        <v>0</v>
      </c>
      <c r="L158" s="131">
        <f t="shared" si="45"/>
        <v>71.84</v>
      </c>
      <c r="M158" s="131">
        <f t="shared" si="46"/>
        <v>0</v>
      </c>
      <c r="N158" s="386">
        <f t="shared" si="47"/>
        <v>0</v>
      </c>
      <c r="O158" s="375">
        <f t="shared" si="48"/>
        <v>71.84</v>
      </c>
      <c r="P158" s="136">
        <f t="shared" si="41"/>
        <v>0</v>
      </c>
      <c r="S158" s="189">
        <v>0</v>
      </c>
      <c r="T158" s="189">
        <v>0</v>
      </c>
      <c r="BU158" s="523"/>
      <c r="BV158" s="523">
        <v>0</v>
      </c>
      <c r="BW158" s="523">
        <v>0</v>
      </c>
      <c r="BX158" s="523">
        <v>0</v>
      </c>
      <c r="BY158" s="523">
        <v>0</v>
      </c>
      <c r="BZ158" s="523"/>
      <c r="CA158" s="523"/>
      <c r="CB158" s="523"/>
      <c r="CC158" s="523"/>
      <c r="CD158" s="523"/>
      <c r="CE158" s="523"/>
      <c r="CF158" s="523"/>
      <c r="CG158" s="523"/>
      <c r="CH158" s="523"/>
      <c r="CI158" s="523">
        <f t="shared" si="43"/>
        <v>0</v>
      </c>
    </row>
    <row r="159" spans="1:87" x14ac:dyDescent="0.2">
      <c r="A159" s="125" t="s">
        <v>1576</v>
      </c>
      <c r="B159" s="126">
        <v>89985</v>
      </c>
      <c r="C159" s="126" t="s">
        <v>1324</v>
      </c>
      <c r="D159" s="127" t="s">
        <v>1577</v>
      </c>
      <c r="E159" s="128" t="s">
        <v>102</v>
      </c>
      <c r="F159" s="137">
        <v>9.49</v>
      </c>
      <c r="G159" s="130">
        <v>64.02</v>
      </c>
      <c r="H159" s="128">
        <v>8</v>
      </c>
      <c r="I159" s="133">
        <f t="shared" si="42"/>
        <v>0</v>
      </c>
      <c r="J159" s="374">
        <f t="shared" si="44"/>
        <v>0</v>
      </c>
      <c r="K159" s="116">
        <f>0</f>
        <v>0</v>
      </c>
      <c r="L159" s="131">
        <f t="shared" si="45"/>
        <v>512.16</v>
      </c>
      <c r="M159" s="131">
        <f t="shared" si="46"/>
        <v>0</v>
      </c>
      <c r="N159" s="386">
        <f t="shared" si="47"/>
        <v>0</v>
      </c>
      <c r="O159" s="375">
        <f t="shared" si="48"/>
        <v>512.16</v>
      </c>
      <c r="P159" s="136">
        <f t="shared" si="41"/>
        <v>0</v>
      </c>
      <c r="S159" s="189">
        <v>0</v>
      </c>
      <c r="T159" s="189">
        <v>12</v>
      </c>
      <c r="BU159" s="523"/>
      <c r="BV159" s="523">
        <v>0</v>
      </c>
      <c r="BW159" s="523">
        <v>0</v>
      </c>
      <c r="BX159" s="523">
        <v>0</v>
      </c>
      <c r="BY159" s="523">
        <v>0</v>
      </c>
      <c r="BZ159" s="523"/>
      <c r="CA159" s="523"/>
      <c r="CB159" s="523"/>
      <c r="CC159" s="523"/>
      <c r="CD159" s="523"/>
      <c r="CE159" s="523"/>
      <c r="CF159" s="523"/>
      <c r="CG159" s="523"/>
      <c r="CH159" s="523"/>
      <c r="CI159" s="523">
        <f t="shared" si="43"/>
        <v>0</v>
      </c>
    </row>
    <row r="160" spans="1:87" x14ac:dyDescent="0.2">
      <c r="A160" s="125" t="s">
        <v>1578</v>
      </c>
      <c r="B160" s="126">
        <v>89538</v>
      </c>
      <c r="C160" s="126" t="s">
        <v>1324</v>
      </c>
      <c r="D160" s="127" t="s">
        <v>1579</v>
      </c>
      <c r="E160" s="128" t="s">
        <v>102</v>
      </c>
      <c r="F160" s="137">
        <v>6.56</v>
      </c>
      <c r="G160" s="130">
        <v>2.75</v>
      </c>
      <c r="H160" s="128">
        <v>12</v>
      </c>
      <c r="I160" s="133">
        <f t="shared" si="42"/>
        <v>12</v>
      </c>
      <c r="J160" s="374">
        <f t="shared" si="44"/>
        <v>24</v>
      </c>
      <c r="K160" s="116">
        <f>0</f>
        <v>0</v>
      </c>
      <c r="L160" s="131">
        <f t="shared" si="45"/>
        <v>33</v>
      </c>
      <c r="M160" s="131">
        <f t="shared" si="46"/>
        <v>33</v>
      </c>
      <c r="N160" s="386">
        <f t="shared" si="47"/>
        <v>66</v>
      </c>
      <c r="O160" s="389">
        <f>0</f>
        <v>0</v>
      </c>
      <c r="P160" s="136">
        <f t="shared" si="41"/>
        <v>2</v>
      </c>
      <c r="S160" s="189">
        <v>0</v>
      </c>
      <c r="T160" s="189">
        <v>4</v>
      </c>
      <c r="BU160" s="523"/>
      <c r="BV160" s="523">
        <v>0</v>
      </c>
      <c r="BW160" s="523">
        <v>0</v>
      </c>
      <c r="BX160" s="523">
        <v>12</v>
      </c>
      <c r="BY160" s="523">
        <v>12</v>
      </c>
      <c r="BZ160" s="523"/>
      <c r="CA160" s="523"/>
      <c r="CB160" s="523"/>
      <c r="CC160" s="523"/>
      <c r="CD160" s="523"/>
      <c r="CE160" s="523"/>
      <c r="CF160" s="523"/>
      <c r="CG160" s="523"/>
      <c r="CH160" s="523"/>
      <c r="CI160" s="523">
        <f t="shared" si="43"/>
        <v>24</v>
      </c>
    </row>
    <row r="161" spans="1:87" x14ac:dyDescent="0.2">
      <c r="A161" s="125" t="s">
        <v>1580</v>
      </c>
      <c r="B161" s="126">
        <v>89553</v>
      </c>
      <c r="C161" s="126" t="s">
        <v>1324</v>
      </c>
      <c r="D161" s="127" t="s">
        <v>1581</v>
      </c>
      <c r="E161" s="128" t="s">
        <v>102</v>
      </c>
      <c r="F161" s="138"/>
      <c r="G161" s="130">
        <v>4.01</v>
      </c>
      <c r="H161" s="128">
        <v>4</v>
      </c>
      <c r="I161" s="133">
        <f t="shared" si="42"/>
        <v>4</v>
      </c>
      <c r="J161" s="374">
        <f t="shared" si="44"/>
        <v>8</v>
      </c>
      <c r="K161" s="116">
        <f>0</f>
        <v>0</v>
      </c>
      <c r="L161" s="131">
        <f t="shared" si="45"/>
        <v>16.04</v>
      </c>
      <c r="M161" s="131">
        <f t="shared" si="46"/>
        <v>16.04</v>
      </c>
      <c r="N161" s="386">
        <f t="shared" si="47"/>
        <v>32.08</v>
      </c>
      <c r="O161" s="389">
        <f>0</f>
        <v>0</v>
      </c>
      <c r="P161" s="136">
        <f t="shared" si="41"/>
        <v>2</v>
      </c>
      <c r="S161" s="189">
        <v>0</v>
      </c>
      <c r="T161" s="189">
        <v>4</v>
      </c>
      <c r="BU161" s="523"/>
      <c r="BV161" s="523">
        <v>0</v>
      </c>
      <c r="BW161" s="523">
        <v>0</v>
      </c>
      <c r="BX161" s="523">
        <v>4</v>
      </c>
      <c r="BY161" s="523">
        <v>4</v>
      </c>
      <c r="BZ161" s="523"/>
      <c r="CA161" s="523"/>
      <c r="CB161" s="523"/>
      <c r="CC161" s="523"/>
      <c r="CD161" s="523"/>
      <c r="CE161" s="523"/>
      <c r="CF161" s="523"/>
      <c r="CG161" s="523"/>
      <c r="CH161" s="523"/>
      <c r="CI161" s="523">
        <f t="shared" si="43"/>
        <v>8</v>
      </c>
    </row>
    <row r="162" spans="1:87" x14ac:dyDescent="0.2">
      <c r="A162" s="125" t="s">
        <v>1582</v>
      </c>
      <c r="B162" s="126">
        <v>89570</v>
      </c>
      <c r="C162" s="126" t="s">
        <v>1324</v>
      </c>
      <c r="D162" s="127" t="s">
        <v>1583</v>
      </c>
      <c r="E162" s="128" t="s">
        <v>102</v>
      </c>
      <c r="F162" s="137">
        <v>8.41</v>
      </c>
      <c r="G162" s="130">
        <v>6.66</v>
      </c>
      <c r="H162" s="128">
        <v>4</v>
      </c>
      <c r="I162" s="133">
        <f t="shared" si="42"/>
        <v>4</v>
      </c>
      <c r="J162" s="374">
        <f t="shared" si="44"/>
        <v>8</v>
      </c>
      <c r="K162" s="116">
        <f>0</f>
        <v>0</v>
      </c>
      <c r="L162" s="131">
        <f t="shared" si="45"/>
        <v>26.64</v>
      </c>
      <c r="M162" s="131">
        <f t="shared" si="46"/>
        <v>26.64</v>
      </c>
      <c r="N162" s="386">
        <f t="shared" si="47"/>
        <v>53.28</v>
      </c>
      <c r="O162" s="389">
        <f>0</f>
        <v>0</v>
      </c>
      <c r="P162" s="136">
        <f t="shared" si="41"/>
        <v>2</v>
      </c>
      <c r="S162" s="189">
        <v>0</v>
      </c>
      <c r="T162" s="189">
        <v>4</v>
      </c>
      <c r="BU162" s="523"/>
      <c r="BV162" s="523">
        <v>0</v>
      </c>
      <c r="BW162" s="523">
        <v>0</v>
      </c>
      <c r="BX162" s="523">
        <v>4</v>
      </c>
      <c r="BY162" s="523">
        <v>4</v>
      </c>
      <c r="BZ162" s="523"/>
      <c r="CA162" s="523"/>
      <c r="CB162" s="523"/>
      <c r="CC162" s="523"/>
      <c r="CD162" s="523"/>
      <c r="CE162" s="523"/>
      <c r="CF162" s="523"/>
      <c r="CG162" s="523"/>
      <c r="CH162" s="523"/>
      <c r="CI162" s="523">
        <f t="shared" si="43"/>
        <v>8</v>
      </c>
    </row>
    <row r="163" spans="1:87" x14ac:dyDescent="0.2">
      <c r="A163" s="125" t="s">
        <v>1584</v>
      </c>
      <c r="B163" s="126">
        <v>89596</v>
      </c>
      <c r="C163" s="126" t="s">
        <v>1324</v>
      </c>
      <c r="D163" s="127" t="s">
        <v>1585</v>
      </c>
      <c r="E163" s="128" t="s">
        <v>102</v>
      </c>
      <c r="F163" s="138"/>
      <c r="G163" s="130">
        <v>7.49</v>
      </c>
      <c r="H163" s="128">
        <v>4</v>
      </c>
      <c r="I163" s="133">
        <f t="shared" si="42"/>
        <v>4</v>
      </c>
      <c r="J163" s="374">
        <f t="shared" si="44"/>
        <v>8</v>
      </c>
      <c r="K163" s="116">
        <f>0</f>
        <v>0</v>
      </c>
      <c r="L163" s="131">
        <f t="shared" si="45"/>
        <v>29.96</v>
      </c>
      <c r="M163" s="131">
        <f t="shared" si="46"/>
        <v>29.96</v>
      </c>
      <c r="N163" s="386">
        <f t="shared" si="47"/>
        <v>59.92</v>
      </c>
      <c r="O163" s="389">
        <f>0</f>
        <v>0</v>
      </c>
      <c r="P163" s="136">
        <f t="shared" si="41"/>
        <v>2</v>
      </c>
      <c r="S163" s="189">
        <v>0</v>
      </c>
      <c r="T163" s="189">
        <v>10</v>
      </c>
      <c r="BU163" s="523"/>
      <c r="BV163" s="523">
        <v>0</v>
      </c>
      <c r="BW163" s="523">
        <v>0</v>
      </c>
      <c r="BX163" s="523">
        <v>4</v>
      </c>
      <c r="BY163" s="523">
        <v>4</v>
      </c>
      <c r="BZ163" s="523"/>
      <c r="CA163" s="523"/>
      <c r="CB163" s="523"/>
      <c r="CC163" s="523"/>
      <c r="CD163" s="523"/>
      <c r="CE163" s="523"/>
      <c r="CF163" s="523"/>
      <c r="CG163" s="523"/>
      <c r="CH163" s="523"/>
      <c r="CI163" s="523">
        <f t="shared" si="43"/>
        <v>8</v>
      </c>
    </row>
    <row r="164" spans="1:87" x14ac:dyDescent="0.2">
      <c r="A164" s="125" t="s">
        <v>1586</v>
      </c>
      <c r="B164" s="126">
        <v>86884</v>
      </c>
      <c r="C164" s="126" t="s">
        <v>1324</v>
      </c>
      <c r="D164" s="127" t="s">
        <v>1587</v>
      </c>
      <c r="E164" s="128" t="s">
        <v>102</v>
      </c>
      <c r="F164" s="137">
        <v>6.56</v>
      </c>
      <c r="G164" s="130">
        <v>6.05</v>
      </c>
      <c r="H164" s="128">
        <v>10</v>
      </c>
      <c r="I164" s="133">
        <f t="shared" si="42"/>
        <v>10</v>
      </c>
      <c r="J164" s="374">
        <f t="shared" si="44"/>
        <v>20</v>
      </c>
      <c r="K164" s="116">
        <f>0</f>
        <v>0</v>
      </c>
      <c r="L164" s="131">
        <f t="shared" si="45"/>
        <v>60.5</v>
      </c>
      <c r="M164" s="131">
        <f t="shared" si="46"/>
        <v>60.5</v>
      </c>
      <c r="N164" s="386">
        <f t="shared" si="47"/>
        <v>121</v>
      </c>
      <c r="O164" s="389">
        <f>0</f>
        <v>0</v>
      </c>
      <c r="P164" s="136">
        <f t="shared" si="41"/>
        <v>2</v>
      </c>
      <c r="S164" s="189">
        <v>0</v>
      </c>
      <c r="T164" s="189">
        <v>0</v>
      </c>
      <c r="BU164" s="523"/>
      <c r="BV164" s="523">
        <v>0</v>
      </c>
      <c r="BW164" s="523">
        <v>0</v>
      </c>
      <c r="BX164" s="523">
        <v>10</v>
      </c>
      <c r="BY164" s="523">
        <v>10</v>
      </c>
      <c r="BZ164" s="523"/>
      <c r="CA164" s="523"/>
      <c r="CB164" s="523"/>
      <c r="CC164" s="523"/>
      <c r="CD164" s="523"/>
      <c r="CE164" s="523"/>
      <c r="CF164" s="523"/>
      <c r="CG164" s="523"/>
      <c r="CH164" s="523"/>
      <c r="CI164" s="523">
        <f t="shared" si="43"/>
        <v>20</v>
      </c>
    </row>
    <row r="165" spans="1:87" x14ac:dyDescent="0.2">
      <c r="A165" s="125" t="s">
        <v>1588</v>
      </c>
      <c r="B165" s="126">
        <v>72789</v>
      </c>
      <c r="C165" s="126" t="s">
        <v>1324</v>
      </c>
      <c r="D165" s="127" t="s">
        <v>1589</v>
      </c>
      <c r="E165" s="128" t="s">
        <v>102</v>
      </c>
      <c r="F165" s="137">
        <v>9.49</v>
      </c>
      <c r="G165" s="130">
        <v>16.59</v>
      </c>
      <c r="H165" s="128">
        <v>3</v>
      </c>
      <c r="I165" s="133">
        <f t="shared" si="42"/>
        <v>0</v>
      </c>
      <c r="J165" s="374">
        <f t="shared" si="44"/>
        <v>0</v>
      </c>
      <c r="K165" s="128">
        <f>H165</f>
        <v>3</v>
      </c>
      <c r="L165" s="131">
        <f t="shared" si="45"/>
        <v>49.77</v>
      </c>
      <c r="M165" s="131">
        <f t="shared" si="46"/>
        <v>0</v>
      </c>
      <c r="N165" s="386">
        <f t="shared" si="47"/>
        <v>0</v>
      </c>
      <c r="O165" s="375">
        <f>L165-N165</f>
        <v>49.77</v>
      </c>
      <c r="P165" s="136">
        <f t="shared" si="41"/>
        <v>0</v>
      </c>
      <c r="S165" s="189">
        <v>0</v>
      </c>
      <c r="T165" s="189">
        <v>0</v>
      </c>
      <c r="BU165" s="523"/>
      <c r="BV165" s="523">
        <v>0</v>
      </c>
      <c r="BW165" s="523">
        <v>0</v>
      </c>
      <c r="BX165" s="523">
        <v>0</v>
      </c>
      <c r="BY165" s="523">
        <v>0</v>
      </c>
      <c r="BZ165" s="523"/>
      <c r="CA165" s="523"/>
      <c r="CB165" s="523"/>
      <c r="CC165" s="523"/>
      <c r="CD165" s="523"/>
      <c r="CE165" s="523"/>
      <c r="CF165" s="523"/>
      <c r="CG165" s="523"/>
      <c r="CH165" s="523"/>
      <c r="CI165" s="523">
        <f t="shared" si="43"/>
        <v>0</v>
      </c>
    </row>
    <row r="166" spans="1:87" x14ac:dyDescent="0.2">
      <c r="A166" s="125" t="s">
        <v>1590</v>
      </c>
      <c r="B166" s="126">
        <v>72792</v>
      </c>
      <c r="C166" s="126" t="s">
        <v>1324</v>
      </c>
      <c r="D166" s="127" t="s">
        <v>1591</v>
      </c>
      <c r="E166" s="128" t="s">
        <v>102</v>
      </c>
      <c r="F166" s="138"/>
      <c r="G166" s="130">
        <v>32.79</v>
      </c>
      <c r="H166" s="128">
        <v>2</v>
      </c>
      <c r="I166" s="133">
        <f t="shared" si="42"/>
        <v>0</v>
      </c>
      <c r="J166" s="374">
        <f t="shared" si="44"/>
        <v>0</v>
      </c>
      <c r="K166" s="128">
        <f>H166</f>
        <v>2</v>
      </c>
      <c r="L166" s="131">
        <f t="shared" si="45"/>
        <v>65.58</v>
      </c>
      <c r="M166" s="131">
        <f t="shared" si="46"/>
        <v>0</v>
      </c>
      <c r="N166" s="386">
        <f t="shared" si="47"/>
        <v>0</v>
      </c>
      <c r="O166" s="375">
        <f>L166-N166</f>
        <v>65.58</v>
      </c>
      <c r="P166" s="136">
        <f t="shared" si="41"/>
        <v>0</v>
      </c>
      <c r="S166" s="189">
        <v>0</v>
      </c>
      <c r="T166" s="189">
        <v>0</v>
      </c>
      <c r="BU166" s="523"/>
      <c r="BV166" s="523">
        <v>0</v>
      </c>
      <c r="BW166" s="523">
        <v>0</v>
      </c>
      <c r="BX166" s="523">
        <v>0</v>
      </c>
      <c r="BY166" s="523">
        <v>0</v>
      </c>
      <c r="BZ166" s="523"/>
      <c r="CA166" s="523"/>
      <c r="CB166" s="523"/>
      <c r="CC166" s="523"/>
      <c r="CD166" s="523"/>
      <c r="CE166" s="523"/>
      <c r="CF166" s="523"/>
      <c r="CG166" s="523"/>
      <c r="CH166" s="523"/>
      <c r="CI166" s="523">
        <f t="shared" si="43"/>
        <v>0</v>
      </c>
    </row>
    <row r="167" spans="1:87" x14ac:dyDescent="0.2">
      <c r="A167" s="125" t="s">
        <v>1592</v>
      </c>
      <c r="B167" s="126" t="s">
        <v>2007</v>
      </c>
      <c r="C167" s="126" t="s">
        <v>1339</v>
      </c>
      <c r="D167" s="127" t="s">
        <v>1593</v>
      </c>
      <c r="E167" s="128" t="s">
        <v>102</v>
      </c>
      <c r="F167" s="137">
        <v>13.87</v>
      </c>
      <c r="G167" s="130">
        <v>1286.6600000000001</v>
      </c>
      <c r="H167" s="128">
        <v>1</v>
      </c>
      <c r="I167" s="133">
        <f t="shared" si="42"/>
        <v>0</v>
      </c>
      <c r="J167" s="374">
        <f t="shared" si="44"/>
        <v>0</v>
      </c>
      <c r="K167" s="128">
        <f>H167</f>
        <v>1</v>
      </c>
      <c r="L167" s="131">
        <f t="shared" si="45"/>
        <v>1286.6600000000001</v>
      </c>
      <c r="M167" s="131">
        <f t="shared" si="46"/>
        <v>0</v>
      </c>
      <c r="N167" s="386">
        <f t="shared" si="47"/>
        <v>0</v>
      </c>
      <c r="O167" s="375">
        <f>L167-N167</f>
        <v>1286.6600000000001</v>
      </c>
      <c r="P167" s="136">
        <f t="shared" si="41"/>
        <v>0</v>
      </c>
      <c r="S167" s="189">
        <v>0</v>
      </c>
      <c r="T167" s="189">
        <v>0</v>
      </c>
      <c r="BU167" s="523"/>
      <c r="BV167" s="523">
        <v>0</v>
      </c>
      <c r="BW167" s="523">
        <v>0</v>
      </c>
      <c r="BX167" s="523">
        <v>0</v>
      </c>
      <c r="BY167" s="523">
        <v>0</v>
      </c>
      <c r="BZ167" s="523"/>
      <c r="CA167" s="523"/>
      <c r="CB167" s="523"/>
      <c r="CC167" s="523"/>
      <c r="CD167" s="523"/>
      <c r="CE167" s="523"/>
      <c r="CF167" s="523"/>
      <c r="CG167" s="523"/>
      <c r="CH167" s="523"/>
      <c r="CI167" s="523">
        <f t="shared" si="43"/>
        <v>0</v>
      </c>
    </row>
    <row r="168" spans="1:87" s="514" customFormat="1" x14ac:dyDescent="0.2">
      <c r="A168" s="412">
        <v>13</v>
      </c>
      <c r="B168" s="413"/>
      <c r="C168" s="413"/>
      <c r="D168" s="414" t="s">
        <v>1594</v>
      </c>
      <c r="E168" s="415"/>
      <c r="F168" s="417"/>
      <c r="G168" s="418"/>
      <c r="H168" s="416"/>
      <c r="I168" s="420"/>
      <c r="J168" s="421"/>
      <c r="K168" s="420"/>
      <c r="L168" s="416">
        <f>SUM(L169,L181)</f>
        <v>16232.49</v>
      </c>
      <c r="M168" s="433">
        <f>SUM(M169,M181)</f>
        <v>3052.9100000000003</v>
      </c>
      <c r="N168" s="432">
        <f>SUM(N169,N181)</f>
        <v>6105.8200000000006</v>
      </c>
      <c r="O168" s="434">
        <f>SUM(O169,O181)</f>
        <v>13798.98</v>
      </c>
      <c r="P168" s="423">
        <f t="shared" si="41"/>
        <v>0.37614808325771343</v>
      </c>
      <c r="S168" s="190">
        <v>0</v>
      </c>
      <c r="T168" s="190">
        <v>0</v>
      </c>
      <c r="BU168" s="523"/>
      <c r="BV168" s="523"/>
      <c r="BW168" s="523"/>
      <c r="BX168" s="523">
        <v>161</v>
      </c>
      <c r="BY168" s="523">
        <v>161</v>
      </c>
      <c r="BZ168" s="523"/>
      <c r="CA168" s="523"/>
      <c r="CB168" s="523"/>
      <c r="CC168" s="523"/>
      <c r="CD168" s="523"/>
      <c r="CE168" s="523"/>
      <c r="CF168" s="523"/>
      <c r="CG168" s="523"/>
      <c r="CH168" s="523"/>
      <c r="CI168" s="523">
        <f t="shared" si="43"/>
        <v>322</v>
      </c>
    </row>
    <row r="169" spans="1:87" x14ac:dyDescent="0.2">
      <c r="A169" s="449" t="s">
        <v>306</v>
      </c>
      <c r="B169" s="450"/>
      <c r="C169" s="450"/>
      <c r="D169" s="451" t="s">
        <v>1516</v>
      </c>
      <c r="E169" s="452"/>
      <c r="F169" s="452">
        <f>SUM(F170:F180)</f>
        <v>1253.5100000000004</v>
      </c>
      <c r="G169" s="468"/>
      <c r="H169" s="452"/>
      <c r="I169" s="452"/>
      <c r="J169" s="457"/>
      <c r="K169" s="452">
        <f>0</f>
        <v>0</v>
      </c>
      <c r="L169" s="470">
        <f>SUM(L171:L180)</f>
        <v>2433.5100000000002</v>
      </c>
      <c r="M169" s="468">
        <f>SUM(M170:M180)</f>
        <v>3052.9100000000003</v>
      </c>
      <c r="N169" s="467">
        <f>SUM(N170:N180)</f>
        <v>6105.8200000000006</v>
      </c>
      <c r="O169" s="469">
        <f>0</f>
        <v>0</v>
      </c>
      <c r="P169" s="459">
        <f t="shared" si="41"/>
        <v>2.509058931337862</v>
      </c>
      <c r="S169" s="189">
        <v>0</v>
      </c>
      <c r="T169" s="189">
        <v>47.5</v>
      </c>
      <c r="BU169" s="523"/>
      <c r="BV169" s="523"/>
      <c r="BW169" s="523"/>
      <c r="BX169" s="523">
        <v>161</v>
      </c>
      <c r="BY169" s="523">
        <v>161</v>
      </c>
      <c r="BZ169" s="523"/>
      <c r="CA169" s="523"/>
      <c r="CB169" s="523"/>
      <c r="CC169" s="523"/>
      <c r="CD169" s="523"/>
      <c r="CE169" s="523"/>
      <c r="CF169" s="523"/>
      <c r="CG169" s="523"/>
      <c r="CH169" s="523"/>
      <c r="CI169" s="523">
        <f t="shared" si="43"/>
        <v>322</v>
      </c>
    </row>
    <row r="170" spans="1:87" x14ac:dyDescent="0.2">
      <c r="A170" s="125" t="s">
        <v>1595</v>
      </c>
      <c r="B170" s="126">
        <v>89711</v>
      </c>
      <c r="C170" s="126" t="s">
        <v>1324</v>
      </c>
      <c r="D170" s="127" t="s">
        <v>1596</v>
      </c>
      <c r="E170" s="128" t="s">
        <v>81</v>
      </c>
      <c r="F170" s="138"/>
      <c r="G170" s="130">
        <v>13.04</v>
      </c>
      <c r="H170" s="128">
        <v>47.5</v>
      </c>
      <c r="I170" s="133">
        <f t="shared" si="42"/>
        <v>47.5</v>
      </c>
      <c r="J170" s="374">
        <f t="shared" si="44"/>
        <v>95</v>
      </c>
      <c r="K170" s="116">
        <f>0</f>
        <v>0</v>
      </c>
      <c r="L170" s="131">
        <f t="shared" ref="L170:L180" si="49">ROUND(H170*G170,2)</f>
        <v>619.4</v>
      </c>
      <c r="M170" s="131">
        <f t="shared" ref="M170:M180" si="50">I170*G170</f>
        <v>619.4</v>
      </c>
      <c r="N170" s="386">
        <f t="shared" ref="N170:N180" si="51">J170*G170</f>
        <v>1238.8</v>
      </c>
      <c r="O170" s="389">
        <f>0</f>
        <v>0</v>
      </c>
      <c r="P170" s="136">
        <f t="shared" si="41"/>
        <v>2</v>
      </c>
      <c r="S170" s="189">
        <v>0</v>
      </c>
      <c r="T170" s="189">
        <v>21.5</v>
      </c>
      <c r="BU170" s="523"/>
      <c r="BV170" s="523">
        <v>0</v>
      </c>
      <c r="BW170" s="523">
        <v>0</v>
      </c>
      <c r="BX170" s="523">
        <v>47.5</v>
      </c>
      <c r="BY170" s="523">
        <v>47.5</v>
      </c>
      <c r="BZ170" s="523"/>
      <c r="CA170" s="523"/>
      <c r="CB170" s="523"/>
      <c r="CC170" s="523"/>
      <c r="CD170" s="523"/>
      <c r="CE170" s="523"/>
      <c r="CF170" s="523"/>
      <c r="CG170" s="523"/>
      <c r="CH170" s="523"/>
      <c r="CI170" s="523">
        <f t="shared" si="43"/>
        <v>95</v>
      </c>
    </row>
    <row r="171" spans="1:87" x14ac:dyDescent="0.2">
      <c r="A171" s="125" t="s">
        <v>1597</v>
      </c>
      <c r="B171" s="126">
        <v>89712</v>
      </c>
      <c r="C171" s="126" t="s">
        <v>1324</v>
      </c>
      <c r="D171" s="127" t="s">
        <v>1598</v>
      </c>
      <c r="E171" s="128" t="s">
        <v>81</v>
      </c>
      <c r="F171" s="138"/>
      <c r="G171" s="130">
        <v>18.98</v>
      </c>
      <c r="H171" s="128">
        <v>21.5</v>
      </c>
      <c r="I171" s="133">
        <f t="shared" si="42"/>
        <v>21.5</v>
      </c>
      <c r="J171" s="374">
        <f t="shared" si="44"/>
        <v>43</v>
      </c>
      <c r="K171" s="116">
        <f>0</f>
        <v>0</v>
      </c>
      <c r="L171" s="131">
        <f t="shared" si="49"/>
        <v>408.07</v>
      </c>
      <c r="M171" s="131">
        <f t="shared" si="50"/>
        <v>408.07</v>
      </c>
      <c r="N171" s="386">
        <f t="shared" si="51"/>
        <v>816.14</v>
      </c>
      <c r="O171" s="389">
        <f>0</f>
        <v>0</v>
      </c>
      <c r="P171" s="136">
        <f t="shared" si="41"/>
        <v>2</v>
      </c>
      <c r="S171" s="189">
        <v>0</v>
      </c>
      <c r="T171" s="189">
        <v>36</v>
      </c>
      <c r="BU171" s="523"/>
      <c r="BV171" s="523">
        <v>0</v>
      </c>
      <c r="BW171" s="523">
        <v>0</v>
      </c>
      <c r="BX171" s="523">
        <v>21.5</v>
      </c>
      <c r="BY171" s="523">
        <v>21.5</v>
      </c>
      <c r="BZ171" s="523"/>
      <c r="CA171" s="523"/>
      <c r="CB171" s="523"/>
      <c r="CC171" s="523"/>
      <c r="CD171" s="523"/>
      <c r="CE171" s="523"/>
      <c r="CF171" s="523"/>
      <c r="CG171" s="523"/>
      <c r="CH171" s="523"/>
      <c r="CI171" s="523">
        <f t="shared" si="43"/>
        <v>43</v>
      </c>
    </row>
    <row r="172" spans="1:87" x14ac:dyDescent="0.2">
      <c r="A172" s="125" t="s">
        <v>1599</v>
      </c>
      <c r="B172" s="126">
        <v>89714</v>
      </c>
      <c r="C172" s="126" t="s">
        <v>1324</v>
      </c>
      <c r="D172" s="127" t="s">
        <v>1600</v>
      </c>
      <c r="E172" s="128" t="s">
        <v>81</v>
      </c>
      <c r="F172" s="137">
        <v>224.11</v>
      </c>
      <c r="G172" s="130">
        <v>36.869999999999997</v>
      </c>
      <c r="H172" s="128">
        <v>36</v>
      </c>
      <c r="I172" s="133">
        <f t="shared" si="42"/>
        <v>36</v>
      </c>
      <c r="J172" s="374">
        <f t="shared" si="44"/>
        <v>72</v>
      </c>
      <c r="K172" s="116">
        <f>0</f>
        <v>0</v>
      </c>
      <c r="L172" s="131">
        <f t="shared" si="49"/>
        <v>1327.32</v>
      </c>
      <c r="M172" s="131">
        <f t="shared" si="50"/>
        <v>1327.32</v>
      </c>
      <c r="N172" s="386">
        <f t="shared" si="51"/>
        <v>2654.64</v>
      </c>
      <c r="O172" s="389">
        <f>0</f>
        <v>0</v>
      </c>
      <c r="P172" s="136">
        <f t="shared" si="41"/>
        <v>2</v>
      </c>
      <c r="S172" s="189">
        <v>0</v>
      </c>
      <c r="T172" s="189">
        <v>7</v>
      </c>
      <c r="BU172" s="523"/>
      <c r="BV172" s="523">
        <v>0</v>
      </c>
      <c r="BW172" s="523">
        <v>0</v>
      </c>
      <c r="BX172" s="523">
        <v>36</v>
      </c>
      <c r="BY172" s="523">
        <v>36</v>
      </c>
      <c r="BZ172" s="523"/>
      <c r="CA172" s="523"/>
      <c r="CB172" s="523"/>
      <c r="CC172" s="523"/>
      <c r="CD172" s="523"/>
      <c r="CE172" s="523"/>
      <c r="CF172" s="523"/>
      <c r="CG172" s="523"/>
      <c r="CH172" s="523"/>
      <c r="CI172" s="523">
        <f t="shared" si="43"/>
        <v>72</v>
      </c>
    </row>
    <row r="173" spans="1:87" x14ac:dyDescent="0.2">
      <c r="A173" s="125" t="s">
        <v>1601</v>
      </c>
      <c r="B173" s="126">
        <v>89726</v>
      </c>
      <c r="C173" s="126" t="s">
        <v>1324</v>
      </c>
      <c r="D173" s="127" t="s">
        <v>1602</v>
      </c>
      <c r="E173" s="128" t="s">
        <v>102</v>
      </c>
      <c r="F173" s="137">
        <v>312.5</v>
      </c>
      <c r="G173" s="130">
        <v>6.33</v>
      </c>
      <c r="H173" s="128">
        <v>7</v>
      </c>
      <c r="I173" s="133">
        <f t="shared" si="42"/>
        <v>7</v>
      </c>
      <c r="J173" s="374">
        <f t="shared" si="44"/>
        <v>14</v>
      </c>
      <c r="K173" s="116">
        <f>0</f>
        <v>0</v>
      </c>
      <c r="L173" s="131">
        <f t="shared" si="49"/>
        <v>44.31</v>
      </c>
      <c r="M173" s="131">
        <f t="shared" si="50"/>
        <v>44.31</v>
      </c>
      <c r="N173" s="386">
        <f t="shared" si="51"/>
        <v>88.62</v>
      </c>
      <c r="O173" s="389">
        <f>0</f>
        <v>0</v>
      </c>
      <c r="P173" s="136">
        <f t="shared" si="41"/>
        <v>2</v>
      </c>
      <c r="S173" s="189">
        <v>0</v>
      </c>
      <c r="T173" s="189">
        <v>6</v>
      </c>
      <c r="BU173" s="523"/>
      <c r="BV173" s="523">
        <v>0</v>
      </c>
      <c r="BW173" s="523">
        <v>0</v>
      </c>
      <c r="BX173" s="523">
        <v>7</v>
      </c>
      <c r="BY173" s="523">
        <v>7</v>
      </c>
      <c r="BZ173" s="523"/>
      <c r="CA173" s="523"/>
      <c r="CB173" s="523"/>
      <c r="CC173" s="523"/>
      <c r="CD173" s="523"/>
      <c r="CE173" s="523"/>
      <c r="CF173" s="523"/>
      <c r="CG173" s="523"/>
      <c r="CH173" s="523"/>
      <c r="CI173" s="523">
        <f t="shared" si="43"/>
        <v>14</v>
      </c>
    </row>
    <row r="174" spans="1:87" x14ac:dyDescent="0.2">
      <c r="A174" s="125" t="s">
        <v>1603</v>
      </c>
      <c r="B174" s="126">
        <v>89744</v>
      </c>
      <c r="C174" s="126" t="s">
        <v>1324</v>
      </c>
      <c r="D174" s="127" t="s">
        <v>1604</v>
      </c>
      <c r="E174" s="128" t="s">
        <v>102</v>
      </c>
      <c r="F174" s="137">
        <v>323.14</v>
      </c>
      <c r="G174" s="130">
        <v>16.600000000000001</v>
      </c>
      <c r="H174" s="128">
        <v>6</v>
      </c>
      <c r="I174" s="133">
        <f t="shared" si="42"/>
        <v>6</v>
      </c>
      <c r="J174" s="374">
        <f t="shared" si="44"/>
        <v>12</v>
      </c>
      <c r="K174" s="116">
        <f>0</f>
        <v>0</v>
      </c>
      <c r="L174" s="131">
        <f t="shared" si="49"/>
        <v>99.6</v>
      </c>
      <c r="M174" s="131">
        <f t="shared" si="50"/>
        <v>99.600000000000009</v>
      </c>
      <c r="N174" s="386">
        <f t="shared" si="51"/>
        <v>199.20000000000002</v>
      </c>
      <c r="O174" s="389">
        <f>0</f>
        <v>0</v>
      </c>
      <c r="P174" s="136">
        <f t="shared" si="41"/>
        <v>2.0000000000000004</v>
      </c>
      <c r="S174" s="189">
        <v>0</v>
      </c>
      <c r="T174" s="189">
        <v>10</v>
      </c>
      <c r="BU174" s="523"/>
      <c r="BV174" s="523">
        <v>0</v>
      </c>
      <c r="BW174" s="523">
        <v>0</v>
      </c>
      <c r="BX174" s="523">
        <v>6</v>
      </c>
      <c r="BY174" s="523">
        <v>6</v>
      </c>
      <c r="BZ174" s="523"/>
      <c r="CA174" s="523"/>
      <c r="CB174" s="523"/>
      <c r="CC174" s="523"/>
      <c r="CD174" s="523"/>
      <c r="CE174" s="523"/>
      <c r="CF174" s="523"/>
      <c r="CG174" s="523"/>
      <c r="CH174" s="523"/>
      <c r="CI174" s="523">
        <f t="shared" si="43"/>
        <v>12</v>
      </c>
    </row>
    <row r="175" spans="1:87" x14ac:dyDescent="0.2">
      <c r="A175" s="125" t="s">
        <v>1605</v>
      </c>
      <c r="B175" s="126">
        <v>89724</v>
      </c>
      <c r="C175" s="126" t="s">
        <v>1324</v>
      </c>
      <c r="D175" s="127" t="s">
        <v>1606</v>
      </c>
      <c r="E175" s="128" t="s">
        <v>102</v>
      </c>
      <c r="F175" s="137">
        <v>224.11</v>
      </c>
      <c r="G175" s="130">
        <v>5.6</v>
      </c>
      <c r="H175" s="128">
        <v>10</v>
      </c>
      <c r="I175" s="133">
        <f t="shared" si="42"/>
        <v>10</v>
      </c>
      <c r="J175" s="374">
        <f t="shared" si="44"/>
        <v>20</v>
      </c>
      <c r="K175" s="116">
        <f>0</f>
        <v>0</v>
      </c>
      <c r="L175" s="131">
        <f t="shared" si="49"/>
        <v>56</v>
      </c>
      <c r="M175" s="131">
        <f t="shared" si="50"/>
        <v>56</v>
      </c>
      <c r="N175" s="386">
        <f t="shared" si="51"/>
        <v>112</v>
      </c>
      <c r="O175" s="389">
        <f>0</f>
        <v>0</v>
      </c>
      <c r="P175" s="136">
        <f t="shared" si="41"/>
        <v>2</v>
      </c>
      <c r="S175" s="189">
        <v>0</v>
      </c>
      <c r="T175" s="189">
        <v>6</v>
      </c>
      <c r="BU175" s="523"/>
      <c r="BV175" s="523">
        <v>0</v>
      </c>
      <c r="BW175" s="523">
        <v>0</v>
      </c>
      <c r="BX175" s="523">
        <v>10</v>
      </c>
      <c r="BY175" s="523">
        <v>10</v>
      </c>
      <c r="BZ175" s="523"/>
      <c r="CA175" s="523"/>
      <c r="CB175" s="523"/>
      <c r="CC175" s="523"/>
      <c r="CD175" s="523"/>
      <c r="CE175" s="523"/>
      <c r="CF175" s="523"/>
      <c r="CG175" s="523"/>
      <c r="CH175" s="523"/>
      <c r="CI175" s="523">
        <f t="shared" si="43"/>
        <v>20</v>
      </c>
    </row>
    <row r="176" spans="1:87" x14ac:dyDescent="0.2">
      <c r="A176" s="125" t="s">
        <v>1607</v>
      </c>
      <c r="B176" s="126">
        <v>89827</v>
      </c>
      <c r="C176" s="126" t="s">
        <v>1324</v>
      </c>
      <c r="D176" s="127" t="s">
        <v>1608</v>
      </c>
      <c r="E176" s="128" t="s">
        <v>102</v>
      </c>
      <c r="F176" s="137">
        <v>33.93</v>
      </c>
      <c r="G176" s="130">
        <v>10.23</v>
      </c>
      <c r="H176" s="128">
        <v>6</v>
      </c>
      <c r="I176" s="133">
        <f t="shared" si="42"/>
        <v>6</v>
      </c>
      <c r="J176" s="374">
        <f t="shared" si="44"/>
        <v>12</v>
      </c>
      <c r="K176" s="116">
        <f>0</f>
        <v>0</v>
      </c>
      <c r="L176" s="131">
        <f t="shared" si="49"/>
        <v>61.38</v>
      </c>
      <c r="M176" s="131">
        <f t="shared" si="50"/>
        <v>61.38</v>
      </c>
      <c r="N176" s="386">
        <f t="shared" si="51"/>
        <v>122.76</v>
      </c>
      <c r="O176" s="389">
        <f>0</f>
        <v>0</v>
      </c>
      <c r="P176" s="136">
        <f t="shared" si="41"/>
        <v>2</v>
      </c>
      <c r="S176" s="189">
        <v>0</v>
      </c>
      <c r="T176" s="189">
        <v>5</v>
      </c>
      <c r="BU176" s="523"/>
      <c r="BV176" s="523">
        <v>0</v>
      </c>
      <c r="BW176" s="523">
        <v>0</v>
      </c>
      <c r="BX176" s="523">
        <v>6</v>
      </c>
      <c r="BY176" s="523">
        <v>6</v>
      </c>
      <c r="BZ176" s="523"/>
      <c r="CA176" s="523"/>
      <c r="CB176" s="523"/>
      <c r="CC176" s="523"/>
      <c r="CD176" s="523"/>
      <c r="CE176" s="523"/>
      <c r="CF176" s="523"/>
      <c r="CG176" s="523"/>
      <c r="CH176" s="523"/>
      <c r="CI176" s="523">
        <f t="shared" si="43"/>
        <v>12</v>
      </c>
    </row>
    <row r="177" spans="1:87" x14ac:dyDescent="0.2">
      <c r="A177" s="125" t="s">
        <v>1609</v>
      </c>
      <c r="B177" s="126">
        <v>89834</v>
      </c>
      <c r="C177" s="126" t="s">
        <v>1324</v>
      </c>
      <c r="D177" s="127" t="s">
        <v>1610</v>
      </c>
      <c r="E177" s="128" t="s">
        <v>102</v>
      </c>
      <c r="F177" s="137">
        <v>33.93</v>
      </c>
      <c r="G177" s="130">
        <v>25.46</v>
      </c>
      <c r="H177" s="128">
        <v>5</v>
      </c>
      <c r="I177" s="133">
        <f t="shared" si="42"/>
        <v>5</v>
      </c>
      <c r="J177" s="374">
        <f t="shared" si="44"/>
        <v>10</v>
      </c>
      <c r="K177" s="116">
        <f>0</f>
        <v>0</v>
      </c>
      <c r="L177" s="131">
        <f t="shared" si="49"/>
        <v>127.3</v>
      </c>
      <c r="M177" s="131">
        <f t="shared" si="50"/>
        <v>127.30000000000001</v>
      </c>
      <c r="N177" s="386">
        <f t="shared" si="51"/>
        <v>254.60000000000002</v>
      </c>
      <c r="O177" s="389">
        <f>0</f>
        <v>0</v>
      </c>
      <c r="P177" s="136">
        <f t="shared" si="41"/>
        <v>2.0000000000000004</v>
      </c>
      <c r="S177" s="189">
        <v>0</v>
      </c>
      <c r="T177" s="189">
        <v>5</v>
      </c>
      <c r="BU177" s="523"/>
      <c r="BV177" s="523">
        <v>0</v>
      </c>
      <c r="BW177" s="523">
        <v>0</v>
      </c>
      <c r="BX177" s="523">
        <v>5</v>
      </c>
      <c r="BY177" s="523">
        <v>5</v>
      </c>
      <c r="BZ177" s="523"/>
      <c r="CA177" s="523"/>
      <c r="CB177" s="523"/>
      <c r="CC177" s="523"/>
      <c r="CD177" s="523"/>
      <c r="CE177" s="523"/>
      <c r="CF177" s="523"/>
      <c r="CG177" s="523"/>
      <c r="CH177" s="523"/>
      <c r="CI177" s="523">
        <f t="shared" si="43"/>
        <v>10</v>
      </c>
    </row>
    <row r="178" spans="1:87" x14ac:dyDescent="0.2">
      <c r="A178" s="125" t="s">
        <v>1611</v>
      </c>
      <c r="B178" s="126">
        <v>89797</v>
      </c>
      <c r="C178" s="126" t="s">
        <v>1324</v>
      </c>
      <c r="D178" s="127" t="s">
        <v>1612</v>
      </c>
      <c r="E178" s="128" t="s">
        <v>102</v>
      </c>
      <c r="F178" s="137">
        <v>33.93</v>
      </c>
      <c r="G178" s="130">
        <v>31.16</v>
      </c>
      <c r="H178" s="128">
        <v>5</v>
      </c>
      <c r="I178" s="133">
        <f t="shared" si="42"/>
        <v>5</v>
      </c>
      <c r="J178" s="374">
        <f t="shared" si="44"/>
        <v>10</v>
      </c>
      <c r="K178" s="116">
        <f>0</f>
        <v>0</v>
      </c>
      <c r="L178" s="131">
        <f t="shared" si="49"/>
        <v>155.80000000000001</v>
      </c>
      <c r="M178" s="131">
        <f t="shared" si="50"/>
        <v>155.80000000000001</v>
      </c>
      <c r="N178" s="386">
        <f t="shared" si="51"/>
        <v>311.60000000000002</v>
      </c>
      <c r="O178" s="389">
        <f>0</f>
        <v>0</v>
      </c>
      <c r="P178" s="136">
        <f t="shared" si="41"/>
        <v>2</v>
      </c>
      <c r="S178" s="189">
        <v>0</v>
      </c>
      <c r="T178" s="189">
        <v>1</v>
      </c>
      <c r="BU178" s="523"/>
      <c r="BV178" s="523">
        <v>0</v>
      </c>
      <c r="BW178" s="523">
        <v>0</v>
      </c>
      <c r="BX178" s="523">
        <v>5</v>
      </c>
      <c r="BY178" s="523">
        <v>5</v>
      </c>
      <c r="BZ178" s="523"/>
      <c r="CA178" s="523"/>
      <c r="CB178" s="523"/>
      <c r="CC178" s="523"/>
      <c r="CD178" s="523"/>
      <c r="CE178" s="523"/>
      <c r="CF178" s="523"/>
      <c r="CG178" s="523"/>
      <c r="CH178" s="523"/>
      <c r="CI178" s="523">
        <f t="shared" si="43"/>
        <v>10</v>
      </c>
    </row>
    <row r="179" spans="1:87" x14ac:dyDescent="0.2">
      <c r="A179" s="125" t="s">
        <v>1613</v>
      </c>
      <c r="B179" s="126">
        <v>89852</v>
      </c>
      <c r="C179" s="126" t="s">
        <v>1324</v>
      </c>
      <c r="D179" s="127" t="s">
        <v>1614</v>
      </c>
      <c r="E179" s="128" t="s">
        <v>102</v>
      </c>
      <c r="F179" s="137">
        <v>33.93</v>
      </c>
      <c r="G179" s="130">
        <v>27.17</v>
      </c>
      <c r="H179" s="128">
        <v>1</v>
      </c>
      <c r="I179" s="133">
        <f t="shared" si="42"/>
        <v>1</v>
      </c>
      <c r="J179" s="374">
        <f t="shared" si="44"/>
        <v>2</v>
      </c>
      <c r="K179" s="116">
        <f>0</f>
        <v>0</v>
      </c>
      <c r="L179" s="131">
        <f t="shared" si="49"/>
        <v>27.17</v>
      </c>
      <c r="M179" s="131">
        <f t="shared" si="50"/>
        <v>27.17</v>
      </c>
      <c r="N179" s="386">
        <f t="shared" si="51"/>
        <v>54.34</v>
      </c>
      <c r="O179" s="389">
        <f>0</f>
        <v>0</v>
      </c>
      <c r="P179" s="136">
        <f t="shared" si="41"/>
        <v>2</v>
      </c>
      <c r="S179" s="189">
        <v>0</v>
      </c>
      <c r="T179" s="189">
        <v>16</v>
      </c>
      <c r="BU179" s="523"/>
      <c r="BV179" s="523">
        <v>0</v>
      </c>
      <c r="BW179" s="523">
        <v>0</v>
      </c>
      <c r="BX179" s="523">
        <v>1</v>
      </c>
      <c r="BY179" s="523">
        <v>1</v>
      </c>
      <c r="BZ179" s="523"/>
      <c r="CA179" s="523"/>
      <c r="CB179" s="523"/>
      <c r="CC179" s="523"/>
      <c r="CD179" s="523"/>
      <c r="CE179" s="523"/>
      <c r="CF179" s="523"/>
      <c r="CG179" s="523"/>
      <c r="CH179" s="523"/>
      <c r="CI179" s="523">
        <f t="shared" si="43"/>
        <v>2</v>
      </c>
    </row>
    <row r="180" spans="1:87" s="514" customFormat="1" x14ac:dyDescent="0.2">
      <c r="A180" s="125" t="s">
        <v>1615</v>
      </c>
      <c r="B180" s="126">
        <v>89728</v>
      </c>
      <c r="C180" s="126" t="s">
        <v>1324</v>
      </c>
      <c r="D180" s="127" t="s">
        <v>1616</v>
      </c>
      <c r="E180" s="128" t="s">
        <v>102</v>
      </c>
      <c r="F180" s="137">
        <v>33.93</v>
      </c>
      <c r="G180" s="130">
        <v>7.91</v>
      </c>
      <c r="H180" s="128">
        <v>16</v>
      </c>
      <c r="I180" s="133">
        <f t="shared" si="42"/>
        <v>16</v>
      </c>
      <c r="J180" s="374">
        <f t="shared" si="44"/>
        <v>32</v>
      </c>
      <c r="K180" s="116">
        <f>0</f>
        <v>0</v>
      </c>
      <c r="L180" s="131">
        <f t="shared" si="49"/>
        <v>126.56</v>
      </c>
      <c r="M180" s="131">
        <f t="shared" si="50"/>
        <v>126.56</v>
      </c>
      <c r="N180" s="386">
        <f t="shared" si="51"/>
        <v>253.12</v>
      </c>
      <c r="O180" s="389">
        <f>0</f>
        <v>0</v>
      </c>
      <c r="P180" s="136">
        <f t="shared" si="41"/>
        <v>2</v>
      </c>
      <c r="S180" s="190">
        <v>0</v>
      </c>
      <c r="T180" s="190">
        <v>0</v>
      </c>
      <c r="BU180" s="523"/>
      <c r="BV180" s="523">
        <v>0</v>
      </c>
      <c r="BW180" s="523">
        <v>0</v>
      </c>
      <c r="BX180" s="523">
        <v>16</v>
      </c>
      <c r="BY180" s="523">
        <v>16</v>
      </c>
      <c r="BZ180" s="523"/>
      <c r="CA180" s="523"/>
      <c r="CB180" s="523"/>
      <c r="CC180" s="523"/>
      <c r="CD180" s="523"/>
      <c r="CE180" s="523"/>
      <c r="CF180" s="523"/>
      <c r="CG180" s="523"/>
      <c r="CH180" s="523"/>
      <c r="CI180" s="523">
        <f t="shared" si="43"/>
        <v>32</v>
      </c>
    </row>
    <row r="181" spans="1:87" x14ac:dyDescent="0.2">
      <c r="A181" s="449" t="s">
        <v>309</v>
      </c>
      <c r="B181" s="450"/>
      <c r="C181" s="450"/>
      <c r="D181" s="451" t="s">
        <v>1617</v>
      </c>
      <c r="E181" s="465"/>
      <c r="F181" s="468"/>
      <c r="G181" s="465"/>
      <c r="H181" s="465"/>
      <c r="I181" s="465"/>
      <c r="J181" s="474"/>
      <c r="K181" s="474"/>
      <c r="L181" s="452">
        <f>SUM(L182:L189)</f>
        <v>13798.98</v>
      </c>
      <c r="M181" s="468">
        <f>SUM(M182:M189)</f>
        <v>0</v>
      </c>
      <c r="N181" s="467">
        <f>SUM(N182:N189)</f>
        <v>0</v>
      </c>
      <c r="O181" s="469">
        <f>SUM(O182:O189)</f>
        <v>13798.98</v>
      </c>
      <c r="P181" s="459">
        <f t="shared" si="41"/>
        <v>0</v>
      </c>
      <c r="S181" s="189">
        <v>0</v>
      </c>
      <c r="T181" s="189">
        <v>0</v>
      </c>
      <c r="BU181" s="523"/>
      <c r="BV181" s="523"/>
      <c r="BW181" s="523"/>
      <c r="BX181" s="523">
        <v>0</v>
      </c>
      <c r="BY181" s="523">
        <v>0</v>
      </c>
      <c r="BZ181" s="523"/>
      <c r="CA181" s="523"/>
      <c r="CB181" s="523"/>
      <c r="CC181" s="523"/>
      <c r="CD181" s="523"/>
      <c r="CE181" s="523"/>
      <c r="CF181" s="523"/>
      <c r="CG181" s="523"/>
      <c r="CH181" s="523"/>
      <c r="CI181" s="523">
        <f t="shared" si="43"/>
        <v>0</v>
      </c>
    </row>
    <row r="182" spans="1:87" x14ac:dyDescent="0.2">
      <c r="A182" s="125" t="s">
        <v>1618</v>
      </c>
      <c r="B182" s="126" t="s">
        <v>2007</v>
      </c>
      <c r="C182" s="126" t="s">
        <v>1339</v>
      </c>
      <c r="D182" s="127" t="s">
        <v>1619</v>
      </c>
      <c r="E182" s="128" t="s">
        <v>102</v>
      </c>
      <c r="F182" s="137">
        <v>190.09</v>
      </c>
      <c r="G182" s="130">
        <v>46.81</v>
      </c>
      <c r="H182" s="128">
        <v>6</v>
      </c>
      <c r="I182" s="116">
        <f t="shared" si="42"/>
        <v>0</v>
      </c>
      <c r="J182" s="374">
        <f t="shared" si="44"/>
        <v>0</v>
      </c>
      <c r="K182" s="137">
        <f t="shared" ref="K182:K189" si="52">H182-J182</f>
        <v>6</v>
      </c>
      <c r="L182" s="131">
        <f t="shared" ref="L182:L189" si="53">ROUND(H182*G182,2)</f>
        <v>280.86</v>
      </c>
      <c r="M182" s="131">
        <f t="shared" ref="M182:M189" si="54">I182*G182</f>
        <v>0</v>
      </c>
      <c r="N182" s="386">
        <f t="shared" ref="N182:N189" si="55">J182*G182</f>
        <v>0</v>
      </c>
      <c r="O182" s="375">
        <f t="shared" ref="O182:O189" si="56">L182-N182</f>
        <v>280.86</v>
      </c>
      <c r="P182" s="136">
        <f t="shared" si="41"/>
        <v>0</v>
      </c>
      <c r="S182" s="189">
        <v>0</v>
      </c>
      <c r="T182" s="189">
        <v>0</v>
      </c>
      <c r="BU182" s="523"/>
      <c r="BV182" s="523">
        <v>0</v>
      </c>
      <c r="BW182" s="523">
        <v>0</v>
      </c>
      <c r="BX182" s="523">
        <v>0</v>
      </c>
      <c r="BY182" s="523">
        <v>0</v>
      </c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523">
        <f t="shared" si="43"/>
        <v>0</v>
      </c>
    </row>
    <row r="183" spans="1:87" x14ac:dyDescent="0.2">
      <c r="A183" s="125" t="s">
        <v>1620</v>
      </c>
      <c r="B183" s="126" t="s">
        <v>1621</v>
      </c>
      <c r="C183" s="126" t="s">
        <v>1324</v>
      </c>
      <c r="D183" s="127" t="s">
        <v>1622</v>
      </c>
      <c r="E183" s="128" t="s">
        <v>102</v>
      </c>
      <c r="F183" s="137">
        <v>222.14</v>
      </c>
      <c r="G183" s="130">
        <v>367.21</v>
      </c>
      <c r="H183" s="128">
        <v>2</v>
      </c>
      <c r="I183" s="116">
        <f t="shared" si="42"/>
        <v>0</v>
      </c>
      <c r="J183" s="374">
        <f t="shared" si="44"/>
        <v>0</v>
      </c>
      <c r="K183" s="137">
        <f t="shared" si="52"/>
        <v>2</v>
      </c>
      <c r="L183" s="131">
        <f t="shared" si="53"/>
        <v>734.42</v>
      </c>
      <c r="M183" s="131">
        <f t="shared" si="54"/>
        <v>0</v>
      </c>
      <c r="N183" s="386">
        <f t="shared" si="55"/>
        <v>0</v>
      </c>
      <c r="O183" s="375">
        <f t="shared" si="56"/>
        <v>734.42</v>
      </c>
      <c r="P183" s="136">
        <f t="shared" si="41"/>
        <v>0</v>
      </c>
      <c r="S183" s="189">
        <v>0</v>
      </c>
      <c r="T183" s="189">
        <v>0</v>
      </c>
      <c r="BU183" s="523"/>
      <c r="BV183" s="523">
        <v>0</v>
      </c>
      <c r="BW183" s="523">
        <v>0</v>
      </c>
      <c r="BX183" s="523">
        <v>0</v>
      </c>
      <c r="BY183" s="523">
        <v>0</v>
      </c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523">
        <f t="shared" si="43"/>
        <v>0</v>
      </c>
    </row>
    <row r="184" spans="1:87" x14ac:dyDescent="0.2">
      <c r="A184" s="125" t="s">
        <v>1623</v>
      </c>
      <c r="B184" s="126">
        <v>89710</v>
      </c>
      <c r="C184" s="126" t="s">
        <v>1324</v>
      </c>
      <c r="D184" s="127" t="s">
        <v>1624</v>
      </c>
      <c r="E184" s="128" t="s">
        <v>102</v>
      </c>
      <c r="F184" s="137">
        <v>474.97</v>
      </c>
      <c r="G184" s="130">
        <v>7.75</v>
      </c>
      <c r="H184" s="128">
        <v>6</v>
      </c>
      <c r="I184" s="116">
        <f t="shared" si="42"/>
        <v>0</v>
      </c>
      <c r="J184" s="374">
        <f t="shared" si="44"/>
        <v>0</v>
      </c>
      <c r="K184" s="137">
        <f t="shared" si="52"/>
        <v>6</v>
      </c>
      <c r="L184" s="131">
        <f t="shared" si="53"/>
        <v>46.5</v>
      </c>
      <c r="M184" s="131">
        <f t="shared" si="54"/>
        <v>0</v>
      </c>
      <c r="N184" s="386">
        <f t="shared" si="55"/>
        <v>0</v>
      </c>
      <c r="O184" s="375">
        <f t="shared" si="56"/>
        <v>46.5</v>
      </c>
      <c r="P184" s="136">
        <f t="shared" si="41"/>
        <v>0</v>
      </c>
      <c r="S184" s="189">
        <v>0</v>
      </c>
      <c r="T184" s="189">
        <v>0</v>
      </c>
      <c r="BU184" s="523"/>
      <c r="BV184" s="523">
        <v>0</v>
      </c>
      <c r="BW184" s="523">
        <v>0</v>
      </c>
      <c r="BX184" s="523">
        <v>0</v>
      </c>
      <c r="BY184" s="523">
        <v>0</v>
      </c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523">
        <f t="shared" si="43"/>
        <v>0</v>
      </c>
    </row>
    <row r="185" spans="1:87" x14ac:dyDescent="0.2">
      <c r="A185" s="125" t="s">
        <v>1625</v>
      </c>
      <c r="B185" s="126">
        <v>89798</v>
      </c>
      <c r="C185" s="126" t="s">
        <v>1324</v>
      </c>
      <c r="D185" s="127" t="s">
        <v>1626</v>
      </c>
      <c r="E185" s="128" t="s">
        <v>81</v>
      </c>
      <c r="F185" s="137">
        <v>891.52</v>
      </c>
      <c r="G185" s="130">
        <v>6.93</v>
      </c>
      <c r="H185" s="128">
        <v>8</v>
      </c>
      <c r="I185" s="116">
        <f t="shared" si="42"/>
        <v>0</v>
      </c>
      <c r="J185" s="374">
        <f t="shared" si="44"/>
        <v>0</v>
      </c>
      <c r="K185" s="137">
        <f t="shared" si="52"/>
        <v>8</v>
      </c>
      <c r="L185" s="131">
        <f t="shared" si="53"/>
        <v>55.44</v>
      </c>
      <c r="M185" s="131">
        <f t="shared" si="54"/>
        <v>0</v>
      </c>
      <c r="N185" s="386">
        <f t="shared" si="55"/>
        <v>0</v>
      </c>
      <c r="O185" s="375">
        <f t="shared" si="56"/>
        <v>55.44</v>
      </c>
      <c r="P185" s="136">
        <f t="shared" si="41"/>
        <v>0</v>
      </c>
      <c r="S185" s="189">
        <v>0</v>
      </c>
      <c r="T185" s="189">
        <v>0</v>
      </c>
      <c r="BU185" s="523"/>
      <c r="BV185" s="523">
        <v>0</v>
      </c>
      <c r="BW185" s="523">
        <v>0</v>
      </c>
      <c r="BX185" s="523">
        <v>0</v>
      </c>
      <c r="BY185" s="523">
        <v>0</v>
      </c>
      <c r="BZ185" s="523"/>
      <c r="CA185" s="523"/>
      <c r="CB185" s="523"/>
      <c r="CC185" s="523"/>
      <c r="CD185" s="523"/>
      <c r="CE185" s="523"/>
      <c r="CF185" s="523"/>
      <c r="CG185" s="523"/>
      <c r="CH185" s="523"/>
      <c r="CI185" s="523">
        <f t="shared" si="43"/>
        <v>0</v>
      </c>
    </row>
    <row r="186" spans="1:87" x14ac:dyDescent="0.2">
      <c r="A186" s="125" t="s">
        <v>1627</v>
      </c>
      <c r="B186" s="126">
        <v>86882</v>
      </c>
      <c r="C186" s="126" t="s">
        <v>1324</v>
      </c>
      <c r="D186" s="127" t="s">
        <v>1628</v>
      </c>
      <c r="E186" s="128" t="s">
        <v>102</v>
      </c>
      <c r="F186" s="137">
        <v>179</v>
      </c>
      <c r="G186" s="130">
        <v>13.42</v>
      </c>
      <c r="H186" s="128">
        <v>8</v>
      </c>
      <c r="I186" s="116">
        <f t="shared" si="42"/>
        <v>0</v>
      </c>
      <c r="J186" s="374">
        <f t="shared" si="44"/>
        <v>0</v>
      </c>
      <c r="K186" s="137">
        <f t="shared" si="52"/>
        <v>8</v>
      </c>
      <c r="L186" s="131">
        <f t="shared" si="53"/>
        <v>107.36</v>
      </c>
      <c r="M186" s="131">
        <f t="shared" si="54"/>
        <v>0</v>
      </c>
      <c r="N186" s="386">
        <f t="shared" si="55"/>
        <v>0</v>
      </c>
      <c r="O186" s="375">
        <f t="shared" si="56"/>
        <v>107.36</v>
      </c>
      <c r="P186" s="136">
        <f t="shared" si="41"/>
        <v>0</v>
      </c>
      <c r="S186" s="189">
        <v>0</v>
      </c>
      <c r="T186" s="189">
        <v>0</v>
      </c>
      <c r="BU186" s="523"/>
      <c r="BV186" s="523">
        <v>0</v>
      </c>
      <c r="BW186" s="523">
        <v>0</v>
      </c>
      <c r="BX186" s="523">
        <v>0</v>
      </c>
      <c r="BY186" s="523">
        <v>0</v>
      </c>
      <c r="BZ186" s="523"/>
      <c r="CA186" s="523"/>
      <c r="CB186" s="523"/>
      <c r="CC186" s="523"/>
      <c r="CD186" s="523"/>
      <c r="CE186" s="523"/>
      <c r="CF186" s="523"/>
      <c r="CG186" s="523"/>
      <c r="CH186" s="523"/>
      <c r="CI186" s="523">
        <f t="shared" si="43"/>
        <v>0</v>
      </c>
    </row>
    <row r="187" spans="1:87" x14ac:dyDescent="0.2">
      <c r="A187" s="125" t="s">
        <v>1629</v>
      </c>
      <c r="B187" s="126" t="s">
        <v>1630</v>
      </c>
      <c r="C187" s="126" t="s">
        <v>1324</v>
      </c>
      <c r="D187" s="127" t="s">
        <v>1631</v>
      </c>
      <c r="E187" s="128" t="s">
        <v>102</v>
      </c>
      <c r="F187" s="137">
        <v>144</v>
      </c>
      <c r="G187" s="130">
        <v>57.87</v>
      </c>
      <c r="H187" s="128">
        <v>8</v>
      </c>
      <c r="I187" s="116">
        <f t="shared" si="42"/>
        <v>0</v>
      </c>
      <c r="J187" s="374">
        <f t="shared" si="44"/>
        <v>0</v>
      </c>
      <c r="K187" s="137">
        <f t="shared" si="52"/>
        <v>8</v>
      </c>
      <c r="L187" s="131">
        <f t="shared" si="53"/>
        <v>462.96</v>
      </c>
      <c r="M187" s="131">
        <f t="shared" si="54"/>
        <v>0</v>
      </c>
      <c r="N187" s="386">
        <f t="shared" si="55"/>
        <v>0</v>
      </c>
      <c r="O187" s="375">
        <f t="shared" si="56"/>
        <v>462.96</v>
      </c>
      <c r="P187" s="136">
        <f t="shared" si="41"/>
        <v>0</v>
      </c>
      <c r="S187" s="189">
        <v>0</v>
      </c>
      <c r="T187" s="189">
        <v>0</v>
      </c>
      <c r="BU187" s="523"/>
      <c r="BV187" s="523">
        <v>0</v>
      </c>
      <c r="BW187" s="523">
        <v>0</v>
      </c>
      <c r="BX187" s="523">
        <v>0</v>
      </c>
      <c r="BY187" s="523">
        <v>0</v>
      </c>
      <c r="BZ187" s="523"/>
      <c r="CA187" s="523"/>
      <c r="CB187" s="523"/>
      <c r="CC187" s="523"/>
      <c r="CD187" s="523"/>
      <c r="CE187" s="523"/>
      <c r="CF187" s="523"/>
      <c r="CG187" s="523"/>
      <c r="CH187" s="523"/>
      <c r="CI187" s="523">
        <f t="shared" si="43"/>
        <v>0</v>
      </c>
    </row>
    <row r="188" spans="1:87" x14ac:dyDescent="0.2">
      <c r="A188" s="125" t="s">
        <v>1632</v>
      </c>
      <c r="B188" s="126" t="s">
        <v>1633</v>
      </c>
      <c r="C188" s="126" t="s">
        <v>1324</v>
      </c>
      <c r="D188" s="127" t="s">
        <v>1634</v>
      </c>
      <c r="E188" s="128" t="s">
        <v>102</v>
      </c>
      <c r="F188" s="137">
        <v>201.25</v>
      </c>
      <c r="G188" s="130">
        <v>3019.34</v>
      </c>
      <c r="H188" s="128">
        <v>1</v>
      </c>
      <c r="I188" s="116">
        <f t="shared" si="42"/>
        <v>0</v>
      </c>
      <c r="J188" s="374">
        <f t="shared" si="44"/>
        <v>0</v>
      </c>
      <c r="K188" s="137">
        <f t="shared" si="52"/>
        <v>1</v>
      </c>
      <c r="L188" s="131">
        <f t="shared" si="53"/>
        <v>3019.34</v>
      </c>
      <c r="M188" s="131">
        <f t="shared" si="54"/>
        <v>0</v>
      </c>
      <c r="N188" s="386">
        <f t="shared" si="55"/>
        <v>0</v>
      </c>
      <c r="O188" s="375">
        <f t="shared" si="56"/>
        <v>3019.34</v>
      </c>
      <c r="P188" s="136">
        <f t="shared" si="41"/>
        <v>0</v>
      </c>
      <c r="S188" s="189">
        <v>0</v>
      </c>
      <c r="T188" s="189">
        <v>0</v>
      </c>
      <c r="BU188" s="523"/>
      <c r="BV188" s="523">
        <v>0</v>
      </c>
      <c r="BW188" s="523">
        <v>0</v>
      </c>
      <c r="BX188" s="523">
        <v>0</v>
      </c>
      <c r="BY188" s="523">
        <v>0</v>
      </c>
      <c r="BZ188" s="523"/>
      <c r="CA188" s="523"/>
      <c r="CB188" s="523"/>
      <c r="CC188" s="523"/>
      <c r="CD188" s="523"/>
      <c r="CE188" s="523"/>
      <c r="CF188" s="523"/>
      <c r="CG188" s="523"/>
      <c r="CH188" s="523"/>
      <c r="CI188" s="523">
        <f t="shared" si="43"/>
        <v>0</v>
      </c>
    </row>
    <row r="189" spans="1:87" s="514" customFormat="1" x14ac:dyDescent="0.2">
      <c r="A189" s="125" t="s">
        <v>1635</v>
      </c>
      <c r="B189" s="126" t="s">
        <v>1636</v>
      </c>
      <c r="C189" s="126" t="s">
        <v>1324</v>
      </c>
      <c r="D189" s="127" t="s">
        <v>1637</v>
      </c>
      <c r="E189" s="128" t="s">
        <v>102</v>
      </c>
      <c r="F189" s="137">
        <v>356.72</v>
      </c>
      <c r="G189" s="130">
        <v>9092.1</v>
      </c>
      <c r="H189" s="128">
        <v>1</v>
      </c>
      <c r="I189" s="116">
        <f t="shared" si="42"/>
        <v>0</v>
      </c>
      <c r="J189" s="374">
        <f t="shared" si="44"/>
        <v>0</v>
      </c>
      <c r="K189" s="137">
        <f t="shared" si="52"/>
        <v>1</v>
      </c>
      <c r="L189" s="131">
        <f t="shared" si="53"/>
        <v>9092.1</v>
      </c>
      <c r="M189" s="131">
        <f t="shared" si="54"/>
        <v>0</v>
      </c>
      <c r="N189" s="386">
        <f t="shared" si="55"/>
        <v>0</v>
      </c>
      <c r="O189" s="375">
        <f t="shared" si="56"/>
        <v>9092.1</v>
      </c>
      <c r="P189" s="136">
        <f t="shared" si="41"/>
        <v>0</v>
      </c>
      <c r="S189" s="190">
        <v>0</v>
      </c>
      <c r="T189" s="190">
        <v>0</v>
      </c>
      <c r="BU189" s="523"/>
      <c r="BV189" s="523">
        <v>0</v>
      </c>
      <c r="BW189" s="523">
        <v>0</v>
      </c>
      <c r="BX189" s="523">
        <v>0</v>
      </c>
      <c r="BY189" s="523">
        <v>0</v>
      </c>
      <c r="BZ189" s="523"/>
      <c r="CA189" s="523"/>
      <c r="CB189" s="523"/>
      <c r="CC189" s="523"/>
      <c r="CD189" s="523"/>
      <c r="CE189" s="523"/>
      <c r="CF189" s="523"/>
      <c r="CG189" s="523"/>
      <c r="CH189" s="523"/>
      <c r="CI189" s="523">
        <f t="shared" si="43"/>
        <v>0</v>
      </c>
    </row>
    <row r="190" spans="1:87" x14ac:dyDescent="0.2">
      <c r="A190" s="412">
        <v>14</v>
      </c>
      <c r="B190" s="413"/>
      <c r="C190" s="413"/>
      <c r="D190" s="414" t="s">
        <v>656</v>
      </c>
      <c r="E190" s="415"/>
      <c r="F190" s="417"/>
      <c r="G190" s="418"/>
      <c r="H190" s="416"/>
      <c r="I190" s="420"/>
      <c r="J190" s="421">
        <f t="shared" si="44"/>
        <v>0</v>
      </c>
      <c r="K190" s="420"/>
      <c r="L190" s="416">
        <f>SUM(L191:L193)</f>
        <v>11646.280500000001</v>
      </c>
      <c r="M190" s="433">
        <f>SUM(M191:M193)</f>
        <v>0</v>
      </c>
      <c r="N190" s="432">
        <f>SUM(N191:N193)</f>
        <v>0</v>
      </c>
      <c r="O190" s="434">
        <f>SUM(O191:O193)</f>
        <v>11646.280500000001</v>
      </c>
      <c r="P190" s="423">
        <f t="shared" si="41"/>
        <v>0</v>
      </c>
      <c r="S190" s="189">
        <v>0</v>
      </c>
      <c r="T190" s="189">
        <v>0</v>
      </c>
      <c r="BU190" s="523"/>
      <c r="BV190" s="523"/>
      <c r="BW190" s="523"/>
      <c r="BX190" s="523">
        <v>0</v>
      </c>
      <c r="BY190" s="523">
        <v>0</v>
      </c>
      <c r="BZ190" s="523"/>
      <c r="CA190" s="523"/>
      <c r="CB190" s="523"/>
      <c r="CC190" s="523"/>
      <c r="CD190" s="523"/>
      <c r="CE190" s="523"/>
      <c r="CF190" s="523"/>
      <c r="CG190" s="523"/>
      <c r="CH190" s="523"/>
      <c r="CI190" s="523">
        <f t="shared" si="43"/>
        <v>0</v>
      </c>
    </row>
    <row r="191" spans="1:87" x14ac:dyDescent="0.2">
      <c r="A191" s="125" t="s">
        <v>355</v>
      </c>
      <c r="B191" s="126">
        <v>83688</v>
      </c>
      <c r="C191" s="126" t="s">
        <v>1324</v>
      </c>
      <c r="D191" s="127" t="s">
        <v>1638</v>
      </c>
      <c r="E191" s="128" t="s">
        <v>81</v>
      </c>
      <c r="F191" s="137">
        <v>415</v>
      </c>
      <c r="G191" s="130">
        <v>141.97999999999999</v>
      </c>
      <c r="H191" s="128">
        <v>76.400000000000006</v>
      </c>
      <c r="I191" s="116">
        <f t="shared" si="42"/>
        <v>0</v>
      </c>
      <c r="J191" s="374">
        <f t="shared" si="44"/>
        <v>0</v>
      </c>
      <c r="K191" s="137">
        <f>H191-J191</f>
        <v>76.400000000000006</v>
      </c>
      <c r="L191" s="130">
        <f>G191*H191</f>
        <v>10847.272000000001</v>
      </c>
      <c r="M191" s="131">
        <f>I191*G191</f>
        <v>0</v>
      </c>
      <c r="N191" s="386">
        <f>J191*G191</f>
        <v>0</v>
      </c>
      <c r="O191" s="375">
        <f>L191-N191</f>
        <v>10847.272000000001</v>
      </c>
      <c r="P191" s="136">
        <f t="shared" si="41"/>
        <v>0</v>
      </c>
      <c r="S191" s="189">
        <v>0</v>
      </c>
      <c r="T191" s="189">
        <v>0</v>
      </c>
      <c r="BU191" s="523"/>
      <c r="BV191" s="523">
        <v>0</v>
      </c>
      <c r="BW191" s="523">
        <v>0</v>
      </c>
      <c r="BX191" s="523">
        <v>0</v>
      </c>
      <c r="BY191" s="523">
        <v>0</v>
      </c>
      <c r="BZ191" s="523"/>
      <c r="CA191" s="523"/>
      <c r="CB191" s="523"/>
      <c r="CC191" s="523"/>
      <c r="CD191" s="523"/>
      <c r="CE191" s="523"/>
      <c r="CF191" s="523"/>
      <c r="CG191" s="523"/>
      <c r="CH191" s="523"/>
      <c r="CI191" s="523">
        <f t="shared" si="43"/>
        <v>0</v>
      </c>
    </row>
    <row r="192" spans="1:87" x14ac:dyDescent="0.2">
      <c r="A192" s="125" t="s">
        <v>1639</v>
      </c>
      <c r="B192" s="126" t="s">
        <v>2007</v>
      </c>
      <c r="C192" s="126" t="s">
        <v>1339</v>
      </c>
      <c r="D192" s="127" t="s">
        <v>1640</v>
      </c>
      <c r="E192" s="128" t="s">
        <v>102</v>
      </c>
      <c r="F192" s="137">
        <v>63.04</v>
      </c>
      <c r="G192" s="130">
        <v>76.84</v>
      </c>
      <c r="H192" s="128">
        <v>8</v>
      </c>
      <c r="I192" s="116">
        <f t="shared" si="42"/>
        <v>0</v>
      </c>
      <c r="J192" s="374">
        <f t="shared" si="44"/>
        <v>0</v>
      </c>
      <c r="K192" s="137">
        <f>H192-J192</f>
        <v>8</v>
      </c>
      <c r="L192" s="391">
        <f>G192*H192</f>
        <v>614.72</v>
      </c>
      <c r="M192" s="131">
        <f>I192*G192</f>
        <v>0</v>
      </c>
      <c r="N192" s="386">
        <f>J192*G192</f>
        <v>0</v>
      </c>
      <c r="O192" s="375">
        <f>L192-N192</f>
        <v>614.72</v>
      </c>
      <c r="P192" s="136">
        <f t="shared" si="41"/>
        <v>0</v>
      </c>
      <c r="S192" s="189">
        <v>0</v>
      </c>
      <c r="T192" s="189">
        <v>0</v>
      </c>
      <c r="BU192" s="523"/>
      <c r="BV192" s="523">
        <v>0</v>
      </c>
      <c r="BW192" s="523">
        <v>0</v>
      </c>
      <c r="BX192" s="523">
        <v>0</v>
      </c>
      <c r="BY192" s="523">
        <v>0</v>
      </c>
      <c r="BZ192" s="523"/>
      <c r="CA192" s="523"/>
      <c r="CB192" s="523"/>
      <c r="CC192" s="523"/>
      <c r="CD192" s="523"/>
      <c r="CE192" s="523"/>
      <c r="CF192" s="523"/>
      <c r="CG192" s="523"/>
      <c r="CH192" s="523"/>
      <c r="CI192" s="523">
        <f t="shared" si="43"/>
        <v>0</v>
      </c>
    </row>
    <row r="193" spans="1:87" s="514" customFormat="1" x14ac:dyDescent="0.2">
      <c r="A193" s="125" t="s">
        <v>1641</v>
      </c>
      <c r="B193" s="126">
        <v>88549</v>
      </c>
      <c r="C193" s="126" t="s">
        <v>1324</v>
      </c>
      <c r="D193" s="127" t="s">
        <v>1642</v>
      </c>
      <c r="E193" s="128" t="s">
        <v>48</v>
      </c>
      <c r="F193" s="172"/>
      <c r="G193" s="130">
        <v>98.55</v>
      </c>
      <c r="H193" s="128">
        <v>1.87</v>
      </c>
      <c r="I193" s="116">
        <f t="shared" si="42"/>
        <v>0</v>
      </c>
      <c r="J193" s="374">
        <f t="shared" si="44"/>
        <v>0</v>
      </c>
      <c r="K193" s="137">
        <f>H193-J193</f>
        <v>1.87</v>
      </c>
      <c r="L193" s="130">
        <f>G193*H193</f>
        <v>184.2885</v>
      </c>
      <c r="M193" s="131">
        <f>I193*G193</f>
        <v>0</v>
      </c>
      <c r="N193" s="386">
        <f>J193*G193</f>
        <v>0</v>
      </c>
      <c r="O193" s="375">
        <f>L193-N193</f>
        <v>184.2885</v>
      </c>
      <c r="P193" s="136">
        <f t="shared" si="41"/>
        <v>0</v>
      </c>
      <c r="S193" s="190">
        <v>0</v>
      </c>
      <c r="T193" s="190">
        <v>0</v>
      </c>
      <c r="BU193" s="523"/>
      <c r="BV193" s="523">
        <v>0</v>
      </c>
      <c r="BW193" s="523">
        <v>0</v>
      </c>
      <c r="BX193" s="523">
        <v>0</v>
      </c>
      <c r="BY193" s="523">
        <v>0</v>
      </c>
      <c r="BZ193" s="523"/>
      <c r="CA193" s="523"/>
      <c r="CB193" s="523"/>
      <c r="CC193" s="523"/>
      <c r="CD193" s="523"/>
      <c r="CE193" s="523"/>
      <c r="CF193" s="523"/>
      <c r="CG193" s="523"/>
      <c r="CH193" s="523"/>
      <c r="CI193" s="523">
        <f t="shared" si="43"/>
        <v>0</v>
      </c>
    </row>
    <row r="194" spans="1:87" x14ac:dyDescent="0.2">
      <c r="A194" s="412">
        <v>15</v>
      </c>
      <c r="B194" s="413"/>
      <c r="C194" s="413"/>
      <c r="D194" s="414" t="s">
        <v>1643</v>
      </c>
      <c r="E194" s="415"/>
      <c r="F194" s="417"/>
      <c r="G194" s="418"/>
      <c r="H194" s="416"/>
      <c r="I194" s="420"/>
      <c r="J194" s="421">
        <f t="shared" si="44"/>
        <v>0</v>
      </c>
      <c r="K194" s="420"/>
      <c r="L194" s="416">
        <f>SUM(L195:L207)</f>
        <v>7636.1200000000017</v>
      </c>
      <c r="M194" s="433">
        <f>0</f>
        <v>0</v>
      </c>
      <c r="N194" s="432">
        <f>SUM(N195:N207)</f>
        <v>0</v>
      </c>
      <c r="O194" s="434">
        <f>SUM(O195:O207)</f>
        <v>7636.1200000000017</v>
      </c>
      <c r="P194" s="423">
        <f t="shared" si="41"/>
        <v>0</v>
      </c>
      <c r="S194" s="189">
        <v>0</v>
      </c>
      <c r="T194" s="189">
        <v>0</v>
      </c>
      <c r="BU194" s="523"/>
      <c r="BV194" s="523"/>
      <c r="BW194" s="523"/>
      <c r="BX194" s="523">
        <v>0</v>
      </c>
      <c r="BY194" s="523">
        <v>0</v>
      </c>
      <c r="BZ194" s="523"/>
      <c r="CA194" s="523"/>
      <c r="CB194" s="523"/>
      <c r="CC194" s="523"/>
      <c r="CD194" s="523"/>
      <c r="CE194" s="523"/>
      <c r="CF194" s="523"/>
      <c r="CG194" s="523"/>
      <c r="CH194" s="523"/>
      <c r="CI194" s="523">
        <f t="shared" si="43"/>
        <v>0</v>
      </c>
    </row>
    <row r="195" spans="1:87" x14ac:dyDescent="0.2">
      <c r="A195" s="125" t="s">
        <v>494</v>
      </c>
      <c r="B195" s="126">
        <v>6021</v>
      </c>
      <c r="C195" s="126" t="s">
        <v>1324</v>
      </c>
      <c r="D195" s="127" t="s">
        <v>1644</v>
      </c>
      <c r="E195" s="128" t="s">
        <v>102</v>
      </c>
      <c r="F195" s="129"/>
      <c r="G195" s="130">
        <v>330.33</v>
      </c>
      <c r="H195" s="128">
        <v>6</v>
      </c>
      <c r="I195" s="116">
        <f t="shared" si="42"/>
        <v>0</v>
      </c>
      <c r="J195" s="374">
        <f t="shared" si="44"/>
        <v>0</v>
      </c>
      <c r="K195" s="137">
        <f t="shared" ref="K195:K207" si="57">H195-J195</f>
        <v>6</v>
      </c>
      <c r="L195" s="131">
        <f t="shared" ref="L195:L207" si="58">ROUND(H195*G195,2)</f>
        <v>1981.98</v>
      </c>
      <c r="M195" s="131">
        <f t="shared" ref="M195:M207" si="59">I195*G195</f>
        <v>0</v>
      </c>
      <c r="N195" s="386">
        <f t="shared" ref="N195:N213" si="60">J195*G195</f>
        <v>0</v>
      </c>
      <c r="O195" s="375">
        <f t="shared" ref="O195:O207" si="61">L195-N195</f>
        <v>1981.98</v>
      </c>
      <c r="P195" s="136">
        <f t="shared" si="41"/>
        <v>0</v>
      </c>
      <c r="S195" s="189">
        <v>0</v>
      </c>
      <c r="T195" s="189">
        <v>0</v>
      </c>
      <c r="BU195" s="523"/>
      <c r="BV195" s="523">
        <v>0</v>
      </c>
      <c r="BW195" s="523">
        <v>0</v>
      </c>
      <c r="BX195" s="523">
        <v>0</v>
      </c>
      <c r="BY195" s="523">
        <v>0</v>
      </c>
      <c r="BZ195" s="523"/>
      <c r="CA195" s="523"/>
      <c r="CB195" s="523"/>
      <c r="CC195" s="523"/>
      <c r="CD195" s="523"/>
      <c r="CE195" s="523"/>
      <c r="CF195" s="523"/>
      <c r="CG195" s="523"/>
      <c r="CH195" s="523"/>
      <c r="CI195" s="523">
        <f t="shared" si="43"/>
        <v>0</v>
      </c>
    </row>
    <row r="196" spans="1:87" ht="25.5" x14ac:dyDescent="0.2">
      <c r="A196" s="125" t="s">
        <v>496</v>
      </c>
      <c r="B196" s="126">
        <v>40729</v>
      </c>
      <c r="C196" s="126" t="s">
        <v>1324</v>
      </c>
      <c r="D196" s="127" t="s">
        <v>1645</v>
      </c>
      <c r="E196" s="128" t="s">
        <v>102</v>
      </c>
      <c r="F196" s="129"/>
      <c r="G196" s="130">
        <v>204.63</v>
      </c>
      <c r="H196" s="128">
        <v>6</v>
      </c>
      <c r="I196" s="116">
        <f t="shared" si="42"/>
        <v>0</v>
      </c>
      <c r="J196" s="374">
        <f t="shared" si="44"/>
        <v>0</v>
      </c>
      <c r="K196" s="137">
        <f t="shared" si="57"/>
        <v>6</v>
      </c>
      <c r="L196" s="131">
        <f t="shared" si="58"/>
        <v>1227.78</v>
      </c>
      <c r="M196" s="131">
        <f t="shared" si="59"/>
        <v>0</v>
      </c>
      <c r="N196" s="386">
        <f t="shared" si="60"/>
        <v>0</v>
      </c>
      <c r="O196" s="375">
        <f t="shared" si="61"/>
        <v>1227.78</v>
      </c>
      <c r="P196" s="136">
        <f t="shared" si="41"/>
        <v>0</v>
      </c>
      <c r="S196" s="189">
        <v>0</v>
      </c>
      <c r="T196" s="189">
        <v>0</v>
      </c>
      <c r="BU196" s="523"/>
      <c r="BV196" s="523">
        <v>0</v>
      </c>
      <c r="BW196" s="523">
        <v>0</v>
      </c>
      <c r="BX196" s="523">
        <v>0</v>
      </c>
      <c r="BY196" s="523">
        <v>0</v>
      </c>
      <c r="BZ196" s="523"/>
      <c r="CA196" s="523"/>
      <c r="CB196" s="523"/>
      <c r="CC196" s="523"/>
      <c r="CD196" s="523"/>
      <c r="CE196" s="523"/>
      <c r="CF196" s="523"/>
      <c r="CG196" s="523"/>
      <c r="CH196" s="523"/>
      <c r="CI196" s="523">
        <f t="shared" si="43"/>
        <v>0</v>
      </c>
    </row>
    <row r="197" spans="1:87" x14ac:dyDescent="0.2">
      <c r="A197" s="125" t="s">
        <v>498</v>
      </c>
      <c r="B197" s="126">
        <v>86901</v>
      </c>
      <c r="C197" s="126" t="s">
        <v>1324</v>
      </c>
      <c r="D197" s="127" t="s">
        <v>1646</v>
      </c>
      <c r="E197" s="128" t="s">
        <v>102</v>
      </c>
      <c r="F197" s="137">
        <v>11.27</v>
      </c>
      <c r="G197" s="130">
        <v>102.4</v>
      </c>
      <c r="H197" s="128">
        <v>6</v>
      </c>
      <c r="I197" s="116">
        <f t="shared" si="42"/>
        <v>0</v>
      </c>
      <c r="J197" s="374">
        <f t="shared" si="44"/>
        <v>0</v>
      </c>
      <c r="K197" s="137">
        <f t="shared" si="57"/>
        <v>6</v>
      </c>
      <c r="L197" s="131">
        <f t="shared" si="58"/>
        <v>614.4</v>
      </c>
      <c r="M197" s="131">
        <f t="shared" si="59"/>
        <v>0</v>
      </c>
      <c r="N197" s="386">
        <f t="shared" si="60"/>
        <v>0</v>
      </c>
      <c r="O197" s="375">
        <f t="shared" si="61"/>
        <v>614.4</v>
      </c>
      <c r="P197" s="136">
        <f t="shared" si="41"/>
        <v>0</v>
      </c>
      <c r="S197" s="189">
        <v>0</v>
      </c>
      <c r="T197" s="189">
        <v>0</v>
      </c>
      <c r="BU197" s="523"/>
      <c r="BV197" s="523">
        <v>0</v>
      </c>
      <c r="BW197" s="523">
        <v>0</v>
      </c>
      <c r="BX197" s="523">
        <v>0</v>
      </c>
      <c r="BY197" s="523">
        <v>0</v>
      </c>
      <c r="BZ197" s="523"/>
      <c r="CA197" s="523"/>
      <c r="CB197" s="523"/>
      <c r="CC197" s="523"/>
      <c r="CD197" s="523"/>
      <c r="CE197" s="523"/>
      <c r="CF197" s="523"/>
      <c r="CG197" s="523"/>
      <c r="CH197" s="523"/>
      <c r="CI197" s="523">
        <f t="shared" si="43"/>
        <v>0</v>
      </c>
    </row>
    <row r="198" spans="1:87" x14ac:dyDescent="0.2">
      <c r="A198" s="125" t="s">
        <v>500</v>
      </c>
      <c r="B198" s="126">
        <v>86942</v>
      </c>
      <c r="C198" s="126" t="s">
        <v>1324</v>
      </c>
      <c r="D198" s="127" t="s">
        <v>1647</v>
      </c>
      <c r="E198" s="128" t="s">
        <v>102</v>
      </c>
      <c r="F198" s="137">
        <v>11.89</v>
      </c>
      <c r="G198" s="130">
        <v>160.06</v>
      </c>
      <c r="H198" s="128">
        <v>2</v>
      </c>
      <c r="I198" s="116">
        <f t="shared" si="42"/>
        <v>0</v>
      </c>
      <c r="J198" s="374">
        <f t="shared" si="44"/>
        <v>0</v>
      </c>
      <c r="K198" s="137">
        <f t="shared" si="57"/>
        <v>2</v>
      </c>
      <c r="L198" s="131">
        <f t="shared" si="58"/>
        <v>320.12</v>
      </c>
      <c r="M198" s="131">
        <f t="shared" si="59"/>
        <v>0</v>
      </c>
      <c r="N198" s="386">
        <f t="shared" si="60"/>
        <v>0</v>
      </c>
      <c r="O198" s="375">
        <f t="shared" si="61"/>
        <v>320.12</v>
      </c>
      <c r="P198" s="136">
        <f t="shared" si="41"/>
        <v>0</v>
      </c>
      <c r="S198" s="189">
        <v>0</v>
      </c>
      <c r="T198" s="189">
        <v>0</v>
      </c>
      <c r="BU198" s="523"/>
      <c r="BV198" s="523">
        <v>0</v>
      </c>
      <c r="BW198" s="523">
        <v>0</v>
      </c>
      <c r="BX198" s="523">
        <v>0</v>
      </c>
      <c r="BY198" s="523">
        <v>0</v>
      </c>
      <c r="BZ198" s="523"/>
      <c r="CA198" s="523"/>
      <c r="CB198" s="523"/>
      <c r="CC198" s="523"/>
      <c r="CD198" s="523"/>
      <c r="CE198" s="523"/>
      <c r="CF198" s="523"/>
      <c r="CG198" s="523"/>
      <c r="CH198" s="523"/>
      <c r="CI198" s="523">
        <f t="shared" si="43"/>
        <v>0</v>
      </c>
    </row>
    <row r="199" spans="1:87" ht="25.5" x14ac:dyDescent="0.2">
      <c r="A199" s="125" t="s">
        <v>502</v>
      </c>
      <c r="B199" s="126" t="s">
        <v>2007</v>
      </c>
      <c r="C199" s="126" t="s">
        <v>1339</v>
      </c>
      <c r="D199" s="127" t="s">
        <v>1648</v>
      </c>
      <c r="E199" s="128" t="s">
        <v>102</v>
      </c>
      <c r="F199" s="137">
        <v>28.56</v>
      </c>
      <c r="G199" s="130">
        <v>223.26</v>
      </c>
      <c r="H199" s="128">
        <v>2</v>
      </c>
      <c r="I199" s="116">
        <f t="shared" si="42"/>
        <v>0</v>
      </c>
      <c r="J199" s="374">
        <f t="shared" si="44"/>
        <v>0</v>
      </c>
      <c r="K199" s="137">
        <f t="shared" si="57"/>
        <v>2</v>
      </c>
      <c r="L199" s="131">
        <f t="shared" si="58"/>
        <v>446.52</v>
      </c>
      <c r="M199" s="131">
        <f t="shared" si="59"/>
        <v>0</v>
      </c>
      <c r="N199" s="386">
        <f t="shared" si="60"/>
        <v>0</v>
      </c>
      <c r="O199" s="375">
        <f t="shared" si="61"/>
        <v>446.52</v>
      </c>
      <c r="P199" s="136">
        <f t="shared" si="41"/>
        <v>0</v>
      </c>
      <c r="S199" s="189">
        <v>0</v>
      </c>
      <c r="T199" s="189">
        <v>0</v>
      </c>
      <c r="BU199" s="523"/>
      <c r="BV199" s="523">
        <v>0</v>
      </c>
      <c r="BW199" s="523">
        <v>0</v>
      </c>
      <c r="BX199" s="523">
        <v>0</v>
      </c>
      <c r="BY199" s="523">
        <v>0</v>
      </c>
      <c r="BZ199" s="523"/>
      <c r="CA199" s="523"/>
      <c r="CB199" s="523"/>
      <c r="CC199" s="523"/>
      <c r="CD199" s="523"/>
      <c r="CE199" s="523"/>
      <c r="CF199" s="523"/>
      <c r="CG199" s="523"/>
      <c r="CH199" s="523"/>
      <c r="CI199" s="523">
        <f t="shared" si="43"/>
        <v>0</v>
      </c>
    </row>
    <row r="200" spans="1:87" ht="25.5" x14ac:dyDescent="0.2">
      <c r="A200" s="125" t="s">
        <v>504</v>
      </c>
      <c r="B200" s="126">
        <v>86906</v>
      </c>
      <c r="C200" s="126" t="s">
        <v>1324</v>
      </c>
      <c r="D200" s="127" t="s">
        <v>1649</v>
      </c>
      <c r="E200" s="128" t="s">
        <v>102</v>
      </c>
      <c r="F200" s="137">
        <v>35.53</v>
      </c>
      <c r="G200" s="130">
        <v>39.97</v>
      </c>
      <c r="H200" s="128">
        <v>8</v>
      </c>
      <c r="I200" s="116">
        <f t="shared" si="42"/>
        <v>0</v>
      </c>
      <c r="J200" s="374">
        <f t="shared" si="44"/>
        <v>0</v>
      </c>
      <c r="K200" s="137">
        <f t="shared" si="57"/>
        <v>8</v>
      </c>
      <c r="L200" s="131">
        <f t="shared" si="58"/>
        <v>319.76</v>
      </c>
      <c r="M200" s="131">
        <f t="shared" si="59"/>
        <v>0</v>
      </c>
      <c r="N200" s="386">
        <f t="shared" si="60"/>
        <v>0</v>
      </c>
      <c r="O200" s="375">
        <f t="shared" si="61"/>
        <v>319.76</v>
      </c>
      <c r="P200" s="136">
        <f t="shared" si="41"/>
        <v>0</v>
      </c>
      <c r="S200" s="189">
        <v>0</v>
      </c>
      <c r="T200" s="189">
        <v>0</v>
      </c>
      <c r="BU200" s="523"/>
      <c r="BV200" s="523">
        <v>0</v>
      </c>
      <c r="BW200" s="523">
        <v>0</v>
      </c>
      <c r="BX200" s="523">
        <v>0</v>
      </c>
      <c r="BY200" s="523">
        <v>0</v>
      </c>
      <c r="BZ200" s="523"/>
      <c r="CA200" s="523"/>
      <c r="CB200" s="523"/>
      <c r="CC200" s="523"/>
      <c r="CD200" s="523"/>
      <c r="CE200" s="523"/>
      <c r="CF200" s="523"/>
      <c r="CG200" s="523"/>
      <c r="CH200" s="523"/>
      <c r="CI200" s="523">
        <f t="shared" si="43"/>
        <v>0</v>
      </c>
    </row>
    <row r="201" spans="1:87" x14ac:dyDescent="0.2">
      <c r="A201" s="125" t="s">
        <v>506</v>
      </c>
      <c r="B201" s="126">
        <v>86914</v>
      </c>
      <c r="C201" s="126" t="s">
        <v>1324</v>
      </c>
      <c r="D201" s="127" t="s">
        <v>1650</v>
      </c>
      <c r="E201" s="128" t="s">
        <v>102</v>
      </c>
      <c r="F201" s="137">
        <v>47.11</v>
      </c>
      <c r="G201" s="130">
        <v>31.02</v>
      </c>
      <c r="H201" s="128">
        <v>2</v>
      </c>
      <c r="I201" s="116">
        <f t="shared" si="42"/>
        <v>0</v>
      </c>
      <c r="J201" s="374">
        <f t="shared" si="44"/>
        <v>0</v>
      </c>
      <c r="K201" s="137">
        <f t="shared" si="57"/>
        <v>2</v>
      </c>
      <c r="L201" s="131">
        <f t="shared" si="58"/>
        <v>62.04</v>
      </c>
      <c r="M201" s="131">
        <f t="shared" si="59"/>
        <v>0</v>
      </c>
      <c r="N201" s="386">
        <f t="shared" si="60"/>
        <v>0</v>
      </c>
      <c r="O201" s="375">
        <f t="shared" si="61"/>
        <v>62.04</v>
      </c>
      <c r="P201" s="136">
        <f t="shared" si="41"/>
        <v>0</v>
      </c>
      <c r="S201" s="189">
        <v>0</v>
      </c>
      <c r="T201" s="189">
        <v>0</v>
      </c>
      <c r="BU201" s="523"/>
      <c r="BV201" s="523">
        <v>0</v>
      </c>
      <c r="BW201" s="523">
        <v>0</v>
      </c>
      <c r="BX201" s="523">
        <v>0</v>
      </c>
      <c r="BY201" s="523">
        <v>0</v>
      </c>
      <c r="BZ201" s="523"/>
      <c r="CA201" s="523"/>
      <c r="CB201" s="523"/>
      <c r="CC201" s="523"/>
      <c r="CD201" s="523"/>
      <c r="CE201" s="523"/>
      <c r="CF201" s="523"/>
      <c r="CG201" s="523"/>
      <c r="CH201" s="523"/>
      <c r="CI201" s="523">
        <f t="shared" si="43"/>
        <v>0</v>
      </c>
    </row>
    <row r="202" spans="1:87" ht="25.5" x14ac:dyDescent="0.2">
      <c r="A202" s="125" t="s">
        <v>508</v>
      </c>
      <c r="B202" s="126">
        <v>9535</v>
      </c>
      <c r="C202" s="126" t="s">
        <v>1324</v>
      </c>
      <c r="D202" s="127" t="s">
        <v>1651</v>
      </c>
      <c r="E202" s="128" t="s">
        <v>102</v>
      </c>
      <c r="F202" s="129"/>
      <c r="G202" s="130">
        <v>30.06</v>
      </c>
      <c r="H202" s="128">
        <v>6</v>
      </c>
      <c r="I202" s="116">
        <f t="shared" si="42"/>
        <v>0</v>
      </c>
      <c r="J202" s="374">
        <f t="shared" si="44"/>
        <v>0</v>
      </c>
      <c r="K202" s="137">
        <f t="shared" si="57"/>
        <v>6</v>
      </c>
      <c r="L202" s="131">
        <f t="shared" si="58"/>
        <v>180.36</v>
      </c>
      <c r="M202" s="131">
        <f t="shared" si="59"/>
        <v>0</v>
      </c>
      <c r="N202" s="386">
        <f t="shared" si="60"/>
        <v>0</v>
      </c>
      <c r="O202" s="375">
        <f t="shared" si="61"/>
        <v>180.36</v>
      </c>
      <c r="P202" s="136">
        <f t="shared" si="41"/>
        <v>0</v>
      </c>
      <c r="S202" s="189">
        <v>0</v>
      </c>
      <c r="T202" s="189">
        <v>0</v>
      </c>
      <c r="BU202" s="523"/>
      <c r="BV202" s="523">
        <v>0</v>
      </c>
      <c r="BW202" s="523">
        <v>0</v>
      </c>
      <c r="BX202" s="523">
        <v>0</v>
      </c>
      <c r="BY202" s="523">
        <v>0</v>
      </c>
      <c r="BZ202" s="523"/>
      <c r="CA202" s="523"/>
      <c r="CB202" s="523"/>
      <c r="CC202" s="523"/>
      <c r="CD202" s="523"/>
      <c r="CE202" s="523"/>
      <c r="CF202" s="523"/>
      <c r="CG202" s="523"/>
      <c r="CH202" s="523"/>
      <c r="CI202" s="523">
        <f t="shared" si="43"/>
        <v>0</v>
      </c>
    </row>
    <row r="203" spans="1:87" ht="25.5" x14ac:dyDescent="0.2">
      <c r="A203" s="125" t="s">
        <v>511</v>
      </c>
      <c r="B203" s="126" t="s">
        <v>2007</v>
      </c>
      <c r="C203" s="126" t="s">
        <v>1339</v>
      </c>
      <c r="D203" s="127" t="s">
        <v>1652</v>
      </c>
      <c r="E203" s="128" t="s">
        <v>102</v>
      </c>
      <c r="F203" s="137">
        <v>5.09</v>
      </c>
      <c r="G203" s="130">
        <v>141.72</v>
      </c>
      <c r="H203" s="128">
        <v>6</v>
      </c>
      <c r="I203" s="116">
        <f t="shared" si="42"/>
        <v>0</v>
      </c>
      <c r="J203" s="374">
        <f t="shared" si="44"/>
        <v>0</v>
      </c>
      <c r="K203" s="137">
        <f t="shared" si="57"/>
        <v>6</v>
      </c>
      <c r="L203" s="131">
        <f t="shared" si="58"/>
        <v>850.32</v>
      </c>
      <c r="M203" s="131">
        <f t="shared" si="59"/>
        <v>0</v>
      </c>
      <c r="N203" s="386">
        <f t="shared" si="60"/>
        <v>0</v>
      </c>
      <c r="O203" s="375">
        <f t="shared" si="61"/>
        <v>850.32</v>
      </c>
      <c r="P203" s="136">
        <f t="shared" si="41"/>
        <v>0</v>
      </c>
      <c r="S203" s="189">
        <v>0</v>
      </c>
      <c r="T203" s="189">
        <v>0</v>
      </c>
      <c r="BU203" s="523"/>
      <c r="BV203" s="523">
        <v>0</v>
      </c>
      <c r="BW203" s="523">
        <v>0</v>
      </c>
      <c r="BX203" s="523">
        <v>0</v>
      </c>
      <c r="BY203" s="523">
        <v>0</v>
      </c>
      <c r="BZ203" s="523"/>
      <c r="CA203" s="523"/>
      <c r="CB203" s="523"/>
      <c r="CC203" s="523"/>
      <c r="CD203" s="523"/>
      <c r="CE203" s="523"/>
      <c r="CF203" s="523"/>
      <c r="CG203" s="523"/>
      <c r="CH203" s="523"/>
      <c r="CI203" s="523">
        <f t="shared" si="43"/>
        <v>0</v>
      </c>
    </row>
    <row r="204" spans="1:87" x14ac:dyDescent="0.2">
      <c r="A204" s="125" t="s">
        <v>513</v>
      </c>
      <c r="B204" s="126" t="s">
        <v>2007</v>
      </c>
      <c r="C204" s="126" t="s">
        <v>1339</v>
      </c>
      <c r="D204" s="127" t="s">
        <v>1653</v>
      </c>
      <c r="E204" s="128" t="s">
        <v>102</v>
      </c>
      <c r="F204" s="137">
        <v>6.77</v>
      </c>
      <c r="G204" s="130">
        <v>39.700000000000003</v>
      </c>
      <c r="H204" s="128">
        <v>4</v>
      </c>
      <c r="I204" s="116">
        <f t="shared" si="42"/>
        <v>0</v>
      </c>
      <c r="J204" s="374">
        <f t="shared" si="44"/>
        <v>0</v>
      </c>
      <c r="K204" s="137">
        <f t="shared" si="57"/>
        <v>4</v>
      </c>
      <c r="L204" s="131">
        <f t="shared" si="58"/>
        <v>158.80000000000001</v>
      </c>
      <c r="M204" s="131">
        <f t="shared" si="59"/>
        <v>0</v>
      </c>
      <c r="N204" s="386">
        <f t="shared" si="60"/>
        <v>0</v>
      </c>
      <c r="O204" s="375">
        <f t="shared" si="61"/>
        <v>158.80000000000001</v>
      </c>
      <c r="P204" s="136">
        <f t="shared" si="41"/>
        <v>0</v>
      </c>
      <c r="S204" s="189">
        <v>0</v>
      </c>
      <c r="T204" s="189">
        <v>0</v>
      </c>
      <c r="BU204" s="523"/>
      <c r="BV204" s="523">
        <v>0</v>
      </c>
      <c r="BW204" s="523">
        <v>0</v>
      </c>
      <c r="BX204" s="523">
        <v>0</v>
      </c>
      <c r="BY204" s="523">
        <v>0</v>
      </c>
      <c r="BZ204" s="523"/>
      <c r="CA204" s="523"/>
      <c r="CB204" s="523"/>
      <c r="CC204" s="523"/>
      <c r="CD204" s="523"/>
      <c r="CE204" s="523"/>
      <c r="CF204" s="523"/>
      <c r="CG204" s="523"/>
      <c r="CH204" s="523"/>
      <c r="CI204" s="523">
        <f t="shared" si="43"/>
        <v>0</v>
      </c>
    </row>
    <row r="205" spans="1:87" x14ac:dyDescent="0.2">
      <c r="A205" s="125" t="s">
        <v>515</v>
      </c>
      <c r="B205" s="126" t="s">
        <v>2007</v>
      </c>
      <c r="C205" s="126" t="s">
        <v>1339</v>
      </c>
      <c r="D205" s="127" t="s">
        <v>1654</v>
      </c>
      <c r="E205" s="128" t="s">
        <v>102</v>
      </c>
      <c r="F205" s="137">
        <v>10.76</v>
      </c>
      <c r="G205" s="130">
        <v>30.45</v>
      </c>
      <c r="H205" s="128">
        <v>4</v>
      </c>
      <c r="I205" s="116">
        <f t="shared" si="42"/>
        <v>0</v>
      </c>
      <c r="J205" s="374">
        <f t="shared" si="44"/>
        <v>0</v>
      </c>
      <c r="K205" s="137">
        <f t="shared" si="57"/>
        <v>4</v>
      </c>
      <c r="L205" s="131">
        <f t="shared" si="58"/>
        <v>121.8</v>
      </c>
      <c r="M205" s="131">
        <f t="shared" si="59"/>
        <v>0</v>
      </c>
      <c r="N205" s="386">
        <f t="shared" si="60"/>
        <v>0</v>
      </c>
      <c r="O205" s="375">
        <f t="shared" si="61"/>
        <v>121.8</v>
      </c>
      <c r="P205" s="136">
        <f t="shared" ref="P205:P268" si="62">N205/L205</f>
        <v>0</v>
      </c>
      <c r="S205" s="189">
        <v>0</v>
      </c>
      <c r="T205" s="189">
        <v>0</v>
      </c>
      <c r="BU205" s="523"/>
      <c r="BV205" s="523">
        <v>0</v>
      </c>
      <c r="BW205" s="523">
        <v>0</v>
      </c>
      <c r="BX205" s="523">
        <v>0</v>
      </c>
      <c r="BY205" s="523">
        <v>0</v>
      </c>
      <c r="BZ205" s="523"/>
      <c r="CA205" s="523"/>
      <c r="CB205" s="523"/>
      <c r="CC205" s="523"/>
      <c r="CD205" s="523"/>
      <c r="CE205" s="523"/>
      <c r="CF205" s="523"/>
      <c r="CG205" s="523"/>
      <c r="CH205" s="523"/>
      <c r="CI205" s="523">
        <f t="shared" si="43"/>
        <v>0</v>
      </c>
    </row>
    <row r="206" spans="1:87" ht="25.5" x14ac:dyDescent="0.2">
      <c r="A206" s="125" t="s">
        <v>517</v>
      </c>
      <c r="B206" s="126" t="s">
        <v>2007</v>
      </c>
      <c r="C206" s="126" t="s">
        <v>1339</v>
      </c>
      <c r="D206" s="127" t="s">
        <v>1655</v>
      </c>
      <c r="E206" s="128" t="s">
        <v>102</v>
      </c>
      <c r="F206" s="137">
        <v>42.01</v>
      </c>
      <c r="G206" s="130">
        <v>32.1</v>
      </c>
      <c r="H206" s="128">
        <v>6</v>
      </c>
      <c r="I206" s="116">
        <f t="shared" si="42"/>
        <v>0</v>
      </c>
      <c r="J206" s="374">
        <f t="shared" si="44"/>
        <v>0</v>
      </c>
      <c r="K206" s="137">
        <f t="shared" si="57"/>
        <v>6</v>
      </c>
      <c r="L206" s="131">
        <f t="shared" si="58"/>
        <v>192.6</v>
      </c>
      <c r="M206" s="131">
        <f t="shared" si="59"/>
        <v>0</v>
      </c>
      <c r="N206" s="386">
        <f t="shared" si="60"/>
        <v>0</v>
      </c>
      <c r="O206" s="375">
        <f t="shared" si="61"/>
        <v>192.6</v>
      </c>
      <c r="P206" s="136">
        <f t="shared" si="62"/>
        <v>0</v>
      </c>
      <c r="S206" s="189">
        <v>0</v>
      </c>
      <c r="T206" s="189">
        <v>0</v>
      </c>
      <c r="BU206" s="523"/>
      <c r="BV206" s="523">
        <v>0</v>
      </c>
      <c r="BW206" s="523">
        <v>0</v>
      </c>
      <c r="BX206" s="523">
        <v>0</v>
      </c>
      <c r="BY206" s="523">
        <v>0</v>
      </c>
      <c r="BZ206" s="523"/>
      <c r="CA206" s="523"/>
      <c r="CB206" s="523"/>
      <c r="CC206" s="523"/>
      <c r="CD206" s="523"/>
      <c r="CE206" s="523"/>
      <c r="CF206" s="523"/>
      <c r="CG206" s="523"/>
      <c r="CH206" s="523"/>
      <c r="CI206" s="523">
        <f t="shared" si="43"/>
        <v>0</v>
      </c>
    </row>
    <row r="207" spans="1:87" s="514" customFormat="1" x14ac:dyDescent="0.2">
      <c r="A207" s="125" t="s">
        <v>519</v>
      </c>
      <c r="B207" s="126" t="s">
        <v>2007</v>
      </c>
      <c r="C207" s="126" t="s">
        <v>1339</v>
      </c>
      <c r="D207" s="127" t="s">
        <v>1656</v>
      </c>
      <c r="E207" s="128" t="s">
        <v>102</v>
      </c>
      <c r="F207" s="137">
        <v>19.79</v>
      </c>
      <c r="G207" s="130">
        <v>579.82000000000005</v>
      </c>
      <c r="H207" s="128">
        <v>2</v>
      </c>
      <c r="I207" s="116">
        <f t="shared" ref="I207:I270" si="63">BY207</f>
        <v>0</v>
      </c>
      <c r="J207" s="374">
        <f t="shared" si="44"/>
        <v>0</v>
      </c>
      <c r="K207" s="137">
        <f t="shared" si="57"/>
        <v>2</v>
      </c>
      <c r="L207" s="131">
        <f t="shared" si="58"/>
        <v>1159.6400000000001</v>
      </c>
      <c r="M207" s="131">
        <f t="shared" si="59"/>
        <v>0</v>
      </c>
      <c r="N207" s="386">
        <f t="shared" si="60"/>
        <v>0</v>
      </c>
      <c r="O207" s="375">
        <f t="shared" si="61"/>
        <v>1159.6400000000001</v>
      </c>
      <c r="P207" s="136">
        <f t="shared" si="62"/>
        <v>0</v>
      </c>
      <c r="S207" s="190">
        <v>0</v>
      </c>
      <c r="T207" s="190">
        <v>0</v>
      </c>
      <c r="BU207" s="523"/>
      <c r="BV207" s="523">
        <v>0</v>
      </c>
      <c r="BW207" s="523">
        <v>0</v>
      </c>
      <c r="BX207" s="523">
        <v>0</v>
      </c>
      <c r="BY207" s="523">
        <v>0</v>
      </c>
      <c r="BZ207" s="523"/>
      <c r="CA207" s="523"/>
      <c r="CB207" s="523"/>
      <c r="CC207" s="523"/>
      <c r="CD207" s="523"/>
      <c r="CE207" s="523"/>
      <c r="CF207" s="523"/>
      <c r="CG207" s="523"/>
      <c r="CH207" s="523"/>
      <c r="CI207" s="523">
        <f t="shared" ref="CI207:CI270" si="64">SUM(BU207:CH207)</f>
        <v>0</v>
      </c>
    </row>
    <row r="208" spans="1:87" x14ac:dyDescent="0.2">
      <c r="A208" s="412">
        <v>16</v>
      </c>
      <c r="B208" s="413"/>
      <c r="C208" s="413"/>
      <c r="D208" s="414" t="s">
        <v>1657</v>
      </c>
      <c r="E208" s="415"/>
      <c r="F208" s="417"/>
      <c r="G208" s="418"/>
      <c r="H208" s="416"/>
      <c r="I208" s="420"/>
      <c r="J208" s="421">
        <f t="shared" ref="J208:J271" si="65">CI208</f>
        <v>0</v>
      </c>
      <c r="K208" s="420"/>
      <c r="L208" s="416">
        <f>SUM(L209:L213)</f>
        <v>792.22</v>
      </c>
      <c r="M208" s="433">
        <f>SUM(M209:M213)</f>
        <v>0</v>
      </c>
      <c r="N208" s="432">
        <f t="shared" si="60"/>
        <v>0</v>
      </c>
      <c r="O208" s="434">
        <f>SUM(O209:O213)</f>
        <v>792.22</v>
      </c>
      <c r="P208" s="423">
        <f t="shared" si="62"/>
        <v>0</v>
      </c>
      <c r="S208" s="189">
        <v>0</v>
      </c>
      <c r="T208" s="189">
        <v>0</v>
      </c>
      <c r="BU208" s="523"/>
      <c r="BV208" s="523"/>
      <c r="BW208" s="523"/>
      <c r="BX208" s="523">
        <v>0</v>
      </c>
      <c r="BY208" s="523">
        <v>0</v>
      </c>
      <c r="BZ208" s="523"/>
      <c r="CA208" s="523"/>
      <c r="CB208" s="523"/>
      <c r="CC208" s="523"/>
      <c r="CD208" s="523"/>
      <c r="CE208" s="523"/>
      <c r="CF208" s="523"/>
      <c r="CG208" s="523"/>
      <c r="CH208" s="523"/>
      <c r="CI208" s="523">
        <f t="shared" si="64"/>
        <v>0</v>
      </c>
    </row>
    <row r="209" spans="1:87" x14ac:dyDescent="0.2">
      <c r="A209" s="125" t="s">
        <v>616</v>
      </c>
      <c r="B209" s="126" t="s">
        <v>2007</v>
      </c>
      <c r="C209" s="126" t="s">
        <v>1339</v>
      </c>
      <c r="D209" s="127" t="s">
        <v>1658</v>
      </c>
      <c r="E209" s="128" t="s">
        <v>102</v>
      </c>
      <c r="F209" s="137">
        <v>40.08</v>
      </c>
      <c r="G209" s="130">
        <v>109.5</v>
      </c>
      <c r="H209" s="128">
        <v>2</v>
      </c>
      <c r="I209" s="116">
        <f t="shared" si="63"/>
        <v>0</v>
      </c>
      <c r="J209" s="374">
        <f t="shared" si="65"/>
        <v>0</v>
      </c>
      <c r="K209" s="137">
        <f>H209-J209</f>
        <v>2</v>
      </c>
      <c r="L209" s="131">
        <f>ROUND(H209*G209,2)</f>
        <v>219</v>
      </c>
      <c r="M209" s="131">
        <f>I209*G209</f>
        <v>0</v>
      </c>
      <c r="N209" s="386">
        <f t="shared" si="60"/>
        <v>0</v>
      </c>
      <c r="O209" s="375">
        <f>L209-N209</f>
        <v>219</v>
      </c>
      <c r="P209" s="136">
        <f t="shared" si="62"/>
        <v>0</v>
      </c>
      <c r="S209" s="189">
        <v>0</v>
      </c>
      <c r="T209" s="189">
        <v>0</v>
      </c>
      <c r="BU209" s="523"/>
      <c r="BV209" s="523">
        <v>0</v>
      </c>
      <c r="BW209" s="523">
        <v>0</v>
      </c>
      <c r="BX209" s="523">
        <v>0</v>
      </c>
      <c r="BY209" s="523">
        <v>0</v>
      </c>
      <c r="BZ209" s="523"/>
      <c r="CA209" s="523"/>
      <c r="CB209" s="523"/>
      <c r="CC209" s="523"/>
      <c r="CD209" s="523"/>
      <c r="CE209" s="523"/>
      <c r="CF209" s="523"/>
      <c r="CG209" s="523"/>
      <c r="CH209" s="523"/>
      <c r="CI209" s="523">
        <f t="shared" si="64"/>
        <v>0</v>
      </c>
    </row>
    <row r="210" spans="1:87" x14ac:dyDescent="0.2">
      <c r="A210" s="125" t="s">
        <v>618</v>
      </c>
      <c r="B210" s="126" t="s">
        <v>2007</v>
      </c>
      <c r="C210" s="126" t="s">
        <v>1339</v>
      </c>
      <c r="D210" s="127" t="s">
        <v>1659</v>
      </c>
      <c r="E210" s="128" t="s">
        <v>102</v>
      </c>
      <c r="F210" s="137">
        <v>199.75</v>
      </c>
      <c r="G210" s="130">
        <v>227.16</v>
      </c>
      <c r="H210" s="128">
        <v>2</v>
      </c>
      <c r="I210" s="116">
        <f t="shared" si="63"/>
        <v>0</v>
      </c>
      <c r="J210" s="374">
        <f t="shared" si="65"/>
        <v>0</v>
      </c>
      <c r="K210" s="137">
        <f>H210-J210</f>
        <v>2</v>
      </c>
      <c r="L210" s="131">
        <f>ROUND(H210*G210,2)</f>
        <v>454.32</v>
      </c>
      <c r="M210" s="131">
        <f>I210*G210</f>
        <v>0</v>
      </c>
      <c r="N210" s="386">
        <f t="shared" si="60"/>
        <v>0</v>
      </c>
      <c r="O210" s="375">
        <f>L210-N210</f>
        <v>454.32</v>
      </c>
      <c r="P210" s="136">
        <f t="shared" si="62"/>
        <v>0</v>
      </c>
      <c r="S210" s="189">
        <v>0</v>
      </c>
      <c r="T210" s="189">
        <v>0</v>
      </c>
      <c r="BU210" s="523"/>
      <c r="BV210" s="523">
        <v>0</v>
      </c>
      <c r="BW210" s="523">
        <v>0</v>
      </c>
      <c r="BX210" s="523">
        <v>0</v>
      </c>
      <c r="BY210" s="523">
        <v>0</v>
      </c>
      <c r="BZ210" s="523"/>
      <c r="CA210" s="523"/>
      <c r="CB210" s="523"/>
      <c r="CC210" s="523"/>
      <c r="CD210" s="523"/>
      <c r="CE210" s="523"/>
      <c r="CF210" s="523"/>
      <c r="CG210" s="523"/>
      <c r="CH210" s="523"/>
      <c r="CI210" s="523">
        <f t="shared" si="64"/>
        <v>0</v>
      </c>
    </row>
    <row r="211" spans="1:87" x14ac:dyDescent="0.2">
      <c r="A211" s="125" t="s">
        <v>620</v>
      </c>
      <c r="B211" s="126" t="s">
        <v>2007</v>
      </c>
      <c r="C211" s="126" t="s">
        <v>1339</v>
      </c>
      <c r="D211" s="127" t="s">
        <v>1660</v>
      </c>
      <c r="E211" s="128" t="s">
        <v>102</v>
      </c>
      <c r="F211" s="129"/>
      <c r="G211" s="130">
        <v>27.98</v>
      </c>
      <c r="H211" s="128">
        <v>2</v>
      </c>
      <c r="I211" s="116">
        <f t="shared" si="63"/>
        <v>0</v>
      </c>
      <c r="J211" s="374">
        <f t="shared" si="65"/>
        <v>0</v>
      </c>
      <c r="K211" s="137">
        <f>H211-J211</f>
        <v>2</v>
      </c>
      <c r="L211" s="131">
        <f>ROUND(H211*G211,2)</f>
        <v>55.96</v>
      </c>
      <c r="M211" s="131">
        <f>I211*G211</f>
        <v>0</v>
      </c>
      <c r="N211" s="386">
        <f t="shared" si="60"/>
        <v>0</v>
      </c>
      <c r="O211" s="375">
        <f>L211-N211</f>
        <v>55.96</v>
      </c>
      <c r="P211" s="136">
        <f t="shared" si="62"/>
        <v>0</v>
      </c>
      <c r="S211" s="189">
        <v>0</v>
      </c>
      <c r="T211" s="189">
        <v>0</v>
      </c>
      <c r="BU211" s="523"/>
      <c r="BV211" s="523">
        <v>0</v>
      </c>
      <c r="BW211" s="523">
        <v>0</v>
      </c>
      <c r="BX211" s="523">
        <v>0</v>
      </c>
      <c r="BY211" s="523">
        <v>0</v>
      </c>
      <c r="BZ211" s="523"/>
      <c r="CA211" s="523"/>
      <c r="CB211" s="523"/>
      <c r="CC211" s="523"/>
      <c r="CD211" s="523"/>
      <c r="CE211" s="523"/>
      <c r="CF211" s="523"/>
      <c r="CG211" s="523"/>
      <c r="CH211" s="523"/>
      <c r="CI211" s="523">
        <f t="shared" si="64"/>
        <v>0</v>
      </c>
    </row>
    <row r="212" spans="1:87" x14ac:dyDescent="0.2">
      <c r="A212" s="125" t="s">
        <v>1661</v>
      </c>
      <c r="B212" s="126" t="s">
        <v>2007</v>
      </c>
      <c r="C212" s="126" t="s">
        <v>1339</v>
      </c>
      <c r="D212" s="127" t="s">
        <v>1662</v>
      </c>
      <c r="E212" s="128" t="s">
        <v>102</v>
      </c>
      <c r="F212" s="137">
        <v>3.37</v>
      </c>
      <c r="G212" s="130">
        <v>16.36</v>
      </c>
      <c r="H212" s="128">
        <v>2</v>
      </c>
      <c r="I212" s="116">
        <f t="shared" si="63"/>
        <v>0</v>
      </c>
      <c r="J212" s="374">
        <f t="shared" si="65"/>
        <v>0</v>
      </c>
      <c r="K212" s="137">
        <f>H212-J212</f>
        <v>2</v>
      </c>
      <c r="L212" s="131">
        <f>ROUND(H212*G212,2)</f>
        <v>32.72</v>
      </c>
      <c r="M212" s="131">
        <f>I212*G212</f>
        <v>0</v>
      </c>
      <c r="N212" s="386">
        <f t="shared" si="60"/>
        <v>0</v>
      </c>
      <c r="O212" s="375">
        <f>L212-N212</f>
        <v>32.72</v>
      </c>
      <c r="P212" s="136">
        <f t="shared" si="62"/>
        <v>0</v>
      </c>
      <c r="S212" s="189">
        <v>0</v>
      </c>
      <c r="T212" s="189">
        <v>0</v>
      </c>
      <c r="BU212" s="523"/>
      <c r="BV212" s="523">
        <v>0</v>
      </c>
      <c r="BW212" s="523">
        <v>0</v>
      </c>
      <c r="BX212" s="523">
        <v>0</v>
      </c>
      <c r="BY212" s="523">
        <v>0</v>
      </c>
      <c r="BZ212" s="523"/>
      <c r="CA212" s="523"/>
      <c r="CB212" s="523"/>
      <c r="CC212" s="523"/>
      <c r="CD212" s="523"/>
      <c r="CE212" s="523"/>
      <c r="CF212" s="523"/>
      <c r="CG212" s="523"/>
      <c r="CH212" s="523"/>
      <c r="CI212" s="523">
        <f t="shared" si="64"/>
        <v>0</v>
      </c>
    </row>
    <row r="213" spans="1:87" s="194" customFormat="1" x14ac:dyDescent="0.2">
      <c r="A213" s="125" t="s">
        <v>1663</v>
      </c>
      <c r="B213" s="126" t="s">
        <v>2007</v>
      </c>
      <c r="C213" s="126" t="s">
        <v>1339</v>
      </c>
      <c r="D213" s="127" t="s">
        <v>1664</v>
      </c>
      <c r="E213" s="128" t="s">
        <v>102</v>
      </c>
      <c r="F213" s="137">
        <v>10.220000000000001</v>
      </c>
      <c r="G213" s="130">
        <v>15.11</v>
      </c>
      <c r="H213" s="128">
        <v>2</v>
      </c>
      <c r="I213" s="116">
        <f t="shared" si="63"/>
        <v>0</v>
      </c>
      <c r="J213" s="374">
        <f t="shared" si="65"/>
        <v>0</v>
      </c>
      <c r="K213" s="137">
        <f>H213-J213</f>
        <v>2</v>
      </c>
      <c r="L213" s="131">
        <f>ROUND(H213*G213,2)</f>
        <v>30.22</v>
      </c>
      <c r="M213" s="131">
        <f>I213*G213</f>
        <v>0</v>
      </c>
      <c r="N213" s="386">
        <f t="shared" si="60"/>
        <v>0</v>
      </c>
      <c r="O213" s="375">
        <f>L213-N213</f>
        <v>30.22</v>
      </c>
      <c r="P213" s="136">
        <f t="shared" si="62"/>
        <v>0</v>
      </c>
      <c r="S213" s="195">
        <v>0</v>
      </c>
      <c r="T213" s="195">
        <v>0</v>
      </c>
      <c r="BU213" s="523"/>
      <c r="BV213" s="523">
        <v>0</v>
      </c>
      <c r="BW213" s="523">
        <v>0</v>
      </c>
      <c r="BX213" s="523">
        <v>0</v>
      </c>
      <c r="BY213" s="523">
        <v>0</v>
      </c>
      <c r="BZ213" s="523"/>
      <c r="CA213" s="523"/>
      <c r="CB213" s="523"/>
      <c r="CC213" s="523"/>
      <c r="CD213" s="523"/>
      <c r="CE213" s="523"/>
      <c r="CF213" s="523"/>
      <c r="CG213" s="523"/>
      <c r="CH213" s="523"/>
      <c r="CI213" s="523">
        <f t="shared" si="64"/>
        <v>0</v>
      </c>
    </row>
    <row r="214" spans="1:87" s="514" customFormat="1" x14ac:dyDescent="0.2">
      <c r="A214" s="425">
        <v>17</v>
      </c>
      <c r="B214" s="414"/>
      <c r="C214" s="414"/>
      <c r="D214" s="414" t="s">
        <v>1665</v>
      </c>
      <c r="E214" s="415"/>
      <c r="F214" s="417"/>
      <c r="G214" s="418"/>
      <c r="H214" s="416"/>
      <c r="I214" s="420"/>
      <c r="J214" s="421">
        <f t="shared" si="65"/>
        <v>0</v>
      </c>
      <c r="K214" s="420"/>
      <c r="L214" s="435">
        <f>SUM(L215,L225,L247,L252)</f>
        <v>20098.660000000003</v>
      </c>
      <c r="M214" s="436">
        <f>SUM(M215,M225,M247,M252)</f>
        <v>0</v>
      </c>
      <c r="N214" s="419">
        <f>SUM(N215,N225,N247,N252)</f>
        <v>0</v>
      </c>
      <c r="O214" s="430">
        <f>SUM(O215,O225,O247,O252)</f>
        <v>20098.660000000003</v>
      </c>
      <c r="P214" s="437">
        <f t="shared" si="62"/>
        <v>0</v>
      </c>
      <c r="S214" s="190">
        <v>0</v>
      </c>
      <c r="T214" s="190">
        <v>0</v>
      </c>
      <c r="BU214" s="523"/>
      <c r="BV214" s="523"/>
      <c r="BW214" s="523"/>
      <c r="BX214" s="523">
        <v>0</v>
      </c>
      <c r="BY214" s="523">
        <v>0</v>
      </c>
      <c r="BZ214" s="523"/>
      <c r="CA214" s="523"/>
      <c r="CB214" s="523"/>
      <c r="CC214" s="523"/>
      <c r="CD214" s="523"/>
      <c r="CE214" s="523"/>
      <c r="CF214" s="523"/>
      <c r="CG214" s="523"/>
      <c r="CH214" s="523"/>
      <c r="CI214" s="523">
        <f t="shared" si="64"/>
        <v>0</v>
      </c>
    </row>
    <row r="215" spans="1:87" x14ac:dyDescent="0.2">
      <c r="A215" s="449" t="s">
        <v>625</v>
      </c>
      <c r="B215" s="450"/>
      <c r="C215" s="450"/>
      <c r="D215" s="451" t="s">
        <v>1666</v>
      </c>
      <c r="E215" s="452"/>
      <c r="F215" s="452">
        <f t="shared" ref="F215:O215" si="66">SUM(F216:F224)</f>
        <v>158.63</v>
      </c>
      <c r="G215" s="468">
        <f t="shared" si="66"/>
        <v>1119.23</v>
      </c>
      <c r="H215" s="452">
        <f>SUM(H216:H224)</f>
        <v>30</v>
      </c>
      <c r="I215" s="452"/>
      <c r="J215" s="457">
        <f t="shared" si="65"/>
        <v>0</v>
      </c>
      <c r="K215" s="452">
        <f t="shared" si="66"/>
        <v>23</v>
      </c>
      <c r="L215" s="452">
        <f>SUM(L216:L224)</f>
        <v>1711.6100000000001</v>
      </c>
      <c r="M215" s="468">
        <f t="shared" si="66"/>
        <v>0</v>
      </c>
      <c r="N215" s="468">
        <f t="shared" si="66"/>
        <v>0</v>
      </c>
      <c r="O215" s="469">
        <f t="shared" si="66"/>
        <v>1711.6100000000001</v>
      </c>
      <c r="P215" s="459">
        <f t="shared" si="62"/>
        <v>0</v>
      </c>
      <c r="S215" s="189">
        <v>0</v>
      </c>
      <c r="T215" s="189">
        <v>0</v>
      </c>
      <c r="BU215" s="523"/>
      <c r="BV215" s="523"/>
      <c r="BW215" s="523"/>
      <c r="BX215" s="523">
        <v>0</v>
      </c>
      <c r="BY215" s="523">
        <v>0</v>
      </c>
      <c r="BZ215" s="523"/>
      <c r="CA215" s="523"/>
      <c r="CB215" s="523"/>
      <c r="CC215" s="523"/>
      <c r="CD215" s="523"/>
      <c r="CE215" s="523"/>
      <c r="CF215" s="523"/>
      <c r="CG215" s="523"/>
      <c r="CH215" s="523"/>
      <c r="CI215" s="523">
        <f t="shared" si="64"/>
        <v>0</v>
      </c>
    </row>
    <row r="216" spans="1:87" x14ac:dyDescent="0.2">
      <c r="A216" s="125" t="s">
        <v>1667</v>
      </c>
      <c r="B216" s="126">
        <v>83463</v>
      </c>
      <c r="C216" s="126" t="s">
        <v>1324</v>
      </c>
      <c r="D216" s="127" t="s">
        <v>1668</v>
      </c>
      <c r="E216" s="128" t="s">
        <v>102</v>
      </c>
      <c r="F216" s="137">
        <v>12.73</v>
      </c>
      <c r="G216" s="130">
        <v>211.62</v>
      </c>
      <c r="H216" s="128">
        <v>1</v>
      </c>
      <c r="I216" s="116">
        <f t="shared" si="63"/>
        <v>0</v>
      </c>
      <c r="J216" s="374">
        <f t="shared" si="65"/>
        <v>0</v>
      </c>
      <c r="K216" s="137">
        <f>H216-J216</f>
        <v>1</v>
      </c>
      <c r="L216" s="131">
        <f t="shared" ref="L216:L224" si="67">ROUND(H216*G216,2)</f>
        <v>211.62</v>
      </c>
      <c r="M216" s="131">
        <f>I216*G216</f>
        <v>0</v>
      </c>
      <c r="N216" s="386">
        <f t="shared" ref="N216:N224" si="68">J216*G216</f>
        <v>0</v>
      </c>
      <c r="O216" s="375">
        <f t="shared" ref="O216:O224" si="69">L216-N216</f>
        <v>211.62</v>
      </c>
      <c r="P216" s="136">
        <f t="shared" si="62"/>
        <v>0</v>
      </c>
      <c r="S216" s="189">
        <v>0</v>
      </c>
      <c r="T216" s="189">
        <v>0</v>
      </c>
      <c r="BU216" s="523"/>
      <c r="BV216" s="523">
        <v>0</v>
      </c>
      <c r="BW216" s="523">
        <v>0</v>
      </c>
      <c r="BX216" s="523">
        <v>0</v>
      </c>
      <c r="BY216" s="523">
        <v>0</v>
      </c>
      <c r="BZ216" s="523"/>
      <c r="CA216" s="523"/>
      <c r="CB216" s="523"/>
      <c r="CC216" s="523"/>
      <c r="CD216" s="523"/>
      <c r="CE216" s="523"/>
      <c r="CF216" s="523"/>
      <c r="CG216" s="523"/>
      <c r="CH216" s="523"/>
      <c r="CI216" s="523">
        <f t="shared" si="64"/>
        <v>0</v>
      </c>
    </row>
    <row r="217" spans="1:87" x14ac:dyDescent="0.2">
      <c r="A217" s="125" t="s">
        <v>1669</v>
      </c>
      <c r="B217" s="126" t="s">
        <v>1670</v>
      </c>
      <c r="C217" s="126" t="s">
        <v>1324</v>
      </c>
      <c r="D217" s="127" t="s">
        <v>1671</v>
      </c>
      <c r="E217" s="128" t="s">
        <v>102</v>
      </c>
      <c r="F217" s="137">
        <v>8.5299999999999994</v>
      </c>
      <c r="G217" s="130">
        <v>332.47</v>
      </c>
      <c r="H217" s="128">
        <v>1</v>
      </c>
      <c r="I217" s="116">
        <f t="shared" si="63"/>
        <v>0</v>
      </c>
      <c r="J217" s="374">
        <f t="shared" si="65"/>
        <v>0</v>
      </c>
      <c r="K217" s="137">
        <f>H217-J217</f>
        <v>1</v>
      </c>
      <c r="L217" s="131">
        <f t="shared" si="67"/>
        <v>332.47</v>
      </c>
      <c r="M217" s="131">
        <f>I217*G217</f>
        <v>0</v>
      </c>
      <c r="N217" s="386">
        <f t="shared" si="68"/>
        <v>0</v>
      </c>
      <c r="O217" s="375">
        <f t="shared" si="69"/>
        <v>332.47</v>
      </c>
      <c r="P217" s="136">
        <f t="shared" si="62"/>
        <v>0</v>
      </c>
      <c r="S217" s="189">
        <v>0</v>
      </c>
      <c r="T217" s="189">
        <v>0</v>
      </c>
      <c r="BU217" s="523"/>
      <c r="BV217" s="523">
        <v>0</v>
      </c>
      <c r="BW217" s="523">
        <v>0</v>
      </c>
      <c r="BX217" s="523">
        <v>0</v>
      </c>
      <c r="BY217" s="523">
        <v>0</v>
      </c>
      <c r="BZ217" s="523"/>
      <c r="CA217" s="523"/>
      <c r="CB217" s="523"/>
      <c r="CC217" s="523"/>
      <c r="CD217" s="523"/>
      <c r="CE217" s="523"/>
      <c r="CF217" s="523"/>
      <c r="CG217" s="523"/>
      <c r="CH217" s="523"/>
      <c r="CI217" s="523">
        <f t="shared" si="64"/>
        <v>0</v>
      </c>
    </row>
    <row r="218" spans="1:87" x14ac:dyDescent="0.2">
      <c r="A218" s="125" t="s">
        <v>1672</v>
      </c>
      <c r="B218" s="126" t="s">
        <v>1673</v>
      </c>
      <c r="C218" s="126" t="s">
        <v>1343</v>
      </c>
      <c r="D218" s="127" t="s">
        <v>1674</v>
      </c>
      <c r="E218" s="128" t="s">
        <v>102</v>
      </c>
      <c r="F218" s="137">
        <v>22.59</v>
      </c>
      <c r="G218" s="130">
        <v>65.62</v>
      </c>
      <c r="H218" s="128">
        <v>1</v>
      </c>
      <c r="I218" s="116">
        <f t="shared" si="63"/>
        <v>0</v>
      </c>
      <c r="J218" s="374">
        <f t="shared" si="65"/>
        <v>0</v>
      </c>
      <c r="K218" s="137">
        <f>H218-J218</f>
        <v>1</v>
      </c>
      <c r="L218" s="131">
        <f t="shared" si="67"/>
        <v>65.62</v>
      </c>
      <c r="M218" s="131">
        <f>I218*G218</f>
        <v>0</v>
      </c>
      <c r="N218" s="386">
        <f t="shared" si="68"/>
        <v>0</v>
      </c>
      <c r="O218" s="375">
        <f t="shared" si="69"/>
        <v>65.62</v>
      </c>
      <c r="P218" s="136">
        <f t="shared" si="62"/>
        <v>0</v>
      </c>
      <c r="S218" s="189">
        <v>0</v>
      </c>
      <c r="T218" s="189">
        <v>0</v>
      </c>
      <c r="BU218" s="523"/>
      <c r="BV218" s="523">
        <v>0</v>
      </c>
      <c r="BW218" s="523">
        <v>0</v>
      </c>
      <c r="BX218" s="523">
        <v>0</v>
      </c>
      <c r="BY218" s="523">
        <v>0</v>
      </c>
      <c r="BZ218" s="523"/>
      <c r="CA218" s="523"/>
      <c r="CB218" s="523"/>
      <c r="CC218" s="523"/>
      <c r="CD218" s="523"/>
      <c r="CE218" s="523"/>
      <c r="CF218" s="523"/>
      <c r="CG218" s="523"/>
      <c r="CH218" s="523"/>
      <c r="CI218" s="523">
        <f t="shared" si="64"/>
        <v>0</v>
      </c>
    </row>
    <row r="219" spans="1:87" x14ac:dyDescent="0.2">
      <c r="A219" s="125" t="s">
        <v>1675</v>
      </c>
      <c r="B219" s="126" t="s">
        <v>1676</v>
      </c>
      <c r="C219" s="126" t="s">
        <v>1324</v>
      </c>
      <c r="D219" s="127" t="s">
        <v>1677</v>
      </c>
      <c r="E219" s="128" t="s">
        <v>102</v>
      </c>
      <c r="F219" s="129"/>
      <c r="G219" s="130">
        <v>11.27</v>
      </c>
      <c r="H219" s="128">
        <v>7</v>
      </c>
      <c r="I219" s="116">
        <f t="shared" si="63"/>
        <v>0</v>
      </c>
      <c r="J219" s="374">
        <f t="shared" si="65"/>
        <v>0</v>
      </c>
      <c r="K219" s="129"/>
      <c r="L219" s="131">
        <f t="shared" si="67"/>
        <v>78.89</v>
      </c>
      <c r="M219" s="135"/>
      <c r="N219" s="386">
        <f t="shared" si="68"/>
        <v>0</v>
      </c>
      <c r="O219" s="375">
        <f t="shared" si="69"/>
        <v>78.89</v>
      </c>
      <c r="P219" s="136">
        <f t="shared" si="62"/>
        <v>0</v>
      </c>
      <c r="S219" s="189">
        <v>0</v>
      </c>
      <c r="T219" s="189">
        <v>0</v>
      </c>
      <c r="BU219" s="523"/>
      <c r="BV219" s="523">
        <v>0</v>
      </c>
      <c r="BW219" s="523">
        <v>0</v>
      </c>
      <c r="BX219" s="523">
        <v>0</v>
      </c>
      <c r="BY219" s="523">
        <v>0</v>
      </c>
      <c r="BZ219" s="523"/>
      <c r="CA219" s="523"/>
      <c r="CB219" s="523"/>
      <c r="CC219" s="523"/>
      <c r="CD219" s="523"/>
      <c r="CE219" s="523"/>
      <c r="CF219" s="523"/>
      <c r="CG219" s="523"/>
      <c r="CH219" s="523"/>
      <c r="CI219" s="523">
        <f t="shared" si="64"/>
        <v>0</v>
      </c>
    </row>
    <row r="220" spans="1:87" x14ac:dyDescent="0.2">
      <c r="A220" s="125" t="s">
        <v>1678</v>
      </c>
      <c r="B220" s="126" t="s">
        <v>1676</v>
      </c>
      <c r="C220" s="126" t="s">
        <v>1324</v>
      </c>
      <c r="D220" s="127" t="s">
        <v>1679</v>
      </c>
      <c r="E220" s="128" t="s">
        <v>102</v>
      </c>
      <c r="F220" s="137">
        <v>4.09</v>
      </c>
      <c r="G220" s="130">
        <v>11.27</v>
      </c>
      <c r="H220" s="128">
        <v>5</v>
      </c>
      <c r="I220" s="116">
        <f t="shared" si="63"/>
        <v>0</v>
      </c>
      <c r="J220" s="374">
        <f t="shared" si="65"/>
        <v>0</v>
      </c>
      <c r="K220" s="137">
        <f>H220-J220</f>
        <v>5</v>
      </c>
      <c r="L220" s="131">
        <f t="shared" si="67"/>
        <v>56.35</v>
      </c>
      <c r="M220" s="131">
        <f>I220*G220</f>
        <v>0</v>
      </c>
      <c r="N220" s="386">
        <f t="shared" si="68"/>
        <v>0</v>
      </c>
      <c r="O220" s="375">
        <f t="shared" si="69"/>
        <v>56.35</v>
      </c>
      <c r="P220" s="136">
        <f t="shared" si="62"/>
        <v>0</v>
      </c>
      <c r="S220" s="189">
        <v>0</v>
      </c>
      <c r="T220" s="189">
        <v>0</v>
      </c>
      <c r="BU220" s="523"/>
      <c r="BV220" s="523">
        <v>0</v>
      </c>
      <c r="BW220" s="523">
        <v>0</v>
      </c>
      <c r="BX220" s="523">
        <v>0</v>
      </c>
      <c r="BY220" s="523">
        <v>0</v>
      </c>
      <c r="BZ220" s="523"/>
      <c r="CA220" s="523"/>
      <c r="CB220" s="523"/>
      <c r="CC220" s="523"/>
      <c r="CD220" s="523"/>
      <c r="CE220" s="523"/>
      <c r="CF220" s="523"/>
      <c r="CG220" s="523"/>
      <c r="CH220" s="523"/>
      <c r="CI220" s="523">
        <f t="shared" si="64"/>
        <v>0</v>
      </c>
    </row>
    <row r="221" spans="1:87" x14ac:dyDescent="0.2">
      <c r="A221" s="125" t="s">
        <v>1680</v>
      </c>
      <c r="B221" s="126" t="s">
        <v>1676</v>
      </c>
      <c r="C221" s="126" t="s">
        <v>1324</v>
      </c>
      <c r="D221" s="127" t="s">
        <v>1681</v>
      </c>
      <c r="E221" s="128" t="s">
        <v>102</v>
      </c>
      <c r="F221" s="137">
        <v>5.71</v>
      </c>
      <c r="G221" s="130">
        <v>11.27</v>
      </c>
      <c r="H221" s="128">
        <v>8</v>
      </c>
      <c r="I221" s="116">
        <f t="shared" si="63"/>
        <v>0</v>
      </c>
      <c r="J221" s="374">
        <f t="shared" si="65"/>
        <v>0</v>
      </c>
      <c r="K221" s="137">
        <f>H221-J221</f>
        <v>8</v>
      </c>
      <c r="L221" s="131">
        <f t="shared" si="67"/>
        <v>90.16</v>
      </c>
      <c r="M221" s="131">
        <f>I221*G221</f>
        <v>0</v>
      </c>
      <c r="N221" s="386">
        <f t="shared" si="68"/>
        <v>0</v>
      </c>
      <c r="O221" s="375">
        <f t="shared" si="69"/>
        <v>90.16</v>
      </c>
      <c r="P221" s="136">
        <f t="shared" si="62"/>
        <v>0</v>
      </c>
      <c r="S221" s="189">
        <v>0</v>
      </c>
      <c r="T221" s="189">
        <v>0</v>
      </c>
      <c r="BU221" s="523"/>
      <c r="BV221" s="523">
        <v>0</v>
      </c>
      <c r="BW221" s="523">
        <v>0</v>
      </c>
      <c r="BX221" s="523">
        <v>0</v>
      </c>
      <c r="BY221" s="523">
        <v>0</v>
      </c>
      <c r="BZ221" s="523"/>
      <c r="CA221" s="523"/>
      <c r="CB221" s="523"/>
      <c r="CC221" s="523"/>
      <c r="CD221" s="523"/>
      <c r="CE221" s="523"/>
      <c r="CF221" s="523"/>
      <c r="CG221" s="523"/>
      <c r="CH221" s="523"/>
      <c r="CI221" s="523">
        <f t="shared" si="64"/>
        <v>0</v>
      </c>
    </row>
    <row r="222" spans="1:87" x14ac:dyDescent="0.2">
      <c r="A222" s="125" t="s">
        <v>1682</v>
      </c>
      <c r="B222" s="126" t="s">
        <v>1683</v>
      </c>
      <c r="C222" s="126" t="s">
        <v>1324</v>
      </c>
      <c r="D222" s="127" t="s">
        <v>1684</v>
      </c>
      <c r="E222" s="128" t="s">
        <v>102</v>
      </c>
      <c r="F222" s="137">
        <v>8.99</v>
      </c>
      <c r="G222" s="130">
        <v>97.76</v>
      </c>
      <c r="H222" s="128">
        <v>2</v>
      </c>
      <c r="I222" s="116">
        <f t="shared" si="63"/>
        <v>0</v>
      </c>
      <c r="J222" s="374">
        <f t="shared" si="65"/>
        <v>0</v>
      </c>
      <c r="K222" s="137">
        <f>H222-J222</f>
        <v>2</v>
      </c>
      <c r="L222" s="131">
        <f t="shared" si="67"/>
        <v>195.52</v>
      </c>
      <c r="M222" s="131">
        <f>I222*G222</f>
        <v>0</v>
      </c>
      <c r="N222" s="386">
        <f t="shared" si="68"/>
        <v>0</v>
      </c>
      <c r="O222" s="375">
        <f t="shared" si="69"/>
        <v>195.52</v>
      </c>
      <c r="P222" s="136">
        <f t="shared" si="62"/>
        <v>0</v>
      </c>
      <c r="S222" s="189">
        <v>0</v>
      </c>
      <c r="T222" s="189">
        <v>0</v>
      </c>
      <c r="BU222" s="523"/>
      <c r="BV222" s="523">
        <v>0</v>
      </c>
      <c r="BW222" s="523">
        <v>0</v>
      </c>
      <c r="BX222" s="523">
        <v>0</v>
      </c>
      <c r="BY222" s="523">
        <v>0</v>
      </c>
      <c r="BZ222" s="523"/>
      <c r="CA222" s="523"/>
      <c r="CB222" s="523"/>
      <c r="CC222" s="523"/>
      <c r="CD222" s="523"/>
      <c r="CE222" s="523"/>
      <c r="CF222" s="523"/>
      <c r="CG222" s="523"/>
      <c r="CH222" s="523"/>
      <c r="CI222" s="523">
        <f t="shared" si="64"/>
        <v>0</v>
      </c>
    </row>
    <row r="223" spans="1:87" x14ac:dyDescent="0.2">
      <c r="A223" s="125" t="s">
        <v>1685</v>
      </c>
      <c r="B223" s="126" t="s">
        <v>1686</v>
      </c>
      <c r="C223" s="126" t="s">
        <v>1324</v>
      </c>
      <c r="D223" s="127" t="s">
        <v>1687</v>
      </c>
      <c r="E223" s="128" t="s">
        <v>102</v>
      </c>
      <c r="F223" s="137">
        <v>23.78</v>
      </c>
      <c r="G223" s="130">
        <v>276.94</v>
      </c>
      <c r="H223" s="128">
        <v>1</v>
      </c>
      <c r="I223" s="116">
        <f t="shared" si="63"/>
        <v>0</v>
      </c>
      <c r="J223" s="374">
        <f t="shared" si="65"/>
        <v>0</v>
      </c>
      <c r="K223" s="137">
        <f>H223-J223</f>
        <v>1</v>
      </c>
      <c r="L223" s="131">
        <f t="shared" si="67"/>
        <v>276.94</v>
      </c>
      <c r="M223" s="131">
        <f>I223*G223</f>
        <v>0</v>
      </c>
      <c r="N223" s="386">
        <f t="shared" si="68"/>
        <v>0</v>
      </c>
      <c r="O223" s="375">
        <f t="shared" si="69"/>
        <v>276.94</v>
      </c>
      <c r="P223" s="136">
        <f t="shared" si="62"/>
        <v>0</v>
      </c>
      <c r="S223" s="189">
        <v>0</v>
      </c>
      <c r="T223" s="189">
        <v>0</v>
      </c>
      <c r="BU223" s="523"/>
      <c r="BV223" s="523">
        <v>0</v>
      </c>
      <c r="BW223" s="523">
        <v>0</v>
      </c>
      <c r="BX223" s="523">
        <v>0</v>
      </c>
      <c r="BY223" s="523">
        <v>0</v>
      </c>
      <c r="BZ223" s="523"/>
      <c r="CA223" s="523"/>
      <c r="CB223" s="523"/>
      <c r="CC223" s="523"/>
      <c r="CD223" s="523"/>
      <c r="CE223" s="523"/>
      <c r="CF223" s="523"/>
      <c r="CG223" s="523"/>
      <c r="CH223" s="523"/>
      <c r="CI223" s="523">
        <f t="shared" si="64"/>
        <v>0</v>
      </c>
    </row>
    <row r="224" spans="1:87" s="517" customFormat="1" ht="25.5" x14ac:dyDescent="0.2">
      <c r="A224" s="125" t="s">
        <v>1688</v>
      </c>
      <c r="B224" s="126" t="s">
        <v>2007</v>
      </c>
      <c r="C224" s="126" t="s">
        <v>1339</v>
      </c>
      <c r="D224" s="127" t="s">
        <v>1689</v>
      </c>
      <c r="E224" s="128" t="s">
        <v>102</v>
      </c>
      <c r="F224" s="137">
        <v>72.209999999999994</v>
      </c>
      <c r="G224" s="130">
        <v>101.01</v>
      </c>
      <c r="H224" s="128">
        <v>4</v>
      </c>
      <c r="I224" s="116">
        <f t="shared" si="63"/>
        <v>0</v>
      </c>
      <c r="J224" s="374">
        <f t="shared" si="65"/>
        <v>0</v>
      </c>
      <c r="K224" s="137">
        <f>H224-J224</f>
        <v>4</v>
      </c>
      <c r="L224" s="131">
        <f t="shared" si="67"/>
        <v>404.04</v>
      </c>
      <c r="M224" s="131">
        <f>I224*G224</f>
        <v>0</v>
      </c>
      <c r="N224" s="386">
        <f t="shared" si="68"/>
        <v>0</v>
      </c>
      <c r="O224" s="375">
        <f t="shared" si="69"/>
        <v>404.04</v>
      </c>
      <c r="P224" s="136">
        <f t="shared" si="62"/>
        <v>0</v>
      </c>
      <c r="S224" s="191">
        <v>0</v>
      </c>
      <c r="T224" s="191">
        <v>0</v>
      </c>
      <c r="BU224" s="523"/>
      <c r="BV224" s="523">
        <v>0</v>
      </c>
      <c r="BW224" s="523">
        <v>0</v>
      </c>
      <c r="BX224" s="523">
        <v>0</v>
      </c>
      <c r="BY224" s="523">
        <v>0</v>
      </c>
      <c r="BZ224" s="523"/>
      <c r="CA224" s="523"/>
      <c r="CB224" s="523"/>
      <c r="CC224" s="523"/>
      <c r="CD224" s="523"/>
      <c r="CE224" s="523"/>
      <c r="CF224" s="523"/>
      <c r="CG224" s="523"/>
      <c r="CH224" s="523"/>
      <c r="CI224" s="523">
        <f t="shared" si="64"/>
        <v>0</v>
      </c>
    </row>
    <row r="225" spans="1:87" s="110" customFormat="1" x14ac:dyDescent="0.2">
      <c r="A225" s="449" t="s">
        <v>631</v>
      </c>
      <c r="B225" s="450"/>
      <c r="C225" s="450"/>
      <c r="D225" s="451" t="s">
        <v>1690</v>
      </c>
      <c r="E225" s="452"/>
      <c r="F225" s="452">
        <f t="shared" ref="F225:O225" si="70">SUM(F226:F246)</f>
        <v>274.84000000000003</v>
      </c>
      <c r="G225" s="468">
        <f t="shared" si="70"/>
        <v>275.86999999999995</v>
      </c>
      <c r="H225" s="452">
        <f>SUM(H226:H246)</f>
        <v>321</v>
      </c>
      <c r="I225" s="452"/>
      <c r="J225" s="457">
        <f t="shared" si="65"/>
        <v>0</v>
      </c>
      <c r="K225" s="452">
        <v>0</v>
      </c>
      <c r="L225" s="452">
        <f>SUM(L226:L246)</f>
        <v>3741.5200000000004</v>
      </c>
      <c r="M225" s="468">
        <f t="shared" si="70"/>
        <v>0</v>
      </c>
      <c r="N225" s="468">
        <f t="shared" si="70"/>
        <v>0</v>
      </c>
      <c r="O225" s="469">
        <f t="shared" si="70"/>
        <v>3741.5200000000004</v>
      </c>
      <c r="P225" s="459">
        <f t="shared" si="62"/>
        <v>0</v>
      </c>
      <c r="S225" s="192">
        <v>28</v>
      </c>
      <c r="T225" s="192">
        <v>0</v>
      </c>
      <c r="BU225" s="523"/>
      <c r="BV225" s="523"/>
      <c r="BW225" s="523"/>
      <c r="BX225" s="523">
        <v>0</v>
      </c>
      <c r="BY225" s="523">
        <v>0</v>
      </c>
      <c r="BZ225" s="523"/>
      <c r="CA225" s="523"/>
      <c r="CB225" s="523"/>
      <c r="CC225" s="523"/>
      <c r="CD225" s="523"/>
      <c r="CE225" s="523"/>
      <c r="CF225" s="523"/>
      <c r="CG225" s="523"/>
      <c r="CH225" s="523"/>
      <c r="CI225" s="523">
        <f t="shared" si="64"/>
        <v>0</v>
      </c>
    </row>
    <row r="226" spans="1:87" s="110" customFormat="1" x14ac:dyDescent="0.2">
      <c r="A226" s="379" t="s">
        <v>1691</v>
      </c>
      <c r="B226" s="380">
        <v>91854</v>
      </c>
      <c r="C226" s="380" t="s">
        <v>1324</v>
      </c>
      <c r="D226" s="381" t="s">
        <v>1692</v>
      </c>
      <c r="E226" s="382" t="s">
        <v>81</v>
      </c>
      <c r="F226" s="137">
        <v>6.88</v>
      </c>
      <c r="G226" s="383">
        <v>6.16</v>
      </c>
      <c r="H226" s="382">
        <v>28</v>
      </c>
      <c r="I226" s="392">
        <f t="shared" si="63"/>
        <v>0</v>
      </c>
      <c r="J226" s="374">
        <f t="shared" si="65"/>
        <v>0</v>
      </c>
      <c r="K226" s="508">
        <f>H226-J226</f>
        <v>28</v>
      </c>
      <c r="L226" s="509">
        <f t="shared" ref="L226:L246" si="71">ROUND(H226*G226,2)</f>
        <v>172.48</v>
      </c>
      <c r="M226" s="386">
        <f t="shared" ref="M226:M246" si="72">I226*G226</f>
        <v>0</v>
      </c>
      <c r="N226" s="386">
        <f t="shared" ref="N226:N246" si="73">J226*G226</f>
        <v>0</v>
      </c>
      <c r="O226" s="387">
        <f t="shared" ref="O226:O246" si="74">L226-N226</f>
        <v>172.48</v>
      </c>
      <c r="P226" s="388">
        <f t="shared" si="62"/>
        <v>0</v>
      </c>
      <c r="S226" s="192">
        <v>18</v>
      </c>
      <c r="T226" s="192">
        <v>0</v>
      </c>
      <c r="BU226" s="523"/>
      <c r="BV226" s="523">
        <v>0</v>
      </c>
      <c r="BW226" s="523">
        <v>0</v>
      </c>
      <c r="BX226" s="523">
        <v>0</v>
      </c>
      <c r="BY226" s="523">
        <v>0</v>
      </c>
      <c r="BZ226" s="523"/>
      <c r="CA226" s="523"/>
      <c r="CB226" s="523"/>
      <c r="CC226" s="523"/>
      <c r="CD226" s="523"/>
      <c r="CE226" s="523"/>
      <c r="CF226" s="523"/>
      <c r="CG226" s="523"/>
      <c r="CH226" s="523"/>
      <c r="CI226" s="523">
        <f t="shared" si="64"/>
        <v>0</v>
      </c>
    </row>
    <row r="227" spans="1:87" x14ac:dyDescent="0.2">
      <c r="A227" s="379" t="s">
        <v>1693</v>
      </c>
      <c r="B227" s="380">
        <v>91856</v>
      </c>
      <c r="C227" s="380" t="s">
        <v>1324</v>
      </c>
      <c r="D227" s="381" t="s">
        <v>1694</v>
      </c>
      <c r="E227" s="382" t="s">
        <v>81</v>
      </c>
      <c r="F227" s="137">
        <v>9.86</v>
      </c>
      <c r="G227" s="383">
        <v>7.73</v>
      </c>
      <c r="H227" s="382">
        <v>18</v>
      </c>
      <c r="I227" s="392">
        <f t="shared" si="63"/>
        <v>0</v>
      </c>
      <c r="J227" s="374">
        <f t="shared" si="65"/>
        <v>0</v>
      </c>
      <c r="K227" s="508">
        <f>H227-J227</f>
        <v>18</v>
      </c>
      <c r="L227" s="509">
        <f t="shared" si="71"/>
        <v>139.13999999999999</v>
      </c>
      <c r="M227" s="386">
        <f t="shared" si="72"/>
        <v>0</v>
      </c>
      <c r="N227" s="386">
        <f t="shared" si="73"/>
        <v>0</v>
      </c>
      <c r="O227" s="387">
        <f t="shared" si="74"/>
        <v>139.13999999999999</v>
      </c>
      <c r="P227" s="388">
        <f t="shared" si="62"/>
        <v>0</v>
      </c>
      <c r="S227" s="189">
        <v>0</v>
      </c>
      <c r="T227" s="189">
        <v>0</v>
      </c>
      <c r="BU227" s="523"/>
      <c r="BV227" s="523">
        <v>0</v>
      </c>
      <c r="BW227" s="523">
        <v>0</v>
      </c>
      <c r="BX227" s="523">
        <v>0</v>
      </c>
      <c r="BY227" s="523">
        <v>0</v>
      </c>
      <c r="BZ227" s="523"/>
      <c r="CA227" s="523"/>
      <c r="CB227" s="523"/>
      <c r="CC227" s="523"/>
      <c r="CD227" s="523"/>
      <c r="CE227" s="523"/>
      <c r="CF227" s="523"/>
      <c r="CG227" s="523"/>
      <c r="CH227" s="523"/>
      <c r="CI227" s="523">
        <f t="shared" si="64"/>
        <v>0</v>
      </c>
    </row>
    <row r="228" spans="1:87" x14ac:dyDescent="0.2">
      <c r="A228" s="125" t="s">
        <v>1695</v>
      </c>
      <c r="B228" s="126">
        <v>91873</v>
      </c>
      <c r="C228" s="126" t="s">
        <v>1324</v>
      </c>
      <c r="D228" s="127" t="s">
        <v>1696</v>
      </c>
      <c r="E228" s="128" t="s">
        <v>81</v>
      </c>
      <c r="F228" s="137">
        <v>10.4</v>
      </c>
      <c r="G228" s="130">
        <v>12.57</v>
      </c>
      <c r="H228" s="128">
        <v>18</v>
      </c>
      <c r="I228" s="116">
        <f t="shared" si="63"/>
        <v>0</v>
      </c>
      <c r="J228" s="374">
        <f t="shared" si="65"/>
        <v>0</v>
      </c>
      <c r="K228" s="137">
        <f>H228-J228</f>
        <v>18</v>
      </c>
      <c r="L228" s="171">
        <f t="shared" si="71"/>
        <v>226.26</v>
      </c>
      <c r="M228" s="131">
        <f t="shared" si="72"/>
        <v>0</v>
      </c>
      <c r="N228" s="131">
        <f t="shared" si="73"/>
        <v>0</v>
      </c>
      <c r="O228" s="375">
        <f t="shared" si="74"/>
        <v>226.26</v>
      </c>
      <c r="P228" s="136">
        <f t="shared" si="62"/>
        <v>0</v>
      </c>
      <c r="S228" s="189">
        <v>0</v>
      </c>
      <c r="T228" s="189">
        <v>0</v>
      </c>
      <c r="BU228" s="523"/>
      <c r="BV228" s="523">
        <v>0</v>
      </c>
      <c r="BW228" s="523">
        <v>0</v>
      </c>
      <c r="BX228" s="523">
        <v>0</v>
      </c>
      <c r="BY228" s="523">
        <v>0</v>
      </c>
      <c r="BZ228" s="523"/>
      <c r="CA228" s="523"/>
      <c r="CB228" s="523"/>
      <c r="CC228" s="523"/>
      <c r="CD228" s="523"/>
      <c r="CE228" s="523"/>
      <c r="CF228" s="523"/>
      <c r="CG228" s="523"/>
      <c r="CH228" s="523"/>
      <c r="CI228" s="523">
        <f t="shared" si="64"/>
        <v>0</v>
      </c>
    </row>
    <row r="229" spans="1:87" x14ac:dyDescent="0.2">
      <c r="A229" s="125" t="s">
        <v>1697</v>
      </c>
      <c r="B229" s="126">
        <v>72308</v>
      </c>
      <c r="C229" s="126" t="s">
        <v>1324</v>
      </c>
      <c r="D229" s="127" t="s">
        <v>1698</v>
      </c>
      <c r="E229" s="128" t="s">
        <v>81</v>
      </c>
      <c r="F229" s="137">
        <v>9.6</v>
      </c>
      <c r="G229" s="130">
        <v>14.39</v>
      </c>
      <c r="H229" s="128">
        <v>82</v>
      </c>
      <c r="I229" s="116">
        <f t="shared" si="63"/>
        <v>0</v>
      </c>
      <c r="J229" s="374">
        <f t="shared" si="65"/>
        <v>0</v>
      </c>
      <c r="K229" s="137">
        <f>H229-J229</f>
        <v>82</v>
      </c>
      <c r="L229" s="171">
        <f t="shared" si="71"/>
        <v>1179.98</v>
      </c>
      <c r="M229" s="131">
        <f t="shared" si="72"/>
        <v>0</v>
      </c>
      <c r="N229" s="131">
        <f t="shared" si="73"/>
        <v>0</v>
      </c>
      <c r="O229" s="375">
        <f t="shared" si="74"/>
        <v>1179.98</v>
      </c>
      <c r="P229" s="136">
        <f t="shared" si="62"/>
        <v>0</v>
      </c>
      <c r="S229" s="189">
        <v>0</v>
      </c>
      <c r="T229" s="189">
        <v>0</v>
      </c>
      <c r="BU229" s="523"/>
      <c r="BV229" s="523">
        <v>0</v>
      </c>
      <c r="BW229" s="523">
        <v>0</v>
      </c>
      <c r="BX229" s="523">
        <v>0</v>
      </c>
      <c r="BY229" s="523">
        <v>0</v>
      </c>
      <c r="BZ229" s="523"/>
      <c r="CA229" s="523"/>
      <c r="CB229" s="523"/>
      <c r="CC229" s="523"/>
      <c r="CD229" s="523"/>
      <c r="CE229" s="523"/>
      <c r="CF229" s="523"/>
      <c r="CG229" s="523"/>
      <c r="CH229" s="523"/>
      <c r="CI229" s="523">
        <f t="shared" si="64"/>
        <v>0</v>
      </c>
    </row>
    <row r="230" spans="1:87" x14ac:dyDescent="0.2">
      <c r="A230" s="125" t="s">
        <v>1699</v>
      </c>
      <c r="B230" s="126">
        <v>72309</v>
      </c>
      <c r="C230" s="126" t="s">
        <v>1324</v>
      </c>
      <c r="D230" s="127" t="s">
        <v>1700</v>
      </c>
      <c r="E230" s="128" t="s">
        <v>81</v>
      </c>
      <c r="F230" s="137">
        <v>7.38</v>
      </c>
      <c r="G230" s="130">
        <v>22.92</v>
      </c>
      <c r="H230" s="128">
        <v>13</v>
      </c>
      <c r="I230" s="116">
        <f t="shared" si="63"/>
        <v>0</v>
      </c>
      <c r="J230" s="374">
        <f t="shared" si="65"/>
        <v>0</v>
      </c>
      <c r="K230" s="137">
        <f>H230-J230</f>
        <v>13</v>
      </c>
      <c r="L230" s="171">
        <f t="shared" si="71"/>
        <v>297.95999999999998</v>
      </c>
      <c r="M230" s="131">
        <f t="shared" si="72"/>
        <v>0</v>
      </c>
      <c r="N230" s="131">
        <f t="shared" si="73"/>
        <v>0</v>
      </c>
      <c r="O230" s="375">
        <f t="shared" si="74"/>
        <v>297.95999999999998</v>
      </c>
      <c r="P230" s="136">
        <f t="shared" si="62"/>
        <v>0</v>
      </c>
      <c r="S230" s="189">
        <v>0</v>
      </c>
      <c r="T230" s="189">
        <v>0</v>
      </c>
      <c r="BU230" s="523"/>
      <c r="BV230" s="523">
        <v>0</v>
      </c>
      <c r="BW230" s="523">
        <v>0</v>
      </c>
      <c r="BX230" s="523">
        <v>0</v>
      </c>
      <c r="BY230" s="523">
        <v>0</v>
      </c>
      <c r="BZ230" s="523"/>
      <c r="CA230" s="523"/>
      <c r="CB230" s="523"/>
      <c r="CC230" s="523"/>
      <c r="CD230" s="523"/>
      <c r="CE230" s="523"/>
      <c r="CF230" s="523"/>
      <c r="CG230" s="523"/>
      <c r="CH230" s="523"/>
      <c r="CI230" s="523">
        <f t="shared" si="64"/>
        <v>0</v>
      </c>
    </row>
    <row r="231" spans="1:87" x14ac:dyDescent="0.2">
      <c r="A231" s="125" t="s">
        <v>2011</v>
      </c>
      <c r="B231" s="126" t="s">
        <v>2012</v>
      </c>
      <c r="C231" s="126" t="s">
        <v>1324</v>
      </c>
      <c r="D231" s="127" t="s">
        <v>1702</v>
      </c>
      <c r="E231" s="128" t="s">
        <v>81</v>
      </c>
      <c r="F231" s="129"/>
      <c r="G231" s="130">
        <v>24.94</v>
      </c>
      <c r="H231" s="128">
        <v>30</v>
      </c>
      <c r="I231" s="116">
        <f t="shared" si="63"/>
        <v>0</v>
      </c>
      <c r="J231" s="374">
        <f t="shared" si="65"/>
        <v>0</v>
      </c>
      <c r="K231" s="137"/>
      <c r="L231" s="171">
        <f t="shared" si="71"/>
        <v>748.2</v>
      </c>
      <c r="M231" s="131">
        <f t="shared" si="72"/>
        <v>0</v>
      </c>
      <c r="N231" s="131">
        <f t="shared" si="73"/>
        <v>0</v>
      </c>
      <c r="O231" s="375">
        <f t="shared" si="74"/>
        <v>748.2</v>
      </c>
      <c r="P231" s="136">
        <f t="shared" si="62"/>
        <v>0</v>
      </c>
      <c r="S231" s="189">
        <v>0</v>
      </c>
      <c r="T231" s="189">
        <v>0</v>
      </c>
      <c r="BU231" s="523"/>
      <c r="BV231" s="523">
        <v>0</v>
      </c>
      <c r="BW231" s="523">
        <v>0</v>
      </c>
      <c r="BX231" s="523">
        <v>0</v>
      </c>
      <c r="BY231" s="523">
        <v>0</v>
      </c>
      <c r="BZ231" s="523"/>
      <c r="CA231" s="523"/>
      <c r="CB231" s="523"/>
      <c r="CC231" s="523"/>
      <c r="CD231" s="523"/>
      <c r="CE231" s="523"/>
      <c r="CF231" s="523"/>
      <c r="CG231" s="523"/>
      <c r="CH231" s="523"/>
      <c r="CI231" s="523">
        <f t="shared" si="64"/>
        <v>0</v>
      </c>
    </row>
    <row r="232" spans="1:87" x14ac:dyDescent="0.2">
      <c r="A232" s="125" t="s">
        <v>1703</v>
      </c>
      <c r="B232" s="126" t="s">
        <v>1704</v>
      </c>
      <c r="C232" s="126" t="s">
        <v>1324</v>
      </c>
      <c r="D232" s="127" t="s">
        <v>1705</v>
      </c>
      <c r="E232" s="128" t="s">
        <v>102</v>
      </c>
      <c r="F232" s="137">
        <v>3.06</v>
      </c>
      <c r="G232" s="130">
        <v>23.12</v>
      </c>
      <c r="H232" s="128">
        <v>5</v>
      </c>
      <c r="I232" s="116">
        <f t="shared" si="63"/>
        <v>0</v>
      </c>
      <c r="J232" s="374">
        <f t="shared" si="65"/>
        <v>0</v>
      </c>
      <c r="K232" s="137">
        <f t="shared" ref="K232:K237" si="75">H232-J232</f>
        <v>5</v>
      </c>
      <c r="L232" s="171">
        <f t="shared" si="71"/>
        <v>115.6</v>
      </c>
      <c r="M232" s="131">
        <f t="shared" si="72"/>
        <v>0</v>
      </c>
      <c r="N232" s="131">
        <f t="shared" si="73"/>
        <v>0</v>
      </c>
      <c r="O232" s="375">
        <f t="shared" si="74"/>
        <v>115.6</v>
      </c>
      <c r="P232" s="136">
        <f t="shared" si="62"/>
        <v>0</v>
      </c>
      <c r="S232" s="189">
        <v>0</v>
      </c>
      <c r="T232" s="189">
        <v>0</v>
      </c>
      <c r="BU232" s="523"/>
      <c r="BV232" s="523">
        <v>0</v>
      </c>
      <c r="BW232" s="523">
        <v>0</v>
      </c>
      <c r="BX232" s="523">
        <v>0</v>
      </c>
      <c r="BY232" s="523">
        <v>0</v>
      </c>
      <c r="BZ232" s="523"/>
      <c r="CA232" s="523"/>
      <c r="CB232" s="523"/>
      <c r="CC232" s="523"/>
      <c r="CD232" s="523"/>
      <c r="CE232" s="523"/>
      <c r="CF232" s="523"/>
      <c r="CG232" s="523"/>
      <c r="CH232" s="523"/>
      <c r="CI232" s="523">
        <f t="shared" si="64"/>
        <v>0</v>
      </c>
    </row>
    <row r="233" spans="1:87" x14ac:dyDescent="0.2">
      <c r="A233" s="125" t="s">
        <v>1706</v>
      </c>
      <c r="B233" s="126" t="s">
        <v>1707</v>
      </c>
      <c r="C233" s="126" t="s">
        <v>1324</v>
      </c>
      <c r="D233" s="127" t="s">
        <v>1708</v>
      </c>
      <c r="E233" s="128" t="s">
        <v>102</v>
      </c>
      <c r="F233" s="137">
        <v>4.18</v>
      </c>
      <c r="G233" s="130">
        <v>25.34</v>
      </c>
      <c r="H233" s="128">
        <v>5</v>
      </c>
      <c r="I233" s="116">
        <f t="shared" si="63"/>
        <v>0</v>
      </c>
      <c r="J233" s="374">
        <f t="shared" si="65"/>
        <v>0</v>
      </c>
      <c r="K233" s="137">
        <f t="shared" si="75"/>
        <v>5</v>
      </c>
      <c r="L233" s="171">
        <f t="shared" si="71"/>
        <v>126.7</v>
      </c>
      <c r="M233" s="131">
        <f t="shared" si="72"/>
        <v>0</v>
      </c>
      <c r="N233" s="131">
        <f t="shared" si="73"/>
        <v>0</v>
      </c>
      <c r="O233" s="375">
        <f t="shared" si="74"/>
        <v>126.7</v>
      </c>
      <c r="P233" s="136">
        <f t="shared" si="62"/>
        <v>0</v>
      </c>
      <c r="S233" s="189">
        <v>0</v>
      </c>
      <c r="T233" s="189">
        <v>0</v>
      </c>
      <c r="BU233" s="523"/>
      <c r="BV233" s="523">
        <v>0</v>
      </c>
      <c r="BW233" s="523">
        <v>0</v>
      </c>
      <c r="BX233" s="523">
        <v>0</v>
      </c>
      <c r="BY233" s="523">
        <v>0</v>
      </c>
      <c r="BZ233" s="523"/>
      <c r="CA233" s="523"/>
      <c r="CB233" s="523"/>
      <c r="CC233" s="523"/>
      <c r="CD233" s="523"/>
      <c r="CE233" s="523"/>
      <c r="CF233" s="523"/>
      <c r="CG233" s="523"/>
      <c r="CH233" s="523"/>
      <c r="CI233" s="523">
        <f t="shared" si="64"/>
        <v>0</v>
      </c>
    </row>
    <row r="234" spans="1:87" x14ac:dyDescent="0.2">
      <c r="A234" s="125" t="s">
        <v>1709</v>
      </c>
      <c r="B234" s="126" t="s">
        <v>1704</v>
      </c>
      <c r="C234" s="126" t="s">
        <v>1324</v>
      </c>
      <c r="D234" s="127" t="s">
        <v>1710</v>
      </c>
      <c r="E234" s="128" t="s">
        <v>102</v>
      </c>
      <c r="F234" s="137">
        <v>6.7</v>
      </c>
      <c r="G234" s="130">
        <v>25.88</v>
      </c>
      <c r="H234" s="128">
        <v>4</v>
      </c>
      <c r="I234" s="116">
        <f t="shared" si="63"/>
        <v>0</v>
      </c>
      <c r="J234" s="374">
        <f t="shared" si="65"/>
        <v>0</v>
      </c>
      <c r="K234" s="137">
        <f t="shared" si="75"/>
        <v>4</v>
      </c>
      <c r="L234" s="131">
        <f t="shared" si="71"/>
        <v>103.52</v>
      </c>
      <c r="M234" s="131">
        <f t="shared" si="72"/>
        <v>0</v>
      </c>
      <c r="N234" s="131">
        <f t="shared" si="73"/>
        <v>0</v>
      </c>
      <c r="O234" s="375">
        <f t="shared" si="74"/>
        <v>103.52</v>
      </c>
      <c r="P234" s="136">
        <f t="shared" si="62"/>
        <v>0</v>
      </c>
      <c r="S234" s="189">
        <v>0</v>
      </c>
      <c r="T234" s="189">
        <v>0</v>
      </c>
      <c r="BU234" s="523"/>
      <c r="BV234" s="523">
        <v>0</v>
      </c>
      <c r="BW234" s="523">
        <v>0</v>
      </c>
      <c r="BX234" s="523">
        <v>0</v>
      </c>
      <c r="BY234" s="523">
        <v>0</v>
      </c>
      <c r="BZ234" s="523"/>
      <c r="CA234" s="523"/>
      <c r="CB234" s="523"/>
      <c r="CC234" s="523"/>
      <c r="CD234" s="523"/>
      <c r="CE234" s="523"/>
      <c r="CF234" s="523"/>
      <c r="CG234" s="523"/>
      <c r="CH234" s="523"/>
      <c r="CI234" s="523">
        <f t="shared" si="64"/>
        <v>0</v>
      </c>
    </row>
    <row r="235" spans="1:87" x14ac:dyDescent="0.2">
      <c r="A235" s="125" t="s">
        <v>1711</v>
      </c>
      <c r="B235" s="126" t="s">
        <v>1712</v>
      </c>
      <c r="C235" s="126" t="s">
        <v>1324</v>
      </c>
      <c r="D235" s="127" t="s">
        <v>1713</v>
      </c>
      <c r="E235" s="128" t="s">
        <v>102</v>
      </c>
      <c r="F235" s="137">
        <v>12.3</v>
      </c>
      <c r="G235" s="130">
        <v>26.28</v>
      </c>
      <c r="H235" s="128">
        <v>1</v>
      </c>
      <c r="I235" s="116">
        <f t="shared" si="63"/>
        <v>0</v>
      </c>
      <c r="J235" s="374">
        <f t="shared" si="65"/>
        <v>0</v>
      </c>
      <c r="K235" s="137">
        <f t="shared" si="75"/>
        <v>1</v>
      </c>
      <c r="L235" s="131">
        <f t="shared" si="71"/>
        <v>26.28</v>
      </c>
      <c r="M235" s="131">
        <f t="shared" si="72"/>
        <v>0</v>
      </c>
      <c r="N235" s="131">
        <f t="shared" si="73"/>
        <v>0</v>
      </c>
      <c r="O235" s="375">
        <f t="shared" si="74"/>
        <v>26.28</v>
      </c>
      <c r="P235" s="136">
        <f t="shared" si="62"/>
        <v>0</v>
      </c>
      <c r="S235" s="189">
        <v>0</v>
      </c>
      <c r="T235" s="189">
        <v>0</v>
      </c>
      <c r="BU235" s="523"/>
      <c r="BV235" s="523">
        <v>0</v>
      </c>
      <c r="BW235" s="523">
        <v>0</v>
      </c>
      <c r="BX235" s="523">
        <v>0</v>
      </c>
      <c r="BY235" s="523">
        <v>0</v>
      </c>
      <c r="BZ235" s="523"/>
      <c r="CA235" s="523"/>
      <c r="CB235" s="523"/>
      <c r="CC235" s="523"/>
      <c r="CD235" s="523"/>
      <c r="CE235" s="523"/>
      <c r="CF235" s="523"/>
      <c r="CG235" s="523"/>
      <c r="CH235" s="523"/>
      <c r="CI235" s="523">
        <f t="shared" si="64"/>
        <v>0</v>
      </c>
    </row>
    <row r="236" spans="1:87" x14ac:dyDescent="0.2">
      <c r="A236" s="125" t="s">
        <v>1714</v>
      </c>
      <c r="B236" s="126" t="s">
        <v>1715</v>
      </c>
      <c r="C236" s="126" t="s">
        <v>1343</v>
      </c>
      <c r="D236" s="127" t="s">
        <v>1716</v>
      </c>
      <c r="E236" s="128" t="s">
        <v>102</v>
      </c>
      <c r="F236" s="137">
        <v>33.06</v>
      </c>
      <c r="G236" s="130">
        <v>1.94</v>
      </c>
      <c r="H236" s="128">
        <v>50</v>
      </c>
      <c r="I236" s="116">
        <f t="shared" si="63"/>
        <v>0</v>
      </c>
      <c r="J236" s="374">
        <f t="shared" si="65"/>
        <v>0</v>
      </c>
      <c r="K236" s="137">
        <f t="shared" si="75"/>
        <v>50</v>
      </c>
      <c r="L236" s="131">
        <f t="shared" si="71"/>
        <v>97</v>
      </c>
      <c r="M236" s="131">
        <f t="shared" si="72"/>
        <v>0</v>
      </c>
      <c r="N236" s="131">
        <f t="shared" si="73"/>
        <v>0</v>
      </c>
      <c r="O236" s="375">
        <f t="shared" si="74"/>
        <v>97</v>
      </c>
      <c r="P236" s="136">
        <f t="shared" si="62"/>
        <v>0</v>
      </c>
      <c r="S236" s="189">
        <v>0</v>
      </c>
      <c r="T236" s="189">
        <v>0</v>
      </c>
      <c r="BU236" s="523"/>
      <c r="BV236" s="523">
        <v>0</v>
      </c>
      <c r="BW236" s="523">
        <v>0</v>
      </c>
      <c r="BX236" s="523">
        <v>0</v>
      </c>
      <c r="BY236" s="523">
        <v>0</v>
      </c>
      <c r="BZ236" s="523"/>
      <c r="CA236" s="523"/>
      <c r="CB236" s="523"/>
      <c r="CC236" s="523"/>
      <c r="CD236" s="523"/>
      <c r="CE236" s="523"/>
      <c r="CF236" s="523"/>
      <c r="CG236" s="523"/>
      <c r="CH236" s="523"/>
      <c r="CI236" s="523">
        <f t="shared" si="64"/>
        <v>0</v>
      </c>
    </row>
    <row r="237" spans="1:87" x14ac:dyDescent="0.2">
      <c r="A237" s="125" t="s">
        <v>1717</v>
      </c>
      <c r="B237" s="126" t="s">
        <v>1715</v>
      </c>
      <c r="C237" s="126" t="s">
        <v>1343</v>
      </c>
      <c r="D237" s="127" t="s">
        <v>1718</v>
      </c>
      <c r="E237" s="128" t="s">
        <v>102</v>
      </c>
      <c r="F237" s="137">
        <v>4.53</v>
      </c>
      <c r="G237" s="130">
        <v>2.19</v>
      </c>
      <c r="H237" s="128">
        <v>4</v>
      </c>
      <c r="I237" s="116">
        <f t="shared" si="63"/>
        <v>0</v>
      </c>
      <c r="J237" s="374">
        <f t="shared" si="65"/>
        <v>0</v>
      </c>
      <c r="K237" s="137">
        <f t="shared" si="75"/>
        <v>4</v>
      </c>
      <c r="L237" s="131">
        <f t="shared" si="71"/>
        <v>8.76</v>
      </c>
      <c r="M237" s="131">
        <f t="shared" si="72"/>
        <v>0</v>
      </c>
      <c r="N237" s="131">
        <f t="shared" si="73"/>
        <v>0</v>
      </c>
      <c r="O237" s="375">
        <f t="shared" si="74"/>
        <v>8.76</v>
      </c>
      <c r="P237" s="136">
        <f t="shared" si="62"/>
        <v>0</v>
      </c>
      <c r="S237" s="189">
        <v>0</v>
      </c>
      <c r="T237" s="189">
        <v>0</v>
      </c>
      <c r="BU237" s="523"/>
      <c r="BV237" s="523">
        <v>0</v>
      </c>
      <c r="BW237" s="523">
        <v>0</v>
      </c>
      <c r="BX237" s="523">
        <v>0</v>
      </c>
      <c r="BY237" s="523">
        <v>0</v>
      </c>
      <c r="BZ237" s="523"/>
      <c r="CA237" s="523"/>
      <c r="CB237" s="523"/>
      <c r="CC237" s="523"/>
      <c r="CD237" s="523"/>
      <c r="CE237" s="523"/>
      <c r="CF237" s="523"/>
      <c r="CG237" s="523"/>
      <c r="CH237" s="523"/>
      <c r="CI237" s="523">
        <f t="shared" si="64"/>
        <v>0</v>
      </c>
    </row>
    <row r="238" spans="1:87" x14ac:dyDescent="0.2">
      <c r="A238" s="125" t="s">
        <v>1719</v>
      </c>
      <c r="B238" s="126" t="s">
        <v>1715</v>
      </c>
      <c r="C238" s="126" t="s">
        <v>1343</v>
      </c>
      <c r="D238" s="127" t="s">
        <v>1720</v>
      </c>
      <c r="E238" s="128" t="s">
        <v>102</v>
      </c>
      <c r="F238" s="129"/>
      <c r="G238" s="130">
        <v>2.4</v>
      </c>
      <c r="H238" s="128">
        <v>4</v>
      </c>
      <c r="I238" s="116">
        <f t="shared" si="63"/>
        <v>0</v>
      </c>
      <c r="J238" s="374">
        <f t="shared" si="65"/>
        <v>0</v>
      </c>
      <c r="K238" s="129"/>
      <c r="L238" s="131">
        <f t="shared" si="71"/>
        <v>9.6</v>
      </c>
      <c r="M238" s="131">
        <f t="shared" si="72"/>
        <v>0</v>
      </c>
      <c r="N238" s="131">
        <f t="shared" si="73"/>
        <v>0</v>
      </c>
      <c r="O238" s="375">
        <f t="shared" si="74"/>
        <v>9.6</v>
      </c>
      <c r="P238" s="136">
        <f t="shared" si="62"/>
        <v>0</v>
      </c>
      <c r="S238" s="189">
        <v>0</v>
      </c>
      <c r="T238" s="189">
        <v>0</v>
      </c>
      <c r="BU238" s="523"/>
      <c r="BV238" s="523">
        <v>0</v>
      </c>
      <c r="BW238" s="523">
        <v>0</v>
      </c>
      <c r="BX238" s="523">
        <v>0</v>
      </c>
      <c r="BY238" s="523">
        <v>0</v>
      </c>
      <c r="BZ238" s="523"/>
      <c r="CA238" s="523"/>
      <c r="CB238" s="523"/>
      <c r="CC238" s="523"/>
      <c r="CD238" s="523"/>
      <c r="CE238" s="523"/>
      <c r="CF238" s="523"/>
      <c r="CG238" s="523"/>
      <c r="CH238" s="523"/>
      <c r="CI238" s="523">
        <f t="shared" si="64"/>
        <v>0</v>
      </c>
    </row>
    <row r="239" spans="1:87" x14ac:dyDescent="0.2">
      <c r="A239" s="125" t="s">
        <v>1721</v>
      </c>
      <c r="B239" s="126">
        <v>73542</v>
      </c>
      <c r="C239" s="126" t="s">
        <v>1324</v>
      </c>
      <c r="D239" s="127" t="s">
        <v>1722</v>
      </c>
      <c r="E239" s="128" t="s">
        <v>1723</v>
      </c>
      <c r="F239" s="137">
        <v>5.76</v>
      </c>
      <c r="G239" s="130">
        <v>0.73</v>
      </c>
      <c r="H239" s="128">
        <v>15</v>
      </c>
      <c r="I239" s="116">
        <f t="shared" si="63"/>
        <v>0</v>
      </c>
      <c r="J239" s="374">
        <f t="shared" si="65"/>
        <v>0</v>
      </c>
      <c r="K239" s="137">
        <f t="shared" ref="K239:K246" si="76">H239-J239</f>
        <v>15</v>
      </c>
      <c r="L239" s="131">
        <f t="shared" si="71"/>
        <v>10.95</v>
      </c>
      <c r="M239" s="131">
        <f t="shared" si="72"/>
        <v>0</v>
      </c>
      <c r="N239" s="131">
        <f t="shared" si="73"/>
        <v>0</v>
      </c>
      <c r="O239" s="375">
        <f t="shared" si="74"/>
        <v>10.95</v>
      </c>
      <c r="P239" s="136">
        <f t="shared" si="62"/>
        <v>0</v>
      </c>
      <c r="S239" s="189">
        <v>0</v>
      </c>
      <c r="T239" s="189">
        <v>0</v>
      </c>
      <c r="BU239" s="523"/>
      <c r="BV239" s="523">
        <v>0</v>
      </c>
      <c r="BW239" s="523">
        <v>0</v>
      </c>
      <c r="BX239" s="523">
        <v>0</v>
      </c>
      <c r="BY239" s="523">
        <v>0</v>
      </c>
      <c r="BZ239" s="523"/>
      <c r="CA239" s="523"/>
      <c r="CB239" s="523"/>
      <c r="CC239" s="523"/>
      <c r="CD239" s="523"/>
      <c r="CE239" s="523"/>
      <c r="CF239" s="523"/>
      <c r="CG239" s="523"/>
      <c r="CH239" s="523"/>
      <c r="CI239" s="523">
        <f t="shared" si="64"/>
        <v>0</v>
      </c>
    </row>
    <row r="240" spans="1:87" x14ac:dyDescent="0.2">
      <c r="A240" s="125" t="s">
        <v>1724</v>
      </c>
      <c r="B240" s="126">
        <v>84158</v>
      </c>
      <c r="C240" s="126" t="s">
        <v>1324</v>
      </c>
      <c r="D240" s="127" t="s">
        <v>1725</v>
      </c>
      <c r="E240" s="128" t="s">
        <v>1723</v>
      </c>
      <c r="F240" s="137">
        <v>8.1999999999999993</v>
      </c>
      <c r="G240" s="130">
        <v>1.42</v>
      </c>
      <c r="H240" s="128">
        <v>2</v>
      </c>
      <c r="I240" s="116">
        <f t="shared" si="63"/>
        <v>0</v>
      </c>
      <c r="J240" s="374">
        <f t="shared" si="65"/>
        <v>0</v>
      </c>
      <c r="K240" s="137">
        <f t="shared" si="76"/>
        <v>2</v>
      </c>
      <c r="L240" s="131">
        <f t="shared" si="71"/>
        <v>2.84</v>
      </c>
      <c r="M240" s="131">
        <f t="shared" si="72"/>
        <v>0</v>
      </c>
      <c r="N240" s="131">
        <f t="shared" si="73"/>
        <v>0</v>
      </c>
      <c r="O240" s="375">
        <f t="shared" si="74"/>
        <v>2.84</v>
      </c>
      <c r="P240" s="136">
        <f t="shared" si="62"/>
        <v>0</v>
      </c>
      <c r="S240" s="189">
        <v>0</v>
      </c>
      <c r="T240" s="189">
        <v>0</v>
      </c>
      <c r="BU240" s="523"/>
      <c r="BV240" s="523">
        <v>0</v>
      </c>
      <c r="BW240" s="523">
        <v>0</v>
      </c>
      <c r="BX240" s="523">
        <v>0</v>
      </c>
      <c r="BY240" s="523">
        <v>0</v>
      </c>
      <c r="BZ240" s="523"/>
      <c r="CA240" s="523"/>
      <c r="CB240" s="523"/>
      <c r="CC240" s="523"/>
      <c r="CD240" s="523"/>
      <c r="CE240" s="523"/>
      <c r="CF240" s="523"/>
      <c r="CG240" s="523"/>
      <c r="CH240" s="523"/>
      <c r="CI240" s="523">
        <f t="shared" si="64"/>
        <v>0</v>
      </c>
    </row>
    <row r="241" spans="1:87" x14ac:dyDescent="0.2">
      <c r="A241" s="125" t="s">
        <v>1726</v>
      </c>
      <c r="B241" s="126">
        <v>84159</v>
      </c>
      <c r="C241" s="126" t="s">
        <v>1324</v>
      </c>
      <c r="D241" s="127" t="s">
        <v>1727</v>
      </c>
      <c r="E241" s="128" t="s">
        <v>1723</v>
      </c>
      <c r="F241" s="137">
        <v>13.75</v>
      </c>
      <c r="G241" s="130">
        <v>3.16</v>
      </c>
      <c r="H241" s="128">
        <v>1</v>
      </c>
      <c r="I241" s="116">
        <f t="shared" si="63"/>
        <v>0</v>
      </c>
      <c r="J241" s="374">
        <f t="shared" si="65"/>
        <v>0</v>
      </c>
      <c r="K241" s="137">
        <f t="shared" si="76"/>
        <v>1</v>
      </c>
      <c r="L241" s="131">
        <f t="shared" si="71"/>
        <v>3.16</v>
      </c>
      <c r="M241" s="131">
        <f t="shared" si="72"/>
        <v>0</v>
      </c>
      <c r="N241" s="131">
        <f t="shared" si="73"/>
        <v>0</v>
      </c>
      <c r="O241" s="375">
        <f t="shared" si="74"/>
        <v>3.16</v>
      </c>
      <c r="P241" s="136">
        <f t="shared" si="62"/>
        <v>0</v>
      </c>
      <c r="S241" s="189">
        <v>0</v>
      </c>
      <c r="T241" s="189">
        <v>0</v>
      </c>
      <c r="BU241" s="523"/>
      <c r="BV241" s="523">
        <v>0</v>
      </c>
      <c r="BW241" s="523">
        <v>0</v>
      </c>
      <c r="BX241" s="523">
        <v>0</v>
      </c>
      <c r="BY241" s="523">
        <v>0</v>
      </c>
      <c r="BZ241" s="523"/>
      <c r="CA241" s="523"/>
      <c r="CB241" s="523"/>
      <c r="CC241" s="523"/>
      <c r="CD241" s="523"/>
      <c r="CE241" s="523"/>
      <c r="CF241" s="523"/>
      <c r="CG241" s="523"/>
      <c r="CH241" s="523"/>
      <c r="CI241" s="523">
        <f t="shared" si="64"/>
        <v>0</v>
      </c>
    </row>
    <row r="242" spans="1:87" x14ac:dyDescent="0.2">
      <c r="A242" s="125" t="s">
        <v>1728</v>
      </c>
      <c r="B242" s="126">
        <v>92695</v>
      </c>
      <c r="C242" s="126" t="s">
        <v>1324</v>
      </c>
      <c r="D242" s="127" t="s">
        <v>1729</v>
      </c>
      <c r="E242" s="128" t="s">
        <v>102</v>
      </c>
      <c r="F242" s="137">
        <v>27.72</v>
      </c>
      <c r="G242" s="130">
        <v>14</v>
      </c>
      <c r="H242" s="128">
        <v>15</v>
      </c>
      <c r="I242" s="116">
        <f t="shared" si="63"/>
        <v>0</v>
      </c>
      <c r="J242" s="374">
        <f t="shared" si="65"/>
        <v>0</v>
      </c>
      <c r="K242" s="137">
        <f t="shared" si="76"/>
        <v>15</v>
      </c>
      <c r="L242" s="131">
        <f t="shared" si="71"/>
        <v>210</v>
      </c>
      <c r="M242" s="131">
        <f t="shared" si="72"/>
        <v>0</v>
      </c>
      <c r="N242" s="131">
        <f t="shared" si="73"/>
        <v>0</v>
      </c>
      <c r="O242" s="375">
        <f t="shared" si="74"/>
        <v>210</v>
      </c>
      <c r="P242" s="136">
        <f t="shared" si="62"/>
        <v>0</v>
      </c>
      <c r="S242" s="189">
        <v>0</v>
      </c>
      <c r="T242" s="189">
        <v>0</v>
      </c>
      <c r="BU242" s="523"/>
      <c r="BV242" s="523">
        <v>0</v>
      </c>
      <c r="BW242" s="523">
        <v>0</v>
      </c>
      <c r="BX242" s="523">
        <v>0</v>
      </c>
      <c r="BY242" s="523">
        <v>0</v>
      </c>
      <c r="BZ242" s="523"/>
      <c r="CA242" s="523"/>
      <c r="CB242" s="523"/>
      <c r="CC242" s="523"/>
      <c r="CD242" s="523"/>
      <c r="CE242" s="523"/>
      <c r="CF242" s="523"/>
      <c r="CG242" s="523"/>
      <c r="CH242" s="523"/>
      <c r="CI242" s="523">
        <f t="shared" si="64"/>
        <v>0</v>
      </c>
    </row>
    <row r="243" spans="1:87" x14ac:dyDescent="0.2">
      <c r="A243" s="125" t="s">
        <v>1730</v>
      </c>
      <c r="B243" s="126">
        <v>92697</v>
      </c>
      <c r="C243" s="126" t="s">
        <v>1324</v>
      </c>
      <c r="D243" s="127" t="s">
        <v>1731</v>
      </c>
      <c r="E243" s="128" t="s">
        <v>102</v>
      </c>
      <c r="F243" s="137">
        <v>71.03</v>
      </c>
      <c r="G243" s="130">
        <v>22.66</v>
      </c>
      <c r="H243" s="128">
        <v>2</v>
      </c>
      <c r="I243" s="116">
        <f t="shared" si="63"/>
        <v>0</v>
      </c>
      <c r="J243" s="374">
        <f t="shared" si="65"/>
        <v>0</v>
      </c>
      <c r="K243" s="137">
        <f t="shared" si="76"/>
        <v>2</v>
      </c>
      <c r="L243" s="131">
        <f t="shared" si="71"/>
        <v>45.32</v>
      </c>
      <c r="M243" s="131">
        <f t="shared" si="72"/>
        <v>0</v>
      </c>
      <c r="N243" s="131">
        <f t="shared" si="73"/>
        <v>0</v>
      </c>
      <c r="O243" s="375">
        <f t="shared" si="74"/>
        <v>45.32</v>
      </c>
      <c r="P243" s="136">
        <f t="shared" si="62"/>
        <v>0</v>
      </c>
      <c r="S243" s="189">
        <v>0</v>
      </c>
      <c r="T243" s="189">
        <v>0</v>
      </c>
      <c r="BU243" s="523"/>
      <c r="BV243" s="523">
        <v>0</v>
      </c>
      <c r="BW243" s="523">
        <v>0</v>
      </c>
      <c r="BX243" s="523">
        <v>0</v>
      </c>
      <c r="BY243" s="523">
        <v>0</v>
      </c>
      <c r="BZ243" s="523"/>
      <c r="CA243" s="523"/>
      <c r="CB243" s="523"/>
      <c r="CC243" s="523"/>
      <c r="CD243" s="523"/>
      <c r="CE243" s="523"/>
      <c r="CF243" s="523"/>
      <c r="CG243" s="523"/>
      <c r="CH243" s="523"/>
      <c r="CI243" s="523">
        <f t="shared" si="64"/>
        <v>0</v>
      </c>
    </row>
    <row r="244" spans="1:87" x14ac:dyDescent="0.2">
      <c r="A244" s="125" t="s">
        <v>1732</v>
      </c>
      <c r="B244" s="126">
        <v>92662</v>
      </c>
      <c r="C244" s="126" t="s">
        <v>1324</v>
      </c>
      <c r="D244" s="127" t="s">
        <v>1733</v>
      </c>
      <c r="E244" s="128" t="s">
        <v>102</v>
      </c>
      <c r="F244" s="137">
        <v>12.99</v>
      </c>
      <c r="G244" s="130">
        <v>22.38</v>
      </c>
      <c r="H244" s="128">
        <v>1</v>
      </c>
      <c r="I244" s="116">
        <f t="shared" si="63"/>
        <v>0</v>
      </c>
      <c r="J244" s="374">
        <f t="shared" si="65"/>
        <v>0</v>
      </c>
      <c r="K244" s="137">
        <f t="shared" si="76"/>
        <v>1</v>
      </c>
      <c r="L244" s="131">
        <f t="shared" si="71"/>
        <v>22.38</v>
      </c>
      <c r="M244" s="131">
        <f t="shared" si="72"/>
        <v>0</v>
      </c>
      <c r="N244" s="131">
        <f t="shared" si="73"/>
        <v>0</v>
      </c>
      <c r="O244" s="375">
        <f t="shared" si="74"/>
        <v>22.38</v>
      </c>
      <c r="P244" s="136">
        <f t="shared" si="62"/>
        <v>0</v>
      </c>
      <c r="S244" s="189">
        <v>0</v>
      </c>
      <c r="T244" s="189">
        <v>0</v>
      </c>
      <c r="BU244" s="523"/>
      <c r="BV244" s="523">
        <v>0</v>
      </c>
      <c r="BW244" s="523">
        <v>0</v>
      </c>
      <c r="BX244" s="523">
        <v>0</v>
      </c>
      <c r="BY244" s="523">
        <v>0</v>
      </c>
      <c r="BZ244" s="523"/>
      <c r="CA244" s="523"/>
      <c r="CB244" s="523"/>
      <c r="CC244" s="523"/>
      <c r="CD244" s="523"/>
      <c r="CE244" s="523"/>
      <c r="CF244" s="523"/>
      <c r="CG244" s="523"/>
      <c r="CH244" s="523"/>
      <c r="CI244" s="523">
        <f t="shared" si="64"/>
        <v>0</v>
      </c>
    </row>
    <row r="245" spans="1:87" x14ac:dyDescent="0.2">
      <c r="A245" s="125" t="s">
        <v>1734</v>
      </c>
      <c r="B245" s="126">
        <v>92868</v>
      </c>
      <c r="C245" s="126" t="s">
        <v>1324</v>
      </c>
      <c r="D245" s="127" t="s">
        <v>1735</v>
      </c>
      <c r="E245" s="128" t="s">
        <v>102</v>
      </c>
      <c r="F245" s="137">
        <v>14.25</v>
      </c>
      <c r="G245" s="130">
        <v>9.5299999999999994</v>
      </c>
      <c r="H245" s="128">
        <v>16</v>
      </c>
      <c r="I245" s="116">
        <f t="shared" si="63"/>
        <v>0</v>
      </c>
      <c r="J245" s="374">
        <f t="shared" si="65"/>
        <v>0</v>
      </c>
      <c r="K245" s="137">
        <f t="shared" si="76"/>
        <v>16</v>
      </c>
      <c r="L245" s="131">
        <f t="shared" si="71"/>
        <v>152.47999999999999</v>
      </c>
      <c r="M245" s="131">
        <f t="shared" si="72"/>
        <v>0</v>
      </c>
      <c r="N245" s="131">
        <f t="shared" si="73"/>
        <v>0</v>
      </c>
      <c r="O245" s="375">
        <f t="shared" si="74"/>
        <v>152.47999999999999</v>
      </c>
      <c r="P245" s="136">
        <f t="shared" si="62"/>
        <v>0</v>
      </c>
      <c r="S245" s="189">
        <v>0</v>
      </c>
      <c r="T245" s="189">
        <v>0</v>
      </c>
      <c r="BU245" s="523"/>
      <c r="BV245" s="523">
        <v>0</v>
      </c>
      <c r="BW245" s="523">
        <v>0</v>
      </c>
      <c r="BX245" s="523">
        <v>0</v>
      </c>
      <c r="BY245" s="523">
        <v>0</v>
      </c>
      <c r="BZ245" s="523"/>
      <c r="CA245" s="523"/>
      <c r="CB245" s="523"/>
      <c r="CC245" s="523"/>
      <c r="CD245" s="523"/>
      <c r="CE245" s="523"/>
      <c r="CF245" s="523"/>
      <c r="CG245" s="523"/>
      <c r="CH245" s="523"/>
      <c r="CI245" s="523">
        <f t="shared" si="64"/>
        <v>0</v>
      </c>
    </row>
    <row r="246" spans="1:87" s="514" customFormat="1" ht="25.5" x14ac:dyDescent="0.2">
      <c r="A246" s="125" t="s">
        <v>1736</v>
      </c>
      <c r="B246" s="126">
        <v>92865</v>
      </c>
      <c r="C246" s="126" t="s">
        <v>1324</v>
      </c>
      <c r="D246" s="127" t="s">
        <v>1737</v>
      </c>
      <c r="E246" s="128" t="s">
        <v>102</v>
      </c>
      <c r="F246" s="137">
        <v>13.19</v>
      </c>
      <c r="G246" s="130">
        <v>6.13</v>
      </c>
      <c r="H246" s="128">
        <v>7</v>
      </c>
      <c r="I246" s="116">
        <f t="shared" si="63"/>
        <v>0</v>
      </c>
      <c r="J246" s="374">
        <f t="shared" si="65"/>
        <v>0</v>
      </c>
      <c r="K246" s="137">
        <f t="shared" si="76"/>
        <v>7</v>
      </c>
      <c r="L246" s="131">
        <f t="shared" si="71"/>
        <v>42.91</v>
      </c>
      <c r="M246" s="131">
        <f t="shared" si="72"/>
        <v>0</v>
      </c>
      <c r="N246" s="131">
        <f t="shared" si="73"/>
        <v>0</v>
      </c>
      <c r="O246" s="375">
        <f t="shared" si="74"/>
        <v>42.91</v>
      </c>
      <c r="P246" s="136">
        <f t="shared" si="62"/>
        <v>0</v>
      </c>
      <c r="S246" s="190">
        <v>0</v>
      </c>
      <c r="T246" s="190">
        <v>0</v>
      </c>
      <c r="BU246" s="523"/>
      <c r="BV246" s="523">
        <v>0</v>
      </c>
      <c r="BW246" s="523">
        <v>0</v>
      </c>
      <c r="BX246" s="523">
        <v>0</v>
      </c>
      <c r="BY246" s="523">
        <v>0</v>
      </c>
      <c r="BZ246" s="523"/>
      <c r="CA246" s="523"/>
      <c r="CB246" s="523"/>
      <c r="CC246" s="523"/>
      <c r="CD246" s="523"/>
      <c r="CE246" s="523"/>
      <c r="CF246" s="523"/>
      <c r="CG246" s="523"/>
      <c r="CH246" s="523"/>
      <c r="CI246" s="523">
        <f t="shared" si="64"/>
        <v>0</v>
      </c>
    </row>
    <row r="247" spans="1:87" x14ac:dyDescent="0.2">
      <c r="A247" s="449" t="s">
        <v>634</v>
      </c>
      <c r="B247" s="450"/>
      <c r="C247" s="450"/>
      <c r="D247" s="451" t="s">
        <v>1738</v>
      </c>
      <c r="E247" s="452"/>
      <c r="F247" s="452">
        <f t="shared" ref="F247:O247" si="77">SUM(F248:F251)</f>
        <v>95.910000000000011</v>
      </c>
      <c r="G247" s="468">
        <f t="shared" si="77"/>
        <v>36.54</v>
      </c>
      <c r="H247" s="452">
        <f>SUM(H248:H251)</f>
        <v>1065</v>
      </c>
      <c r="I247" s="452"/>
      <c r="J247" s="457">
        <f t="shared" si="65"/>
        <v>0</v>
      </c>
      <c r="K247" s="452">
        <f t="shared" si="77"/>
        <v>1065</v>
      </c>
      <c r="L247" s="452">
        <f>SUM(L248:L251)</f>
        <v>4345.79</v>
      </c>
      <c r="M247" s="468">
        <f t="shared" si="77"/>
        <v>0</v>
      </c>
      <c r="N247" s="468">
        <f t="shared" si="77"/>
        <v>0</v>
      </c>
      <c r="O247" s="469">
        <f t="shared" si="77"/>
        <v>4345.79</v>
      </c>
      <c r="P247" s="459">
        <f t="shared" si="62"/>
        <v>0</v>
      </c>
      <c r="S247" s="189">
        <v>0</v>
      </c>
      <c r="T247" s="189">
        <v>0</v>
      </c>
      <c r="BU247" s="523"/>
      <c r="BV247" s="523"/>
      <c r="BW247" s="523"/>
      <c r="BX247" s="523">
        <v>0</v>
      </c>
      <c r="BY247" s="523">
        <v>0</v>
      </c>
      <c r="BZ247" s="523"/>
      <c r="CA247" s="523"/>
      <c r="CB247" s="523"/>
      <c r="CC247" s="523"/>
      <c r="CD247" s="523"/>
      <c r="CE247" s="523"/>
      <c r="CF247" s="523"/>
      <c r="CG247" s="523"/>
      <c r="CH247" s="523"/>
      <c r="CI247" s="523">
        <f t="shared" si="64"/>
        <v>0</v>
      </c>
    </row>
    <row r="248" spans="1:87" x14ac:dyDescent="0.2">
      <c r="A248" s="125" t="s">
        <v>1739</v>
      </c>
      <c r="B248" s="126">
        <v>91926</v>
      </c>
      <c r="C248" s="126" t="s">
        <v>1324</v>
      </c>
      <c r="D248" s="127" t="s">
        <v>1740</v>
      </c>
      <c r="E248" s="128" t="s">
        <v>81</v>
      </c>
      <c r="F248" s="137">
        <v>26.32</v>
      </c>
      <c r="G248" s="130">
        <v>2.31</v>
      </c>
      <c r="H248" s="128">
        <v>190</v>
      </c>
      <c r="I248" s="116">
        <f t="shared" si="63"/>
        <v>0</v>
      </c>
      <c r="J248" s="374">
        <f t="shared" si="65"/>
        <v>0</v>
      </c>
      <c r="K248" s="137">
        <f>H248-J248</f>
        <v>190</v>
      </c>
      <c r="L248" s="131">
        <f>ROUND(H248*G248,2)</f>
        <v>438.9</v>
      </c>
      <c r="M248" s="131">
        <f>I248*G248</f>
        <v>0</v>
      </c>
      <c r="N248" s="131">
        <f>J248*G248</f>
        <v>0</v>
      </c>
      <c r="O248" s="375">
        <f>L248-N248</f>
        <v>438.9</v>
      </c>
      <c r="P248" s="136">
        <f t="shared" si="62"/>
        <v>0</v>
      </c>
      <c r="S248" s="189">
        <v>0</v>
      </c>
      <c r="T248" s="189">
        <v>0</v>
      </c>
      <c r="BU248" s="523"/>
      <c r="BV248" s="523">
        <v>0</v>
      </c>
      <c r="BW248" s="523">
        <v>0</v>
      </c>
      <c r="BX248" s="523">
        <v>0</v>
      </c>
      <c r="BY248" s="523">
        <v>0</v>
      </c>
      <c r="BZ248" s="523"/>
      <c r="CA248" s="523"/>
      <c r="CB248" s="523"/>
      <c r="CC248" s="523"/>
      <c r="CD248" s="523"/>
      <c r="CE248" s="523"/>
      <c r="CF248" s="523"/>
      <c r="CG248" s="523"/>
      <c r="CH248" s="523"/>
      <c r="CI248" s="523">
        <f t="shared" si="64"/>
        <v>0</v>
      </c>
    </row>
    <row r="249" spans="1:87" x14ac:dyDescent="0.2">
      <c r="A249" s="125" t="s">
        <v>1741</v>
      </c>
      <c r="B249" s="126">
        <v>91928</v>
      </c>
      <c r="C249" s="126" t="s">
        <v>1324</v>
      </c>
      <c r="D249" s="127" t="s">
        <v>1742</v>
      </c>
      <c r="E249" s="128" t="s">
        <v>81</v>
      </c>
      <c r="F249" s="137">
        <v>61.2</v>
      </c>
      <c r="G249" s="130">
        <v>3.64</v>
      </c>
      <c r="H249" s="128">
        <v>820</v>
      </c>
      <c r="I249" s="116">
        <f t="shared" si="63"/>
        <v>0</v>
      </c>
      <c r="J249" s="374">
        <f t="shared" si="65"/>
        <v>0</v>
      </c>
      <c r="K249" s="137">
        <f>H249-J249</f>
        <v>820</v>
      </c>
      <c r="L249" s="131">
        <f>ROUND(H249*G249,2)</f>
        <v>2984.8</v>
      </c>
      <c r="M249" s="131">
        <f>I249*G249</f>
        <v>0</v>
      </c>
      <c r="N249" s="131">
        <f>J249*G249</f>
        <v>0</v>
      </c>
      <c r="O249" s="375">
        <f>L249-N249</f>
        <v>2984.8</v>
      </c>
      <c r="P249" s="136">
        <f t="shared" si="62"/>
        <v>0</v>
      </c>
      <c r="S249" s="189">
        <v>0</v>
      </c>
      <c r="T249" s="189">
        <v>0</v>
      </c>
      <c r="BU249" s="523"/>
      <c r="BV249" s="523">
        <v>0</v>
      </c>
      <c r="BW249" s="523">
        <v>0</v>
      </c>
      <c r="BX249" s="523">
        <v>0</v>
      </c>
      <c r="BY249" s="523">
        <v>0</v>
      </c>
      <c r="BZ249" s="523"/>
      <c r="CA249" s="523"/>
      <c r="CB249" s="523"/>
      <c r="CC249" s="523"/>
      <c r="CD249" s="523"/>
      <c r="CE249" s="523"/>
      <c r="CF249" s="523"/>
      <c r="CG249" s="523"/>
      <c r="CH249" s="523"/>
      <c r="CI249" s="523">
        <f t="shared" si="64"/>
        <v>0</v>
      </c>
    </row>
    <row r="250" spans="1:87" x14ac:dyDescent="0.2">
      <c r="A250" s="125" t="s">
        <v>1743</v>
      </c>
      <c r="B250" s="126">
        <v>91934</v>
      </c>
      <c r="C250" s="126" t="s">
        <v>1324</v>
      </c>
      <c r="D250" s="127" t="s">
        <v>1744</v>
      </c>
      <c r="E250" s="128" t="s">
        <v>81</v>
      </c>
      <c r="F250" s="129"/>
      <c r="G250" s="130">
        <v>12.3</v>
      </c>
      <c r="H250" s="128">
        <v>14</v>
      </c>
      <c r="I250" s="116">
        <f t="shared" si="63"/>
        <v>0</v>
      </c>
      <c r="J250" s="374">
        <f t="shared" si="65"/>
        <v>0</v>
      </c>
      <c r="K250" s="137">
        <f>H250-J250</f>
        <v>14</v>
      </c>
      <c r="L250" s="131">
        <f>ROUND(H250*G250,2)</f>
        <v>172.2</v>
      </c>
      <c r="M250" s="131">
        <f>I250*G250</f>
        <v>0</v>
      </c>
      <c r="N250" s="131">
        <f>J250*G250</f>
        <v>0</v>
      </c>
      <c r="O250" s="375">
        <f>L250-N250</f>
        <v>172.2</v>
      </c>
      <c r="P250" s="136">
        <f t="shared" si="62"/>
        <v>0</v>
      </c>
      <c r="S250" s="189">
        <v>0</v>
      </c>
      <c r="T250" s="189">
        <v>0</v>
      </c>
      <c r="BU250" s="523"/>
      <c r="BV250" s="523">
        <v>0</v>
      </c>
      <c r="BW250" s="523">
        <v>0</v>
      </c>
      <c r="BX250" s="523">
        <v>0</v>
      </c>
      <c r="BY250" s="523">
        <v>0</v>
      </c>
      <c r="BZ250" s="523"/>
      <c r="CA250" s="523"/>
      <c r="CB250" s="523"/>
      <c r="CC250" s="523"/>
      <c r="CD250" s="523"/>
      <c r="CE250" s="523"/>
      <c r="CF250" s="523"/>
      <c r="CG250" s="523"/>
      <c r="CH250" s="523"/>
      <c r="CI250" s="523">
        <f t="shared" si="64"/>
        <v>0</v>
      </c>
    </row>
    <row r="251" spans="1:87" s="514" customFormat="1" x14ac:dyDescent="0.2">
      <c r="A251" s="125" t="s">
        <v>1745</v>
      </c>
      <c r="B251" s="126">
        <v>92985</v>
      </c>
      <c r="C251" s="126" t="s">
        <v>1324</v>
      </c>
      <c r="D251" s="127" t="s">
        <v>1746</v>
      </c>
      <c r="E251" s="128" t="s">
        <v>81</v>
      </c>
      <c r="F251" s="137">
        <v>8.39</v>
      </c>
      <c r="G251" s="130">
        <v>18.29</v>
      </c>
      <c r="H251" s="128">
        <v>41</v>
      </c>
      <c r="I251" s="116">
        <f t="shared" si="63"/>
        <v>0</v>
      </c>
      <c r="J251" s="374">
        <f t="shared" si="65"/>
        <v>0</v>
      </c>
      <c r="K251" s="137">
        <f>H251-J251</f>
        <v>41</v>
      </c>
      <c r="L251" s="131">
        <f>ROUND(H251*G251,2)</f>
        <v>749.89</v>
      </c>
      <c r="M251" s="131">
        <f>I251*G251</f>
        <v>0</v>
      </c>
      <c r="N251" s="131">
        <f>J251*G251</f>
        <v>0</v>
      </c>
      <c r="O251" s="375">
        <f>L251-N251</f>
        <v>749.89</v>
      </c>
      <c r="P251" s="136">
        <f t="shared" si="62"/>
        <v>0</v>
      </c>
      <c r="S251" s="190">
        <v>0</v>
      </c>
      <c r="T251" s="190">
        <v>0</v>
      </c>
      <c r="BU251" s="523"/>
      <c r="BV251" s="523">
        <v>0</v>
      </c>
      <c r="BW251" s="523">
        <v>0</v>
      </c>
      <c r="BX251" s="523">
        <v>0</v>
      </c>
      <c r="BY251" s="523">
        <v>0</v>
      </c>
      <c r="BZ251" s="523"/>
      <c r="CA251" s="523"/>
      <c r="CB251" s="523"/>
      <c r="CC251" s="523"/>
      <c r="CD251" s="523"/>
      <c r="CE251" s="523"/>
      <c r="CF251" s="523"/>
      <c r="CG251" s="523"/>
      <c r="CH251" s="523"/>
      <c r="CI251" s="523">
        <f t="shared" si="64"/>
        <v>0</v>
      </c>
    </row>
    <row r="252" spans="1:87" x14ac:dyDescent="0.2">
      <c r="A252" s="449" t="s">
        <v>640</v>
      </c>
      <c r="B252" s="450"/>
      <c r="C252" s="450"/>
      <c r="D252" s="451" t="s">
        <v>1747</v>
      </c>
      <c r="E252" s="452"/>
      <c r="F252" s="452">
        <f t="shared" ref="F252:O252" si="78">SUM(F253:F258)</f>
        <v>163.52000000000001</v>
      </c>
      <c r="G252" s="468">
        <f t="shared" si="78"/>
        <v>800.18000000000006</v>
      </c>
      <c r="H252" s="452">
        <f>SUM(H253:H258)</f>
        <v>39</v>
      </c>
      <c r="I252" s="452"/>
      <c r="J252" s="457">
        <f t="shared" si="65"/>
        <v>0</v>
      </c>
      <c r="K252" s="452">
        <f t="shared" si="78"/>
        <v>39</v>
      </c>
      <c r="L252" s="452">
        <f>SUM(L253:L258)</f>
        <v>10299.74</v>
      </c>
      <c r="M252" s="468">
        <f t="shared" si="78"/>
        <v>0</v>
      </c>
      <c r="N252" s="468">
        <f t="shared" si="78"/>
        <v>0</v>
      </c>
      <c r="O252" s="469">
        <f t="shared" si="78"/>
        <v>10299.74</v>
      </c>
      <c r="P252" s="459">
        <f t="shared" si="62"/>
        <v>0</v>
      </c>
      <c r="S252" s="189">
        <v>0</v>
      </c>
      <c r="T252" s="189">
        <v>0</v>
      </c>
      <c r="BU252" s="523"/>
      <c r="BV252" s="523"/>
      <c r="BW252" s="523"/>
      <c r="BX252" s="523">
        <v>0</v>
      </c>
      <c r="BY252" s="523">
        <v>0</v>
      </c>
      <c r="BZ252" s="523"/>
      <c r="CA252" s="523"/>
      <c r="CB252" s="523"/>
      <c r="CC252" s="523"/>
      <c r="CD252" s="523"/>
      <c r="CE252" s="523"/>
      <c r="CF252" s="523"/>
      <c r="CG252" s="523"/>
      <c r="CH252" s="523"/>
      <c r="CI252" s="523">
        <f t="shared" si="64"/>
        <v>0</v>
      </c>
    </row>
    <row r="253" spans="1:87" x14ac:dyDescent="0.2">
      <c r="A253" s="125" t="s">
        <v>1748</v>
      </c>
      <c r="B253" s="126">
        <v>92000</v>
      </c>
      <c r="C253" s="126" t="s">
        <v>1324</v>
      </c>
      <c r="D253" s="127" t="s">
        <v>1749</v>
      </c>
      <c r="E253" s="128" t="s">
        <v>102</v>
      </c>
      <c r="F253" s="137">
        <v>21.53</v>
      </c>
      <c r="G253" s="130">
        <v>20.07</v>
      </c>
      <c r="H253" s="128">
        <v>4</v>
      </c>
      <c r="I253" s="116">
        <f t="shared" si="63"/>
        <v>0</v>
      </c>
      <c r="J253" s="374">
        <f t="shared" si="65"/>
        <v>0</v>
      </c>
      <c r="K253" s="137">
        <f t="shared" ref="K253:K258" si="79">H253-J253</f>
        <v>4</v>
      </c>
      <c r="L253" s="131">
        <f t="shared" ref="L253:L258" si="80">ROUND(H253*G253,2)</f>
        <v>80.28</v>
      </c>
      <c r="M253" s="131">
        <f t="shared" ref="M253:M258" si="81">I253*G253</f>
        <v>0</v>
      </c>
      <c r="N253" s="131">
        <f t="shared" ref="N253:N258" si="82">J253*G253</f>
        <v>0</v>
      </c>
      <c r="O253" s="375">
        <f t="shared" ref="O253:O258" si="83">L253-N253</f>
        <v>80.28</v>
      </c>
      <c r="P253" s="136">
        <f t="shared" si="62"/>
        <v>0</v>
      </c>
      <c r="S253" s="189">
        <v>0</v>
      </c>
      <c r="T253" s="189">
        <v>0</v>
      </c>
      <c r="BU253" s="523"/>
      <c r="BV253" s="523">
        <v>0</v>
      </c>
      <c r="BW253" s="523">
        <v>0</v>
      </c>
      <c r="BX253" s="523">
        <v>0</v>
      </c>
      <c r="BY253" s="523">
        <v>0</v>
      </c>
      <c r="BZ253" s="523"/>
      <c r="CA253" s="523"/>
      <c r="CB253" s="523"/>
      <c r="CC253" s="523"/>
      <c r="CD253" s="523"/>
      <c r="CE253" s="523"/>
      <c r="CF253" s="523"/>
      <c r="CG253" s="523"/>
      <c r="CH253" s="523"/>
      <c r="CI253" s="523">
        <f t="shared" si="64"/>
        <v>0</v>
      </c>
    </row>
    <row r="254" spans="1:87" x14ac:dyDescent="0.2">
      <c r="A254" s="125" t="s">
        <v>1750</v>
      </c>
      <c r="B254" s="126">
        <v>92001</v>
      </c>
      <c r="C254" s="126" t="s">
        <v>1324</v>
      </c>
      <c r="D254" s="127" t="s">
        <v>1751</v>
      </c>
      <c r="E254" s="128" t="s">
        <v>102</v>
      </c>
      <c r="F254" s="137">
        <v>133.13999999999999</v>
      </c>
      <c r="G254" s="130">
        <v>21.83</v>
      </c>
      <c r="H254" s="128">
        <v>1</v>
      </c>
      <c r="I254" s="116">
        <f t="shared" si="63"/>
        <v>0</v>
      </c>
      <c r="J254" s="374">
        <f t="shared" si="65"/>
        <v>0</v>
      </c>
      <c r="K254" s="137">
        <f t="shared" si="79"/>
        <v>1</v>
      </c>
      <c r="L254" s="131">
        <f t="shared" si="80"/>
        <v>21.83</v>
      </c>
      <c r="M254" s="131">
        <f t="shared" si="81"/>
        <v>0</v>
      </c>
      <c r="N254" s="131">
        <f t="shared" si="82"/>
        <v>0</v>
      </c>
      <c r="O254" s="375">
        <f t="shared" si="83"/>
        <v>21.83</v>
      </c>
      <c r="P254" s="136">
        <f t="shared" si="62"/>
        <v>0</v>
      </c>
      <c r="S254" s="189">
        <v>0</v>
      </c>
      <c r="T254" s="189">
        <v>0</v>
      </c>
      <c r="BU254" s="523"/>
      <c r="BV254" s="523">
        <v>0</v>
      </c>
      <c r="BW254" s="523">
        <v>0</v>
      </c>
      <c r="BX254" s="523">
        <v>0</v>
      </c>
      <c r="BY254" s="523">
        <v>0</v>
      </c>
      <c r="BZ254" s="523"/>
      <c r="CA254" s="523"/>
      <c r="CB254" s="523"/>
      <c r="CC254" s="523"/>
      <c r="CD254" s="523"/>
      <c r="CE254" s="523"/>
      <c r="CF254" s="523"/>
      <c r="CG254" s="523"/>
      <c r="CH254" s="523"/>
      <c r="CI254" s="523">
        <f t="shared" si="64"/>
        <v>0</v>
      </c>
    </row>
    <row r="255" spans="1:87" ht="25.5" x14ac:dyDescent="0.2">
      <c r="A255" s="125" t="s">
        <v>1752</v>
      </c>
      <c r="B255" s="126">
        <v>91953</v>
      </c>
      <c r="C255" s="126" t="s">
        <v>1324</v>
      </c>
      <c r="D255" s="127" t="s">
        <v>1753</v>
      </c>
      <c r="E255" s="128" t="s">
        <v>102</v>
      </c>
      <c r="F255" s="129"/>
      <c r="G255" s="130">
        <v>18.98</v>
      </c>
      <c r="H255" s="128">
        <v>7</v>
      </c>
      <c r="I255" s="116">
        <f t="shared" si="63"/>
        <v>0</v>
      </c>
      <c r="J255" s="374">
        <f t="shared" si="65"/>
        <v>0</v>
      </c>
      <c r="K255" s="137">
        <f t="shared" si="79"/>
        <v>7</v>
      </c>
      <c r="L255" s="131">
        <f t="shared" si="80"/>
        <v>132.86000000000001</v>
      </c>
      <c r="M255" s="131">
        <f t="shared" si="81"/>
        <v>0</v>
      </c>
      <c r="N255" s="131">
        <f t="shared" si="82"/>
        <v>0</v>
      </c>
      <c r="O255" s="375">
        <f t="shared" si="83"/>
        <v>132.86000000000001</v>
      </c>
      <c r="P255" s="136">
        <f t="shared" si="62"/>
        <v>0</v>
      </c>
      <c r="S255" s="189">
        <v>0</v>
      </c>
      <c r="T255" s="189">
        <v>0</v>
      </c>
      <c r="BU255" s="523"/>
      <c r="BV255" s="523">
        <v>0</v>
      </c>
      <c r="BW255" s="523">
        <v>0</v>
      </c>
      <c r="BX255" s="523">
        <v>0</v>
      </c>
      <c r="BY255" s="523">
        <v>0</v>
      </c>
      <c r="BZ255" s="523"/>
      <c r="CA255" s="523"/>
      <c r="CB255" s="523"/>
      <c r="CC255" s="523"/>
      <c r="CD255" s="523"/>
      <c r="CE255" s="523"/>
      <c r="CF255" s="523"/>
      <c r="CG255" s="523"/>
      <c r="CH255" s="523"/>
      <c r="CI255" s="523">
        <f t="shared" si="64"/>
        <v>0</v>
      </c>
    </row>
    <row r="256" spans="1:87" x14ac:dyDescent="0.2">
      <c r="A256" s="125" t="s">
        <v>1754</v>
      </c>
      <c r="B256" s="126" t="s">
        <v>1755</v>
      </c>
      <c r="C256" s="126" t="s">
        <v>1324</v>
      </c>
      <c r="D256" s="127" t="s">
        <v>1756</v>
      </c>
      <c r="E256" s="128" t="s">
        <v>102</v>
      </c>
      <c r="F256" s="137">
        <v>1.81</v>
      </c>
      <c r="G256" s="130">
        <v>133.31</v>
      </c>
      <c r="H256" s="128">
        <v>1</v>
      </c>
      <c r="I256" s="116">
        <f t="shared" si="63"/>
        <v>0</v>
      </c>
      <c r="J256" s="374">
        <f t="shared" si="65"/>
        <v>0</v>
      </c>
      <c r="K256" s="137">
        <f t="shared" si="79"/>
        <v>1</v>
      </c>
      <c r="L256" s="131">
        <f t="shared" si="80"/>
        <v>133.31</v>
      </c>
      <c r="M256" s="131">
        <f t="shared" si="81"/>
        <v>0</v>
      </c>
      <c r="N256" s="131">
        <f t="shared" si="82"/>
        <v>0</v>
      </c>
      <c r="O256" s="375">
        <f t="shared" si="83"/>
        <v>133.31</v>
      </c>
      <c r="P256" s="136">
        <f t="shared" si="62"/>
        <v>0</v>
      </c>
      <c r="S256" s="189">
        <v>0</v>
      </c>
      <c r="T256" s="189">
        <v>0</v>
      </c>
      <c r="BU256" s="523"/>
      <c r="BV256" s="523">
        <v>0</v>
      </c>
      <c r="BW256" s="523">
        <v>0</v>
      </c>
      <c r="BX256" s="523">
        <v>0</v>
      </c>
      <c r="BY256" s="523">
        <v>0</v>
      </c>
      <c r="BZ256" s="523"/>
      <c r="CA256" s="523"/>
      <c r="CB256" s="523"/>
      <c r="CC256" s="523"/>
      <c r="CD256" s="523"/>
      <c r="CE256" s="523"/>
      <c r="CF256" s="523"/>
      <c r="CG256" s="523"/>
      <c r="CH256" s="523"/>
      <c r="CI256" s="523">
        <f t="shared" si="64"/>
        <v>0</v>
      </c>
    </row>
    <row r="257" spans="1:87" x14ac:dyDescent="0.2">
      <c r="A257" s="125" t="s">
        <v>1757</v>
      </c>
      <c r="B257" s="126" t="s">
        <v>1758</v>
      </c>
      <c r="C257" s="126" t="s">
        <v>1324</v>
      </c>
      <c r="D257" s="127" t="s">
        <v>1759</v>
      </c>
      <c r="E257" s="128" t="s">
        <v>102</v>
      </c>
      <c r="F257" s="137">
        <v>2.93</v>
      </c>
      <c r="G257" s="130">
        <v>156.31</v>
      </c>
      <c r="H257" s="128">
        <v>6</v>
      </c>
      <c r="I257" s="116">
        <f t="shared" si="63"/>
        <v>0</v>
      </c>
      <c r="J257" s="374">
        <f t="shared" si="65"/>
        <v>0</v>
      </c>
      <c r="K257" s="137">
        <f t="shared" si="79"/>
        <v>6</v>
      </c>
      <c r="L257" s="131">
        <f t="shared" si="80"/>
        <v>937.86</v>
      </c>
      <c r="M257" s="131">
        <f t="shared" si="81"/>
        <v>0</v>
      </c>
      <c r="N257" s="131">
        <f t="shared" si="82"/>
        <v>0</v>
      </c>
      <c r="O257" s="375">
        <f t="shared" si="83"/>
        <v>937.86</v>
      </c>
      <c r="P257" s="136">
        <f t="shared" si="62"/>
        <v>0</v>
      </c>
      <c r="S257" s="189">
        <v>0</v>
      </c>
      <c r="T257" s="189">
        <v>0</v>
      </c>
      <c r="BU257" s="523"/>
      <c r="BV257" s="523">
        <v>0</v>
      </c>
      <c r="BW257" s="523">
        <v>0</v>
      </c>
      <c r="BX257" s="523">
        <v>0</v>
      </c>
      <c r="BY257" s="523">
        <v>0</v>
      </c>
      <c r="BZ257" s="523"/>
      <c r="CA257" s="523"/>
      <c r="CB257" s="523"/>
      <c r="CC257" s="523"/>
      <c r="CD257" s="523"/>
      <c r="CE257" s="523"/>
      <c r="CF257" s="523"/>
      <c r="CG257" s="523"/>
      <c r="CH257" s="523"/>
      <c r="CI257" s="523">
        <f t="shared" si="64"/>
        <v>0</v>
      </c>
    </row>
    <row r="258" spans="1:87" ht="25.5" x14ac:dyDescent="0.2">
      <c r="A258" s="125" t="s">
        <v>1760</v>
      </c>
      <c r="B258" s="126" t="s">
        <v>2007</v>
      </c>
      <c r="C258" s="126" t="s">
        <v>1339</v>
      </c>
      <c r="D258" s="127" t="s">
        <v>1761</v>
      </c>
      <c r="E258" s="128" t="s">
        <v>102</v>
      </c>
      <c r="F258" s="137">
        <v>4.1100000000000003</v>
      </c>
      <c r="G258" s="130">
        <v>449.68</v>
      </c>
      <c r="H258" s="128">
        <v>20</v>
      </c>
      <c r="I258" s="116">
        <f t="shared" si="63"/>
        <v>0</v>
      </c>
      <c r="J258" s="374">
        <f t="shared" si="65"/>
        <v>0</v>
      </c>
      <c r="K258" s="137">
        <f t="shared" si="79"/>
        <v>20</v>
      </c>
      <c r="L258" s="131">
        <f t="shared" si="80"/>
        <v>8993.6</v>
      </c>
      <c r="M258" s="131">
        <f t="shared" si="81"/>
        <v>0</v>
      </c>
      <c r="N258" s="131">
        <f t="shared" si="82"/>
        <v>0</v>
      </c>
      <c r="O258" s="375">
        <f t="shared" si="83"/>
        <v>8993.6</v>
      </c>
      <c r="P258" s="136">
        <f t="shared" si="62"/>
        <v>0</v>
      </c>
      <c r="S258" s="189">
        <v>0</v>
      </c>
      <c r="T258" s="189">
        <v>0</v>
      </c>
      <c r="BU258" s="523"/>
      <c r="BV258" s="523">
        <v>0</v>
      </c>
      <c r="BW258" s="523">
        <v>0</v>
      </c>
      <c r="BX258" s="523">
        <v>0</v>
      </c>
      <c r="BY258" s="523">
        <v>0</v>
      </c>
      <c r="BZ258" s="523"/>
      <c r="CA258" s="523"/>
      <c r="CB258" s="523"/>
      <c r="CC258" s="523"/>
      <c r="CD258" s="523"/>
      <c r="CE258" s="523"/>
      <c r="CF258" s="523"/>
      <c r="CG258" s="523"/>
      <c r="CH258" s="523"/>
      <c r="CI258" s="523">
        <f t="shared" si="64"/>
        <v>0</v>
      </c>
    </row>
    <row r="259" spans="1:87" x14ac:dyDescent="0.2">
      <c r="A259" s="412">
        <v>18</v>
      </c>
      <c r="B259" s="413"/>
      <c r="C259" s="413"/>
      <c r="D259" s="414" t="s">
        <v>1762</v>
      </c>
      <c r="E259" s="415"/>
      <c r="F259" s="417"/>
      <c r="G259" s="418"/>
      <c r="H259" s="416"/>
      <c r="I259" s="420"/>
      <c r="J259" s="421">
        <f t="shared" si="65"/>
        <v>0</v>
      </c>
      <c r="K259" s="420"/>
      <c r="L259" s="416">
        <f>SUM(L260:L267)</f>
        <v>7237.1900000000014</v>
      </c>
      <c r="M259" s="433">
        <f>SUM(M260:M267)</f>
        <v>0</v>
      </c>
      <c r="N259" s="433">
        <f>SUM(N260:N267)</f>
        <v>0</v>
      </c>
      <c r="O259" s="434">
        <f>SUM(O260:O267)</f>
        <v>7237.1900000000014</v>
      </c>
      <c r="P259" s="423">
        <f t="shared" si="62"/>
        <v>0</v>
      </c>
      <c r="S259" s="189">
        <v>0</v>
      </c>
      <c r="T259" s="189">
        <v>0</v>
      </c>
      <c r="BU259" s="523"/>
      <c r="BV259" s="523"/>
      <c r="BW259" s="523"/>
      <c r="BX259" s="523">
        <v>0</v>
      </c>
      <c r="BY259" s="523">
        <v>0</v>
      </c>
      <c r="BZ259" s="523"/>
      <c r="CA259" s="523"/>
      <c r="CB259" s="523"/>
      <c r="CC259" s="523"/>
      <c r="CD259" s="523"/>
      <c r="CE259" s="523"/>
      <c r="CF259" s="523"/>
      <c r="CG259" s="523"/>
      <c r="CH259" s="523"/>
      <c r="CI259" s="523">
        <f t="shared" si="64"/>
        <v>0</v>
      </c>
    </row>
    <row r="260" spans="1:87" ht="25.5" x14ac:dyDescent="0.2">
      <c r="A260" s="125" t="s">
        <v>657</v>
      </c>
      <c r="B260" s="126" t="s">
        <v>2007</v>
      </c>
      <c r="C260" s="126" t="s">
        <v>1339</v>
      </c>
      <c r="D260" s="127" t="s">
        <v>1763</v>
      </c>
      <c r="E260" s="128" t="s">
        <v>102</v>
      </c>
      <c r="F260" s="129"/>
      <c r="G260" s="130">
        <v>205.82</v>
      </c>
      <c r="H260" s="128">
        <v>7</v>
      </c>
      <c r="I260" s="116">
        <f t="shared" si="63"/>
        <v>0</v>
      </c>
      <c r="J260" s="374">
        <f t="shared" si="65"/>
        <v>0</v>
      </c>
      <c r="K260" s="137">
        <f t="shared" ref="K260:K267" si="84">H260-J260</f>
        <v>7</v>
      </c>
      <c r="L260" s="131">
        <f t="shared" ref="L260:L267" si="85">ROUND(H260*G260,2)</f>
        <v>1440.74</v>
      </c>
      <c r="M260" s="131">
        <f t="shared" ref="M260:M267" si="86">I260*G260</f>
        <v>0</v>
      </c>
      <c r="N260" s="131">
        <f t="shared" ref="N260:N267" si="87">J260*G260</f>
        <v>0</v>
      </c>
      <c r="O260" s="375">
        <f t="shared" ref="O260:O267" si="88">L260-N260</f>
        <v>1440.74</v>
      </c>
      <c r="P260" s="136">
        <f t="shared" si="62"/>
        <v>0</v>
      </c>
      <c r="S260" s="189">
        <v>0</v>
      </c>
      <c r="T260" s="189">
        <v>0</v>
      </c>
      <c r="BU260" s="523"/>
      <c r="BV260" s="523">
        <v>0</v>
      </c>
      <c r="BW260" s="523">
        <v>0</v>
      </c>
      <c r="BX260" s="523">
        <v>0</v>
      </c>
      <c r="BY260" s="523">
        <v>0</v>
      </c>
      <c r="BZ260" s="523"/>
      <c r="CA260" s="523"/>
      <c r="CB260" s="523"/>
      <c r="CC260" s="523"/>
      <c r="CD260" s="523"/>
      <c r="CE260" s="523"/>
      <c r="CF260" s="523"/>
      <c r="CG260" s="523"/>
      <c r="CH260" s="523"/>
      <c r="CI260" s="523">
        <f t="shared" si="64"/>
        <v>0</v>
      </c>
    </row>
    <row r="261" spans="1:87" x14ac:dyDescent="0.2">
      <c r="A261" s="125" t="s">
        <v>664</v>
      </c>
      <c r="B261" s="126" t="s">
        <v>2007</v>
      </c>
      <c r="C261" s="126" t="s">
        <v>1339</v>
      </c>
      <c r="D261" s="127" t="s">
        <v>1764</v>
      </c>
      <c r="E261" s="128" t="s">
        <v>102</v>
      </c>
      <c r="F261" s="137">
        <v>179.19</v>
      </c>
      <c r="G261" s="130">
        <v>232.41</v>
      </c>
      <c r="H261" s="128">
        <v>1</v>
      </c>
      <c r="I261" s="116">
        <f t="shared" si="63"/>
        <v>0</v>
      </c>
      <c r="J261" s="374">
        <f t="shared" si="65"/>
        <v>0</v>
      </c>
      <c r="K261" s="137">
        <f t="shared" si="84"/>
        <v>1</v>
      </c>
      <c r="L261" s="131">
        <f t="shared" si="85"/>
        <v>232.41</v>
      </c>
      <c r="M261" s="131">
        <f t="shared" si="86"/>
        <v>0</v>
      </c>
      <c r="N261" s="131">
        <f t="shared" si="87"/>
        <v>0</v>
      </c>
      <c r="O261" s="375">
        <f t="shared" si="88"/>
        <v>232.41</v>
      </c>
      <c r="P261" s="136">
        <f t="shared" si="62"/>
        <v>0</v>
      </c>
      <c r="S261" s="189">
        <v>0</v>
      </c>
      <c r="T261" s="189">
        <v>0</v>
      </c>
      <c r="BU261" s="523"/>
      <c r="BV261" s="523">
        <v>0</v>
      </c>
      <c r="BW261" s="523">
        <v>0</v>
      </c>
      <c r="BX261" s="523">
        <v>0</v>
      </c>
      <c r="BY261" s="523">
        <v>0</v>
      </c>
      <c r="BZ261" s="523"/>
      <c r="CA261" s="523"/>
      <c r="CB261" s="523"/>
      <c r="CC261" s="523"/>
      <c r="CD261" s="523"/>
      <c r="CE261" s="523"/>
      <c r="CF261" s="523"/>
      <c r="CG261" s="523"/>
      <c r="CH261" s="523"/>
      <c r="CI261" s="523">
        <f t="shared" si="64"/>
        <v>0</v>
      </c>
    </row>
    <row r="262" spans="1:87" x14ac:dyDescent="0.2">
      <c r="A262" s="125" t="s">
        <v>668</v>
      </c>
      <c r="B262" s="126">
        <v>72929</v>
      </c>
      <c r="C262" s="126" t="s">
        <v>1324</v>
      </c>
      <c r="D262" s="127" t="s">
        <v>1765</v>
      </c>
      <c r="E262" s="128" t="s">
        <v>81</v>
      </c>
      <c r="F262" s="137">
        <v>212.03</v>
      </c>
      <c r="G262" s="130">
        <v>22.1</v>
      </c>
      <c r="H262" s="128">
        <v>39.200000000000003</v>
      </c>
      <c r="I262" s="116">
        <f t="shared" si="63"/>
        <v>0</v>
      </c>
      <c r="J262" s="374">
        <f t="shared" si="65"/>
        <v>0</v>
      </c>
      <c r="K262" s="137">
        <f t="shared" si="84"/>
        <v>39.200000000000003</v>
      </c>
      <c r="L262" s="131">
        <f t="shared" si="85"/>
        <v>866.32</v>
      </c>
      <c r="M262" s="131">
        <f t="shared" si="86"/>
        <v>0</v>
      </c>
      <c r="N262" s="131">
        <f t="shared" si="87"/>
        <v>0</v>
      </c>
      <c r="O262" s="375">
        <f t="shared" si="88"/>
        <v>866.32</v>
      </c>
      <c r="P262" s="136">
        <f t="shared" si="62"/>
        <v>0</v>
      </c>
      <c r="S262" s="189">
        <v>0</v>
      </c>
      <c r="T262" s="189">
        <v>0</v>
      </c>
      <c r="BU262" s="523"/>
      <c r="BV262" s="523">
        <v>0</v>
      </c>
      <c r="BW262" s="523">
        <v>0</v>
      </c>
      <c r="BX262" s="523">
        <v>0</v>
      </c>
      <c r="BY262" s="523">
        <v>0</v>
      </c>
      <c r="BZ262" s="523"/>
      <c r="CA262" s="523"/>
      <c r="CB262" s="523"/>
      <c r="CC262" s="523"/>
      <c r="CD262" s="523"/>
      <c r="CE262" s="523"/>
      <c r="CF262" s="523"/>
      <c r="CG262" s="523"/>
      <c r="CH262" s="523"/>
      <c r="CI262" s="523">
        <f t="shared" si="64"/>
        <v>0</v>
      </c>
    </row>
    <row r="263" spans="1:87" x14ac:dyDescent="0.2">
      <c r="A263" s="125" t="s">
        <v>671</v>
      </c>
      <c r="B263" s="126">
        <v>72930</v>
      </c>
      <c r="C263" s="126" t="s">
        <v>1324</v>
      </c>
      <c r="D263" s="127" t="s">
        <v>1766</v>
      </c>
      <c r="E263" s="128" t="s">
        <v>81</v>
      </c>
      <c r="F263" s="137">
        <v>101.58</v>
      </c>
      <c r="G263" s="130">
        <v>31.35</v>
      </c>
      <c r="H263" s="128">
        <v>126.32</v>
      </c>
      <c r="I263" s="116">
        <f t="shared" si="63"/>
        <v>0</v>
      </c>
      <c r="J263" s="374">
        <f t="shared" si="65"/>
        <v>0</v>
      </c>
      <c r="K263" s="137">
        <f t="shared" si="84"/>
        <v>126.32</v>
      </c>
      <c r="L263" s="131">
        <f t="shared" si="85"/>
        <v>3960.13</v>
      </c>
      <c r="M263" s="131">
        <f t="shared" si="86"/>
        <v>0</v>
      </c>
      <c r="N263" s="131">
        <f t="shared" si="87"/>
        <v>0</v>
      </c>
      <c r="O263" s="375">
        <f t="shared" si="88"/>
        <v>3960.13</v>
      </c>
      <c r="P263" s="136">
        <f t="shared" si="62"/>
        <v>0</v>
      </c>
      <c r="S263" s="189">
        <v>0</v>
      </c>
      <c r="T263" s="189">
        <v>0</v>
      </c>
      <c r="BU263" s="523"/>
      <c r="BV263" s="523">
        <v>0</v>
      </c>
      <c r="BW263" s="523">
        <v>0</v>
      </c>
      <c r="BX263" s="523">
        <v>0</v>
      </c>
      <c r="BY263" s="523">
        <v>0</v>
      </c>
      <c r="BZ263" s="523"/>
      <c r="CA263" s="523"/>
      <c r="CB263" s="523"/>
      <c r="CC263" s="523"/>
      <c r="CD263" s="523"/>
      <c r="CE263" s="523"/>
      <c r="CF263" s="523"/>
      <c r="CG263" s="523"/>
      <c r="CH263" s="523"/>
      <c r="CI263" s="523">
        <f t="shared" si="64"/>
        <v>0</v>
      </c>
    </row>
    <row r="264" spans="1:87" x14ac:dyDescent="0.2">
      <c r="A264" s="125" t="s">
        <v>679</v>
      </c>
      <c r="B264" s="126">
        <v>93008</v>
      </c>
      <c r="C264" s="126" t="s">
        <v>1324</v>
      </c>
      <c r="D264" s="127" t="s">
        <v>1767</v>
      </c>
      <c r="E264" s="128" t="s">
        <v>81</v>
      </c>
      <c r="F264" s="137">
        <v>412.2</v>
      </c>
      <c r="G264" s="130">
        <v>9.83</v>
      </c>
      <c r="H264" s="128">
        <v>21</v>
      </c>
      <c r="I264" s="116">
        <f t="shared" si="63"/>
        <v>0</v>
      </c>
      <c r="J264" s="374">
        <f t="shared" si="65"/>
        <v>0</v>
      </c>
      <c r="K264" s="137">
        <f t="shared" si="84"/>
        <v>21</v>
      </c>
      <c r="L264" s="131">
        <f t="shared" si="85"/>
        <v>206.43</v>
      </c>
      <c r="M264" s="131">
        <f t="shared" si="86"/>
        <v>0</v>
      </c>
      <c r="N264" s="131">
        <f t="shared" si="87"/>
        <v>0</v>
      </c>
      <c r="O264" s="375">
        <f t="shared" si="88"/>
        <v>206.43</v>
      </c>
      <c r="P264" s="136">
        <f t="shared" si="62"/>
        <v>0</v>
      </c>
      <c r="S264" s="189">
        <v>0</v>
      </c>
      <c r="T264" s="189">
        <v>0</v>
      </c>
      <c r="BU264" s="523"/>
      <c r="BV264" s="523">
        <v>0</v>
      </c>
      <c r="BW264" s="523">
        <v>0</v>
      </c>
      <c r="BX264" s="523">
        <v>0</v>
      </c>
      <c r="BY264" s="523">
        <v>0</v>
      </c>
      <c r="BZ264" s="523"/>
      <c r="CA264" s="523"/>
      <c r="CB264" s="523"/>
      <c r="CC264" s="523"/>
      <c r="CD264" s="523"/>
      <c r="CE264" s="523"/>
      <c r="CF264" s="523"/>
      <c r="CG264" s="523"/>
      <c r="CH264" s="523"/>
      <c r="CI264" s="523">
        <f t="shared" si="64"/>
        <v>0</v>
      </c>
    </row>
    <row r="265" spans="1:87" x14ac:dyDescent="0.2">
      <c r="A265" s="125" t="s">
        <v>1768</v>
      </c>
      <c r="B265" s="126" t="s">
        <v>2007</v>
      </c>
      <c r="C265" s="126" t="s">
        <v>1769</v>
      </c>
      <c r="D265" s="127" t="s">
        <v>1770</v>
      </c>
      <c r="E265" s="128" t="s">
        <v>102</v>
      </c>
      <c r="F265" s="137">
        <v>348.66</v>
      </c>
      <c r="G265" s="130">
        <v>38.299999999999997</v>
      </c>
      <c r="H265" s="128">
        <v>7</v>
      </c>
      <c r="I265" s="116">
        <f t="shared" si="63"/>
        <v>0</v>
      </c>
      <c r="J265" s="374">
        <f t="shared" si="65"/>
        <v>0</v>
      </c>
      <c r="K265" s="137">
        <f t="shared" si="84"/>
        <v>7</v>
      </c>
      <c r="L265" s="131">
        <f t="shared" si="85"/>
        <v>268.10000000000002</v>
      </c>
      <c r="M265" s="131">
        <f t="shared" si="86"/>
        <v>0</v>
      </c>
      <c r="N265" s="131">
        <f t="shared" si="87"/>
        <v>0</v>
      </c>
      <c r="O265" s="375">
        <f t="shared" si="88"/>
        <v>268.10000000000002</v>
      </c>
      <c r="P265" s="136">
        <f t="shared" si="62"/>
        <v>0</v>
      </c>
      <c r="S265" s="189">
        <v>0</v>
      </c>
      <c r="T265" s="189">
        <v>0</v>
      </c>
      <c r="BU265" s="523"/>
      <c r="BV265" s="523">
        <v>0</v>
      </c>
      <c r="BW265" s="523">
        <v>0</v>
      </c>
      <c r="BX265" s="523">
        <v>0</v>
      </c>
      <c r="BY265" s="523">
        <v>0</v>
      </c>
      <c r="BZ265" s="523"/>
      <c r="CA265" s="523"/>
      <c r="CB265" s="523"/>
      <c r="CC265" s="523"/>
      <c r="CD265" s="523"/>
      <c r="CE265" s="523"/>
      <c r="CF265" s="523"/>
      <c r="CG265" s="523"/>
      <c r="CH265" s="523"/>
      <c r="CI265" s="523">
        <f t="shared" si="64"/>
        <v>0</v>
      </c>
    </row>
    <row r="266" spans="1:87" x14ac:dyDescent="0.2">
      <c r="A266" s="125" t="s">
        <v>1771</v>
      </c>
      <c r="B266" s="126" t="s">
        <v>2007</v>
      </c>
      <c r="C266" s="126" t="s">
        <v>1769</v>
      </c>
      <c r="D266" s="127" t="s">
        <v>1772</v>
      </c>
      <c r="E266" s="128" t="s">
        <v>102</v>
      </c>
      <c r="F266" s="137">
        <v>153.37</v>
      </c>
      <c r="G266" s="130">
        <v>24.49</v>
      </c>
      <c r="H266" s="128">
        <v>7</v>
      </c>
      <c r="I266" s="116">
        <f t="shared" si="63"/>
        <v>0</v>
      </c>
      <c r="J266" s="374">
        <f t="shared" si="65"/>
        <v>0</v>
      </c>
      <c r="K266" s="137">
        <f t="shared" si="84"/>
        <v>7</v>
      </c>
      <c r="L266" s="131">
        <f t="shared" si="85"/>
        <v>171.43</v>
      </c>
      <c r="M266" s="131">
        <f t="shared" si="86"/>
        <v>0</v>
      </c>
      <c r="N266" s="131">
        <f t="shared" si="87"/>
        <v>0</v>
      </c>
      <c r="O266" s="375">
        <f t="shared" si="88"/>
        <v>171.43</v>
      </c>
      <c r="P266" s="136">
        <f t="shared" si="62"/>
        <v>0</v>
      </c>
      <c r="S266" s="189">
        <v>0</v>
      </c>
      <c r="T266" s="189">
        <v>0</v>
      </c>
      <c r="BU266" s="523"/>
      <c r="BV266" s="523">
        <v>0</v>
      </c>
      <c r="BW266" s="523">
        <v>0</v>
      </c>
      <c r="BX266" s="523">
        <v>0</v>
      </c>
      <c r="BY266" s="523">
        <v>0</v>
      </c>
      <c r="BZ266" s="523"/>
      <c r="CA266" s="523"/>
      <c r="CB266" s="523"/>
      <c r="CC266" s="523"/>
      <c r="CD266" s="523"/>
      <c r="CE266" s="523"/>
      <c r="CF266" s="523"/>
      <c r="CG266" s="523"/>
      <c r="CH266" s="523"/>
      <c r="CI266" s="523">
        <f t="shared" si="64"/>
        <v>0</v>
      </c>
    </row>
    <row r="267" spans="1:87" x14ac:dyDescent="0.2">
      <c r="A267" s="125" t="s">
        <v>1773</v>
      </c>
      <c r="B267" s="126">
        <v>72262</v>
      </c>
      <c r="C267" s="126" t="s">
        <v>1324</v>
      </c>
      <c r="D267" s="127" t="s">
        <v>1774</v>
      </c>
      <c r="E267" s="128" t="s">
        <v>102</v>
      </c>
      <c r="F267" s="137">
        <v>62.01</v>
      </c>
      <c r="G267" s="130">
        <v>13.09</v>
      </c>
      <c r="H267" s="128">
        <v>7</v>
      </c>
      <c r="I267" s="116">
        <f t="shared" si="63"/>
        <v>0</v>
      </c>
      <c r="J267" s="374">
        <f t="shared" si="65"/>
        <v>0</v>
      </c>
      <c r="K267" s="137">
        <f t="shared" si="84"/>
        <v>7</v>
      </c>
      <c r="L267" s="131">
        <f t="shared" si="85"/>
        <v>91.63</v>
      </c>
      <c r="M267" s="131">
        <f t="shared" si="86"/>
        <v>0</v>
      </c>
      <c r="N267" s="131">
        <f t="shared" si="87"/>
        <v>0</v>
      </c>
      <c r="O267" s="375">
        <f t="shared" si="88"/>
        <v>91.63</v>
      </c>
      <c r="P267" s="136">
        <f t="shared" si="62"/>
        <v>0</v>
      </c>
      <c r="S267" s="189">
        <v>0</v>
      </c>
      <c r="T267" s="189">
        <v>0</v>
      </c>
      <c r="BU267" s="523"/>
      <c r="BV267" s="523">
        <v>0</v>
      </c>
      <c r="BW267" s="523">
        <v>0</v>
      </c>
      <c r="BX267" s="523">
        <v>0</v>
      </c>
      <c r="BY267" s="523">
        <v>0</v>
      </c>
      <c r="BZ267" s="523"/>
      <c r="CA267" s="523"/>
      <c r="CB267" s="523"/>
      <c r="CC267" s="523"/>
      <c r="CD267" s="523"/>
      <c r="CE267" s="523"/>
      <c r="CF267" s="523"/>
      <c r="CG267" s="523"/>
      <c r="CH267" s="523"/>
      <c r="CI267" s="523">
        <f t="shared" si="64"/>
        <v>0</v>
      </c>
    </row>
    <row r="268" spans="1:87" s="514" customFormat="1" x14ac:dyDescent="0.2">
      <c r="A268" s="412">
        <v>19</v>
      </c>
      <c r="B268" s="413"/>
      <c r="C268" s="413"/>
      <c r="D268" s="414" t="s">
        <v>304</v>
      </c>
      <c r="E268" s="415"/>
      <c r="F268" s="417"/>
      <c r="G268" s="418"/>
      <c r="H268" s="416"/>
      <c r="I268" s="420"/>
      <c r="J268" s="421">
        <f t="shared" si="65"/>
        <v>0</v>
      </c>
      <c r="K268" s="420"/>
      <c r="L268" s="416">
        <f>SUM(L269,L275)</f>
        <v>28168.979999999996</v>
      </c>
      <c r="M268" s="433">
        <f>SUM(M269,M275)</f>
        <v>0</v>
      </c>
      <c r="N268" s="433">
        <f>SUM(N269,N275)</f>
        <v>0</v>
      </c>
      <c r="O268" s="434">
        <f>SUM(O269,O275)</f>
        <v>28168.979999999996</v>
      </c>
      <c r="P268" s="423">
        <f t="shared" si="62"/>
        <v>0</v>
      </c>
      <c r="S268" s="190">
        <v>0</v>
      </c>
      <c r="T268" s="190">
        <v>0</v>
      </c>
      <c r="BU268" s="523"/>
      <c r="BV268" s="523"/>
      <c r="BW268" s="523"/>
      <c r="BX268" s="523">
        <v>0</v>
      </c>
      <c r="BY268" s="523">
        <v>0</v>
      </c>
      <c r="BZ268" s="523"/>
      <c r="CA268" s="523"/>
      <c r="CB268" s="523"/>
      <c r="CC268" s="523"/>
      <c r="CD268" s="523"/>
      <c r="CE268" s="523"/>
      <c r="CF268" s="523"/>
      <c r="CG268" s="523"/>
      <c r="CH268" s="523"/>
      <c r="CI268" s="523">
        <f t="shared" si="64"/>
        <v>0</v>
      </c>
    </row>
    <row r="269" spans="1:87" x14ac:dyDescent="0.2">
      <c r="A269" s="449" t="s">
        <v>685</v>
      </c>
      <c r="B269" s="450"/>
      <c r="C269" s="450"/>
      <c r="D269" s="451" t="s">
        <v>1775</v>
      </c>
      <c r="E269" s="452"/>
      <c r="F269" s="452">
        <f t="shared" ref="F269:O269" si="89">SUM(F270:F274)</f>
        <v>1826.3500000000001</v>
      </c>
      <c r="G269" s="468">
        <f t="shared" si="89"/>
        <v>4162.6000000000004</v>
      </c>
      <c r="H269" s="452">
        <f>SUM(H270:H274)</f>
        <v>15.1</v>
      </c>
      <c r="I269" s="452">
        <f t="shared" si="63"/>
        <v>0</v>
      </c>
      <c r="J269" s="457">
        <f t="shared" si="65"/>
        <v>0</v>
      </c>
      <c r="K269" s="452">
        <f t="shared" si="89"/>
        <v>15.1</v>
      </c>
      <c r="L269" s="452">
        <f>SUM(L270:L274)</f>
        <v>6263.99</v>
      </c>
      <c r="M269" s="468">
        <f t="shared" si="89"/>
        <v>0</v>
      </c>
      <c r="N269" s="468">
        <f t="shared" si="89"/>
        <v>0</v>
      </c>
      <c r="O269" s="469">
        <f t="shared" si="89"/>
        <v>6263.99</v>
      </c>
      <c r="P269" s="459">
        <f t="shared" ref="P269:P283" si="90">N269/L269</f>
        <v>0</v>
      </c>
      <c r="S269" s="189">
        <v>0</v>
      </c>
      <c r="T269" s="189">
        <v>0</v>
      </c>
      <c r="BU269" s="523"/>
      <c r="BV269" s="523"/>
      <c r="BW269" s="523"/>
      <c r="BX269" s="523">
        <v>0</v>
      </c>
      <c r="BY269" s="523">
        <v>0</v>
      </c>
      <c r="BZ269" s="523"/>
      <c r="CA269" s="523"/>
      <c r="CB269" s="523"/>
      <c r="CC269" s="523"/>
      <c r="CD269" s="523"/>
      <c r="CE269" s="523"/>
      <c r="CF269" s="523"/>
      <c r="CG269" s="523"/>
      <c r="CH269" s="523"/>
      <c r="CI269" s="523">
        <f t="shared" si="64"/>
        <v>0</v>
      </c>
    </row>
    <row r="270" spans="1:87" x14ac:dyDescent="0.2">
      <c r="A270" s="125" t="s">
        <v>1776</v>
      </c>
      <c r="B270" s="126" t="s">
        <v>2007</v>
      </c>
      <c r="C270" s="126" t="s">
        <v>1339</v>
      </c>
      <c r="D270" s="127" t="s">
        <v>1777</v>
      </c>
      <c r="E270" s="128" t="s">
        <v>14</v>
      </c>
      <c r="F270" s="137">
        <v>224.79</v>
      </c>
      <c r="G270" s="130">
        <v>236.77</v>
      </c>
      <c r="H270" s="128">
        <v>2.5</v>
      </c>
      <c r="I270" s="116">
        <f t="shared" si="63"/>
        <v>0</v>
      </c>
      <c r="J270" s="374">
        <f t="shared" si="65"/>
        <v>0</v>
      </c>
      <c r="K270" s="137">
        <f>H270-J270</f>
        <v>2.5</v>
      </c>
      <c r="L270" s="131">
        <f>ROUND(H270*G270,2)</f>
        <v>591.92999999999995</v>
      </c>
      <c r="M270" s="131">
        <f>I270*G270</f>
        <v>0</v>
      </c>
      <c r="N270" s="131">
        <f>J270*G270</f>
        <v>0</v>
      </c>
      <c r="O270" s="375">
        <f>L270-N270</f>
        <v>591.92999999999995</v>
      </c>
      <c r="P270" s="136">
        <f t="shared" si="90"/>
        <v>0</v>
      </c>
      <c r="S270" s="189">
        <v>0</v>
      </c>
      <c r="T270" s="189">
        <v>0</v>
      </c>
      <c r="BU270" s="523"/>
      <c r="BV270" s="523">
        <v>0</v>
      </c>
      <c r="BW270" s="523">
        <v>0</v>
      </c>
      <c r="BX270" s="523">
        <v>0</v>
      </c>
      <c r="BY270" s="523">
        <v>0</v>
      </c>
      <c r="BZ270" s="523"/>
      <c r="CA270" s="523"/>
      <c r="CB270" s="523"/>
      <c r="CC270" s="523"/>
      <c r="CD270" s="523"/>
      <c r="CE270" s="523"/>
      <c r="CF270" s="523"/>
      <c r="CG270" s="523"/>
      <c r="CH270" s="523"/>
      <c r="CI270" s="523">
        <f t="shared" si="64"/>
        <v>0</v>
      </c>
    </row>
    <row r="271" spans="1:87" x14ac:dyDescent="0.2">
      <c r="A271" s="125" t="s">
        <v>1778</v>
      </c>
      <c r="B271" s="126" t="s">
        <v>2007</v>
      </c>
      <c r="C271" s="126" t="s">
        <v>1339</v>
      </c>
      <c r="D271" s="127" t="s">
        <v>1779</v>
      </c>
      <c r="E271" s="128" t="s">
        <v>102</v>
      </c>
      <c r="F271" s="137">
        <v>170.36</v>
      </c>
      <c r="G271" s="130">
        <v>1103.49</v>
      </c>
      <c r="H271" s="128">
        <v>1</v>
      </c>
      <c r="I271" s="116">
        <f t="shared" ref="I271:I283" si="91">BY271</f>
        <v>0</v>
      </c>
      <c r="J271" s="374">
        <f t="shared" si="65"/>
        <v>0</v>
      </c>
      <c r="K271" s="137">
        <f>H271-J271</f>
        <v>1</v>
      </c>
      <c r="L271" s="131">
        <f>ROUND(H271*G271,2)</f>
        <v>1103.49</v>
      </c>
      <c r="M271" s="131">
        <f>I271*G271</f>
        <v>0</v>
      </c>
      <c r="N271" s="131">
        <f>J271*G271</f>
        <v>0</v>
      </c>
      <c r="O271" s="375">
        <f>L271-N271</f>
        <v>1103.49</v>
      </c>
      <c r="P271" s="136">
        <f t="shared" si="90"/>
        <v>0</v>
      </c>
      <c r="S271" s="189">
        <v>0</v>
      </c>
      <c r="T271" s="189">
        <v>0</v>
      </c>
      <c r="BU271" s="523"/>
      <c r="BV271" s="523">
        <v>0</v>
      </c>
      <c r="BW271" s="523">
        <v>0</v>
      </c>
      <c r="BX271" s="523">
        <v>0</v>
      </c>
      <c r="BY271" s="523">
        <v>0</v>
      </c>
      <c r="BZ271" s="523"/>
      <c r="CA271" s="523"/>
      <c r="CB271" s="523"/>
      <c r="CC271" s="523"/>
      <c r="CD271" s="523"/>
      <c r="CE271" s="523"/>
      <c r="CF271" s="523"/>
      <c r="CG271" s="523"/>
      <c r="CH271" s="523"/>
      <c r="CI271" s="523">
        <f t="shared" ref="CI271:CI284" si="92">SUM(BU271:CH271)</f>
        <v>0</v>
      </c>
    </row>
    <row r="272" spans="1:87" x14ac:dyDescent="0.2">
      <c r="A272" s="125" t="s">
        <v>1780</v>
      </c>
      <c r="B272" s="126" t="s">
        <v>2007</v>
      </c>
      <c r="C272" s="126" t="s">
        <v>1339</v>
      </c>
      <c r="D272" s="127" t="s">
        <v>1781</v>
      </c>
      <c r="E272" s="128" t="s">
        <v>102</v>
      </c>
      <c r="F272" s="137">
        <v>108</v>
      </c>
      <c r="G272" s="130">
        <v>1841.38</v>
      </c>
      <c r="H272" s="128">
        <v>1</v>
      </c>
      <c r="I272" s="116">
        <f t="shared" si="91"/>
        <v>0</v>
      </c>
      <c r="J272" s="374">
        <f t="shared" ref="J272:J284" si="93">CI272</f>
        <v>0</v>
      </c>
      <c r="K272" s="137">
        <f>H272-J272</f>
        <v>1</v>
      </c>
      <c r="L272" s="131">
        <f>ROUND(H272*G272,2)</f>
        <v>1841.38</v>
      </c>
      <c r="M272" s="131">
        <f>I272*G272</f>
        <v>0</v>
      </c>
      <c r="N272" s="131">
        <f>J272*G272</f>
        <v>0</v>
      </c>
      <c r="O272" s="375">
        <f>L272-N272</f>
        <v>1841.38</v>
      </c>
      <c r="P272" s="136">
        <f t="shared" si="90"/>
        <v>0</v>
      </c>
      <c r="S272" s="189">
        <v>0</v>
      </c>
      <c r="T272" s="189">
        <v>0</v>
      </c>
      <c r="BU272" s="523"/>
      <c r="BV272" s="523">
        <v>0</v>
      </c>
      <c r="BW272" s="523">
        <v>0</v>
      </c>
      <c r="BX272" s="523">
        <v>0</v>
      </c>
      <c r="BY272" s="523">
        <v>0</v>
      </c>
      <c r="BZ272" s="523"/>
      <c r="CA272" s="523"/>
      <c r="CB272" s="523"/>
      <c r="CC272" s="523"/>
      <c r="CD272" s="523"/>
      <c r="CE272" s="523"/>
      <c r="CF272" s="523"/>
      <c r="CG272" s="523"/>
      <c r="CH272" s="523"/>
      <c r="CI272" s="523">
        <f t="shared" si="92"/>
        <v>0</v>
      </c>
    </row>
    <row r="273" spans="1:87" x14ac:dyDescent="0.2">
      <c r="A273" s="125" t="s">
        <v>1782</v>
      </c>
      <c r="B273" s="126" t="s">
        <v>2007</v>
      </c>
      <c r="C273" s="126" t="s">
        <v>1339</v>
      </c>
      <c r="D273" s="127" t="s">
        <v>1783</v>
      </c>
      <c r="E273" s="128" t="s">
        <v>102</v>
      </c>
      <c r="F273" s="137">
        <v>1249</v>
      </c>
      <c r="G273" s="130">
        <v>777.91</v>
      </c>
      <c r="H273" s="128">
        <v>1</v>
      </c>
      <c r="I273" s="116">
        <f t="shared" si="91"/>
        <v>0</v>
      </c>
      <c r="J273" s="374">
        <f t="shared" si="93"/>
        <v>0</v>
      </c>
      <c r="K273" s="137">
        <f>H273-J273</f>
        <v>1</v>
      </c>
      <c r="L273" s="131">
        <f>ROUND(H273*G273,2)</f>
        <v>777.91</v>
      </c>
      <c r="M273" s="131">
        <f>I273*G273</f>
        <v>0</v>
      </c>
      <c r="N273" s="131">
        <f>J273*G273</f>
        <v>0</v>
      </c>
      <c r="O273" s="375">
        <f>L273-N273</f>
        <v>777.91</v>
      </c>
      <c r="P273" s="136">
        <f t="shared" si="90"/>
        <v>0</v>
      </c>
      <c r="S273" s="189">
        <v>0</v>
      </c>
      <c r="T273" s="189">
        <v>0</v>
      </c>
      <c r="BU273" s="523"/>
      <c r="BV273" s="523">
        <v>0</v>
      </c>
      <c r="BW273" s="523">
        <v>0</v>
      </c>
      <c r="BX273" s="523">
        <v>0</v>
      </c>
      <c r="BY273" s="523">
        <v>0</v>
      </c>
      <c r="BZ273" s="523"/>
      <c r="CA273" s="523"/>
      <c r="CB273" s="523"/>
      <c r="CC273" s="523"/>
      <c r="CD273" s="523"/>
      <c r="CE273" s="523"/>
      <c r="CF273" s="523"/>
      <c r="CG273" s="523"/>
      <c r="CH273" s="523"/>
      <c r="CI273" s="523">
        <f t="shared" si="92"/>
        <v>0</v>
      </c>
    </row>
    <row r="274" spans="1:87" s="514" customFormat="1" x14ac:dyDescent="0.2">
      <c r="A274" s="125" t="s">
        <v>1784</v>
      </c>
      <c r="B274" s="126">
        <v>84862</v>
      </c>
      <c r="C274" s="126" t="s">
        <v>1324</v>
      </c>
      <c r="D274" s="127" t="s">
        <v>1785</v>
      </c>
      <c r="E274" s="128" t="s">
        <v>81</v>
      </c>
      <c r="F274" s="137">
        <v>74.2</v>
      </c>
      <c r="G274" s="130">
        <v>203.05</v>
      </c>
      <c r="H274" s="128">
        <v>9.6</v>
      </c>
      <c r="I274" s="116">
        <f t="shared" si="91"/>
        <v>0</v>
      </c>
      <c r="J274" s="374">
        <f t="shared" si="93"/>
        <v>0</v>
      </c>
      <c r="K274" s="137">
        <f>H274-J274</f>
        <v>9.6</v>
      </c>
      <c r="L274" s="131">
        <f>ROUND(H274*G274,2)</f>
        <v>1949.28</v>
      </c>
      <c r="M274" s="131">
        <f>I274*G274</f>
        <v>0</v>
      </c>
      <c r="N274" s="131">
        <f>J274*G274</f>
        <v>0</v>
      </c>
      <c r="O274" s="375">
        <f>L274-N274</f>
        <v>1949.28</v>
      </c>
      <c r="P274" s="136">
        <f t="shared" si="90"/>
        <v>0</v>
      </c>
      <c r="S274" s="190">
        <v>0</v>
      </c>
      <c r="T274" s="190">
        <v>0</v>
      </c>
      <c r="BU274" s="523"/>
      <c r="BV274" s="523">
        <v>0</v>
      </c>
      <c r="BW274" s="523">
        <v>0</v>
      </c>
      <c r="BX274" s="523">
        <v>0</v>
      </c>
      <c r="BY274" s="523">
        <v>0</v>
      </c>
      <c r="BZ274" s="523"/>
      <c r="CA274" s="523"/>
      <c r="CB274" s="523"/>
      <c r="CC274" s="523"/>
      <c r="CD274" s="523"/>
      <c r="CE274" s="523"/>
      <c r="CF274" s="523"/>
      <c r="CG274" s="523"/>
      <c r="CH274" s="523"/>
      <c r="CI274" s="523">
        <f t="shared" si="92"/>
        <v>0</v>
      </c>
    </row>
    <row r="275" spans="1:87" x14ac:dyDescent="0.2">
      <c r="A275" s="449" t="s">
        <v>691</v>
      </c>
      <c r="B275" s="450"/>
      <c r="C275" s="450"/>
      <c r="D275" s="451" t="s">
        <v>1786</v>
      </c>
      <c r="E275" s="452"/>
      <c r="F275" s="452">
        <f t="shared" ref="F275:O275" si="94">SUM(F276:F277)</f>
        <v>162.82</v>
      </c>
      <c r="G275" s="468"/>
      <c r="H275" s="452"/>
      <c r="I275" s="452"/>
      <c r="J275" s="457">
        <f t="shared" si="93"/>
        <v>0</v>
      </c>
      <c r="K275" s="452">
        <f t="shared" si="94"/>
        <v>205</v>
      </c>
      <c r="L275" s="452">
        <f>SUM(L276:L277)</f>
        <v>21904.989999999998</v>
      </c>
      <c r="M275" s="468">
        <f t="shared" si="94"/>
        <v>0</v>
      </c>
      <c r="N275" s="468">
        <f t="shared" si="94"/>
        <v>0</v>
      </c>
      <c r="O275" s="469">
        <f t="shared" si="94"/>
        <v>21904.989999999998</v>
      </c>
      <c r="P275" s="459">
        <f t="shared" si="90"/>
        <v>0</v>
      </c>
      <c r="S275" s="189">
        <v>0</v>
      </c>
      <c r="T275" s="189">
        <v>0</v>
      </c>
      <c r="BU275" s="523"/>
      <c r="BV275" s="523"/>
      <c r="BW275" s="523"/>
      <c r="BX275" s="523">
        <v>0</v>
      </c>
      <c r="BY275" s="523">
        <v>0</v>
      </c>
      <c r="BZ275" s="523"/>
      <c r="CA275" s="523"/>
      <c r="CB275" s="523"/>
      <c r="CC275" s="523"/>
      <c r="CD275" s="523"/>
      <c r="CE275" s="523"/>
      <c r="CF275" s="523"/>
      <c r="CG275" s="523"/>
      <c r="CH275" s="523"/>
      <c r="CI275" s="523">
        <f t="shared" si="92"/>
        <v>0</v>
      </c>
    </row>
    <row r="276" spans="1:87" ht="25.5" x14ac:dyDescent="0.2">
      <c r="A276" s="125" t="s">
        <v>1787</v>
      </c>
      <c r="B276" s="126" t="s">
        <v>1788</v>
      </c>
      <c r="C276" s="126" t="s">
        <v>1324</v>
      </c>
      <c r="D276" s="127" t="s">
        <v>1789</v>
      </c>
      <c r="E276" s="128" t="s">
        <v>14</v>
      </c>
      <c r="F276" s="137">
        <v>62.36</v>
      </c>
      <c r="G276" s="130">
        <v>103.67</v>
      </c>
      <c r="H276" s="128">
        <v>201</v>
      </c>
      <c r="I276" s="116">
        <f t="shared" si="91"/>
        <v>0</v>
      </c>
      <c r="J276" s="374">
        <f t="shared" si="93"/>
        <v>0</v>
      </c>
      <c r="K276" s="137">
        <f>H276-J276</f>
        <v>201</v>
      </c>
      <c r="L276" s="131">
        <f>ROUND(H276*G276,2)</f>
        <v>20837.669999999998</v>
      </c>
      <c r="M276" s="131">
        <f>I276*G276</f>
        <v>0</v>
      </c>
      <c r="N276" s="131">
        <f>J276*G276</f>
        <v>0</v>
      </c>
      <c r="O276" s="375">
        <f>L276-N276</f>
        <v>20837.669999999998</v>
      </c>
      <c r="P276" s="136">
        <f t="shared" si="90"/>
        <v>0</v>
      </c>
      <c r="S276" s="189">
        <v>0</v>
      </c>
      <c r="T276" s="189">
        <v>0</v>
      </c>
      <c r="BU276" s="523"/>
      <c r="BV276" s="523">
        <v>0</v>
      </c>
      <c r="BW276" s="523">
        <v>0</v>
      </c>
      <c r="BX276" s="523">
        <v>0</v>
      </c>
      <c r="BY276" s="523">
        <v>0</v>
      </c>
      <c r="BZ276" s="523"/>
      <c r="CA276" s="523"/>
      <c r="CB276" s="523"/>
      <c r="CC276" s="523"/>
      <c r="CD276" s="523"/>
      <c r="CE276" s="523"/>
      <c r="CF276" s="523"/>
      <c r="CG276" s="523"/>
      <c r="CH276" s="523"/>
      <c r="CI276" s="523">
        <f t="shared" si="92"/>
        <v>0</v>
      </c>
    </row>
    <row r="277" spans="1:87" s="514" customFormat="1" x14ac:dyDescent="0.2">
      <c r="A277" s="125" t="s">
        <v>1790</v>
      </c>
      <c r="B277" s="126" t="s">
        <v>2007</v>
      </c>
      <c r="C277" s="126" t="s">
        <v>1339</v>
      </c>
      <c r="D277" s="127" t="s">
        <v>1791</v>
      </c>
      <c r="E277" s="128" t="s">
        <v>102</v>
      </c>
      <c r="F277" s="137">
        <v>100.46</v>
      </c>
      <c r="G277" s="130">
        <v>266.83</v>
      </c>
      <c r="H277" s="128">
        <v>4</v>
      </c>
      <c r="I277" s="116">
        <f t="shared" si="91"/>
        <v>0</v>
      </c>
      <c r="J277" s="374">
        <f t="shared" si="93"/>
        <v>0</v>
      </c>
      <c r="K277" s="137">
        <f>H277-J277</f>
        <v>4</v>
      </c>
      <c r="L277" s="131">
        <f>ROUND(H277*G277,2)</f>
        <v>1067.32</v>
      </c>
      <c r="M277" s="131">
        <f>I277*G277</f>
        <v>0</v>
      </c>
      <c r="N277" s="131">
        <f>J277*G277</f>
        <v>0</v>
      </c>
      <c r="O277" s="375">
        <f>L277-N277</f>
        <v>1067.32</v>
      </c>
      <c r="P277" s="136">
        <f t="shared" si="90"/>
        <v>0</v>
      </c>
      <c r="S277" s="190">
        <v>0</v>
      </c>
      <c r="T277" s="190">
        <v>0</v>
      </c>
      <c r="BU277" s="523"/>
      <c r="BV277" s="523">
        <v>0</v>
      </c>
      <c r="BW277" s="523">
        <v>0</v>
      </c>
      <c r="BX277" s="523">
        <v>0</v>
      </c>
      <c r="BY277" s="523">
        <v>0</v>
      </c>
      <c r="BZ277" s="523"/>
      <c r="CA277" s="523"/>
      <c r="CB277" s="523"/>
      <c r="CC277" s="523"/>
      <c r="CD277" s="523"/>
      <c r="CE277" s="523"/>
      <c r="CF277" s="523"/>
      <c r="CG277" s="523"/>
      <c r="CH277" s="523"/>
      <c r="CI277" s="523">
        <f t="shared" si="92"/>
        <v>0</v>
      </c>
    </row>
    <row r="278" spans="1:87" x14ac:dyDescent="0.2">
      <c r="A278" s="412">
        <v>20</v>
      </c>
      <c r="B278" s="413"/>
      <c r="C278" s="413"/>
      <c r="D278" s="414" t="s">
        <v>1232</v>
      </c>
      <c r="E278" s="415"/>
      <c r="F278" s="417"/>
      <c r="G278" s="418"/>
      <c r="H278" s="416"/>
      <c r="I278" s="420"/>
      <c r="J278" s="421">
        <f t="shared" si="93"/>
        <v>0</v>
      </c>
      <c r="K278" s="420"/>
      <c r="L278" s="416">
        <f>SUM(L279:L283)</f>
        <v>4777.13</v>
      </c>
      <c r="M278" s="433">
        <f>SUM(M279:M283)</f>
        <v>0</v>
      </c>
      <c r="N278" s="433">
        <f>SUM(N279:N283)</f>
        <v>0</v>
      </c>
      <c r="O278" s="434">
        <f>SUM(O279:O283)</f>
        <v>4777.13</v>
      </c>
      <c r="P278" s="423">
        <f t="shared" si="90"/>
        <v>0</v>
      </c>
      <c r="S278" s="189">
        <v>0</v>
      </c>
      <c r="T278" s="189">
        <v>0</v>
      </c>
      <c r="BU278" s="523"/>
      <c r="BV278" s="523"/>
      <c r="BW278" s="523"/>
      <c r="BX278" s="523">
        <v>0</v>
      </c>
      <c r="BY278" s="523">
        <v>0</v>
      </c>
      <c r="BZ278" s="523"/>
      <c r="CA278" s="523"/>
      <c r="CB278" s="523"/>
      <c r="CC278" s="523"/>
      <c r="CD278" s="523"/>
      <c r="CE278" s="523"/>
      <c r="CF278" s="523"/>
      <c r="CG278" s="523"/>
      <c r="CH278" s="523"/>
      <c r="CI278" s="523">
        <f t="shared" si="92"/>
        <v>0</v>
      </c>
    </row>
    <row r="279" spans="1:87" x14ac:dyDescent="0.2">
      <c r="A279" s="125" t="s">
        <v>719</v>
      </c>
      <c r="B279" s="126" t="s">
        <v>1792</v>
      </c>
      <c r="C279" s="126" t="s">
        <v>1324</v>
      </c>
      <c r="D279" s="127" t="s">
        <v>1793</v>
      </c>
      <c r="E279" s="128" t="s">
        <v>14</v>
      </c>
      <c r="F279" s="137">
        <v>37.18</v>
      </c>
      <c r="G279" s="130">
        <v>4.97</v>
      </c>
      <c r="H279" s="128">
        <v>296.01</v>
      </c>
      <c r="I279" s="116">
        <f t="shared" si="91"/>
        <v>0</v>
      </c>
      <c r="J279" s="374">
        <f t="shared" si="93"/>
        <v>0</v>
      </c>
      <c r="K279" s="137">
        <f>H279-J279</f>
        <v>296.01</v>
      </c>
      <c r="L279" s="131">
        <f>ROUND(H279*G279,2)</f>
        <v>1471.17</v>
      </c>
      <c r="M279" s="131">
        <f>I279*G279</f>
        <v>0</v>
      </c>
      <c r="N279" s="131">
        <f>J279*G279</f>
        <v>0</v>
      </c>
      <c r="O279" s="375">
        <f>L279-N279</f>
        <v>1471.17</v>
      </c>
      <c r="P279" s="136">
        <f t="shared" si="90"/>
        <v>0</v>
      </c>
      <c r="S279" s="189">
        <v>0</v>
      </c>
      <c r="T279" s="189">
        <v>0</v>
      </c>
      <c r="BU279" s="523"/>
      <c r="BV279" s="523">
        <v>0</v>
      </c>
      <c r="BW279" s="523">
        <v>0</v>
      </c>
      <c r="BX279" s="523">
        <v>0</v>
      </c>
      <c r="BY279" s="523">
        <v>0</v>
      </c>
      <c r="BZ279" s="523"/>
      <c r="CA279" s="523"/>
      <c r="CB279" s="523"/>
      <c r="CC279" s="523"/>
      <c r="CD279" s="523"/>
      <c r="CE279" s="523"/>
      <c r="CF279" s="523"/>
      <c r="CG279" s="523"/>
      <c r="CH279" s="523"/>
      <c r="CI279" s="523">
        <f t="shared" si="92"/>
        <v>0</v>
      </c>
    </row>
    <row r="280" spans="1:87" x14ac:dyDescent="0.2">
      <c r="A280" s="125" t="s">
        <v>726</v>
      </c>
      <c r="B280" s="126" t="s">
        <v>1794</v>
      </c>
      <c r="C280" s="126" t="s">
        <v>1324</v>
      </c>
      <c r="D280" s="127" t="s">
        <v>1795</v>
      </c>
      <c r="E280" s="128" t="s">
        <v>14</v>
      </c>
      <c r="F280" s="137">
        <v>14.42</v>
      </c>
      <c r="G280" s="130">
        <v>9.57</v>
      </c>
      <c r="H280" s="128">
        <v>21.9</v>
      </c>
      <c r="I280" s="116">
        <f t="shared" si="91"/>
        <v>0</v>
      </c>
      <c r="J280" s="374">
        <f t="shared" si="93"/>
        <v>0</v>
      </c>
      <c r="K280" s="137">
        <f>H280-J280</f>
        <v>21.9</v>
      </c>
      <c r="L280" s="131">
        <f>ROUND(H280*G280,2)</f>
        <v>209.58</v>
      </c>
      <c r="M280" s="131">
        <f>I280*G280</f>
        <v>0</v>
      </c>
      <c r="N280" s="131">
        <f>J280*G280</f>
        <v>0</v>
      </c>
      <c r="O280" s="375">
        <f>L280-N280</f>
        <v>209.58</v>
      </c>
      <c r="P280" s="136">
        <f t="shared" si="90"/>
        <v>0</v>
      </c>
      <c r="S280" s="189">
        <v>0</v>
      </c>
      <c r="T280" s="189">
        <v>0</v>
      </c>
      <c r="BU280" s="523"/>
      <c r="BV280" s="523">
        <v>0</v>
      </c>
      <c r="BW280" s="523">
        <v>0</v>
      </c>
      <c r="BX280" s="523">
        <v>0</v>
      </c>
      <c r="BY280" s="523">
        <v>0</v>
      </c>
      <c r="BZ280" s="523"/>
      <c r="CA280" s="523"/>
      <c r="CB280" s="523"/>
      <c r="CC280" s="523"/>
      <c r="CD280" s="523"/>
      <c r="CE280" s="523"/>
      <c r="CF280" s="523"/>
      <c r="CG280" s="523"/>
      <c r="CH280" s="523"/>
      <c r="CI280" s="523">
        <f t="shared" si="92"/>
        <v>0</v>
      </c>
    </row>
    <row r="281" spans="1:87" x14ac:dyDescent="0.2">
      <c r="A281" s="125" t="s">
        <v>730</v>
      </c>
      <c r="B281" s="126" t="s">
        <v>1796</v>
      </c>
      <c r="C281" s="126" t="s">
        <v>1324</v>
      </c>
      <c r="D281" s="127" t="s">
        <v>1797</v>
      </c>
      <c r="E281" s="128" t="s">
        <v>14</v>
      </c>
      <c r="F281" s="137">
        <v>22.57</v>
      </c>
      <c r="G281" s="130">
        <v>11.45</v>
      </c>
      <c r="H281" s="128">
        <v>64.91</v>
      </c>
      <c r="I281" s="116">
        <f t="shared" si="91"/>
        <v>0</v>
      </c>
      <c r="J281" s="374">
        <f t="shared" si="93"/>
        <v>0</v>
      </c>
      <c r="K281" s="137">
        <f>H281-J281</f>
        <v>64.91</v>
      </c>
      <c r="L281" s="131">
        <f>ROUND(H281*G281,2)</f>
        <v>743.22</v>
      </c>
      <c r="M281" s="131">
        <f>I281*G281</f>
        <v>0</v>
      </c>
      <c r="N281" s="131">
        <f>J281*G281</f>
        <v>0</v>
      </c>
      <c r="O281" s="375">
        <f>L281-N281</f>
        <v>743.22</v>
      </c>
      <c r="P281" s="136">
        <f t="shared" si="90"/>
        <v>0</v>
      </c>
      <c r="S281" s="189">
        <v>0</v>
      </c>
      <c r="T281" s="189">
        <v>0</v>
      </c>
      <c r="BU281" s="523"/>
      <c r="BV281" s="523">
        <v>0</v>
      </c>
      <c r="BW281" s="523">
        <v>0</v>
      </c>
      <c r="BX281" s="523">
        <v>0</v>
      </c>
      <c r="BY281" s="523">
        <v>0</v>
      </c>
      <c r="BZ281" s="523"/>
      <c r="CA281" s="523"/>
      <c r="CB281" s="523"/>
      <c r="CC281" s="523"/>
      <c r="CD281" s="523"/>
      <c r="CE281" s="523"/>
      <c r="CF281" s="523"/>
      <c r="CG281" s="523"/>
      <c r="CH281" s="523"/>
      <c r="CI281" s="523">
        <f t="shared" si="92"/>
        <v>0</v>
      </c>
    </row>
    <row r="282" spans="1:87" x14ac:dyDescent="0.2">
      <c r="A282" s="125" t="s">
        <v>739</v>
      </c>
      <c r="B282" s="126" t="s">
        <v>1798</v>
      </c>
      <c r="C282" s="126" t="s">
        <v>1324</v>
      </c>
      <c r="D282" s="127" t="s">
        <v>1799</v>
      </c>
      <c r="E282" s="128" t="s">
        <v>14</v>
      </c>
      <c r="F282" s="137">
        <v>26.75</v>
      </c>
      <c r="G282" s="130">
        <v>1.53</v>
      </c>
      <c r="H282" s="128">
        <v>676.67</v>
      </c>
      <c r="I282" s="116">
        <f t="shared" si="91"/>
        <v>0</v>
      </c>
      <c r="J282" s="374">
        <f t="shared" si="93"/>
        <v>0</v>
      </c>
      <c r="K282" s="137">
        <f>H282-J282</f>
        <v>676.67</v>
      </c>
      <c r="L282" s="131">
        <f>ROUND(H282*G282,2)</f>
        <v>1035.31</v>
      </c>
      <c r="M282" s="131">
        <f>I282*G282</f>
        <v>0</v>
      </c>
      <c r="N282" s="131">
        <f>J282*G282</f>
        <v>0</v>
      </c>
      <c r="O282" s="375">
        <f>L282-N282</f>
        <v>1035.31</v>
      </c>
      <c r="P282" s="136">
        <f t="shared" si="90"/>
        <v>0</v>
      </c>
      <c r="S282" s="189">
        <v>0</v>
      </c>
      <c r="T282" s="189">
        <v>0</v>
      </c>
      <c r="BU282" s="523"/>
      <c r="BV282" s="523">
        <v>0</v>
      </c>
      <c r="BW282" s="523">
        <v>0</v>
      </c>
      <c r="BX282" s="523">
        <v>0</v>
      </c>
      <c r="BY282" s="523">
        <v>0</v>
      </c>
      <c r="BZ282" s="523"/>
      <c r="CA282" s="523"/>
      <c r="CB282" s="523"/>
      <c r="CC282" s="523"/>
      <c r="CD282" s="523"/>
      <c r="CE282" s="523"/>
      <c r="CF282" s="523"/>
      <c r="CG282" s="523"/>
      <c r="CH282" s="523"/>
      <c r="CI282" s="523">
        <f t="shared" si="92"/>
        <v>0</v>
      </c>
    </row>
    <row r="283" spans="1:87" x14ac:dyDescent="0.2">
      <c r="A283" s="125" t="s">
        <v>743</v>
      </c>
      <c r="B283" s="126">
        <v>84122</v>
      </c>
      <c r="C283" s="126" t="s">
        <v>1324</v>
      </c>
      <c r="D283" s="127" t="s">
        <v>1800</v>
      </c>
      <c r="E283" s="128" t="s">
        <v>102</v>
      </c>
      <c r="F283" s="137">
        <v>61.1</v>
      </c>
      <c r="G283" s="130">
        <v>1317.85</v>
      </c>
      <c r="H283" s="128">
        <v>1</v>
      </c>
      <c r="I283" s="116">
        <f t="shared" si="91"/>
        <v>0</v>
      </c>
      <c r="J283" s="374">
        <f t="shared" si="93"/>
        <v>0</v>
      </c>
      <c r="K283" s="137">
        <f>H283-J283</f>
        <v>1</v>
      </c>
      <c r="L283" s="131">
        <f>ROUND(H283*G283,2)</f>
        <v>1317.85</v>
      </c>
      <c r="M283" s="131">
        <f>I283*G283</f>
        <v>0</v>
      </c>
      <c r="N283" s="131">
        <f>J283*G283</f>
        <v>0</v>
      </c>
      <c r="O283" s="375">
        <f>L283-N283</f>
        <v>1317.85</v>
      </c>
      <c r="P283" s="136">
        <f t="shared" si="90"/>
        <v>0</v>
      </c>
      <c r="S283" s="189">
        <v>0</v>
      </c>
      <c r="T283" s="189">
        <v>0</v>
      </c>
      <c r="AE283" s="393"/>
      <c r="BU283" s="523"/>
      <c r="BV283" s="523">
        <v>0</v>
      </c>
      <c r="BW283" s="523">
        <v>0</v>
      </c>
      <c r="BX283" s="523">
        <v>0</v>
      </c>
      <c r="BY283" s="523">
        <v>0</v>
      </c>
      <c r="BZ283" s="523"/>
      <c r="CA283" s="523"/>
      <c r="CB283" s="523"/>
      <c r="CC283" s="523"/>
      <c r="CD283" s="523"/>
      <c r="CE283" s="523"/>
      <c r="CF283" s="523"/>
      <c r="CG283" s="523"/>
      <c r="CH283" s="523"/>
      <c r="CI283" s="523">
        <f t="shared" si="92"/>
        <v>0</v>
      </c>
    </row>
    <row r="284" spans="1:87" s="67" customFormat="1" ht="13.5" thickBot="1" x14ac:dyDescent="0.25">
      <c r="A284" s="438"/>
      <c r="B284" s="439"/>
      <c r="C284" s="440"/>
      <c r="D284" s="440"/>
      <c r="E284" s="440"/>
      <c r="F284" s="440"/>
      <c r="G284" s="442" t="s">
        <v>1281</v>
      </c>
      <c r="H284" s="441"/>
      <c r="I284" s="444"/>
      <c r="J284" s="445">
        <f t="shared" si="93"/>
        <v>0</v>
      </c>
      <c r="K284" s="440"/>
      <c r="L284" s="443">
        <f>H8</f>
        <v>664297.16</v>
      </c>
      <c r="M284" s="446">
        <f>SUM(M278,M268,M259,M214,M208,M194,M190,M168,M129,M120,M109,M98,M95,M92,M77,M69,M45,M32,M26,M14)</f>
        <v>31838.225388259998</v>
      </c>
      <c r="N284" s="446">
        <v>203366</v>
      </c>
      <c r="O284" s="447">
        <f>O278+O268+O259+O214+O208+O194+O190+O168+O129+O120+O109+O98+O95+O92+O77+O69+O45+O31+O26+O14</f>
        <v>524875.16570000001</v>
      </c>
      <c r="P284" s="448">
        <f>N284/O284</f>
        <v>0.38745593864929928</v>
      </c>
      <c r="S284" s="193"/>
      <c r="T284" s="193"/>
      <c r="BU284" s="523"/>
      <c r="BV284" s="523"/>
      <c r="BW284" s="523"/>
      <c r="BX284" s="523">
        <v>0</v>
      </c>
      <c r="BY284" s="523"/>
      <c r="BZ284" s="523"/>
      <c r="CA284" s="523"/>
      <c r="CB284" s="523"/>
      <c r="CC284" s="523"/>
      <c r="CD284" s="523"/>
      <c r="CE284" s="523"/>
      <c r="CF284" s="523"/>
      <c r="CG284" s="523"/>
      <c r="CH284" s="523"/>
      <c r="CI284" s="523">
        <f t="shared" si="92"/>
        <v>0</v>
      </c>
    </row>
    <row r="285" spans="1:87" x14ac:dyDescent="0.2">
      <c r="A285" s="69"/>
      <c r="B285" s="69"/>
      <c r="C285" s="59"/>
      <c r="D285" s="111"/>
      <c r="E285" s="59"/>
      <c r="F285" s="59"/>
      <c r="G285" s="82"/>
      <c r="H285" s="68"/>
      <c r="I285" s="70"/>
      <c r="J285" s="70"/>
      <c r="K285" s="59"/>
      <c r="L285" s="77"/>
      <c r="M285" s="77"/>
      <c r="N285" s="77"/>
      <c r="O285" s="373"/>
      <c r="P285" s="61"/>
    </row>
    <row r="286" spans="1:87" x14ac:dyDescent="0.2">
      <c r="P286" s="72"/>
    </row>
    <row r="287" spans="1:87" x14ac:dyDescent="0.2">
      <c r="B287" s="71"/>
      <c r="C287" s="66"/>
      <c r="P287" s="72"/>
    </row>
    <row r="288" spans="1:87" x14ac:dyDescent="0.2">
      <c r="B288" s="71"/>
      <c r="C288" s="66"/>
    </row>
    <row r="289" spans="1:15" x14ac:dyDescent="0.2">
      <c r="A289" s="66" t="s">
        <v>1802</v>
      </c>
      <c r="B289" s="71"/>
      <c r="C289" s="66"/>
      <c r="E289" s="66" t="s">
        <v>1297</v>
      </c>
      <c r="J289" s="892" t="s">
        <v>1307</v>
      </c>
      <c r="K289" s="892"/>
      <c r="L289" s="892"/>
      <c r="M289" s="78" t="s">
        <v>1308</v>
      </c>
    </row>
    <row r="290" spans="1:15" x14ac:dyDescent="0.2">
      <c r="A290" s="66" t="s">
        <v>1803</v>
      </c>
      <c r="B290" s="71"/>
      <c r="C290" s="66"/>
      <c r="E290" s="66" t="s">
        <v>1298</v>
      </c>
      <c r="J290" s="892" t="s">
        <v>1305</v>
      </c>
      <c r="K290" s="892"/>
      <c r="L290" s="892"/>
      <c r="M290" s="892" t="s">
        <v>2022</v>
      </c>
      <c r="N290" s="892"/>
      <c r="O290" s="892"/>
    </row>
    <row r="291" spans="1:15" x14ac:dyDescent="0.2">
      <c r="A291" s="66" t="s">
        <v>1804</v>
      </c>
      <c r="B291" s="71"/>
      <c r="C291" s="66"/>
      <c r="E291" s="66" t="s">
        <v>1300</v>
      </c>
      <c r="J291" s="892" t="s">
        <v>1306</v>
      </c>
      <c r="K291" s="892"/>
      <c r="L291" s="892"/>
      <c r="M291" s="892"/>
      <c r="N291" s="892"/>
      <c r="O291" s="892"/>
    </row>
    <row r="292" spans="1:15" x14ac:dyDescent="0.2">
      <c r="A292" s="66" t="s">
        <v>1805</v>
      </c>
      <c r="B292" s="71"/>
      <c r="C292" s="66"/>
      <c r="E292" s="66" t="s">
        <v>1315</v>
      </c>
      <c r="J292" s="892" t="s">
        <v>1301</v>
      </c>
      <c r="K292" s="892"/>
      <c r="L292" s="892"/>
      <c r="M292" s="78" t="s">
        <v>1303</v>
      </c>
    </row>
    <row r="293" spans="1:15" x14ac:dyDescent="0.2">
      <c r="M293" s="78" t="s">
        <v>1304</v>
      </c>
    </row>
  </sheetData>
  <mergeCells count="23">
    <mergeCell ref="A1:D5"/>
    <mergeCell ref="E1:P5"/>
    <mergeCell ref="A7:D7"/>
    <mergeCell ref="E7:G7"/>
    <mergeCell ref="A8:D8"/>
    <mergeCell ref="E8:G8"/>
    <mergeCell ref="A9:D9"/>
    <mergeCell ref="N9:O9"/>
    <mergeCell ref="A11:A12"/>
    <mergeCell ref="B11:B12"/>
    <mergeCell ref="C11:C12"/>
    <mergeCell ref="D11:D12"/>
    <mergeCell ref="E11:E12"/>
    <mergeCell ref="F11:F12"/>
    <mergeCell ref="G11:G12"/>
    <mergeCell ref="H11:K11"/>
    <mergeCell ref="J292:L292"/>
    <mergeCell ref="L11:O11"/>
    <mergeCell ref="J289:L289"/>
    <mergeCell ref="J290:L290"/>
    <mergeCell ref="M290:O290"/>
    <mergeCell ref="J291:L291"/>
    <mergeCell ref="M291:O291"/>
  </mergeCells>
  <conditionalFormatting sqref="A14:E14 F46:G46 L70:M70 O70 O67 O57 L62 L75 O75 O72 H89 L77:L78 L116 L152:M152 F169:G169 I169 F275:G275 O116 O194 O208 O214 O190 O168:O181 O129 O120 O109:O110 O98 O95 O92 O83 O77:O78 O160:O164 F51:G51 I51 L51:M51 K96 K269:O269 K131:K151 L120 K73:K74 K68 O140 O152 H270:H277 H253:H258 H248:H251 H226:H246 H216:H224 F269:H269 F252:H252 F247:H247 F225:H225 A89:E89 F215:H215 L45:O45 L67:M67 L72:M72 M75:M78 L83:M83 L92:M92 L181:M181 L190:M190 L278:O278 K275:O275 L259:O259 L98:M98 L95:M95 L194:M194 L208:M208 L214:M214 L168:M169 L129:M130 M116:M120 L57:M57 K252:O252 K247:O247 K225:O225 K215:O215 A16:E25 H14:H25 H27:H31 A27:E31 A26:D26 A33:E44 A32:D32 H33:H44 H46:H56 A46:E56 A45:D45 A71:E71 H71 H79:H82 A79:E82 A93:E94 A92:D92 H93:H94 H96:H97 A96:E97 A95:D95 A99:E108 A98:D98 H99:H108 H111:H115 A111:E115 L109:M110 A121:E128 A120:D120 H121:H128 H131:H151 A131:E151 A169:E180 A168:D168 H169:H180 K169:K180 A191:E193 A190:D190 H191:I193 A195:E207 A194:D194 H195:I207 A209:E213 A208:D208 H209:I213 I215:I258 A215:E258 A214:D214 A260:E267 A259:D259 H260:I267 I269:I277 A269:E277 A268:D268 L268:O268 A279:E283 A278:D278 I279:I283 H279:H285 A58:E61 A57:D57 H58:H61 H63:H66 A63:E66 A62:D62 A68:E68 A67:D67 H68 A69:D70 H73:H74 A73:E74 A72:D72 A76:E76 A75:D75 H76 K76 A77:D78 A84:E86 A83:D83 H84:H86 A87:D87 A91:E91 A90:D90 H91 A109:D110 A117:E119 A116:D116 H117:H119 A129:D130 A153:E167 A152:D152 H153:H167 K153:K167 H182:I189 A182:E189 A181:D181">
    <cfRule type="expression" dxfId="109" priority="107">
      <formula>$D14&lt;&gt;0</formula>
    </cfRule>
    <cfRule type="expression" dxfId="108" priority="108">
      <formula>$O14=1</formula>
    </cfRule>
  </conditionalFormatting>
  <conditionalFormatting sqref="G14 G39 L39:O39 G33">
    <cfRule type="expression" dxfId="107" priority="109">
      <formula>$D14&lt;&gt;0</formula>
    </cfRule>
    <cfRule type="expression" dxfId="106" priority="110">
      <formula>$O14=1</formula>
    </cfRule>
  </conditionalFormatting>
  <conditionalFormatting sqref="E26 H26">
    <cfRule type="expression" dxfId="105" priority="103">
      <formula>$D26&lt;&gt;0</formula>
    </cfRule>
    <cfRule type="expression" dxfId="104" priority="104">
      <formula>$O26=1</formula>
    </cfRule>
  </conditionalFormatting>
  <conditionalFormatting sqref="G26">
    <cfRule type="expression" dxfId="103" priority="105">
      <formula>$D26&lt;&gt;0</formula>
    </cfRule>
    <cfRule type="expression" dxfId="102" priority="106">
      <formula>$O26=1</formula>
    </cfRule>
  </conditionalFormatting>
  <conditionalFormatting sqref="E32 H32">
    <cfRule type="expression" dxfId="101" priority="99">
      <formula>$D32&lt;&gt;0</formula>
    </cfRule>
    <cfRule type="expression" dxfId="100" priority="100">
      <formula>$O32=1</formula>
    </cfRule>
  </conditionalFormatting>
  <conditionalFormatting sqref="G32">
    <cfRule type="expression" dxfId="99" priority="101">
      <formula>$D32&lt;&gt;0</formula>
    </cfRule>
    <cfRule type="expression" dxfId="98" priority="102">
      <formula>$O32=1</formula>
    </cfRule>
  </conditionalFormatting>
  <conditionalFormatting sqref="E45 H45">
    <cfRule type="expression" dxfId="97" priority="95">
      <formula>$D45&lt;&gt;0</formula>
    </cfRule>
    <cfRule type="expression" dxfId="96" priority="96">
      <formula>$O45=1</formula>
    </cfRule>
  </conditionalFormatting>
  <conditionalFormatting sqref="G45">
    <cfRule type="expression" dxfId="95" priority="97">
      <formula>$D45&lt;&gt;0</formula>
    </cfRule>
    <cfRule type="expression" dxfId="94" priority="98">
      <formula>$O45=1</formula>
    </cfRule>
  </conditionalFormatting>
  <conditionalFormatting sqref="E69 H69">
    <cfRule type="expression" dxfId="93" priority="91">
      <formula>$D69&lt;&gt;0</formula>
    </cfRule>
    <cfRule type="expression" dxfId="92" priority="92">
      <formula>$O69=1</formula>
    </cfRule>
  </conditionalFormatting>
  <conditionalFormatting sqref="G69">
    <cfRule type="expression" dxfId="91" priority="93">
      <formula>$D69&lt;&gt;0</formula>
    </cfRule>
    <cfRule type="expression" dxfId="90" priority="94">
      <formula>$O69=1</formula>
    </cfRule>
  </conditionalFormatting>
  <conditionalFormatting sqref="E77 H77">
    <cfRule type="expression" dxfId="89" priority="87">
      <formula>$D77&lt;&gt;0</formula>
    </cfRule>
    <cfRule type="expression" dxfId="88" priority="88">
      <formula>$O77=1</formula>
    </cfRule>
  </conditionalFormatting>
  <conditionalFormatting sqref="G77">
    <cfRule type="expression" dxfId="87" priority="89">
      <formula>$D77&lt;&gt;0</formula>
    </cfRule>
    <cfRule type="expression" dxfId="86" priority="90">
      <formula>$O77=1</formula>
    </cfRule>
  </conditionalFormatting>
  <conditionalFormatting sqref="E92 H92">
    <cfRule type="expression" dxfId="85" priority="83">
      <formula>$D92&lt;&gt;0</formula>
    </cfRule>
    <cfRule type="expression" dxfId="84" priority="84">
      <formula>$O92=1</formula>
    </cfRule>
  </conditionalFormatting>
  <conditionalFormatting sqref="G92">
    <cfRule type="expression" dxfId="83" priority="85">
      <formula>$D92&lt;&gt;0</formula>
    </cfRule>
    <cfRule type="expression" dxfId="82" priority="86">
      <formula>$O92=1</formula>
    </cfRule>
  </conditionalFormatting>
  <conditionalFormatting sqref="E95 H95">
    <cfRule type="expression" dxfId="81" priority="79">
      <formula>$D95&lt;&gt;0</formula>
    </cfRule>
    <cfRule type="expression" dxfId="80" priority="80">
      <formula>$O95=1</formula>
    </cfRule>
  </conditionalFormatting>
  <conditionalFormatting sqref="G95">
    <cfRule type="expression" dxfId="79" priority="81">
      <formula>$D95&lt;&gt;0</formula>
    </cfRule>
    <cfRule type="expression" dxfId="78" priority="82">
      <formula>$O95=1</formula>
    </cfRule>
  </conditionalFormatting>
  <conditionalFormatting sqref="E98 H98">
    <cfRule type="expression" dxfId="77" priority="75">
      <formula>$D98&lt;&gt;0</formula>
    </cfRule>
    <cfRule type="expression" dxfId="76" priority="76">
      <formula>$O98=1</formula>
    </cfRule>
  </conditionalFormatting>
  <conditionalFormatting sqref="G98">
    <cfRule type="expression" dxfId="75" priority="77">
      <formula>$D98&lt;&gt;0</formula>
    </cfRule>
    <cfRule type="expression" dxfId="74" priority="78">
      <formula>$O98=1</formula>
    </cfRule>
  </conditionalFormatting>
  <conditionalFormatting sqref="E109 H109">
    <cfRule type="expression" dxfId="73" priority="71">
      <formula>$D109&lt;&gt;0</formula>
    </cfRule>
    <cfRule type="expression" dxfId="72" priority="72">
      <formula>$O109=1</formula>
    </cfRule>
  </conditionalFormatting>
  <conditionalFormatting sqref="G109">
    <cfRule type="expression" dxfId="71" priority="73">
      <formula>$D109&lt;&gt;0</formula>
    </cfRule>
    <cfRule type="expression" dxfId="70" priority="74">
      <formula>$O109=1</formula>
    </cfRule>
  </conditionalFormatting>
  <conditionalFormatting sqref="E120 H120">
    <cfRule type="expression" dxfId="69" priority="67">
      <formula>$D120&lt;&gt;0</formula>
    </cfRule>
    <cfRule type="expression" dxfId="68" priority="68">
      <formula>$O120=1</formula>
    </cfRule>
  </conditionalFormatting>
  <conditionalFormatting sqref="G120">
    <cfRule type="expression" dxfId="67" priority="69">
      <formula>$D120&lt;&gt;0</formula>
    </cfRule>
    <cfRule type="expression" dxfId="66" priority="70">
      <formula>$O120=1</formula>
    </cfRule>
  </conditionalFormatting>
  <conditionalFormatting sqref="E129 H129">
    <cfRule type="expression" dxfId="65" priority="63">
      <formula>$D129&lt;&gt;0</formula>
    </cfRule>
    <cfRule type="expression" dxfId="64" priority="64">
      <formula>$O129=1</formula>
    </cfRule>
  </conditionalFormatting>
  <conditionalFormatting sqref="G129">
    <cfRule type="expression" dxfId="63" priority="65">
      <formula>$D129&lt;&gt;0</formula>
    </cfRule>
    <cfRule type="expression" dxfId="62" priority="66">
      <formula>$O129=1</formula>
    </cfRule>
  </conditionalFormatting>
  <conditionalFormatting sqref="E168 H168">
    <cfRule type="expression" dxfId="61" priority="59">
      <formula>$D168&lt;&gt;0</formula>
    </cfRule>
    <cfRule type="expression" dxfId="60" priority="60">
      <formula>$O168=1</formula>
    </cfRule>
  </conditionalFormatting>
  <conditionalFormatting sqref="G168">
    <cfRule type="expression" dxfId="59" priority="61">
      <formula>$D168&lt;&gt;0</formula>
    </cfRule>
    <cfRule type="expression" dxfId="58" priority="62">
      <formula>$O168=1</formula>
    </cfRule>
  </conditionalFormatting>
  <conditionalFormatting sqref="E190 H190">
    <cfRule type="expression" dxfId="57" priority="55">
      <formula>$D190&lt;&gt;0</formula>
    </cfRule>
    <cfRule type="expression" dxfId="56" priority="56">
      <formula>$O190=1</formula>
    </cfRule>
  </conditionalFormatting>
  <conditionalFormatting sqref="G190">
    <cfRule type="expression" dxfId="55" priority="57">
      <formula>$D190&lt;&gt;0</formula>
    </cfRule>
    <cfRule type="expression" dxfId="54" priority="58">
      <formula>$O190=1</formula>
    </cfRule>
  </conditionalFormatting>
  <conditionalFormatting sqref="E194 H194">
    <cfRule type="expression" dxfId="53" priority="51">
      <formula>$D194&lt;&gt;0</formula>
    </cfRule>
    <cfRule type="expression" dxfId="52" priority="52">
      <formula>$O194=1</formula>
    </cfRule>
  </conditionalFormatting>
  <conditionalFormatting sqref="G194">
    <cfRule type="expression" dxfId="51" priority="53">
      <formula>$D194&lt;&gt;0</formula>
    </cfRule>
    <cfRule type="expression" dxfId="50" priority="54">
      <formula>$O194=1</formula>
    </cfRule>
  </conditionalFormatting>
  <conditionalFormatting sqref="E208 H208">
    <cfRule type="expression" dxfId="49" priority="47">
      <formula>$D208&lt;&gt;0</formula>
    </cfRule>
    <cfRule type="expression" dxfId="48" priority="48">
      <formula>$O208=1</formula>
    </cfRule>
  </conditionalFormatting>
  <conditionalFormatting sqref="G208">
    <cfRule type="expression" dxfId="47" priority="49">
      <formula>$D208&lt;&gt;0</formula>
    </cfRule>
    <cfRule type="expression" dxfId="46" priority="50">
      <formula>$O208=1</formula>
    </cfRule>
  </conditionalFormatting>
  <conditionalFormatting sqref="E214 H214">
    <cfRule type="expression" dxfId="45" priority="43">
      <formula>$D214&lt;&gt;0</formula>
    </cfRule>
    <cfRule type="expression" dxfId="44" priority="44">
      <formula>$O214=1</formula>
    </cfRule>
  </conditionalFormatting>
  <conditionalFormatting sqref="G214">
    <cfRule type="expression" dxfId="43" priority="45">
      <formula>$D214&lt;&gt;0</formula>
    </cfRule>
    <cfRule type="expression" dxfId="42" priority="46">
      <formula>$O214=1</formula>
    </cfRule>
  </conditionalFormatting>
  <conditionalFormatting sqref="E259 H259">
    <cfRule type="expression" dxfId="41" priority="39">
      <formula>$D259&lt;&gt;0</formula>
    </cfRule>
    <cfRule type="expression" dxfId="40" priority="40">
      <formula>$O259=1</formula>
    </cfRule>
  </conditionalFormatting>
  <conditionalFormatting sqref="G259">
    <cfRule type="expression" dxfId="39" priority="41">
      <formula>$D259&lt;&gt;0</formula>
    </cfRule>
    <cfRule type="expression" dxfId="38" priority="42">
      <formula>$O259=1</formula>
    </cfRule>
  </conditionalFormatting>
  <conditionalFormatting sqref="E268 H268">
    <cfRule type="expression" dxfId="37" priority="35">
      <formula>$D268&lt;&gt;0</formula>
    </cfRule>
    <cfRule type="expression" dxfId="36" priority="36">
      <formula>$O268=1</formula>
    </cfRule>
  </conditionalFormatting>
  <conditionalFormatting sqref="G268">
    <cfRule type="expression" dxfId="35" priority="37">
      <formula>$D268&lt;&gt;0</formula>
    </cfRule>
    <cfRule type="expression" dxfId="34" priority="38">
      <formula>$O268=1</formula>
    </cfRule>
  </conditionalFormatting>
  <conditionalFormatting sqref="E278 H278">
    <cfRule type="expression" dxfId="33" priority="31">
      <formula>$D278&lt;&gt;0</formula>
    </cfRule>
    <cfRule type="expression" dxfId="32" priority="32">
      <formula>$O278=1</formula>
    </cfRule>
  </conditionalFormatting>
  <conditionalFormatting sqref="G278">
    <cfRule type="expression" dxfId="31" priority="33">
      <formula>$D278&lt;&gt;0</formula>
    </cfRule>
    <cfRule type="expression" dxfId="30" priority="34">
      <formula>$O278=1</formula>
    </cfRule>
  </conditionalFormatting>
  <conditionalFormatting sqref="E57:I57">
    <cfRule type="expression" dxfId="29" priority="29">
      <formula>$D57&lt;&gt;0</formula>
    </cfRule>
    <cfRule type="expression" dxfId="28" priority="30">
      <formula>$O57=1</formula>
    </cfRule>
  </conditionalFormatting>
  <conditionalFormatting sqref="E62:I62">
    <cfRule type="expression" dxfId="27" priority="27">
      <formula>$D62&lt;&gt;0</formula>
    </cfRule>
    <cfRule type="expression" dxfId="26" priority="28">
      <formula>$O62=1</formula>
    </cfRule>
  </conditionalFormatting>
  <conditionalFormatting sqref="E67:I67">
    <cfRule type="expression" dxfId="25" priority="25">
      <formula>$D67&lt;&gt;0</formula>
    </cfRule>
    <cfRule type="expression" dxfId="24" priority="26">
      <formula>$O67=1</formula>
    </cfRule>
  </conditionalFormatting>
  <conditionalFormatting sqref="E70:I70">
    <cfRule type="expression" dxfId="23" priority="23">
      <formula>$D70&lt;&gt;0</formula>
    </cfRule>
    <cfRule type="expression" dxfId="22" priority="24">
      <formula>$O70=1</formula>
    </cfRule>
  </conditionalFormatting>
  <conditionalFormatting sqref="E72:I72">
    <cfRule type="expression" dxfId="21" priority="21">
      <formula>$D72&lt;&gt;0</formula>
    </cfRule>
    <cfRule type="expression" dxfId="20" priority="22">
      <formula>$O72=1</formula>
    </cfRule>
  </conditionalFormatting>
  <conditionalFormatting sqref="E75:I75">
    <cfRule type="expression" dxfId="19" priority="19">
      <formula>$D75&lt;&gt;0</formula>
    </cfRule>
    <cfRule type="expression" dxfId="18" priority="20">
      <formula>$O75=1</formula>
    </cfRule>
  </conditionalFormatting>
  <conditionalFormatting sqref="E78:I78">
    <cfRule type="expression" dxfId="17" priority="17">
      <formula>$D78&lt;&gt;0</formula>
    </cfRule>
    <cfRule type="expression" dxfId="16" priority="18">
      <formula>$O78=1</formula>
    </cfRule>
  </conditionalFormatting>
  <conditionalFormatting sqref="E83:I83">
    <cfRule type="expression" dxfId="15" priority="15">
      <formula>$D83&lt;&gt;0</formula>
    </cfRule>
    <cfRule type="expression" dxfId="14" priority="16">
      <formula>$O83=1</formula>
    </cfRule>
  </conditionalFormatting>
  <conditionalFormatting sqref="E87:I87">
    <cfRule type="expression" dxfId="13" priority="13">
      <formula>$D87&lt;&gt;0</formula>
    </cfRule>
    <cfRule type="expression" dxfId="12" priority="14">
      <formula>$O87=1</formula>
    </cfRule>
  </conditionalFormatting>
  <conditionalFormatting sqref="E90:I90">
    <cfRule type="expression" dxfId="11" priority="11">
      <formula>$D90&lt;&gt;0</formula>
    </cfRule>
    <cfRule type="expression" dxfId="10" priority="12">
      <formula>$O90=1</formula>
    </cfRule>
  </conditionalFormatting>
  <conditionalFormatting sqref="E110:I110">
    <cfRule type="expression" dxfId="9" priority="9">
      <formula>$D110&lt;&gt;0</formula>
    </cfRule>
    <cfRule type="expression" dxfId="8" priority="10">
      <formula>$O110=1</formula>
    </cfRule>
  </conditionalFormatting>
  <conditionalFormatting sqref="E116:I116">
    <cfRule type="expression" dxfId="7" priority="7">
      <formula>$D116&lt;&gt;0</formula>
    </cfRule>
    <cfRule type="expression" dxfId="6" priority="8">
      <formula>$O116=1</formula>
    </cfRule>
  </conditionalFormatting>
  <conditionalFormatting sqref="E130:I130">
    <cfRule type="expression" dxfId="5" priority="5">
      <formula>$D130&lt;&gt;0</formula>
    </cfRule>
    <cfRule type="expression" dxfId="4" priority="6">
      <formula>$O130=1</formula>
    </cfRule>
  </conditionalFormatting>
  <conditionalFormatting sqref="E152:I152">
    <cfRule type="expression" dxfId="3" priority="3">
      <formula>$D152&lt;&gt;0</formula>
    </cfRule>
    <cfRule type="expression" dxfId="2" priority="4">
      <formula>$O152=1</formula>
    </cfRule>
  </conditionalFormatting>
  <conditionalFormatting sqref="E181:I181">
    <cfRule type="expression" dxfId="1" priority="1">
      <formula>$D181&lt;&gt;0</formula>
    </cfRule>
    <cfRule type="expression" dxfId="0" priority="2">
      <formula>$O181=1</formula>
    </cfRule>
  </conditionalFormatting>
  <printOptions horizontalCentered="1"/>
  <pageMargins left="0.31496062992125984" right="0.31496062992125984" top="0.39370078740157483" bottom="1.1417322834645669" header="0.31496062992125984" footer="0.31496062992125984"/>
  <pageSetup paperSize="9" scale="49" fitToHeight="0" orientation="landscape" r:id="rId1"/>
  <headerFooter>
    <oddFooter xml:space="preserve">&amp;LResp.  
CREA:  
ART:
&amp;CResp. Técnico Fiscalização: Nei Frederico
CREA: 101562139-2
ART: 
</oddFoot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5"/>
  <sheetViews>
    <sheetView workbookViewId="0">
      <selection activeCell="H16" sqref="H16"/>
    </sheetView>
  </sheetViews>
  <sheetFormatPr defaultColWidth="9.33203125" defaultRowHeight="12.75" x14ac:dyDescent="0.2"/>
  <cols>
    <col min="1" max="16384" width="9.33203125" style="52"/>
  </cols>
  <sheetData>
    <row r="1" spans="1:7" x14ac:dyDescent="0.2">
      <c r="A1" s="53" t="s">
        <v>1311</v>
      </c>
    </row>
    <row r="3" spans="1:7" x14ac:dyDescent="0.2">
      <c r="A3" s="52" t="s">
        <v>1312</v>
      </c>
    </row>
    <row r="5" spans="1:7" x14ac:dyDescent="0.2">
      <c r="A5" s="52" t="s">
        <v>1313</v>
      </c>
      <c r="B5" s="52">
        <v>820.81</v>
      </c>
      <c r="C5" s="52">
        <v>0.35</v>
      </c>
      <c r="D5" s="52">
        <v>0.14000000000000001</v>
      </c>
      <c r="F5" s="52">
        <f>B5*C5*D5</f>
        <v>40.219689999999993</v>
      </c>
      <c r="G5" s="52" t="s">
        <v>1314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283"/>
  <sheetViews>
    <sheetView zoomScale="85" zoomScaleNormal="85" workbookViewId="0">
      <selection activeCell="K13" sqref="K13"/>
    </sheetView>
  </sheetViews>
  <sheetFormatPr defaultRowHeight="12.75" x14ac:dyDescent="0.2"/>
  <cols>
    <col min="1" max="1" width="10.5" customWidth="1"/>
    <col min="2" max="3" width="12.5" customWidth="1"/>
    <col min="4" max="4" width="76.33203125" customWidth="1"/>
    <col min="5" max="5" width="10.83203125" customWidth="1"/>
    <col min="6" max="6" width="15.33203125" customWidth="1"/>
    <col min="7" max="7" width="16" customWidth="1"/>
    <col min="8" max="8" width="19.6640625" customWidth="1"/>
    <col min="9" max="9" width="16" customWidth="1"/>
    <col min="10" max="10" width="24" bestFit="1" customWidth="1"/>
    <col min="11" max="11" width="20.83203125" customWidth="1"/>
    <col min="12" max="12" width="18.1640625" customWidth="1"/>
    <col min="13" max="13" width="18.5" bestFit="1" customWidth="1"/>
    <col min="14" max="14" width="23.5" bestFit="1" customWidth="1"/>
    <col min="15" max="16" width="0" hidden="1" customWidth="1"/>
    <col min="17" max="17" width="11.5" customWidth="1"/>
    <col min="18" max="18" width="15" customWidth="1"/>
    <col min="19" max="19" width="17.33203125" bestFit="1" customWidth="1"/>
  </cols>
  <sheetData>
    <row r="1" spans="1:19" ht="13.5" thickBot="1" x14ac:dyDescent="0.25">
      <c r="A1" s="209"/>
      <c r="B1" s="210"/>
      <c r="C1" s="211"/>
      <c r="D1" s="212"/>
      <c r="E1" s="211"/>
      <c r="F1" s="212"/>
      <c r="G1" s="212"/>
      <c r="H1" s="212"/>
      <c r="I1" s="212"/>
      <c r="J1" s="212"/>
      <c r="K1" s="212"/>
      <c r="L1" s="212"/>
      <c r="M1" s="212"/>
      <c r="N1" s="213"/>
      <c r="O1" s="214"/>
      <c r="P1" s="214"/>
      <c r="Q1" s="215"/>
      <c r="R1" s="216"/>
      <c r="S1" s="217"/>
    </row>
    <row r="2" spans="1:19" ht="20.25" x14ac:dyDescent="0.2">
      <c r="A2" s="218"/>
      <c r="B2" s="219"/>
      <c r="C2" s="833" t="s">
        <v>1808</v>
      </c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4"/>
      <c r="O2" s="214"/>
      <c r="P2" s="214"/>
      <c r="Q2" s="215"/>
      <c r="R2" s="216"/>
      <c r="S2" s="217"/>
    </row>
    <row r="3" spans="1:19" ht="20.25" x14ac:dyDescent="0.2">
      <c r="A3" s="220"/>
      <c r="B3" s="221"/>
      <c r="C3" s="835" t="s">
        <v>1809</v>
      </c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6"/>
      <c r="O3" s="214"/>
      <c r="P3" s="214"/>
      <c r="Q3" s="215"/>
      <c r="R3" s="217"/>
      <c r="S3" s="217"/>
    </row>
    <row r="4" spans="1:19" x14ac:dyDescent="0.2">
      <c r="A4" s="837"/>
      <c r="B4" s="222"/>
      <c r="C4" s="223"/>
      <c r="D4" s="224" t="s">
        <v>1810</v>
      </c>
      <c r="E4" s="225">
        <f>[4]DADOS!C11</f>
        <v>0.87519999999999998</v>
      </c>
      <c r="F4" s="226" t="s">
        <v>1811</v>
      </c>
      <c r="G4" s="226"/>
      <c r="H4" s="226"/>
      <c r="I4" s="226"/>
      <c r="J4" s="225">
        <f>[4]DADOS!D11</f>
        <v>0.49359999999999998</v>
      </c>
      <c r="K4" s="225"/>
      <c r="L4" s="225"/>
      <c r="M4" s="225"/>
      <c r="N4" s="227" t="s">
        <v>1812</v>
      </c>
      <c r="O4" s="228"/>
      <c r="P4" s="228"/>
      <c r="Q4" s="215"/>
      <c r="R4" s="217"/>
      <c r="S4" s="217"/>
    </row>
    <row r="5" spans="1:19" x14ac:dyDescent="0.2">
      <c r="A5" s="837"/>
      <c r="B5" s="222"/>
      <c r="C5" s="223"/>
      <c r="D5" s="229" t="s">
        <v>1813</v>
      </c>
      <c r="E5" s="225">
        <f>[4]DADOS!C10</f>
        <v>0.27139999999999997</v>
      </c>
      <c r="F5" s="226"/>
      <c r="G5" s="226"/>
      <c r="H5" s="226"/>
      <c r="I5" s="226"/>
      <c r="J5" s="226"/>
      <c r="K5" s="226"/>
      <c r="L5" s="226"/>
      <c r="M5" s="226"/>
      <c r="N5" s="227"/>
      <c r="O5" s="230"/>
      <c r="P5" s="230"/>
      <c r="Q5" s="215"/>
      <c r="R5" s="217"/>
      <c r="S5" s="217"/>
    </row>
    <row r="6" spans="1:19" ht="13.5" thickBot="1" x14ac:dyDescent="0.25">
      <c r="A6" s="838"/>
      <c r="B6" s="231"/>
      <c r="C6" s="232"/>
      <c r="D6" s="233"/>
      <c r="E6" s="839"/>
      <c r="F6" s="839"/>
      <c r="G6" s="234"/>
      <c r="H6" s="234"/>
      <c r="I6" s="234"/>
      <c r="J6" s="235"/>
      <c r="K6" s="235"/>
      <c r="L6" s="235"/>
      <c r="M6" s="235"/>
      <c r="N6" s="236"/>
      <c r="O6" s="228"/>
      <c r="P6" s="228"/>
      <c r="Q6" s="215"/>
      <c r="R6" s="217"/>
      <c r="S6" s="217"/>
    </row>
    <row r="7" spans="1:19" x14ac:dyDescent="0.2">
      <c r="A7" s="237"/>
      <c r="B7" s="237"/>
      <c r="C7" s="238"/>
      <c r="D7" s="239"/>
      <c r="E7" s="238"/>
      <c r="F7" s="239"/>
      <c r="G7" s="239"/>
      <c r="H7" s="239"/>
      <c r="I7" s="239"/>
      <c r="J7" s="239"/>
      <c r="K7" s="239"/>
      <c r="L7" s="239"/>
      <c r="M7" s="239"/>
      <c r="N7" s="239"/>
      <c r="O7" s="240"/>
      <c r="P7" s="240"/>
      <c r="Q7" s="215"/>
      <c r="R7" s="217"/>
      <c r="S7" s="217"/>
    </row>
    <row r="8" spans="1:19" x14ac:dyDescent="0.2">
      <c r="A8" s="241" t="s">
        <v>1814</v>
      </c>
      <c r="B8" s="840" t="str">
        <f>[4]DADOS!C16</f>
        <v>PREFEITURA MUNICIPAL DE BARREIRAS</v>
      </c>
      <c r="C8" s="841"/>
      <c r="D8" s="841"/>
      <c r="E8" s="841"/>
      <c r="F8" s="841"/>
      <c r="G8" s="841"/>
      <c r="H8" s="841"/>
      <c r="I8" s="841"/>
      <c r="J8" s="841"/>
      <c r="K8" s="242"/>
      <c r="L8" s="242"/>
      <c r="M8" s="242"/>
      <c r="N8" s="243"/>
      <c r="O8" s="240"/>
      <c r="P8" s="240"/>
      <c r="Q8" s="215"/>
      <c r="R8" s="217"/>
      <c r="S8" s="217"/>
    </row>
    <row r="9" spans="1:19" x14ac:dyDescent="0.2">
      <c r="A9" s="244" t="s">
        <v>1815</v>
      </c>
      <c r="B9" s="842" t="str">
        <f>[4]DADOS!C17</f>
        <v>CONTRATAÇÃO DE EMPRESA PRESTADORA DE SERVIÇOS NO RAMO DA CONSTRUÇÃO CIVIL NA EXECUÇÃO DA OBRA DE CONSTRUÇÃO DE UMA QUADRA COBERTA POLIESPORTIVA , TIPO 1 PADRÃO FNDE NA ESCOLA MUNICIPAL PROFESSORA CLEONICE LOPES NA SEDE DESTE MUNICÍPIO</v>
      </c>
      <c r="C9" s="843"/>
      <c r="D9" s="843"/>
      <c r="E9" s="843"/>
      <c r="F9" s="843"/>
      <c r="G9" s="843"/>
      <c r="H9" s="843"/>
      <c r="I9" s="843"/>
      <c r="J9" s="843"/>
      <c r="K9" s="843"/>
      <c r="L9" s="843"/>
      <c r="M9" s="843"/>
      <c r="N9" s="844"/>
      <c r="O9" s="245"/>
      <c r="P9" s="245"/>
      <c r="Q9" s="246"/>
      <c r="R9" s="217"/>
      <c r="S9" s="217"/>
    </row>
    <row r="10" spans="1:19" x14ac:dyDescent="0.2">
      <c r="A10" s="829" t="s">
        <v>1816</v>
      </c>
      <c r="B10" s="830"/>
      <c r="C10" s="830"/>
      <c r="D10" s="830"/>
      <c r="E10" s="830"/>
      <c r="F10" s="830"/>
      <c r="G10" s="830"/>
      <c r="H10" s="830"/>
      <c r="I10" s="830"/>
      <c r="J10" s="830"/>
      <c r="K10" s="830"/>
      <c r="L10" s="830"/>
      <c r="M10" s="830"/>
      <c r="N10" s="831"/>
      <c r="O10" s="240"/>
      <c r="P10" s="240"/>
      <c r="Q10" s="215"/>
      <c r="R10" s="217"/>
      <c r="S10" s="217"/>
    </row>
    <row r="11" spans="1:19" x14ac:dyDescent="0.2">
      <c r="A11" s="237"/>
      <c r="B11" s="237"/>
      <c r="C11" s="238"/>
      <c r="D11" s="239"/>
      <c r="E11" s="238"/>
      <c r="F11" s="239"/>
      <c r="G11" s="239"/>
      <c r="H11" s="239"/>
      <c r="I11" s="239"/>
      <c r="J11" s="239"/>
      <c r="K11" s="239"/>
      <c r="L11" s="239"/>
      <c r="M11" s="239"/>
      <c r="N11" s="239"/>
      <c r="O11" s="240"/>
      <c r="P11" s="240"/>
      <c r="Q11" s="215"/>
      <c r="R11" s="240"/>
      <c r="S11" s="217"/>
    </row>
    <row r="12" spans="1:19" ht="25.5" x14ac:dyDescent="0.2">
      <c r="A12" s="247" t="s">
        <v>4</v>
      </c>
      <c r="B12" s="247" t="s">
        <v>1326</v>
      </c>
      <c r="C12" s="248" t="s">
        <v>1327</v>
      </c>
      <c r="D12" s="247" t="s">
        <v>5</v>
      </c>
      <c r="E12" s="247" t="s">
        <v>1817</v>
      </c>
      <c r="F12" s="247" t="s">
        <v>7</v>
      </c>
      <c r="G12" s="247" t="s">
        <v>1818</v>
      </c>
      <c r="H12" s="247" t="s">
        <v>1819</v>
      </c>
      <c r="I12" s="247" t="s">
        <v>1295</v>
      </c>
      <c r="J12" s="248" t="s">
        <v>1820</v>
      </c>
      <c r="K12" s="247" t="s">
        <v>1818</v>
      </c>
      <c r="L12" s="247" t="s">
        <v>1819</v>
      </c>
      <c r="M12" s="247" t="s">
        <v>1295</v>
      </c>
      <c r="N12" s="248" t="s">
        <v>1821</v>
      </c>
      <c r="O12" s="249"/>
      <c r="P12" s="250"/>
      <c r="Q12" s="215"/>
      <c r="R12" s="216"/>
      <c r="S12" s="251">
        <v>0.8235894900825953</v>
      </c>
    </row>
    <row r="13" spans="1:19" ht="63.75" x14ac:dyDescent="0.2">
      <c r="A13" s="252"/>
      <c r="B13" s="252"/>
      <c r="C13" s="253"/>
      <c r="D13" s="254" t="str">
        <f>B9</f>
        <v>CONTRATAÇÃO DE EMPRESA PRESTADORA DE SERVIÇOS NO RAMO DA CONSTRUÇÃO CIVIL NA EXECUÇÃO DA OBRA DE CONSTRUÇÃO DE UMA QUADRA COBERTA POLIESPORTIVA , TIPO 1 PADRÃO FNDE NA ESCOLA MUNICIPAL PROFESSORA CLEONICE LOPES NA SEDE DESTE MUNICÍPIO</v>
      </c>
      <c r="E13" s="252"/>
      <c r="F13" s="255"/>
      <c r="G13" s="255"/>
      <c r="H13" s="255"/>
      <c r="I13" s="255"/>
      <c r="J13" s="256">
        <f>N13</f>
        <v>664297.16</v>
      </c>
      <c r="K13" s="256">
        <f>SUM(K14,K26,K32)</f>
        <v>26601.062000000002</v>
      </c>
      <c r="L13" s="256"/>
      <c r="M13" s="256"/>
      <c r="N13" s="257">
        <f>N14+N26+N32+N45+N69+N77+N92+N95+N98+N109+N120+N129+N168+N190+N194+N208+N214+N259+N268+N278</f>
        <v>664297.16</v>
      </c>
      <c r="O13" s="250"/>
      <c r="P13" s="250"/>
      <c r="Q13" s="832"/>
      <c r="R13" s="832"/>
      <c r="S13" s="251"/>
    </row>
    <row r="14" spans="1:19" ht="14.25" x14ac:dyDescent="0.2">
      <c r="A14" s="258">
        <v>1</v>
      </c>
      <c r="B14" s="258"/>
      <c r="C14" s="258"/>
      <c r="D14" s="259" t="s">
        <v>9</v>
      </c>
      <c r="E14" s="260"/>
      <c r="F14" s="261">
        <f>SUM(F15:F25)</f>
        <v>2411.4</v>
      </c>
      <c r="G14" s="261">
        <f>SUM(G15:G25)</f>
        <v>2192.9</v>
      </c>
      <c r="H14" s="261">
        <f>SUM(H15:H25)</f>
        <v>2192.9</v>
      </c>
      <c r="I14" s="261">
        <f>SUM(I15:I25)</f>
        <v>218.49999999999997</v>
      </c>
      <c r="J14" s="261">
        <f>N14</f>
        <v>32660.889999999992</v>
      </c>
      <c r="K14" s="261">
        <f>SUM(K15:K25)</f>
        <v>16192.082</v>
      </c>
      <c r="L14" s="261">
        <f>SUM(L15:L25)</f>
        <v>16192.082</v>
      </c>
      <c r="M14" s="261">
        <v>0</v>
      </c>
      <c r="N14" s="262">
        <f>SUM(N15:N25)</f>
        <v>32660.889999999992</v>
      </c>
      <c r="O14" s="263"/>
      <c r="P14" s="263" t="s">
        <v>1822</v>
      </c>
      <c r="Q14" s="215"/>
      <c r="R14" s="216"/>
      <c r="S14" s="264"/>
    </row>
    <row r="15" spans="1:19" ht="15" x14ac:dyDescent="0.2">
      <c r="A15" s="265" t="s">
        <v>10</v>
      </c>
      <c r="B15" s="265" t="s">
        <v>1328</v>
      </c>
      <c r="C15" s="265" t="s">
        <v>1324</v>
      </c>
      <c r="D15" s="266" t="s">
        <v>1329</v>
      </c>
      <c r="E15" s="267" t="s">
        <v>14</v>
      </c>
      <c r="F15" s="268">
        <v>10</v>
      </c>
      <c r="G15" s="268">
        <v>10</v>
      </c>
      <c r="H15" s="268">
        <f>G15</f>
        <v>10</v>
      </c>
      <c r="I15" s="268">
        <f t="shared" ref="I15:I25" si="0">F15-H15</f>
        <v>0</v>
      </c>
      <c r="J15" s="268">
        <f>ROUND(S15*$S$12,2)</f>
        <v>232.25</v>
      </c>
      <c r="K15" s="268">
        <f>G15*J15</f>
        <v>2322.5</v>
      </c>
      <c r="L15" s="268">
        <f>K15</f>
        <v>2322.5</v>
      </c>
      <c r="M15" s="268">
        <f>K15-L15</f>
        <v>0</v>
      </c>
      <c r="N15" s="269">
        <f t="shared" ref="N15:N25" si="1">ROUND(F15*J15,2)</f>
        <v>2322.5</v>
      </c>
      <c r="O15" s="263">
        <v>1</v>
      </c>
      <c r="P15" s="263" t="s">
        <v>1823</v>
      </c>
      <c r="Q15" s="270"/>
      <c r="R15" s="216"/>
      <c r="S15" s="271">
        <v>282</v>
      </c>
    </row>
    <row r="16" spans="1:19" ht="15" x14ac:dyDescent="0.2">
      <c r="A16" s="272" t="s">
        <v>1330</v>
      </c>
      <c r="B16" s="272" t="s">
        <v>1331</v>
      </c>
      <c r="C16" s="272" t="s">
        <v>1324</v>
      </c>
      <c r="D16" s="273" t="s">
        <v>1332</v>
      </c>
      <c r="E16" s="274" t="s">
        <v>14</v>
      </c>
      <c r="F16" s="275">
        <v>312.39999999999998</v>
      </c>
      <c r="G16" s="275">
        <v>108.9</v>
      </c>
      <c r="H16" s="268">
        <f t="shared" ref="H16:H25" si="2">G16</f>
        <v>108.9</v>
      </c>
      <c r="I16" s="268">
        <f t="shared" si="0"/>
        <v>203.49999999999997</v>
      </c>
      <c r="J16" s="268">
        <f t="shared" ref="J16:J25" si="3">ROUND(S16*$S$12,2)</f>
        <v>39.78</v>
      </c>
      <c r="K16" s="268">
        <f t="shared" ref="K16:K31" si="4">G16*J16</f>
        <v>4332.0420000000004</v>
      </c>
      <c r="L16" s="268">
        <f t="shared" ref="L16:L31" si="5">K16</f>
        <v>4332.0420000000004</v>
      </c>
      <c r="M16" s="268">
        <f t="shared" ref="M16:M25" si="6">K16-L16</f>
        <v>0</v>
      </c>
      <c r="N16" s="269">
        <f t="shared" si="1"/>
        <v>12427.27</v>
      </c>
      <c r="O16" s="263"/>
      <c r="P16" s="263" t="s">
        <v>1824</v>
      </c>
      <c r="Q16" s="270"/>
      <c r="R16" s="216"/>
      <c r="S16" s="271">
        <v>48.3</v>
      </c>
    </row>
    <row r="17" spans="1:19" ht="25.5" x14ac:dyDescent="0.2">
      <c r="A17" s="272" t="s">
        <v>1333</v>
      </c>
      <c r="B17" s="272">
        <v>9540</v>
      </c>
      <c r="C17" s="272" t="s">
        <v>1324</v>
      </c>
      <c r="D17" s="273" t="s">
        <v>1334</v>
      </c>
      <c r="E17" s="274" t="s">
        <v>102</v>
      </c>
      <c r="F17" s="275">
        <v>1</v>
      </c>
      <c r="G17" s="275">
        <v>0</v>
      </c>
      <c r="H17" s="268">
        <f t="shared" si="2"/>
        <v>0</v>
      </c>
      <c r="I17" s="268">
        <f t="shared" si="0"/>
        <v>1</v>
      </c>
      <c r="J17" s="268">
        <f t="shared" si="3"/>
        <v>783.05</v>
      </c>
      <c r="K17" s="268">
        <f t="shared" si="4"/>
        <v>0</v>
      </c>
      <c r="L17" s="268">
        <f t="shared" si="5"/>
        <v>0</v>
      </c>
      <c r="M17" s="268">
        <f t="shared" si="6"/>
        <v>0</v>
      </c>
      <c r="N17" s="269">
        <f t="shared" si="1"/>
        <v>783.05</v>
      </c>
      <c r="O17" s="263"/>
      <c r="P17" s="263" t="s">
        <v>1825</v>
      </c>
      <c r="Q17" s="270"/>
      <c r="R17" s="216"/>
      <c r="S17" s="271">
        <v>950.78</v>
      </c>
    </row>
    <row r="18" spans="1:19" ht="15" x14ac:dyDescent="0.2">
      <c r="A18" s="272" t="s">
        <v>1335</v>
      </c>
      <c r="B18" s="272" t="s">
        <v>1336</v>
      </c>
      <c r="C18" s="272" t="s">
        <v>1324</v>
      </c>
      <c r="D18" s="273" t="s">
        <v>1337</v>
      </c>
      <c r="E18" s="274" t="s">
        <v>102</v>
      </c>
      <c r="F18" s="275">
        <v>1</v>
      </c>
      <c r="G18" s="275">
        <v>0</v>
      </c>
      <c r="H18" s="268">
        <f t="shared" si="2"/>
        <v>0</v>
      </c>
      <c r="I18" s="268">
        <f t="shared" si="0"/>
        <v>1</v>
      </c>
      <c r="J18" s="268">
        <f t="shared" si="3"/>
        <v>1344.39</v>
      </c>
      <c r="K18" s="268">
        <f t="shared" si="4"/>
        <v>0</v>
      </c>
      <c r="L18" s="268">
        <f t="shared" si="5"/>
        <v>0</v>
      </c>
      <c r="M18" s="268">
        <f t="shared" si="6"/>
        <v>0</v>
      </c>
      <c r="N18" s="269">
        <f t="shared" si="1"/>
        <v>1344.39</v>
      </c>
      <c r="O18" s="263"/>
      <c r="P18" s="263" t="s">
        <v>1826</v>
      </c>
      <c r="Q18" s="270"/>
      <c r="R18" s="216"/>
      <c r="S18" s="271">
        <v>1632.35</v>
      </c>
    </row>
    <row r="19" spans="1:19" ht="15" x14ac:dyDescent="0.2">
      <c r="A19" s="272" t="s">
        <v>1338</v>
      </c>
      <c r="B19" s="272"/>
      <c r="C19" s="272" t="s">
        <v>1339</v>
      </c>
      <c r="D19" s="273" t="s">
        <v>1340</v>
      </c>
      <c r="E19" s="274" t="s">
        <v>102</v>
      </c>
      <c r="F19" s="275">
        <v>1</v>
      </c>
      <c r="G19" s="275">
        <v>0</v>
      </c>
      <c r="H19" s="268">
        <f t="shared" si="2"/>
        <v>0</v>
      </c>
      <c r="I19" s="268">
        <f t="shared" si="0"/>
        <v>1</v>
      </c>
      <c r="J19" s="268">
        <f t="shared" si="3"/>
        <v>823.61</v>
      </c>
      <c r="K19" s="268">
        <f t="shared" si="4"/>
        <v>0</v>
      </c>
      <c r="L19" s="268">
        <f t="shared" si="5"/>
        <v>0</v>
      </c>
      <c r="M19" s="268">
        <f t="shared" si="6"/>
        <v>0</v>
      </c>
      <c r="N19" s="269">
        <f t="shared" si="1"/>
        <v>823.61</v>
      </c>
      <c r="O19" s="263"/>
      <c r="P19" s="263" t="s">
        <v>1827</v>
      </c>
      <c r="Q19" s="270"/>
      <c r="R19" s="216"/>
      <c r="S19" s="271">
        <v>1000.03</v>
      </c>
    </row>
    <row r="20" spans="1:19" ht="15" x14ac:dyDescent="0.2">
      <c r="A20" s="272" t="s">
        <v>1341</v>
      </c>
      <c r="B20" s="272" t="s">
        <v>1342</v>
      </c>
      <c r="C20" s="272" t="s">
        <v>1343</v>
      </c>
      <c r="D20" s="273" t="s">
        <v>1344</v>
      </c>
      <c r="E20" s="274" t="s">
        <v>102</v>
      </c>
      <c r="F20" s="275">
        <v>1</v>
      </c>
      <c r="G20" s="275">
        <v>0</v>
      </c>
      <c r="H20" s="268">
        <f t="shared" si="2"/>
        <v>0</v>
      </c>
      <c r="I20" s="268">
        <f t="shared" si="0"/>
        <v>1</v>
      </c>
      <c r="J20" s="268">
        <f t="shared" si="3"/>
        <v>174.71</v>
      </c>
      <c r="K20" s="268">
        <f t="shared" si="4"/>
        <v>0</v>
      </c>
      <c r="L20" s="268">
        <f t="shared" si="5"/>
        <v>0</v>
      </c>
      <c r="M20" s="268">
        <f t="shared" si="6"/>
        <v>0</v>
      </c>
      <c r="N20" s="269">
        <f t="shared" si="1"/>
        <v>174.71</v>
      </c>
      <c r="O20" s="263"/>
      <c r="P20" s="263" t="s">
        <v>1828</v>
      </c>
      <c r="Q20" s="270"/>
      <c r="R20" s="216"/>
      <c r="S20" s="271">
        <v>212.13</v>
      </c>
    </row>
    <row r="21" spans="1:19" ht="25.5" x14ac:dyDescent="0.2">
      <c r="A21" s="272" t="s">
        <v>1345</v>
      </c>
      <c r="B21" s="272" t="s">
        <v>1346</v>
      </c>
      <c r="C21" s="272" t="s">
        <v>1324</v>
      </c>
      <c r="D21" s="273" t="s">
        <v>1347</v>
      </c>
      <c r="E21" s="274" t="s">
        <v>102</v>
      </c>
      <c r="F21" s="275">
        <v>1</v>
      </c>
      <c r="G21" s="275">
        <v>0</v>
      </c>
      <c r="H21" s="268">
        <f t="shared" si="2"/>
        <v>0</v>
      </c>
      <c r="I21" s="268">
        <f t="shared" si="0"/>
        <v>1</v>
      </c>
      <c r="J21" s="268">
        <f t="shared" si="3"/>
        <v>1343.12</v>
      </c>
      <c r="K21" s="268">
        <f t="shared" si="4"/>
        <v>0</v>
      </c>
      <c r="L21" s="268">
        <f t="shared" si="5"/>
        <v>0</v>
      </c>
      <c r="M21" s="268">
        <f t="shared" si="6"/>
        <v>0</v>
      </c>
      <c r="N21" s="269">
        <f t="shared" si="1"/>
        <v>1343.12</v>
      </c>
      <c r="O21" s="263"/>
      <c r="P21" s="263" t="s">
        <v>1829</v>
      </c>
      <c r="Q21" s="270"/>
      <c r="R21" s="216"/>
      <c r="S21" s="271">
        <v>1630.81</v>
      </c>
    </row>
    <row r="22" spans="1:19" ht="15" x14ac:dyDescent="0.2">
      <c r="A22" s="272" t="s">
        <v>1348</v>
      </c>
      <c r="B22" s="272" t="s">
        <v>1349</v>
      </c>
      <c r="C22" s="272" t="s">
        <v>1324</v>
      </c>
      <c r="D22" s="273" t="s">
        <v>1350</v>
      </c>
      <c r="E22" s="274" t="s">
        <v>14</v>
      </c>
      <c r="F22" s="275">
        <v>20</v>
      </c>
      <c r="G22" s="275">
        <v>10</v>
      </c>
      <c r="H22" s="268">
        <f t="shared" si="2"/>
        <v>10</v>
      </c>
      <c r="I22" s="268">
        <f t="shared" si="0"/>
        <v>10</v>
      </c>
      <c r="J22" s="268">
        <f t="shared" si="3"/>
        <v>390.47</v>
      </c>
      <c r="K22" s="268">
        <f t="shared" si="4"/>
        <v>3904.7000000000003</v>
      </c>
      <c r="L22" s="268">
        <f t="shared" si="5"/>
        <v>3904.7000000000003</v>
      </c>
      <c r="M22" s="268">
        <f t="shared" si="6"/>
        <v>0</v>
      </c>
      <c r="N22" s="269">
        <f t="shared" si="1"/>
        <v>7809.4</v>
      </c>
      <c r="O22" s="263"/>
      <c r="P22" s="263" t="s">
        <v>1830</v>
      </c>
      <c r="Q22" s="270"/>
      <c r="R22" s="216"/>
      <c r="S22" s="271">
        <v>474.11</v>
      </c>
    </row>
    <row r="23" spans="1:19" ht="15" x14ac:dyDescent="0.2">
      <c r="A23" s="272" t="s">
        <v>1351</v>
      </c>
      <c r="B23" s="272" t="s">
        <v>1352</v>
      </c>
      <c r="C23" s="272" t="s">
        <v>1324</v>
      </c>
      <c r="D23" s="273" t="s">
        <v>1353</v>
      </c>
      <c r="E23" s="274" t="s">
        <v>14</v>
      </c>
      <c r="F23" s="275">
        <v>785</v>
      </c>
      <c r="G23" s="275">
        <v>785</v>
      </c>
      <c r="H23" s="268">
        <f t="shared" si="2"/>
        <v>785</v>
      </c>
      <c r="I23" s="268">
        <f t="shared" si="0"/>
        <v>0</v>
      </c>
      <c r="J23" s="268">
        <f t="shared" si="3"/>
        <v>4.0999999999999996</v>
      </c>
      <c r="K23" s="268">
        <f t="shared" si="4"/>
        <v>3218.4999999999995</v>
      </c>
      <c r="L23" s="268">
        <f t="shared" si="5"/>
        <v>3218.4999999999995</v>
      </c>
      <c r="M23" s="268">
        <f t="shared" si="6"/>
        <v>0</v>
      </c>
      <c r="N23" s="269">
        <f t="shared" si="1"/>
        <v>3218.5</v>
      </c>
      <c r="O23" s="263"/>
      <c r="P23" s="263" t="s">
        <v>1831</v>
      </c>
      <c r="Q23" s="270"/>
      <c r="R23" s="216"/>
      <c r="S23" s="271">
        <v>4.9800000000000004</v>
      </c>
    </row>
    <row r="24" spans="1:19" ht="15" x14ac:dyDescent="0.2">
      <c r="A24" s="272" t="s">
        <v>1354</v>
      </c>
      <c r="B24" s="272" t="s">
        <v>1355</v>
      </c>
      <c r="C24" s="272" t="s">
        <v>1343</v>
      </c>
      <c r="D24" s="273" t="s">
        <v>1356</v>
      </c>
      <c r="E24" s="274" t="s">
        <v>81</v>
      </c>
      <c r="F24" s="275">
        <v>49</v>
      </c>
      <c r="G24" s="275">
        <v>49</v>
      </c>
      <c r="H24" s="268">
        <f>G24</f>
        <v>49</v>
      </c>
      <c r="I24" s="268">
        <f t="shared" si="0"/>
        <v>0</v>
      </c>
      <c r="J24" s="268">
        <f t="shared" si="3"/>
        <v>46.26</v>
      </c>
      <c r="K24" s="268">
        <f t="shared" si="4"/>
        <v>2266.7399999999998</v>
      </c>
      <c r="L24" s="268">
        <f t="shared" si="5"/>
        <v>2266.7399999999998</v>
      </c>
      <c r="M24" s="268">
        <f t="shared" si="6"/>
        <v>0</v>
      </c>
      <c r="N24" s="269">
        <f t="shared" si="1"/>
        <v>2266.7399999999998</v>
      </c>
      <c r="O24" s="263"/>
      <c r="P24" s="263" t="s">
        <v>1832</v>
      </c>
      <c r="Q24" s="270"/>
      <c r="R24" s="216"/>
      <c r="S24" s="271">
        <v>56.17</v>
      </c>
    </row>
    <row r="25" spans="1:19" ht="15" x14ac:dyDescent="0.2">
      <c r="A25" s="272" t="s">
        <v>1357</v>
      </c>
      <c r="B25" s="272">
        <v>72213</v>
      </c>
      <c r="C25" s="272" t="s">
        <v>1324</v>
      </c>
      <c r="D25" s="273" t="s">
        <v>1358</v>
      </c>
      <c r="E25" s="274" t="s">
        <v>14</v>
      </c>
      <c r="F25" s="275">
        <v>1230</v>
      </c>
      <c r="G25" s="275">
        <v>1230</v>
      </c>
      <c r="H25" s="268">
        <f t="shared" si="2"/>
        <v>1230</v>
      </c>
      <c r="I25" s="268">
        <f t="shared" si="0"/>
        <v>0</v>
      </c>
      <c r="J25" s="268">
        <f t="shared" si="3"/>
        <v>0.12</v>
      </c>
      <c r="K25" s="268">
        <f t="shared" si="4"/>
        <v>147.6</v>
      </c>
      <c r="L25" s="268">
        <f t="shared" si="5"/>
        <v>147.6</v>
      </c>
      <c r="M25" s="268">
        <f t="shared" si="6"/>
        <v>0</v>
      </c>
      <c r="N25" s="269">
        <f t="shared" si="1"/>
        <v>147.6</v>
      </c>
      <c r="O25" s="263"/>
      <c r="P25" s="263" t="s">
        <v>1833</v>
      </c>
      <c r="Q25" s="270"/>
      <c r="R25" s="216"/>
      <c r="S25" s="271">
        <v>0.14000000000000001</v>
      </c>
    </row>
    <row r="26" spans="1:19" ht="14.25" x14ac:dyDescent="0.2">
      <c r="A26" s="258">
        <v>2</v>
      </c>
      <c r="B26" s="258"/>
      <c r="C26" s="258"/>
      <c r="D26" s="259" t="s">
        <v>1359</v>
      </c>
      <c r="E26" s="260"/>
      <c r="F26" s="261">
        <f t="shared" ref="F26:L26" si="7">SUM(F27:F31)</f>
        <v>438.40999999999997</v>
      </c>
      <c r="G26" s="261">
        <f t="shared" si="7"/>
        <v>158.464</v>
      </c>
      <c r="H26" s="261">
        <f t="shared" si="7"/>
        <v>158.464</v>
      </c>
      <c r="I26" s="261">
        <f t="shared" si="7"/>
        <v>279.94599999999997</v>
      </c>
      <c r="J26" s="261">
        <f t="shared" si="7"/>
        <v>131.45000000000002</v>
      </c>
      <c r="K26" s="261">
        <f t="shared" si="7"/>
        <v>3622.2696000000001</v>
      </c>
      <c r="L26" s="261">
        <f t="shared" si="7"/>
        <v>3622.2696000000001</v>
      </c>
      <c r="M26" s="261">
        <f>N26-L26</f>
        <v>7392.8904000000002</v>
      </c>
      <c r="N26" s="262">
        <f>SUM(N27:N31)</f>
        <v>11015.16</v>
      </c>
      <c r="O26" s="263"/>
      <c r="P26" s="263" t="s">
        <v>1834</v>
      </c>
      <c r="Q26" s="270"/>
      <c r="R26" s="216"/>
      <c r="S26" s="264"/>
    </row>
    <row r="27" spans="1:19" ht="25.5" x14ac:dyDescent="0.2">
      <c r="A27" s="272" t="s">
        <v>27</v>
      </c>
      <c r="B27" s="272">
        <v>55835</v>
      </c>
      <c r="C27" s="272" t="s">
        <v>1324</v>
      </c>
      <c r="D27" s="273" t="s">
        <v>1360</v>
      </c>
      <c r="E27" s="274" t="s">
        <v>48</v>
      </c>
      <c r="F27" s="275">
        <v>154.94</v>
      </c>
      <c r="G27" s="275">
        <v>0</v>
      </c>
      <c r="H27" s="275">
        <f>G27</f>
        <v>0</v>
      </c>
      <c r="I27" s="268">
        <f>F27-H27</f>
        <v>154.94</v>
      </c>
      <c r="J27" s="268">
        <f>ROUND(S27*$S$12,2)</f>
        <v>29.27</v>
      </c>
      <c r="K27" s="268">
        <f t="shared" si="4"/>
        <v>0</v>
      </c>
      <c r="L27" s="268">
        <f t="shared" si="5"/>
        <v>0</v>
      </c>
      <c r="M27" s="268">
        <f>K27-L27</f>
        <v>0</v>
      </c>
      <c r="N27" s="269">
        <f>ROUND(F27*J27,2)</f>
        <v>4535.09</v>
      </c>
      <c r="O27" s="263"/>
      <c r="P27" s="263" t="s">
        <v>1835</v>
      </c>
      <c r="Q27" s="270"/>
      <c r="R27" s="216"/>
      <c r="S27" s="271">
        <v>35.54</v>
      </c>
    </row>
    <row r="28" spans="1:19" ht="15" x14ac:dyDescent="0.2">
      <c r="A28" s="272" t="s">
        <v>1263</v>
      </c>
      <c r="B28" s="272">
        <v>79478</v>
      </c>
      <c r="C28" s="272" t="s">
        <v>1324</v>
      </c>
      <c r="D28" s="273" t="s">
        <v>1361</v>
      </c>
      <c r="E28" s="274" t="s">
        <v>48</v>
      </c>
      <c r="F28" s="275">
        <v>83.25</v>
      </c>
      <c r="G28" s="275">
        <f>F28*0.8</f>
        <v>66.600000000000009</v>
      </c>
      <c r="H28" s="275">
        <f>G28</f>
        <v>66.600000000000009</v>
      </c>
      <c r="I28" s="268">
        <f>F28-H28</f>
        <v>16.649999999999991</v>
      </c>
      <c r="J28" s="268">
        <f>ROUND(S28*$S$12,2)</f>
        <v>46.94</v>
      </c>
      <c r="K28" s="268">
        <f t="shared" si="4"/>
        <v>3126.2040000000002</v>
      </c>
      <c r="L28" s="268">
        <f t="shared" si="5"/>
        <v>3126.2040000000002</v>
      </c>
      <c r="M28" s="268">
        <f>K28-L28</f>
        <v>0</v>
      </c>
      <c r="N28" s="269">
        <f>ROUND(F28*J28,2)</f>
        <v>3907.76</v>
      </c>
      <c r="O28" s="263"/>
      <c r="P28" s="263" t="s">
        <v>1836</v>
      </c>
      <c r="Q28" s="270"/>
      <c r="R28" s="216"/>
      <c r="S28" s="271">
        <v>57</v>
      </c>
    </row>
    <row r="29" spans="1:19" ht="15" x14ac:dyDescent="0.2">
      <c r="A29" s="272" t="s">
        <v>1362</v>
      </c>
      <c r="B29" s="272">
        <v>79483</v>
      </c>
      <c r="C29" s="272" t="s">
        <v>1324</v>
      </c>
      <c r="D29" s="273" t="s">
        <v>1363</v>
      </c>
      <c r="E29" s="274" t="s">
        <v>14</v>
      </c>
      <c r="F29" s="275">
        <v>114.83</v>
      </c>
      <c r="G29" s="275">
        <f>F29*0.8</f>
        <v>91.864000000000004</v>
      </c>
      <c r="H29" s="275">
        <f>G29</f>
        <v>91.864000000000004</v>
      </c>
      <c r="I29" s="268">
        <f>F29-H29</f>
        <v>22.965999999999994</v>
      </c>
      <c r="J29" s="268">
        <f>ROUND(S29*$S$12,2)</f>
        <v>5.4</v>
      </c>
      <c r="K29" s="268">
        <f t="shared" si="4"/>
        <v>496.06560000000007</v>
      </c>
      <c r="L29" s="268">
        <f t="shared" si="5"/>
        <v>496.06560000000007</v>
      </c>
      <c r="M29" s="268">
        <f>K29-L29</f>
        <v>0</v>
      </c>
      <c r="N29" s="269">
        <f>ROUND(F29*J29,2)</f>
        <v>620.08000000000004</v>
      </c>
      <c r="O29" s="263"/>
      <c r="P29" s="263" t="s">
        <v>1837</v>
      </c>
      <c r="Q29" s="270"/>
      <c r="R29" s="216"/>
      <c r="S29" s="271">
        <v>6.56</v>
      </c>
    </row>
    <row r="30" spans="1:19" ht="15" x14ac:dyDescent="0.2">
      <c r="A30" s="272" t="s">
        <v>1364</v>
      </c>
      <c r="B30" s="272">
        <v>53527</v>
      </c>
      <c r="C30" s="272" t="s">
        <v>1324</v>
      </c>
      <c r="D30" s="273" t="s">
        <v>1365</v>
      </c>
      <c r="E30" s="274" t="s">
        <v>48</v>
      </c>
      <c r="F30" s="275">
        <v>62.89</v>
      </c>
      <c r="G30" s="275">
        <v>0</v>
      </c>
      <c r="H30" s="275">
        <f>G30</f>
        <v>0</v>
      </c>
      <c r="I30" s="268">
        <f>F30-H30</f>
        <v>62.89</v>
      </c>
      <c r="J30" s="268">
        <f>ROUND(S30*$S$12,2)</f>
        <v>20.57</v>
      </c>
      <c r="K30" s="268">
        <f t="shared" si="4"/>
        <v>0</v>
      </c>
      <c r="L30" s="268">
        <f t="shared" si="5"/>
        <v>0</v>
      </c>
      <c r="M30" s="268">
        <f>K30-L30</f>
        <v>0</v>
      </c>
      <c r="N30" s="269">
        <f>ROUND(F30*J30,2)</f>
        <v>1293.6500000000001</v>
      </c>
      <c r="O30" s="263"/>
      <c r="P30" s="263" t="s">
        <v>1838</v>
      </c>
      <c r="Q30" s="270"/>
      <c r="R30" s="216"/>
      <c r="S30" s="271">
        <v>24.97</v>
      </c>
    </row>
    <row r="31" spans="1:19" ht="15" x14ac:dyDescent="0.2">
      <c r="A31" s="272" t="s">
        <v>1366</v>
      </c>
      <c r="B31" s="272">
        <v>55835</v>
      </c>
      <c r="C31" s="272" t="s">
        <v>1324</v>
      </c>
      <c r="D31" s="273" t="s">
        <v>1367</v>
      </c>
      <c r="E31" s="274" t="s">
        <v>48</v>
      </c>
      <c r="F31" s="275">
        <v>22.5</v>
      </c>
      <c r="G31" s="275">
        <v>0</v>
      </c>
      <c r="H31" s="275">
        <f>G31</f>
        <v>0</v>
      </c>
      <c r="I31" s="268">
        <f>F31-H31</f>
        <v>22.5</v>
      </c>
      <c r="J31" s="268">
        <f>ROUND(S31*$S$12,2)</f>
        <v>29.27</v>
      </c>
      <c r="K31" s="268">
        <f t="shared" si="4"/>
        <v>0</v>
      </c>
      <c r="L31" s="268">
        <f t="shared" si="5"/>
        <v>0</v>
      </c>
      <c r="M31" s="268">
        <f>K31-L31</f>
        <v>0</v>
      </c>
      <c r="N31" s="269">
        <f>ROUND(F31*J31,2)</f>
        <v>658.58</v>
      </c>
      <c r="O31" s="263"/>
      <c r="P31" s="263" t="s">
        <v>1839</v>
      </c>
      <c r="Q31" s="270"/>
      <c r="R31" s="216"/>
      <c r="S31" s="271">
        <v>35.54</v>
      </c>
    </row>
    <row r="32" spans="1:19" ht="14.25" x14ac:dyDescent="0.2">
      <c r="A32" s="258">
        <v>3</v>
      </c>
      <c r="B32" s="258"/>
      <c r="C32" s="258"/>
      <c r="D32" s="259" t="s">
        <v>1368</v>
      </c>
      <c r="E32" s="260"/>
      <c r="F32" s="261">
        <f>SUM(F33,F39)</f>
        <v>1911.17</v>
      </c>
      <c r="G32" s="261">
        <f>SUM(G33,G39)</f>
        <v>727.32</v>
      </c>
      <c r="H32" s="261">
        <f>SUM(H33,H39)</f>
        <v>727.32</v>
      </c>
      <c r="I32" s="261">
        <f>SUM(I33,I39)</f>
        <v>1183.8499999999999</v>
      </c>
      <c r="J32" s="261">
        <f>N32</f>
        <v>35418.720000000001</v>
      </c>
      <c r="K32" s="261">
        <f>SUM(K33,K39)</f>
        <v>6786.7103999999999</v>
      </c>
      <c r="L32" s="261">
        <f>SUM(L33,L39)</f>
        <v>6786.7103999999999</v>
      </c>
      <c r="M32" s="261">
        <f>N32-L32</f>
        <v>28632.009600000001</v>
      </c>
      <c r="N32" s="262">
        <f>N33+N39</f>
        <v>35418.720000000001</v>
      </c>
      <c r="O32" s="263"/>
      <c r="P32" s="263" t="s">
        <v>1840</v>
      </c>
      <c r="Q32" s="270"/>
      <c r="R32" s="216"/>
      <c r="S32" s="264"/>
    </row>
    <row r="33" spans="1:19" ht="15" x14ac:dyDescent="0.2">
      <c r="A33" s="276" t="s">
        <v>41</v>
      </c>
      <c r="B33" s="276"/>
      <c r="C33" s="276"/>
      <c r="D33" s="277" t="s">
        <v>1369</v>
      </c>
      <c r="E33" s="278"/>
      <c r="F33" s="279">
        <f>SUM(F34:F38)</f>
        <v>1231.6000000000001</v>
      </c>
      <c r="G33" s="279">
        <f>SUM(G34:G38)</f>
        <v>727.32</v>
      </c>
      <c r="H33" s="279">
        <f>SUM(H34:H38)</f>
        <v>727.32</v>
      </c>
      <c r="I33" s="279">
        <f>SUM(I34:I38)</f>
        <v>504.28</v>
      </c>
      <c r="J33" s="279">
        <f>N33</f>
        <v>16448.150000000001</v>
      </c>
      <c r="K33" s="279">
        <f>SUM(K34:K38)</f>
        <v>6786.7103999999999</v>
      </c>
      <c r="L33" s="279">
        <f>SUM(L34:L38)</f>
        <v>6786.7103999999999</v>
      </c>
      <c r="M33" s="279">
        <f>N33-L33</f>
        <v>9661.4396000000015</v>
      </c>
      <c r="N33" s="280">
        <f>SUM(N34:N38)</f>
        <v>16448.150000000001</v>
      </c>
      <c r="O33" s="263"/>
      <c r="P33" s="263" t="s">
        <v>1841</v>
      </c>
      <c r="Q33" s="270"/>
      <c r="R33" s="216"/>
      <c r="S33" s="281"/>
    </row>
    <row r="34" spans="1:19" ht="15" x14ac:dyDescent="0.2">
      <c r="A34" s="272" t="s">
        <v>43</v>
      </c>
      <c r="B34" s="272">
        <v>83532</v>
      </c>
      <c r="C34" s="272" t="s">
        <v>1324</v>
      </c>
      <c r="D34" s="273" t="s">
        <v>1370</v>
      </c>
      <c r="E34" s="274" t="s">
        <v>48</v>
      </c>
      <c r="F34" s="275">
        <v>3.77</v>
      </c>
      <c r="G34" s="275">
        <v>0</v>
      </c>
      <c r="H34" s="275">
        <f>G34</f>
        <v>0</v>
      </c>
      <c r="I34" s="268">
        <f>F34-H34</f>
        <v>3.77</v>
      </c>
      <c r="J34" s="268">
        <f>ROUND(S34*$S$12,2)</f>
        <v>19.86</v>
      </c>
      <c r="K34" s="268">
        <f t="shared" ref="K34:K44" si="8">G34*J34</f>
        <v>0</v>
      </c>
      <c r="L34" s="268">
        <f>K34</f>
        <v>0</v>
      </c>
      <c r="M34" s="268">
        <f>K34-L34</f>
        <v>0</v>
      </c>
      <c r="N34" s="269">
        <f>ROUND(F34*J34,2)</f>
        <v>74.87</v>
      </c>
      <c r="O34" s="263"/>
      <c r="P34" s="263" t="s">
        <v>1842</v>
      </c>
      <c r="Q34" s="270"/>
      <c r="R34" s="216"/>
      <c r="S34" s="271">
        <v>24.12</v>
      </c>
    </row>
    <row r="35" spans="1:19" ht="15" x14ac:dyDescent="0.2">
      <c r="A35" s="272" t="s">
        <v>45</v>
      </c>
      <c r="B35" s="272">
        <v>5970</v>
      </c>
      <c r="C35" s="272" t="s">
        <v>1324</v>
      </c>
      <c r="D35" s="273" t="s">
        <v>1371</v>
      </c>
      <c r="E35" s="274" t="s">
        <v>14</v>
      </c>
      <c r="F35" s="275">
        <v>63.02</v>
      </c>
      <c r="G35" s="275">
        <f>F35*0.6</f>
        <v>37.811999999999998</v>
      </c>
      <c r="H35" s="275">
        <f>G35</f>
        <v>37.811999999999998</v>
      </c>
      <c r="I35" s="268">
        <f>F35-H35</f>
        <v>25.208000000000006</v>
      </c>
      <c r="J35" s="268">
        <f>ROUND(S35*$S$12,2)</f>
        <v>93.42</v>
      </c>
      <c r="K35" s="268">
        <f t="shared" si="8"/>
        <v>3532.3970399999998</v>
      </c>
      <c r="L35" s="268">
        <f>K35</f>
        <v>3532.3970399999998</v>
      </c>
      <c r="M35" s="268">
        <f>K35-L35</f>
        <v>0</v>
      </c>
      <c r="N35" s="269">
        <f>ROUND(F35*J35,2)</f>
        <v>5887.33</v>
      </c>
      <c r="O35" s="263"/>
      <c r="P35" s="263" t="s">
        <v>1843</v>
      </c>
      <c r="Q35" s="270"/>
      <c r="R35" s="216"/>
      <c r="S35" s="271">
        <v>113.43</v>
      </c>
    </row>
    <row r="36" spans="1:19" ht="25.5" x14ac:dyDescent="0.2">
      <c r="A36" s="272" t="s">
        <v>47</v>
      </c>
      <c r="B36" s="272">
        <v>92793</v>
      </c>
      <c r="C36" s="272" t="s">
        <v>1324</v>
      </c>
      <c r="D36" s="273" t="s">
        <v>1372</v>
      </c>
      <c r="E36" s="274" t="s">
        <v>35</v>
      </c>
      <c r="F36" s="275">
        <v>1094.27</v>
      </c>
      <c r="G36" s="275">
        <f>F36*0.6</f>
        <v>656.56200000000001</v>
      </c>
      <c r="H36" s="275">
        <f>G36</f>
        <v>656.56200000000001</v>
      </c>
      <c r="I36" s="268">
        <f>F36-H36</f>
        <v>437.70799999999997</v>
      </c>
      <c r="J36" s="268">
        <f>ROUND(S36*$S$12,2)</f>
        <v>4.6500000000000004</v>
      </c>
      <c r="K36" s="268">
        <f t="shared" si="8"/>
        <v>3053.0133000000001</v>
      </c>
      <c r="L36" s="268">
        <f>K36</f>
        <v>3053.0133000000001</v>
      </c>
      <c r="M36" s="268">
        <f>K36-L36</f>
        <v>0</v>
      </c>
      <c r="N36" s="269">
        <f>ROUND(F36*J36,2)</f>
        <v>5088.3599999999997</v>
      </c>
      <c r="O36" s="263"/>
      <c r="P36" s="263" t="s">
        <v>1844</v>
      </c>
      <c r="Q36" s="270"/>
      <c r="R36" s="216"/>
      <c r="S36" s="271">
        <v>5.65</v>
      </c>
    </row>
    <row r="37" spans="1:19" ht="25.5" x14ac:dyDescent="0.2">
      <c r="A37" s="272" t="s">
        <v>49</v>
      </c>
      <c r="B37" s="272">
        <v>92791</v>
      </c>
      <c r="C37" s="272" t="s">
        <v>1324</v>
      </c>
      <c r="D37" s="273" t="s">
        <v>1373</v>
      </c>
      <c r="E37" s="274" t="s">
        <v>35</v>
      </c>
      <c r="F37" s="275">
        <v>54.91</v>
      </c>
      <c r="G37" s="275">
        <f>F37*0.6</f>
        <v>32.945999999999998</v>
      </c>
      <c r="H37" s="275">
        <f>G37</f>
        <v>32.945999999999998</v>
      </c>
      <c r="I37" s="268">
        <f>F37-H37</f>
        <v>21.963999999999999</v>
      </c>
      <c r="J37" s="268">
        <f>ROUND(S37*$S$12,2)</f>
        <v>6.11</v>
      </c>
      <c r="K37" s="268">
        <f t="shared" si="8"/>
        <v>201.30006</v>
      </c>
      <c r="L37" s="268">
        <f>K37</f>
        <v>201.30006</v>
      </c>
      <c r="M37" s="268">
        <f>K37-L37</f>
        <v>0</v>
      </c>
      <c r="N37" s="269">
        <f>ROUND(F37*J37,2)</f>
        <v>335.5</v>
      </c>
      <c r="O37" s="263"/>
      <c r="P37" s="263" t="s">
        <v>1845</v>
      </c>
      <c r="Q37" s="270"/>
      <c r="R37" s="216"/>
      <c r="S37" s="271">
        <v>7.42</v>
      </c>
    </row>
    <row r="38" spans="1:19" ht="15" x14ac:dyDescent="0.2">
      <c r="A38" s="272" t="s">
        <v>1374</v>
      </c>
      <c r="B38" s="272">
        <v>92720</v>
      </c>
      <c r="C38" s="272" t="s">
        <v>1324</v>
      </c>
      <c r="D38" s="273" t="s">
        <v>1375</v>
      </c>
      <c r="E38" s="274" t="s">
        <v>48</v>
      </c>
      <c r="F38" s="275">
        <v>15.63</v>
      </c>
      <c r="G38" s="275">
        <v>0</v>
      </c>
      <c r="H38" s="275">
        <f>G38</f>
        <v>0</v>
      </c>
      <c r="I38" s="268">
        <f>F38-H38</f>
        <v>15.63</v>
      </c>
      <c r="J38" s="268">
        <f>ROUND(S38*$S$12,2)</f>
        <v>323.87</v>
      </c>
      <c r="K38" s="268">
        <f t="shared" si="8"/>
        <v>0</v>
      </c>
      <c r="L38" s="268">
        <f>K38</f>
        <v>0</v>
      </c>
      <c r="M38" s="268">
        <f>K38-L38</f>
        <v>0</v>
      </c>
      <c r="N38" s="269">
        <f>ROUND(F38*J38,2)</f>
        <v>5062.09</v>
      </c>
      <c r="O38" s="263"/>
      <c r="P38" s="263" t="s">
        <v>1846</v>
      </c>
      <c r="Q38" s="270"/>
      <c r="R38" s="216"/>
      <c r="S38" s="271">
        <v>393.24</v>
      </c>
    </row>
    <row r="39" spans="1:19" ht="15" x14ac:dyDescent="0.2">
      <c r="A39" s="276" t="s">
        <v>50</v>
      </c>
      <c r="B39" s="276"/>
      <c r="C39" s="276"/>
      <c r="D39" s="277" t="s">
        <v>1376</v>
      </c>
      <c r="E39" s="278"/>
      <c r="F39" s="279">
        <f>SUM(F40:F44)</f>
        <v>679.56999999999994</v>
      </c>
      <c r="G39" s="279">
        <f>SUM(G40:G44)</f>
        <v>0</v>
      </c>
      <c r="H39" s="279">
        <f>SUM(H40:H44)</f>
        <v>0</v>
      </c>
      <c r="I39" s="279">
        <f>SUM(I40:I44)</f>
        <v>679.56999999999994</v>
      </c>
      <c r="J39" s="279">
        <f>N39</f>
        <v>18970.57</v>
      </c>
      <c r="K39" s="279">
        <f>SUM(K40:K44)</f>
        <v>0</v>
      </c>
      <c r="L39" s="279">
        <f>SUM(L40:L44)</f>
        <v>0</v>
      </c>
      <c r="M39" s="279">
        <f>N39-L39</f>
        <v>18970.57</v>
      </c>
      <c r="N39" s="280">
        <f>SUM(N40:N44)</f>
        <v>18970.57</v>
      </c>
      <c r="O39" s="263"/>
      <c r="P39" s="263" t="s">
        <v>1847</v>
      </c>
      <c r="Q39" s="270"/>
      <c r="R39" s="216"/>
      <c r="S39" s="281"/>
    </row>
    <row r="40" spans="1:19" ht="15" x14ac:dyDescent="0.2">
      <c r="A40" s="272" t="s">
        <v>52</v>
      </c>
      <c r="B40" s="272">
        <v>83532</v>
      </c>
      <c r="C40" s="272" t="s">
        <v>1324</v>
      </c>
      <c r="D40" s="273" t="s">
        <v>1370</v>
      </c>
      <c r="E40" s="274" t="s">
        <v>48</v>
      </c>
      <c r="F40" s="275">
        <v>2.58</v>
      </c>
      <c r="G40" s="275">
        <v>0</v>
      </c>
      <c r="H40" s="275">
        <f>G40</f>
        <v>0</v>
      </c>
      <c r="I40" s="268">
        <f>F40-H40</f>
        <v>2.58</v>
      </c>
      <c r="J40" s="268">
        <f>ROUND(S40*$S$12,2)</f>
        <v>19.86</v>
      </c>
      <c r="K40" s="268">
        <f t="shared" si="8"/>
        <v>0</v>
      </c>
      <c r="L40" s="268">
        <f>K40</f>
        <v>0</v>
      </c>
      <c r="M40" s="268">
        <f>K40-L40</f>
        <v>0</v>
      </c>
      <c r="N40" s="269">
        <f>ROUND(F40*J40,2)</f>
        <v>51.24</v>
      </c>
      <c r="O40" s="263"/>
      <c r="P40" s="263" t="s">
        <v>1848</v>
      </c>
      <c r="Q40" s="270"/>
      <c r="R40" s="216"/>
      <c r="S40" s="271">
        <v>24.12</v>
      </c>
    </row>
    <row r="41" spans="1:19" ht="15" x14ac:dyDescent="0.2">
      <c r="A41" s="272" t="s">
        <v>53</v>
      </c>
      <c r="B41" s="272">
        <v>5970</v>
      </c>
      <c r="C41" s="272" t="s">
        <v>1324</v>
      </c>
      <c r="D41" s="273" t="s">
        <v>1371</v>
      </c>
      <c r="E41" s="274" t="s">
        <v>14</v>
      </c>
      <c r="F41" s="275">
        <v>139.57</v>
      </c>
      <c r="G41" s="275">
        <v>0</v>
      </c>
      <c r="H41" s="275">
        <f>G41</f>
        <v>0</v>
      </c>
      <c r="I41" s="268">
        <f>F41-H41</f>
        <v>139.57</v>
      </c>
      <c r="J41" s="268">
        <f>ROUND(S41*$S$12,2)</f>
        <v>93.42</v>
      </c>
      <c r="K41" s="268">
        <f t="shared" si="8"/>
        <v>0</v>
      </c>
      <c r="L41" s="268">
        <f>K41</f>
        <v>0</v>
      </c>
      <c r="M41" s="268">
        <f>K41-L41</f>
        <v>0</v>
      </c>
      <c r="N41" s="269">
        <f>ROUND(F41*J41,2)</f>
        <v>13038.63</v>
      </c>
      <c r="O41" s="263"/>
      <c r="P41" s="263" t="s">
        <v>1849</v>
      </c>
      <c r="Q41" s="270"/>
      <c r="R41" s="216"/>
      <c r="S41" s="271">
        <v>113.43</v>
      </c>
    </row>
    <row r="42" spans="1:19" ht="25.5" x14ac:dyDescent="0.2">
      <c r="A42" s="272" t="s">
        <v>54</v>
      </c>
      <c r="B42" s="272">
        <v>92793</v>
      </c>
      <c r="C42" s="272" t="s">
        <v>1324</v>
      </c>
      <c r="D42" s="273" t="s">
        <v>1372</v>
      </c>
      <c r="E42" s="274" t="s">
        <v>35</v>
      </c>
      <c r="F42" s="275">
        <v>389.64</v>
      </c>
      <c r="G42" s="275">
        <v>0</v>
      </c>
      <c r="H42" s="275">
        <f>G42</f>
        <v>0</v>
      </c>
      <c r="I42" s="268">
        <f>F42-H42</f>
        <v>389.64</v>
      </c>
      <c r="J42" s="268">
        <f>ROUND(S42*$S$12,2)</f>
        <v>4.6500000000000004</v>
      </c>
      <c r="K42" s="268">
        <f t="shared" si="8"/>
        <v>0</v>
      </c>
      <c r="L42" s="268">
        <f>K42</f>
        <v>0</v>
      </c>
      <c r="M42" s="268">
        <f>K42-L42</f>
        <v>0</v>
      </c>
      <c r="N42" s="269">
        <f>ROUND(F42*J42,2)</f>
        <v>1811.83</v>
      </c>
      <c r="O42" s="263"/>
      <c r="P42" s="263" t="s">
        <v>1850</v>
      </c>
      <c r="Q42" s="270"/>
      <c r="R42" s="216"/>
      <c r="S42" s="271">
        <v>5.65</v>
      </c>
    </row>
    <row r="43" spans="1:19" ht="25.5" x14ac:dyDescent="0.2">
      <c r="A43" s="272" t="s">
        <v>55</v>
      </c>
      <c r="B43" s="272">
        <v>92791</v>
      </c>
      <c r="C43" s="272" t="s">
        <v>1324</v>
      </c>
      <c r="D43" s="273" t="s">
        <v>1373</v>
      </c>
      <c r="E43" s="274" t="s">
        <v>35</v>
      </c>
      <c r="F43" s="275">
        <v>137.72999999999999</v>
      </c>
      <c r="G43" s="275">
        <v>0</v>
      </c>
      <c r="H43" s="275">
        <f>G43</f>
        <v>0</v>
      </c>
      <c r="I43" s="268">
        <f>F43-H43</f>
        <v>137.72999999999999</v>
      </c>
      <c r="J43" s="268">
        <f>ROUND(S43*$S$12,2)</f>
        <v>5.91</v>
      </c>
      <c r="K43" s="268">
        <f t="shared" si="8"/>
        <v>0</v>
      </c>
      <c r="L43" s="268">
        <f>K43</f>
        <v>0</v>
      </c>
      <c r="M43" s="268">
        <f>K43-L43</f>
        <v>0</v>
      </c>
      <c r="N43" s="269">
        <f>ROUND(F43*J43,2)</f>
        <v>813.98</v>
      </c>
      <c r="O43" s="263"/>
      <c r="P43" s="263" t="s">
        <v>1851</v>
      </c>
      <c r="Q43" s="270"/>
      <c r="R43" s="216"/>
      <c r="S43" s="271">
        <v>7.17</v>
      </c>
    </row>
    <row r="44" spans="1:19" ht="15" x14ac:dyDescent="0.2">
      <c r="A44" s="272" t="s">
        <v>1377</v>
      </c>
      <c r="B44" s="272">
        <v>92720</v>
      </c>
      <c r="C44" s="272" t="s">
        <v>1324</v>
      </c>
      <c r="D44" s="273" t="s">
        <v>1375</v>
      </c>
      <c r="E44" s="274" t="s">
        <v>48</v>
      </c>
      <c r="F44" s="275">
        <v>10.050000000000001</v>
      </c>
      <c r="G44" s="275">
        <v>0</v>
      </c>
      <c r="H44" s="275">
        <f>G44</f>
        <v>0</v>
      </c>
      <c r="I44" s="268">
        <f>F44-H44</f>
        <v>10.050000000000001</v>
      </c>
      <c r="J44" s="268">
        <f>ROUND(S44*$S$12,2)</f>
        <v>323.87</v>
      </c>
      <c r="K44" s="268">
        <f t="shared" si="8"/>
        <v>0</v>
      </c>
      <c r="L44" s="268">
        <f>K44</f>
        <v>0</v>
      </c>
      <c r="M44" s="268">
        <f>K44-L44</f>
        <v>0</v>
      </c>
      <c r="N44" s="269">
        <f>ROUND(F44*J44,2)</f>
        <v>3254.89</v>
      </c>
      <c r="O44" s="263"/>
      <c r="P44" s="263" t="s">
        <v>1852</v>
      </c>
      <c r="Q44" s="270"/>
      <c r="R44" s="216"/>
      <c r="S44" s="271">
        <v>393.24</v>
      </c>
    </row>
    <row r="45" spans="1:19" ht="14.25" x14ac:dyDescent="0.2">
      <c r="A45" s="258">
        <v>4</v>
      </c>
      <c r="B45" s="258"/>
      <c r="C45" s="258"/>
      <c r="D45" s="259" t="s">
        <v>1378</v>
      </c>
      <c r="E45" s="260"/>
      <c r="F45" s="261"/>
      <c r="G45" s="261"/>
      <c r="H45" s="261"/>
      <c r="I45" s="261"/>
      <c r="J45" s="261">
        <f>N45</f>
        <v>88897.260000000009</v>
      </c>
      <c r="K45" s="261"/>
      <c r="L45" s="261"/>
      <c r="M45" s="261"/>
      <c r="N45" s="262">
        <f>N46+N51+N57+N62+N67</f>
        <v>88897.260000000009</v>
      </c>
      <c r="O45" s="263"/>
      <c r="P45" s="263" t="s">
        <v>1853</v>
      </c>
      <c r="Q45" s="270"/>
      <c r="R45" s="216"/>
      <c r="S45" s="264"/>
    </row>
    <row r="46" spans="1:19" ht="15" x14ac:dyDescent="0.2">
      <c r="A46" s="276" t="s">
        <v>74</v>
      </c>
      <c r="B46" s="276"/>
      <c r="C46" s="276"/>
      <c r="D46" s="277" t="s">
        <v>1379</v>
      </c>
      <c r="E46" s="278"/>
      <c r="F46" s="279"/>
      <c r="G46" s="279"/>
      <c r="H46" s="279"/>
      <c r="I46" s="279"/>
      <c r="J46" s="279">
        <f>N46</f>
        <v>17368.48</v>
      </c>
      <c r="K46" s="279"/>
      <c r="L46" s="279"/>
      <c r="M46" s="279"/>
      <c r="N46" s="280">
        <f>SUM(N47:N50)</f>
        <v>17368.48</v>
      </c>
      <c r="O46" s="263"/>
      <c r="P46" s="263" t="s">
        <v>1854</v>
      </c>
      <c r="Q46" s="270"/>
      <c r="R46" s="216"/>
      <c r="S46" s="281"/>
    </row>
    <row r="47" spans="1:19" ht="25.5" x14ac:dyDescent="0.2">
      <c r="A47" s="272" t="s">
        <v>76</v>
      </c>
      <c r="B47" s="272">
        <v>92448</v>
      </c>
      <c r="C47" s="272" t="s">
        <v>1324</v>
      </c>
      <c r="D47" s="273" t="s">
        <v>1380</v>
      </c>
      <c r="E47" s="274" t="s">
        <v>14</v>
      </c>
      <c r="F47" s="275">
        <v>126.72</v>
      </c>
      <c r="G47" s="275"/>
      <c r="H47" s="275"/>
      <c r="I47" s="275"/>
      <c r="J47" s="268">
        <f>ROUND(S47*$S$12,2)</f>
        <v>93.42</v>
      </c>
      <c r="K47" s="268"/>
      <c r="L47" s="268"/>
      <c r="M47" s="268"/>
      <c r="N47" s="269">
        <f>ROUND(F47*J47,2)</f>
        <v>11838.18</v>
      </c>
      <c r="O47" s="263"/>
      <c r="P47" s="263" t="s">
        <v>1855</v>
      </c>
      <c r="Q47" s="270"/>
      <c r="R47" s="216"/>
      <c r="S47" s="271">
        <v>113.43</v>
      </c>
    </row>
    <row r="48" spans="1:19" ht="25.5" x14ac:dyDescent="0.2">
      <c r="A48" s="272" t="s">
        <v>79</v>
      </c>
      <c r="B48" s="272">
        <v>92793</v>
      </c>
      <c r="C48" s="272" t="s">
        <v>1324</v>
      </c>
      <c r="D48" s="273" t="s">
        <v>1372</v>
      </c>
      <c r="E48" s="274" t="s">
        <v>35</v>
      </c>
      <c r="F48" s="275">
        <v>428.55</v>
      </c>
      <c r="G48" s="275"/>
      <c r="H48" s="275"/>
      <c r="I48" s="275"/>
      <c r="J48" s="268">
        <f>ROUND(S48*$S$12,2)</f>
        <v>4.6500000000000004</v>
      </c>
      <c r="K48" s="268"/>
      <c r="L48" s="268"/>
      <c r="M48" s="268"/>
      <c r="N48" s="269">
        <f>ROUND(F48*J48,2)</f>
        <v>1992.76</v>
      </c>
      <c r="O48" s="263"/>
      <c r="P48" s="263" t="s">
        <v>1856</v>
      </c>
      <c r="Q48" s="270"/>
      <c r="R48" s="216"/>
      <c r="S48" s="271">
        <v>5.65</v>
      </c>
    </row>
    <row r="49" spans="1:19" ht="25.5" x14ac:dyDescent="0.2">
      <c r="A49" s="272" t="s">
        <v>83</v>
      </c>
      <c r="B49" s="272">
        <v>92791</v>
      </c>
      <c r="C49" s="272" t="s">
        <v>1324</v>
      </c>
      <c r="D49" s="273" t="s">
        <v>1373</v>
      </c>
      <c r="E49" s="274" t="s">
        <v>35</v>
      </c>
      <c r="F49" s="275">
        <v>127.36</v>
      </c>
      <c r="G49" s="275"/>
      <c r="H49" s="275"/>
      <c r="I49" s="275"/>
      <c r="J49" s="268">
        <f>ROUND(S49*$S$12,2)</f>
        <v>6.11</v>
      </c>
      <c r="K49" s="268"/>
      <c r="L49" s="268"/>
      <c r="M49" s="268"/>
      <c r="N49" s="269">
        <f>ROUND(F49*J49,2)</f>
        <v>778.17</v>
      </c>
      <c r="O49" s="263"/>
      <c r="P49" s="263" t="s">
        <v>1857</v>
      </c>
      <c r="Q49" s="270"/>
      <c r="R49" s="216"/>
      <c r="S49" s="271">
        <v>7.42</v>
      </c>
    </row>
    <row r="50" spans="1:19" ht="15" x14ac:dyDescent="0.2">
      <c r="A50" s="272" t="s">
        <v>86</v>
      </c>
      <c r="B50" s="272">
        <v>92720</v>
      </c>
      <c r="C50" s="272" t="s">
        <v>1324</v>
      </c>
      <c r="D50" s="273" t="s">
        <v>1375</v>
      </c>
      <c r="E50" s="274" t="s">
        <v>48</v>
      </c>
      <c r="F50" s="275">
        <v>8.52</v>
      </c>
      <c r="G50" s="275"/>
      <c r="H50" s="275"/>
      <c r="I50" s="275"/>
      <c r="J50" s="268">
        <f>ROUND(S50*$S$12,2)</f>
        <v>323.87</v>
      </c>
      <c r="K50" s="268"/>
      <c r="L50" s="268"/>
      <c r="M50" s="268"/>
      <c r="N50" s="269">
        <f>ROUND(F50*J50,2)</f>
        <v>2759.37</v>
      </c>
      <c r="O50" s="263"/>
      <c r="P50" s="263" t="s">
        <v>1858</v>
      </c>
      <c r="Q50" s="270"/>
      <c r="R50" s="216"/>
      <c r="S50" s="271">
        <v>393.24</v>
      </c>
    </row>
    <row r="51" spans="1:19" ht="15" x14ac:dyDescent="0.2">
      <c r="A51" s="276" t="s">
        <v>1381</v>
      </c>
      <c r="B51" s="276"/>
      <c r="C51" s="276"/>
      <c r="D51" s="277" t="s">
        <v>1382</v>
      </c>
      <c r="E51" s="278"/>
      <c r="F51" s="279"/>
      <c r="G51" s="279"/>
      <c r="H51" s="279"/>
      <c r="I51" s="279"/>
      <c r="J51" s="279">
        <f>N51</f>
        <v>33356.590000000004</v>
      </c>
      <c r="K51" s="279"/>
      <c r="L51" s="279"/>
      <c r="M51" s="279"/>
      <c r="N51" s="280">
        <f>SUM(N52:N56)</f>
        <v>33356.590000000004</v>
      </c>
      <c r="O51" s="263"/>
      <c r="P51" s="263" t="s">
        <v>1859</v>
      </c>
      <c r="Q51" s="270"/>
      <c r="R51" s="216"/>
      <c r="S51" s="271">
        <v>0</v>
      </c>
    </row>
    <row r="52" spans="1:19" ht="15" x14ac:dyDescent="0.2">
      <c r="A52" s="272" t="s">
        <v>1383</v>
      </c>
      <c r="B52" s="272">
        <v>92510</v>
      </c>
      <c r="C52" s="272" t="s">
        <v>1324</v>
      </c>
      <c r="D52" s="273" t="s">
        <v>1384</v>
      </c>
      <c r="E52" s="274" t="s">
        <v>14</v>
      </c>
      <c r="F52" s="275">
        <v>155.72999999999999</v>
      </c>
      <c r="G52" s="275"/>
      <c r="H52" s="275"/>
      <c r="I52" s="275"/>
      <c r="J52" s="268">
        <f>ROUND(S52*$S$12,2)</f>
        <v>93.42</v>
      </c>
      <c r="K52" s="268"/>
      <c r="L52" s="268"/>
      <c r="M52" s="268"/>
      <c r="N52" s="269">
        <f>ROUND(F52*J52,2)</f>
        <v>14548.3</v>
      </c>
      <c r="O52" s="263"/>
      <c r="P52" s="263" t="s">
        <v>1860</v>
      </c>
      <c r="Q52" s="270"/>
      <c r="R52" s="216"/>
      <c r="S52" s="271">
        <v>113.43</v>
      </c>
    </row>
    <row r="53" spans="1:19" ht="25.5" x14ac:dyDescent="0.2">
      <c r="A53" s="272" t="s">
        <v>1385</v>
      </c>
      <c r="B53" s="272">
        <v>92793</v>
      </c>
      <c r="C53" s="272" t="s">
        <v>1324</v>
      </c>
      <c r="D53" s="273" t="s">
        <v>1372</v>
      </c>
      <c r="E53" s="274" t="s">
        <v>35</v>
      </c>
      <c r="F53" s="275">
        <v>1946.45</v>
      </c>
      <c r="G53" s="275"/>
      <c r="H53" s="275"/>
      <c r="I53" s="275"/>
      <c r="J53" s="268">
        <f>ROUND(S53*$S$12,2)</f>
        <v>4.6500000000000004</v>
      </c>
      <c r="K53" s="268"/>
      <c r="L53" s="268"/>
      <c r="M53" s="268"/>
      <c r="N53" s="269">
        <f>ROUND(F53*J53,2)</f>
        <v>9050.99</v>
      </c>
      <c r="O53" s="263"/>
      <c r="P53" s="263" t="s">
        <v>1861</v>
      </c>
      <c r="Q53" s="270"/>
      <c r="R53" s="216"/>
      <c r="S53" s="271">
        <v>5.65</v>
      </c>
    </row>
    <row r="54" spans="1:19" ht="25.5" x14ac:dyDescent="0.2">
      <c r="A54" s="272" t="s">
        <v>1386</v>
      </c>
      <c r="B54" s="272">
        <v>92791</v>
      </c>
      <c r="C54" s="272" t="s">
        <v>1324</v>
      </c>
      <c r="D54" s="273" t="s">
        <v>1373</v>
      </c>
      <c r="E54" s="274" t="s">
        <v>35</v>
      </c>
      <c r="F54" s="275">
        <v>240.18</v>
      </c>
      <c r="G54" s="275"/>
      <c r="H54" s="275"/>
      <c r="I54" s="275"/>
      <c r="J54" s="268">
        <f>ROUND(S54*$S$12,2)</f>
        <v>6.11</v>
      </c>
      <c r="K54" s="268"/>
      <c r="L54" s="268"/>
      <c r="M54" s="268"/>
      <c r="N54" s="269">
        <f>ROUND(F54*J54,2)</f>
        <v>1467.5</v>
      </c>
      <c r="O54" s="263"/>
      <c r="P54" s="263" t="s">
        <v>1862</v>
      </c>
      <c r="Q54" s="270"/>
      <c r="R54" s="216"/>
      <c r="S54" s="271">
        <v>7.42</v>
      </c>
    </row>
    <row r="55" spans="1:19" ht="15" x14ac:dyDescent="0.2">
      <c r="A55" s="272" t="s">
        <v>1387</v>
      </c>
      <c r="B55" s="272">
        <v>92720</v>
      </c>
      <c r="C55" s="272" t="s">
        <v>1324</v>
      </c>
      <c r="D55" s="273" t="s">
        <v>1375</v>
      </c>
      <c r="E55" s="274" t="s">
        <v>48</v>
      </c>
      <c r="F55" s="275">
        <v>10.71</v>
      </c>
      <c r="G55" s="275"/>
      <c r="H55" s="275"/>
      <c r="I55" s="275"/>
      <c r="J55" s="268">
        <f>ROUND(S55*$S$12,2)</f>
        <v>323.87</v>
      </c>
      <c r="K55" s="268"/>
      <c r="L55" s="268"/>
      <c r="M55" s="268"/>
      <c r="N55" s="269">
        <f>ROUND(F55*J55,2)</f>
        <v>3468.65</v>
      </c>
      <c r="O55" s="263"/>
      <c r="P55" s="263" t="s">
        <v>1863</v>
      </c>
      <c r="Q55" s="270"/>
      <c r="R55" s="216"/>
      <c r="S55" s="271">
        <v>393.24</v>
      </c>
    </row>
    <row r="56" spans="1:19" ht="15" x14ac:dyDescent="0.2">
      <c r="A56" s="272" t="s">
        <v>1388</v>
      </c>
      <c r="B56" s="272" t="s">
        <v>1389</v>
      </c>
      <c r="C56" s="272" t="s">
        <v>1324</v>
      </c>
      <c r="D56" s="273" t="s">
        <v>1390</v>
      </c>
      <c r="E56" s="274" t="s">
        <v>14</v>
      </c>
      <c r="F56" s="275">
        <v>84.33</v>
      </c>
      <c r="G56" s="275"/>
      <c r="H56" s="275"/>
      <c r="I56" s="275"/>
      <c r="J56" s="268">
        <f>ROUND(S56*$S$12,2)</f>
        <v>57.17</v>
      </c>
      <c r="K56" s="268"/>
      <c r="L56" s="268"/>
      <c r="M56" s="268"/>
      <c r="N56" s="269">
        <f>ROUND(F56*J56,2)</f>
        <v>4821.1499999999996</v>
      </c>
      <c r="O56" s="263"/>
      <c r="P56" s="263" t="s">
        <v>1864</v>
      </c>
      <c r="Q56" s="270"/>
      <c r="R56" s="216"/>
      <c r="S56" s="271">
        <v>69.41</v>
      </c>
    </row>
    <row r="57" spans="1:19" ht="15" x14ac:dyDescent="0.2">
      <c r="A57" s="276" t="s">
        <v>1391</v>
      </c>
      <c r="B57" s="276"/>
      <c r="C57" s="276"/>
      <c r="D57" s="277" t="s">
        <v>1392</v>
      </c>
      <c r="E57" s="278"/>
      <c r="F57" s="279"/>
      <c r="G57" s="279"/>
      <c r="H57" s="279"/>
      <c r="I57" s="279"/>
      <c r="J57" s="279">
        <f>N57</f>
        <v>13794.349999999999</v>
      </c>
      <c r="K57" s="279"/>
      <c r="L57" s="279"/>
      <c r="M57" s="279"/>
      <c r="N57" s="280">
        <f>SUM(N58:N61)</f>
        <v>13794.349999999999</v>
      </c>
      <c r="O57" s="263"/>
      <c r="P57" s="263" t="s">
        <v>1865</v>
      </c>
      <c r="Q57" s="270"/>
      <c r="R57" s="216"/>
      <c r="S57" s="271">
        <v>0</v>
      </c>
    </row>
    <row r="58" spans="1:19" ht="15" x14ac:dyDescent="0.2">
      <c r="A58" s="272" t="s">
        <v>1393</v>
      </c>
      <c r="B58" s="272">
        <v>92510</v>
      </c>
      <c r="C58" s="272" t="s">
        <v>1324</v>
      </c>
      <c r="D58" s="273" t="s">
        <v>1384</v>
      </c>
      <c r="E58" s="274" t="s">
        <v>14</v>
      </c>
      <c r="F58" s="275">
        <v>111.8</v>
      </c>
      <c r="G58" s="275"/>
      <c r="H58" s="275"/>
      <c r="I58" s="275"/>
      <c r="J58" s="268">
        <f>ROUND(S58*$S$12,2)</f>
        <v>93.42</v>
      </c>
      <c r="K58" s="268"/>
      <c r="L58" s="268"/>
      <c r="M58" s="268"/>
      <c r="N58" s="269">
        <f>ROUND(F58*J58,2)</f>
        <v>10444.36</v>
      </c>
      <c r="O58" s="263"/>
      <c r="P58" s="263" t="s">
        <v>1866</v>
      </c>
      <c r="Q58" s="270"/>
      <c r="R58" s="216"/>
      <c r="S58" s="271">
        <v>113.43</v>
      </c>
    </row>
    <row r="59" spans="1:19" ht="25.5" x14ac:dyDescent="0.2">
      <c r="A59" s="272" t="s">
        <v>1394</v>
      </c>
      <c r="B59" s="272">
        <v>92793</v>
      </c>
      <c r="C59" s="272" t="s">
        <v>1324</v>
      </c>
      <c r="D59" s="273" t="s">
        <v>1372</v>
      </c>
      <c r="E59" s="274" t="s">
        <v>35</v>
      </c>
      <c r="F59" s="275">
        <v>135.38999999999999</v>
      </c>
      <c r="G59" s="275"/>
      <c r="H59" s="275"/>
      <c r="I59" s="275"/>
      <c r="J59" s="268">
        <f>ROUND(S59*$S$12,2)</f>
        <v>4.6500000000000004</v>
      </c>
      <c r="K59" s="268"/>
      <c r="L59" s="268"/>
      <c r="M59" s="268"/>
      <c r="N59" s="269">
        <f>ROUND(F59*J59,2)</f>
        <v>629.55999999999995</v>
      </c>
      <c r="O59" s="263"/>
      <c r="P59" s="263" t="s">
        <v>1867</v>
      </c>
      <c r="Q59" s="270"/>
      <c r="R59" s="216"/>
      <c r="S59" s="271">
        <v>5.65</v>
      </c>
    </row>
    <row r="60" spans="1:19" ht="25.5" x14ac:dyDescent="0.2">
      <c r="A60" s="272" t="s">
        <v>1395</v>
      </c>
      <c r="B60" s="272">
        <v>92791</v>
      </c>
      <c r="C60" s="272" t="s">
        <v>1324</v>
      </c>
      <c r="D60" s="273" t="s">
        <v>1373</v>
      </c>
      <c r="E60" s="274" t="s">
        <v>35</v>
      </c>
      <c r="F60" s="275">
        <v>95.93</v>
      </c>
      <c r="G60" s="275"/>
      <c r="H60" s="275"/>
      <c r="I60" s="275"/>
      <c r="J60" s="268">
        <f>ROUND(S60*$S$12,2)</f>
        <v>6.11</v>
      </c>
      <c r="K60" s="268"/>
      <c r="L60" s="268"/>
      <c r="M60" s="268"/>
      <c r="N60" s="269">
        <f>ROUND(F60*J60,2)</f>
        <v>586.13</v>
      </c>
      <c r="O60" s="263"/>
      <c r="P60" s="263" t="s">
        <v>1868</v>
      </c>
      <c r="Q60" s="270"/>
      <c r="R60" s="216"/>
      <c r="S60" s="271">
        <v>7.42</v>
      </c>
    </row>
    <row r="61" spans="1:19" ht="15" x14ac:dyDescent="0.2">
      <c r="A61" s="272" t="s">
        <v>1396</v>
      </c>
      <c r="B61" s="272">
        <v>92720</v>
      </c>
      <c r="C61" s="272" t="s">
        <v>1324</v>
      </c>
      <c r="D61" s="273" t="s">
        <v>1375</v>
      </c>
      <c r="E61" s="274" t="s">
        <v>48</v>
      </c>
      <c r="F61" s="275">
        <v>6.59</v>
      </c>
      <c r="G61" s="275"/>
      <c r="H61" s="275"/>
      <c r="I61" s="275"/>
      <c r="J61" s="268">
        <f>ROUND(S61*$S$12,2)</f>
        <v>323.87</v>
      </c>
      <c r="K61" s="268"/>
      <c r="L61" s="268"/>
      <c r="M61" s="268"/>
      <c r="N61" s="269">
        <f>ROUND(F61*J61,2)</f>
        <v>2134.3000000000002</v>
      </c>
      <c r="O61" s="263"/>
      <c r="P61" s="263" t="s">
        <v>1869</v>
      </c>
      <c r="Q61" s="270"/>
      <c r="R61" s="216"/>
      <c r="S61" s="271">
        <v>393.24</v>
      </c>
    </row>
    <row r="62" spans="1:19" ht="15" x14ac:dyDescent="0.2">
      <c r="A62" s="276" t="s">
        <v>1397</v>
      </c>
      <c r="B62" s="276"/>
      <c r="C62" s="276"/>
      <c r="D62" s="277" t="s">
        <v>1398</v>
      </c>
      <c r="E62" s="278"/>
      <c r="F62" s="279"/>
      <c r="G62" s="279"/>
      <c r="H62" s="279"/>
      <c r="I62" s="279"/>
      <c r="J62" s="279">
        <f>N62</f>
        <v>23465.25</v>
      </c>
      <c r="K62" s="279"/>
      <c r="L62" s="279"/>
      <c r="M62" s="279"/>
      <c r="N62" s="280">
        <f>SUM(N63:N66)</f>
        <v>23465.25</v>
      </c>
      <c r="O62" s="263"/>
      <c r="P62" s="263" t="s">
        <v>1870</v>
      </c>
      <c r="Q62" s="270"/>
      <c r="R62" s="216"/>
      <c r="S62" s="271">
        <v>0</v>
      </c>
    </row>
    <row r="63" spans="1:19" ht="15" x14ac:dyDescent="0.2">
      <c r="A63" s="272" t="s">
        <v>1399</v>
      </c>
      <c r="B63" s="272">
        <v>92422</v>
      </c>
      <c r="C63" s="272" t="s">
        <v>1324</v>
      </c>
      <c r="D63" s="273" t="s">
        <v>1384</v>
      </c>
      <c r="E63" s="274" t="s">
        <v>14</v>
      </c>
      <c r="F63" s="275">
        <v>10.8</v>
      </c>
      <c r="G63" s="275"/>
      <c r="H63" s="275"/>
      <c r="I63" s="275"/>
      <c r="J63" s="268">
        <f>ROUND(S63*$S$12,2)</f>
        <v>93.42</v>
      </c>
      <c r="K63" s="268"/>
      <c r="L63" s="268"/>
      <c r="M63" s="268"/>
      <c r="N63" s="269">
        <f>ROUND(F63*J63,2)</f>
        <v>1008.94</v>
      </c>
      <c r="O63" s="263"/>
      <c r="P63" s="263" t="s">
        <v>1871</v>
      </c>
      <c r="Q63" s="270"/>
      <c r="R63" s="216"/>
      <c r="S63" s="271">
        <v>113.43</v>
      </c>
    </row>
    <row r="64" spans="1:19" ht="15" x14ac:dyDescent="0.2">
      <c r="A64" s="272" t="s">
        <v>1400</v>
      </c>
      <c r="B64" s="272" t="s">
        <v>1401</v>
      </c>
      <c r="C64" s="272" t="s">
        <v>1324</v>
      </c>
      <c r="D64" s="273" t="s">
        <v>1402</v>
      </c>
      <c r="E64" s="274" t="s">
        <v>48</v>
      </c>
      <c r="F64" s="275">
        <v>33.83</v>
      </c>
      <c r="G64" s="275"/>
      <c r="H64" s="275"/>
      <c r="I64" s="275"/>
      <c r="J64" s="268">
        <f>ROUND(S64*$S$12,2)</f>
        <v>98.55</v>
      </c>
      <c r="K64" s="268"/>
      <c r="L64" s="268"/>
      <c r="M64" s="268"/>
      <c r="N64" s="269">
        <f>ROUND(F64*J64,2)</f>
        <v>3333.95</v>
      </c>
      <c r="O64" s="263"/>
      <c r="P64" s="263" t="s">
        <v>1872</v>
      </c>
      <c r="Q64" s="270"/>
      <c r="R64" s="216"/>
      <c r="S64" s="271">
        <v>119.66</v>
      </c>
    </row>
    <row r="65" spans="1:19" ht="15" x14ac:dyDescent="0.2">
      <c r="A65" s="272" t="s">
        <v>1403</v>
      </c>
      <c r="B65" s="272">
        <v>85662</v>
      </c>
      <c r="C65" s="272" t="s">
        <v>1324</v>
      </c>
      <c r="D65" s="273" t="s">
        <v>1404</v>
      </c>
      <c r="E65" s="274" t="s">
        <v>14</v>
      </c>
      <c r="F65" s="275">
        <v>1001.47</v>
      </c>
      <c r="G65" s="275"/>
      <c r="H65" s="275"/>
      <c r="I65" s="275"/>
      <c r="J65" s="268">
        <f>ROUND(S65*$S$12,2)</f>
        <v>10.34</v>
      </c>
      <c r="K65" s="268"/>
      <c r="L65" s="268"/>
      <c r="M65" s="268"/>
      <c r="N65" s="269">
        <f>ROUND(F65*J65,2)</f>
        <v>10355.200000000001</v>
      </c>
      <c r="O65" s="263"/>
      <c r="P65" s="263" t="s">
        <v>1873</v>
      </c>
      <c r="Q65" s="270"/>
      <c r="R65" s="216"/>
      <c r="S65" s="271">
        <v>12.56</v>
      </c>
    </row>
    <row r="66" spans="1:19" ht="15" x14ac:dyDescent="0.2">
      <c r="A66" s="272" t="s">
        <v>1405</v>
      </c>
      <c r="B66" s="272">
        <v>92720</v>
      </c>
      <c r="C66" s="272" t="s">
        <v>1324</v>
      </c>
      <c r="D66" s="273" t="s">
        <v>1375</v>
      </c>
      <c r="E66" s="274" t="s">
        <v>48</v>
      </c>
      <c r="F66" s="275">
        <v>27.07</v>
      </c>
      <c r="G66" s="275"/>
      <c r="H66" s="275"/>
      <c r="I66" s="275"/>
      <c r="J66" s="268">
        <f>ROUND(S66*$S$12,2)</f>
        <v>323.87</v>
      </c>
      <c r="K66" s="268"/>
      <c r="L66" s="268"/>
      <c r="M66" s="268"/>
      <c r="N66" s="269">
        <f>ROUND(F66*J66,2)</f>
        <v>8767.16</v>
      </c>
      <c r="O66" s="263"/>
      <c r="P66" s="263" t="s">
        <v>1874</v>
      </c>
      <c r="Q66" s="270"/>
      <c r="R66" s="216"/>
      <c r="S66" s="271">
        <v>393.24</v>
      </c>
    </row>
    <row r="67" spans="1:19" ht="15" x14ac:dyDescent="0.2">
      <c r="A67" s="276" t="s">
        <v>1406</v>
      </c>
      <c r="B67" s="276"/>
      <c r="C67" s="276"/>
      <c r="D67" s="277" t="s">
        <v>1407</v>
      </c>
      <c r="E67" s="278"/>
      <c r="F67" s="279"/>
      <c r="G67" s="279"/>
      <c r="H67" s="279"/>
      <c r="I67" s="279"/>
      <c r="J67" s="279">
        <f>N67</f>
        <v>912.59</v>
      </c>
      <c r="K67" s="279"/>
      <c r="L67" s="279"/>
      <c r="M67" s="279"/>
      <c r="N67" s="280">
        <f>SUM(N68)</f>
        <v>912.59</v>
      </c>
      <c r="O67" s="263"/>
      <c r="P67" s="263" t="s">
        <v>1875</v>
      </c>
      <c r="Q67" s="270"/>
      <c r="R67" s="216"/>
      <c r="S67" s="271">
        <v>0</v>
      </c>
    </row>
    <row r="68" spans="1:19" ht="15" x14ac:dyDescent="0.2">
      <c r="A68" s="272" t="s">
        <v>1408</v>
      </c>
      <c r="B68" s="272" t="s">
        <v>1409</v>
      </c>
      <c r="C68" s="272" t="s">
        <v>1324</v>
      </c>
      <c r="D68" s="273" t="s">
        <v>1410</v>
      </c>
      <c r="E68" s="274" t="s">
        <v>81</v>
      </c>
      <c r="F68" s="275">
        <v>33.9</v>
      </c>
      <c r="G68" s="275"/>
      <c r="H68" s="275"/>
      <c r="I68" s="275"/>
      <c r="J68" s="268">
        <f>ROUND(S68*$S$12,2)</f>
        <v>26.92</v>
      </c>
      <c r="K68" s="268"/>
      <c r="L68" s="268"/>
      <c r="M68" s="268"/>
      <c r="N68" s="269">
        <f>ROUND(F68*J68,2)</f>
        <v>912.59</v>
      </c>
      <c r="O68" s="263"/>
      <c r="P68" s="263" t="s">
        <v>1876</v>
      </c>
      <c r="Q68" s="270"/>
      <c r="R68" s="216"/>
      <c r="S68" s="271">
        <v>32.69</v>
      </c>
    </row>
    <row r="69" spans="1:19" ht="14.25" x14ac:dyDescent="0.2">
      <c r="A69" s="258">
        <v>5</v>
      </c>
      <c r="B69" s="258"/>
      <c r="C69" s="258"/>
      <c r="D69" s="259" t="s">
        <v>1411</v>
      </c>
      <c r="E69" s="260"/>
      <c r="F69" s="261"/>
      <c r="G69" s="261"/>
      <c r="H69" s="261"/>
      <c r="I69" s="261"/>
      <c r="J69" s="261">
        <f>N69</f>
        <v>31428.92</v>
      </c>
      <c r="K69" s="261"/>
      <c r="L69" s="261"/>
      <c r="M69" s="261"/>
      <c r="N69" s="262">
        <f>N70+N72+N75</f>
        <v>31428.92</v>
      </c>
      <c r="O69" s="263"/>
      <c r="P69" s="263" t="s">
        <v>1877</v>
      </c>
      <c r="Q69" s="270"/>
      <c r="R69" s="216"/>
      <c r="S69" s="271">
        <v>0</v>
      </c>
    </row>
    <row r="70" spans="1:19" ht="15" x14ac:dyDescent="0.2">
      <c r="A70" s="276" t="s">
        <v>98</v>
      </c>
      <c r="B70" s="276"/>
      <c r="C70" s="276"/>
      <c r="D70" s="277" t="s">
        <v>1412</v>
      </c>
      <c r="E70" s="278"/>
      <c r="F70" s="279"/>
      <c r="G70" s="279"/>
      <c r="H70" s="279"/>
      <c r="I70" s="279"/>
      <c r="J70" s="279">
        <f>N70</f>
        <v>7200.78</v>
      </c>
      <c r="K70" s="279"/>
      <c r="L70" s="279"/>
      <c r="M70" s="279"/>
      <c r="N70" s="280">
        <f>SUM(N71)</f>
        <v>7200.78</v>
      </c>
      <c r="O70" s="263"/>
      <c r="P70" s="263" t="s">
        <v>1878</v>
      </c>
      <c r="Q70" s="270"/>
      <c r="R70" s="216"/>
      <c r="S70" s="271">
        <v>0</v>
      </c>
    </row>
    <row r="71" spans="1:19" ht="25.5" x14ac:dyDescent="0.2">
      <c r="A71" s="272" t="s">
        <v>100</v>
      </c>
      <c r="B71" s="272" t="s">
        <v>1413</v>
      </c>
      <c r="C71" s="272" t="s">
        <v>1324</v>
      </c>
      <c r="D71" s="273" t="s">
        <v>1414</v>
      </c>
      <c r="E71" s="274" t="s">
        <v>14</v>
      </c>
      <c r="F71" s="275">
        <v>134.72</v>
      </c>
      <c r="G71" s="275"/>
      <c r="H71" s="275"/>
      <c r="I71" s="275"/>
      <c r="J71" s="268">
        <f>ROUND(S71*$S$12,2)</f>
        <v>53.45</v>
      </c>
      <c r="K71" s="268"/>
      <c r="L71" s="268"/>
      <c r="M71" s="268"/>
      <c r="N71" s="269">
        <f>ROUND(F71*J71,2)</f>
        <v>7200.78</v>
      </c>
      <c r="O71" s="263"/>
      <c r="P71" s="263" t="s">
        <v>1879</v>
      </c>
      <c r="Q71" s="270"/>
      <c r="R71" s="216"/>
      <c r="S71" s="271">
        <v>64.900000000000006</v>
      </c>
    </row>
    <row r="72" spans="1:19" ht="15" x14ac:dyDescent="0.2">
      <c r="A72" s="276" t="s">
        <v>116</v>
      </c>
      <c r="B72" s="276"/>
      <c r="C72" s="276"/>
      <c r="D72" s="277" t="s">
        <v>1415</v>
      </c>
      <c r="E72" s="278"/>
      <c r="F72" s="279"/>
      <c r="G72" s="279"/>
      <c r="H72" s="279"/>
      <c r="I72" s="279"/>
      <c r="J72" s="279">
        <f>N72</f>
        <v>15726.869999999999</v>
      </c>
      <c r="K72" s="279"/>
      <c r="L72" s="279"/>
      <c r="M72" s="279"/>
      <c r="N72" s="280">
        <f>SUM(N73:N74)</f>
        <v>15726.869999999999</v>
      </c>
      <c r="O72" s="263"/>
      <c r="P72" s="263" t="s">
        <v>1880</v>
      </c>
      <c r="Q72" s="270"/>
      <c r="R72" s="216"/>
      <c r="S72" s="271">
        <v>0</v>
      </c>
    </row>
    <row r="73" spans="1:19" ht="25.5" x14ac:dyDescent="0.2">
      <c r="A73" s="272" t="s">
        <v>118</v>
      </c>
      <c r="B73" s="272">
        <v>87519</v>
      </c>
      <c r="C73" s="272" t="s">
        <v>1324</v>
      </c>
      <c r="D73" s="273" t="s">
        <v>1416</v>
      </c>
      <c r="E73" s="274" t="s">
        <v>14</v>
      </c>
      <c r="F73" s="275">
        <v>259.22000000000003</v>
      </c>
      <c r="G73" s="275"/>
      <c r="H73" s="275"/>
      <c r="I73" s="275"/>
      <c r="J73" s="268">
        <f>ROUND(S73*$S$12,2)</f>
        <v>56.29</v>
      </c>
      <c r="K73" s="268"/>
      <c r="L73" s="268"/>
      <c r="M73" s="268"/>
      <c r="N73" s="269">
        <f>ROUND(F73*J73,2)</f>
        <v>14591.49</v>
      </c>
      <c r="O73" s="263"/>
      <c r="P73" s="263" t="s">
        <v>1881</v>
      </c>
      <c r="Q73" s="270"/>
      <c r="R73" s="216"/>
      <c r="S73" s="271">
        <v>68.349999999999994</v>
      </c>
    </row>
    <row r="74" spans="1:19" ht="25.5" x14ac:dyDescent="0.2">
      <c r="A74" s="272" t="s">
        <v>123</v>
      </c>
      <c r="B74" s="272" t="s">
        <v>1417</v>
      </c>
      <c r="C74" s="272" t="s">
        <v>1324</v>
      </c>
      <c r="D74" s="273" t="s">
        <v>1418</v>
      </c>
      <c r="E74" s="274" t="s">
        <v>81</v>
      </c>
      <c r="F74" s="275">
        <v>69.400000000000006</v>
      </c>
      <c r="G74" s="275"/>
      <c r="H74" s="275"/>
      <c r="I74" s="275"/>
      <c r="J74" s="268">
        <f>ROUND(S74*$S$12,2)</f>
        <v>16.36</v>
      </c>
      <c r="K74" s="268"/>
      <c r="L74" s="268"/>
      <c r="M74" s="268"/>
      <c r="N74" s="269">
        <f>ROUND(F74*J74,2)</f>
        <v>1135.3800000000001</v>
      </c>
      <c r="O74" s="263"/>
      <c r="P74" s="263" t="s">
        <v>1882</v>
      </c>
      <c r="Q74" s="270"/>
      <c r="R74" s="216"/>
      <c r="S74" s="271">
        <v>19.87</v>
      </c>
    </row>
    <row r="75" spans="1:19" ht="15" x14ac:dyDescent="0.2">
      <c r="A75" s="276" t="s">
        <v>1419</v>
      </c>
      <c r="B75" s="276"/>
      <c r="C75" s="276"/>
      <c r="D75" s="277" t="s">
        <v>1420</v>
      </c>
      <c r="E75" s="278"/>
      <c r="F75" s="279"/>
      <c r="G75" s="279"/>
      <c r="H75" s="279"/>
      <c r="I75" s="279"/>
      <c r="J75" s="279">
        <f>N75</f>
        <v>8501.27</v>
      </c>
      <c r="K75" s="279"/>
      <c r="L75" s="279"/>
      <c r="M75" s="279"/>
      <c r="N75" s="280">
        <f>SUM(N76)</f>
        <v>8501.27</v>
      </c>
      <c r="O75" s="263"/>
      <c r="P75" s="263" t="s">
        <v>1883</v>
      </c>
      <c r="Q75" s="270"/>
      <c r="R75" s="216"/>
      <c r="S75" s="271">
        <v>0</v>
      </c>
    </row>
    <row r="76" spans="1:19" ht="25.5" x14ac:dyDescent="0.2">
      <c r="A76" s="272" t="s">
        <v>1421</v>
      </c>
      <c r="B76" s="272" t="s">
        <v>1422</v>
      </c>
      <c r="C76" s="272" t="s">
        <v>1324</v>
      </c>
      <c r="D76" s="273" t="s">
        <v>1423</v>
      </c>
      <c r="E76" s="274" t="s">
        <v>14</v>
      </c>
      <c r="F76" s="275">
        <v>148.08000000000001</v>
      </c>
      <c r="G76" s="275"/>
      <c r="H76" s="275"/>
      <c r="I76" s="275"/>
      <c r="J76" s="268">
        <f>ROUND(S76*$S$12,2)</f>
        <v>57.41</v>
      </c>
      <c r="K76" s="268"/>
      <c r="L76" s="268"/>
      <c r="M76" s="268"/>
      <c r="N76" s="269">
        <f>ROUND(F76*J76,2)</f>
        <v>8501.27</v>
      </c>
      <c r="O76" s="263"/>
      <c r="P76" s="263" t="s">
        <v>1884</v>
      </c>
      <c r="Q76" s="270"/>
      <c r="R76" s="216"/>
      <c r="S76" s="271">
        <v>69.709999999999994</v>
      </c>
    </row>
    <row r="77" spans="1:19" ht="14.25" x14ac:dyDescent="0.2">
      <c r="A77" s="258">
        <v>6</v>
      </c>
      <c r="B77" s="258"/>
      <c r="C77" s="258"/>
      <c r="D77" s="259" t="s">
        <v>97</v>
      </c>
      <c r="E77" s="260"/>
      <c r="F77" s="261"/>
      <c r="G77" s="261"/>
      <c r="H77" s="261"/>
      <c r="I77" s="261"/>
      <c r="J77" s="261">
        <f>N77</f>
        <v>10373.979999999998</v>
      </c>
      <c r="K77" s="261"/>
      <c r="L77" s="261"/>
      <c r="M77" s="261"/>
      <c r="N77" s="262">
        <f>N78+N83+N87+N90</f>
        <v>10373.979999999998</v>
      </c>
      <c r="O77" s="263"/>
      <c r="P77" s="263" t="s">
        <v>1885</v>
      </c>
      <c r="Q77" s="270"/>
      <c r="R77" s="216"/>
      <c r="S77" s="271">
        <v>0</v>
      </c>
    </row>
    <row r="78" spans="1:19" ht="15" x14ac:dyDescent="0.2">
      <c r="A78" s="276" t="s">
        <v>186</v>
      </c>
      <c r="B78" s="276"/>
      <c r="C78" s="276"/>
      <c r="D78" s="277" t="s">
        <v>1424</v>
      </c>
      <c r="E78" s="278"/>
      <c r="F78" s="279"/>
      <c r="G78" s="279"/>
      <c r="H78" s="279"/>
      <c r="I78" s="279"/>
      <c r="J78" s="279">
        <f>N78</f>
        <v>7440.7899999999991</v>
      </c>
      <c r="K78" s="279"/>
      <c r="L78" s="279"/>
      <c r="M78" s="279"/>
      <c r="N78" s="280">
        <f>SUM(N79:N82)</f>
        <v>7440.7899999999991</v>
      </c>
      <c r="O78" s="263"/>
      <c r="P78" s="263" t="s">
        <v>1886</v>
      </c>
      <c r="Q78" s="270"/>
      <c r="R78" s="216"/>
      <c r="S78" s="271">
        <v>0</v>
      </c>
    </row>
    <row r="79" spans="1:19" ht="25.5" x14ac:dyDescent="0.2">
      <c r="A79" s="272" t="s">
        <v>1425</v>
      </c>
      <c r="B79" s="272">
        <v>90843</v>
      </c>
      <c r="C79" s="272" t="s">
        <v>1324</v>
      </c>
      <c r="D79" s="273" t="s">
        <v>1426</v>
      </c>
      <c r="E79" s="274" t="s">
        <v>102</v>
      </c>
      <c r="F79" s="275">
        <v>2</v>
      </c>
      <c r="G79" s="275"/>
      <c r="H79" s="275"/>
      <c r="I79" s="275"/>
      <c r="J79" s="268">
        <f>ROUND(S79*$S$12,2)</f>
        <v>688.65</v>
      </c>
      <c r="K79" s="268"/>
      <c r="L79" s="268"/>
      <c r="M79" s="268"/>
      <c r="N79" s="269">
        <f>ROUND(F79*J79,2)</f>
        <v>1377.3</v>
      </c>
      <c r="O79" s="263"/>
      <c r="P79" s="263" t="s">
        <v>1887</v>
      </c>
      <c r="Q79" s="270"/>
      <c r="R79" s="216"/>
      <c r="S79" s="271">
        <v>836.16</v>
      </c>
    </row>
    <row r="80" spans="1:19" ht="25.5" x14ac:dyDescent="0.2">
      <c r="A80" s="272" t="s">
        <v>1427</v>
      </c>
      <c r="B80" s="272">
        <v>90844</v>
      </c>
      <c r="C80" s="272" t="s">
        <v>1324</v>
      </c>
      <c r="D80" s="273" t="s">
        <v>1428</v>
      </c>
      <c r="E80" s="274" t="s">
        <v>102</v>
      </c>
      <c r="F80" s="275">
        <v>1</v>
      </c>
      <c r="G80" s="275"/>
      <c r="H80" s="275"/>
      <c r="I80" s="275"/>
      <c r="J80" s="268">
        <f>ROUND(S80*$S$12,2)</f>
        <v>926.13</v>
      </c>
      <c r="K80" s="268"/>
      <c r="L80" s="268"/>
      <c r="M80" s="268"/>
      <c r="N80" s="269">
        <f>ROUND(F80*J80,2)</f>
        <v>926.13</v>
      </c>
      <c r="O80" s="263"/>
      <c r="P80" s="263" t="s">
        <v>1888</v>
      </c>
      <c r="Q80" s="270"/>
      <c r="R80" s="216"/>
      <c r="S80" s="271">
        <v>1124.5</v>
      </c>
    </row>
    <row r="81" spans="1:19" ht="25.5" x14ac:dyDescent="0.2">
      <c r="A81" s="272" t="s">
        <v>1429</v>
      </c>
      <c r="B81" s="272" t="s">
        <v>1430</v>
      </c>
      <c r="C81" s="272" t="s">
        <v>1324</v>
      </c>
      <c r="D81" s="273" t="s">
        <v>1431</v>
      </c>
      <c r="E81" s="274" t="s">
        <v>102</v>
      </c>
      <c r="F81" s="275">
        <v>4</v>
      </c>
      <c r="G81" s="275"/>
      <c r="H81" s="275"/>
      <c r="I81" s="275"/>
      <c r="J81" s="268">
        <f>ROUND(S81*$S$12,2)</f>
        <v>825.22</v>
      </c>
      <c r="K81" s="268"/>
      <c r="L81" s="268"/>
      <c r="M81" s="268"/>
      <c r="N81" s="269">
        <f>ROUND(F81*J81,2)</f>
        <v>3300.88</v>
      </c>
      <c r="O81" s="263"/>
      <c r="P81" s="263" t="s">
        <v>1889</v>
      </c>
      <c r="Q81" s="270"/>
      <c r="R81" s="216"/>
      <c r="S81" s="271">
        <v>1001.98</v>
      </c>
    </row>
    <row r="82" spans="1:19" ht="25.5" x14ac:dyDescent="0.2">
      <c r="A82" s="272" t="s">
        <v>1432</v>
      </c>
      <c r="B82" s="272" t="s">
        <v>1433</v>
      </c>
      <c r="C82" s="272" t="s">
        <v>1324</v>
      </c>
      <c r="D82" s="273" t="s">
        <v>1434</v>
      </c>
      <c r="E82" s="274" t="s">
        <v>102</v>
      </c>
      <c r="F82" s="275">
        <v>2</v>
      </c>
      <c r="G82" s="275"/>
      <c r="H82" s="275"/>
      <c r="I82" s="275"/>
      <c r="J82" s="268">
        <f>ROUND(S82*$S$12,2)</f>
        <v>918.24</v>
      </c>
      <c r="K82" s="268"/>
      <c r="L82" s="268"/>
      <c r="M82" s="268"/>
      <c r="N82" s="269">
        <f>ROUND(F82*J82,2)</f>
        <v>1836.48</v>
      </c>
      <c r="O82" s="263"/>
      <c r="P82" s="263" t="s">
        <v>1890</v>
      </c>
      <c r="Q82" s="270"/>
      <c r="R82" s="216"/>
      <c r="S82" s="271">
        <v>1114.92</v>
      </c>
    </row>
    <row r="83" spans="1:19" ht="15" x14ac:dyDescent="0.2">
      <c r="A83" s="276" t="s">
        <v>188</v>
      </c>
      <c r="B83" s="276"/>
      <c r="C83" s="276"/>
      <c r="D83" s="277" t="s">
        <v>1435</v>
      </c>
      <c r="E83" s="278"/>
      <c r="F83" s="279"/>
      <c r="G83" s="279"/>
      <c r="H83" s="279"/>
      <c r="I83" s="279"/>
      <c r="J83" s="279">
        <f>N83</f>
        <v>773.29</v>
      </c>
      <c r="K83" s="279"/>
      <c r="L83" s="279"/>
      <c r="M83" s="279"/>
      <c r="N83" s="280">
        <f>SUM(N84:N86)</f>
        <v>773.29</v>
      </c>
      <c r="O83" s="263"/>
      <c r="P83" s="263" t="s">
        <v>1891</v>
      </c>
      <c r="Q83" s="270"/>
      <c r="R83" s="216"/>
      <c r="S83" s="271">
        <v>0</v>
      </c>
    </row>
    <row r="84" spans="1:19" ht="25.5" x14ac:dyDescent="0.2">
      <c r="A84" s="272" t="s">
        <v>1436</v>
      </c>
      <c r="B84" s="272"/>
      <c r="C84" s="272" t="s">
        <v>1339</v>
      </c>
      <c r="D84" s="273" t="s">
        <v>1437</v>
      </c>
      <c r="E84" s="274" t="s">
        <v>81</v>
      </c>
      <c r="F84" s="275">
        <v>11.6</v>
      </c>
      <c r="G84" s="275"/>
      <c r="H84" s="275"/>
      <c r="I84" s="275"/>
      <c r="J84" s="268">
        <f>ROUND(S84*$S$12,2)</f>
        <v>48.24</v>
      </c>
      <c r="K84" s="268"/>
      <c r="L84" s="268"/>
      <c r="M84" s="268"/>
      <c r="N84" s="269">
        <f>ROUND(F84*J84,2)</f>
        <v>559.58000000000004</v>
      </c>
      <c r="O84" s="263"/>
      <c r="P84" s="263" t="s">
        <v>1892</v>
      </c>
      <c r="Q84" s="270"/>
      <c r="R84" s="216"/>
      <c r="S84" s="271">
        <v>58.57</v>
      </c>
    </row>
    <row r="85" spans="1:19" ht="25.5" x14ac:dyDescent="0.2">
      <c r="A85" s="272" t="s">
        <v>1438</v>
      </c>
      <c r="B85" s="272"/>
      <c r="C85" s="272" t="s">
        <v>1339</v>
      </c>
      <c r="D85" s="273" t="s">
        <v>1439</v>
      </c>
      <c r="E85" s="274" t="s">
        <v>14</v>
      </c>
      <c r="F85" s="275">
        <v>4.3</v>
      </c>
      <c r="G85" s="275"/>
      <c r="H85" s="275"/>
      <c r="I85" s="275"/>
      <c r="J85" s="268">
        <f>ROUND(S85*$S$12,2)</f>
        <v>5.44</v>
      </c>
      <c r="K85" s="268"/>
      <c r="L85" s="268"/>
      <c r="M85" s="268"/>
      <c r="N85" s="269">
        <f>ROUND(F85*J85,2)</f>
        <v>23.39</v>
      </c>
      <c r="O85" s="263"/>
      <c r="P85" s="263" t="s">
        <v>1893</v>
      </c>
      <c r="Q85" s="270"/>
      <c r="R85" s="216"/>
      <c r="S85" s="271">
        <v>6.61</v>
      </c>
    </row>
    <row r="86" spans="1:19" ht="15" x14ac:dyDescent="0.2">
      <c r="A86" s="272" t="s">
        <v>1440</v>
      </c>
      <c r="B86" s="272" t="s">
        <v>1441</v>
      </c>
      <c r="C86" s="272" t="s">
        <v>1324</v>
      </c>
      <c r="D86" s="273" t="s">
        <v>1442</v>
      </c>
      <c r="E86" s="274" t="s">
        <v>102</v>
      </c>
      <c r="F86" s="275">
        <v>6</v>
      </c>
      <c r="G86" s="275"/>
      <c r="H86" s="275"/>
      <c r="I86" s="275"/>
      <c r="J86" s="268">
        <f>ROUND(S86*$S$12,2)</f>
        <v>31.72</v>
      </c>
      <c r="K86" s="268"/>
      <c r="L86" s="268"/>
      <c r="M86" s="268"/>
      <c r="N86" s="269">
        <f>ROUND(F86*J86,2)</f>
        <v>190.32</v>
      </c>
      <c r="O86" s="263"/>
      <c r="P86" s="263" t="s">
        <v>1894</v>
      </c>
      <c r="Q86" s="270"/>
      <c r="R86" s="216"/>
      <c r="S86" s="271">
        <v>38.520000000000003</v>
      </c>
    </row>
    <row r="87" spans="1:19" ht="15" x14ac:dyDescent="0.2">
      <c r="A87" s="276" t="s">
        <v>1443</v>
      </c>
      <c r="B87" s="276"/>
      <c r="C87" s="276"/>
      <c r="D87" s="277" t="s">
        <v>1444</v>
      </c>
      <c r="E87" s="278"/>
      <c r="F87" s="279"/>
      <c r="G87" s="279"/>
      <c r="H87" s="279"/>
      <c r="I87" s="279"/>
      <c r="J87" s="279">
        <f>N87</f>
        <v>331.68</v>
      </c>
      <c r="K87" s="279"/>
      <c r="L87" s="279"/>
      <c r="M87" s="279"/>
      <c r="N87" s="280">
        <f>SUM(N88:N89)</f>
        <v>331.68</v>
      </c>
      <c r="O87" s="263"/>
      <c r="P87" s="263" t="s">
        <v>1895</v>
      </c>
      <c r="Q87" s="270"/>
      <c r="R87" s="216"/>
      <c r="S87" s="271">
        <v>0</v>
      </c>
    </row>
    <row r="88" spans="1:19" ht="15" x14ac:dyDescent="0.2">
      <c r="A88" s="282" t="s">
        <v>1445</v>
      </c>
      <c r="B88" s="282">
        <v>68052</v>
      </c>
      <c r="C88" s="282" t="s">
        <v>1324</v>
      </c>
      <c r="D88" s="283" t="s">
        <v>1446</v>
      </c>
      <c r="E88" s="284" t="s">
        <v>14</v>
      </c>
      <c r="F88" s="285">
        <v>10.8</v>
      </c>
      <c r="G88" s="285"/>
      <c r="H88" s="285"/>
      <c r="I88" s="285"/>
      <c r="J88" s="268">
        <f>ROUND(S88*$S$12,2)</f>
        <v>0</v>
      </c>
      <c r="K88" s="268"/>
      <c r="L88" s="268"/>
      <c r="M88" s="268"/>
      <c r="N88" s="269">
        <f>ROUND(F88*J88,2)</f>
        <v>0</v>
      </c>
      <c r="O88" s="263">
        <v>1</v>
      </c>
      <c r="P88" s="263" t="s">
        <v>1896</v>
      </c>
      <c r="Q88" s="270"/>
      <c r="R88" s="216"/>
      <c r="S88" s="271">
        <v>0</v>
      </c>
    </row>
    <row r="89" spans="1:19" ht="25.5" x14ac:dyDescent="0.2">
      <c r="A89" s="272" t="s">
        <v>1447</v>
      </c>
      <c r="B89" s="272">
        <v>85010</v>
      </c>
      <c r="C89" s="272" t="s">
        <v>1324</v>
      </c>
      <c r="D89" s="273" t="s">
        <v>1448</v>
      </c>
      <c r="E89" s="274" t="s">
        <v>14</v>
      </c>
      <c r="F89" s="275">
        <v>2.08</v>
      </c>
      <c r="G89" s="275"/>
      <c r="H89" s="275"/>
      <c r="I89" s="275"/>
      <c r="J89" s="268">
        <f>ROUND(S89*$S$12,2)</f>
        <v>159.46</v>
      </c>
      <c r="K89" s="268"/>
      <c r="L89" s="268"/>
      <c r="M89" s="268"/>
      <c r="N89" s="269">
        <f>ROUND(F89*J89,2)</f>
        <v>331.68</v>
      </c>
      <c r="O89" s="263"/>
      <c r="P89" s="263" t="s">
        <v>1897</v>
      </c>
      <c r="Q89" s="270"/>
      <c r="R89" s="216"/>
      <c r="S89" s="271">
        <v>193.61</v>
      </c>
    </row>
    <row r="90" spans="1:19" ht="15" x14ac:dyDescent="0.2">
      <c r="A90" s="276" t="s">
        <v>1449</v>
      </c>
      <c r="B90" s="276"/>
      <c r="C90" s="276"/>
      <c r="D90" s="277" t="s">
        <v>184</v>
      </c>
      <c r="E90" s="278"/>
      <c r="F90" s="279"/>
      <c r="G90" s="279"/>
      <c r="H90" s="279"/>
      <c r="I90" s="279"/>
      <c r="J90" s="279">
        <f>N90</f>
        <v>1828.22</v>
      </c>
      <c r="K90" s="279"/>
      <c r="L90" s="279"/>
      <c r="M90" s="279"/>
      <c r="N90" s="280">
        <f>SUM(N91)</f>
        <v>1828.22</v>
      </c>
      <c r="O90" s="263"/>
      <c r="P90" s="263" t="s">
        <v>1898</v>
      </c>
      <c r="Q90" s="270"/>
      <c r="R90" s="216"/>
      <c r="S90" s="271">
        <v>0</v>
      </c>
    </row>
    <row r="91" spans="1:19" ht="25.5" x14ac:dyDescent="0.2">
      <c r="A91" s="272" t="s">
        <v>1450</v>
      </c>
      <c r="B91" s="272" t="s">
        <v>1451</v>
      </c>
      <c r="C91" s="272" t="s">
        <v>1324</v>
      </c>
      <c r="D91" s="273" t="s">
        <v>1452</v>
      </c>
      <c r="E91" s="274" t="s">
        <v>14</v>
      </c>
      <c r="F91" s="275">
        <v>4.32</v>
      </c>
      <c r="G91" s="275"/>
      <c r="H91" s="275"/>
      <c r="I91" s="275"/>
      <c r="J91" s="268">
        <f>ROUND(S91*$S$12,2)</f>
        <v>423.2</v>
      </c>
      <c r="K91" s="268"/>
      <c r="L91" s="268"/>
      <c r="M91" s="268"/>
      <c r="N91" s="269">
        <f>ROUND(F91*J91,2)</f>
        <v>1828.22</v>
      </c>
      <c r="O91" s="263"/>
      <c r="P91" s="263" t="s">
        <v>1899</v>
      </c>
      <c r="Q91" s="270"/>
      <c r="R91" s="216"/>
      <c r="S91" s="271">
        <v>513.85</v>
      </c>
    </row>
    <row r="92" spans="1:19" ht="14.25" x14ac:dyDescent="0.2">
      <c r="A92" s="258">
        <v>7</v>
      </c>
      <c r="B92" s="258"/>
      <c r="C92" s="258"/>
      <c r="D92" s="259" t="s">
        <v>1453</v>
      </c>
      <c r="E92" s="260"/>
      <c r="F92" s="261"/>
      <c r="G92" s="261"/>
      <c r="H92" s="261"/>
      <c r="I92" s="261"/>
      <c r="J92" s="261">
        <f>N92</f>
        <v>173274.06</v>
      </c>
      <c r="K92" s="261"/>
      <c r="L92" s="261"/>
      <c r="M92" s="261"/>
      <c r="N92" s="262">
        <f>SUM(N93:N94)</f>
        <v>173274.06</v>
      </c>
      <c r="O92" s="263"/>
      <c r="P92" s="263" t="s">
        <v>1900</v>
      </c>
      <c r="Q92" s="270"/>
      <c r="R92" s="216"/>
      <c r="S92" s="271">
        <v>0</v>
      </c>
    </row>
    <row r="93" spans="1:19" ht="25.5" x14ac:dyDescent="0.2">
      <c r="A93" s="272" t="s">
        <v>193</v>
      </c>
      <c r="B93" s="272" t="s">
        <v>1454</v>
      </c>
      <c r="C93" s="272" t="s">
        <v>1324</v>
      </c>
      <c r="D93" s="273" t="s">
        <v>1455</v>
      </c>
      <c r="E93" s="274" t="s">
        <v>14</v>
      </c>
      <c r="F93" s="275">
        <v>1030.4000000000001</v>
      </c>
      <c r="G93" s="275"/>
      <c r="H93" s="275"/>
      <c r="I93" s="275"/>
      <c r="J93" s="268">
        <f>ROUND(S93*$S$12,2)</f>
        <v>51.14</v>
      </c>
      <c r="K93" s="268"/>
      <c r="L93" s="268"/>
      <c r="M93" s="268"/>
      <c r="N93" s="269">
        <f>ROUND(F93*J93,2)</f>
        <v>52694.66</v>
      </c>
      <c r="O93" s="263"/>
      <c r="P93" s="263" t="s">
        <v>1901</v>
      </c>
      <c r="Q93" s="270"/>
      <c r="R93" s="216"/>
      <c r="S93" s="271">
        <v>62.1</v>
      </c>
    </row>
    <row r="94" spans="1:19" ht="15" x14ac:dyDescent="0.2">
      <c r="A94" s="272" t="s">
        <v>195</v>
      </c>
      <c r="B94" s="272">
        <v>72112</v>
      </c>
      <c r="C94" s="272" t="s">
        <v>1324</v>
      </c>
      <c r="D94" s="273" t="s">
        <v>1456</v>
      </c>
      <c r="E94" s="274" t="s">
        <v>14</v>
      </c>
      <c r="F94" s="275">
        <v>980.4</v>
      </c>
      <c r="G94" s="275"/>
      <c r="H94" s="275"/>
      <c r="I94" s="275"/>
      <c r="J94" s="268">
        <f>ROUND(S94*$S$12,2)</f>
        <v>122.99</v>
      </c>
      <c r="K94" s="268"/>
      <c r="L94" s="268"/>
      <c r="M94" s="268"/>
      <c r="N94" s="269">
        <f>ROUND(F94*J94,2)</f>
        <v>120579.4</v>
      </c>
      <c r="O94" s="263"/>
      <c r="P94" s="263" t="s">
        <v>1902</v>
      </c>
      <c r="Q94" s="270"/>
      <c r="R94" s="216"/>
      <c r="S94" s="271">
        <v>149.33000000000001</v>
      </c>
    </row>
    <row r="95" spans="1:19" ht="14.25" x14ac:dyDescent="0.2">
      <c r="A95" s="258">
        <v>8</v>
      </c>
      <c r="B95" s="258"/>
      <c r="C95" s="258"/>
      <c r="D95" s="259" t="s">
        <v>208</v>
      </c>
      <c r="E95" s="260"/>
      <c r="F95" s="261"/>
      <c r="G95" s="261"/>
      <c r="H95" s="261"/>
      <c r="I95" s="261"/>
      <c r="J95" s="261">
        <f>N95</f>
        <v>5634.27</v>
      </c>
      <c r="K95" s="261"/>
      <c r="L95" s="261"/>
      <c r="M95" s="261"/>
      <c r="N95" s="262">
        <f>SUM(N96:N97)</f>
        <v>5634.27</v>
      </c>
      <c r="O95" s="263"/>
      <c r="P95" s="263" t="s">
        <v>1903</v>
      </c>
      <c r="Q95" s="270"/>
      <c r="R95" s="216"/>
      <c r="S95" s="271">
        <v>0</v>
      </c>
    </row>
    <row r="96" spans="1:19" ht="15" x14ac:dyDescent="0.2">
      <c r="A96" s="272" t="s">
        <v>210</v>
      </c>
      <c r="B96" s="272" t="s">
        <v>1457</v>
      </c>
      <c r="C96" s="272" t="s">
        <v>1324</v>
      </c>
      <c r="D96" s="273" t="s">
        <v>1458</v>
      </c>
      <c r="E96" s="274" t="s">
        <v>14</v>
      </c>
      <c r="F96" s="275">
        <v>265.61</v>
      </c>
      <c r="G96" s="275"/>
      <c r="H96" s="275"/>
      <c r="I96" s="275"/>
      <c r="J96" s="268">
        <f>ROUND(S96*$S$12,2)</f>
        <v>8.5</v>
      </c>
      <c r="K96" s="268"/>
      <c r="L96" s="268"/>
      <c r="M96" s="268"/>
      <c r="N96" s="269">
        <f>ROUND(F96*J96,2)</f>
        <v>2257.69</v>
      </c>
      <c r="O96" s="263"/>
      <c r="P96" s="263" t="s">
        <v>1904</v>
      </c>
      <c r="Q96" s="270"/>
      <c r="R96" s="216"/>
      <c r="S96" s="271">
        <v>10.32</v>
      </c>
    </row>
    <row r="97" spans="1:19" ht="25.5" x14ac:dyDescent="0.2">
      <c r="A97" s="272" t="s">
        <v>213</v>
      </c>
      <c r="B97" s="272">
        <v>68053</v>
      </c>
      <c r="C97" s="272" t="s">
        <v>1324</v>
      </c>
      <c r="D97" s="273" t="s">
        <v>1459</v>
      </c>
      <c r="E97" s="274" t="s">
        <v>14</v>
      </c>
      <c r="F97" s="275">
        <v>676.67</v>
      </c>
      <c r="G97" s="275"/>
      <c r="H97" s="275"/>
      <c r="I97" s="275"/>
      <c r="J97" s="268">
        <f>ROUND(S97*$S$12,2)</f>
        <v>4.99</v>
      </c>
      <c r="K97" s="268"/>
      <c r="L97" s="268"/>
      <c r="M97" s="268"/>
      <c r="N97" s="269">
        <f>ROUND(F97*J97,2)</f>
        <v>3376.58</v>
      </c>
      <c r="O97" s="263"/>
      <c r="P97" s="263" t="s">
        <v>1905</v>
      </c>
      <c r="Q97" s="270"/>
      <c r="R97" s="216"/>
      <c r="S97" s="271">
        <v>6.06</v>
      </c>
    </row>
    <row r="98" spans="1:19" ht="14.25" x14ac:dyDescent="0.2">
      <c r="A98" s="258">
        <v>9</v>
      </c>
      <c r="B98" s="258"/>
      <c r="C98" s="258"/>
      <c r="D98" s="259" t="s">
        <v>1460</v>
      </c>
      <c r="E98" s="260"/>
      <c r="F98" s="261"/>
      <c r="G98" s="261"/>
      <c r="H98" s="261"/>
      <c r="I98" s="261"/>
      <c r="J98" s="261">
        <f>N98</f>
        <v>51794.2</v>
      </c>
      <c r="K98" s="261"/>
      <c r="L98" s="261"/>
      <c r="M98" s="261"/>
      <c r="N98" s="262">
        <f>SUM(N99:N108)</f>
        <v>51794.2</v>
      </c>
      <c r="O98" s="263"/>
      <c r="P98" s="263" t="s">
        <v>1906</v>
      </c>
      <c r="Q98" s="270"/>
      <c r="R98" s="216"/>
      <c r="S98" s="271">
        <v>0</v>
      </c>
    </row>
    <row r="99" spans="1:19" ht="15" x14ac:dyDescent="0.2">
      <c r="A99" s="272" t="s">
        <v>223</v>
      </c>
      <c r="B99" s="272">
        <v>87905</v>
      </c>
      <c r="C99" s="272" t="s">
        <v>1324</v>
      </c>
      <c r="D99" s="273" t="s">
        <v>1461</v>
      </c>
      <c r="E99" s="274" t="s">
        <v>14</v>
      </c>
      <c r="F99" s="275">
        <v>803.09</v>
      </c>
      <c r="G99" s="275"/>
      <c r="H99" s="275"/>
      <c r="I99" s="275"/>
      <c r="J99" s="268">
        <f t="shared" ref="J99:J107" si="9">ROUND(S99*$S$12,2)</f>
        <v>6.11</v>
      </c>
      <c r="K99" s="268"/>
      <c r="L99" s="268"/>
      <c r="M99" s="268"/>
      <c r="N99" s="269">
        <f t="shared" ref="N99:N108" si="10">ROUND(F99*J99,2)</f>
        <v>4906.88</v>
      </c>
      <c r="O99" s="263"/>
      <c r="P99" s="263" t="s">
        <v>1907</v>
      </c>
      <c r="Q99" s="270"/>
      <c r="R99" s="216"/>
      <c r="S99" s="271">
        <v>7.42</v>
      </c>
    </row>
    <row r="100" spans="1:19" ht="15" x14ac:dyDescent="0.2">
      <c r="A100" s="272" t="s">
        <v>239</v>
      </c>
      <c r="B100" s="272">
        <v>87882</v>
      </c>
      <c r="C100" s="272" t="s">
        <v>1324</v>
      </c>
      <c r="D100" s="273" t="s">
        <v>1462</v>
      </c>
      <c r="E100" s="274" t="s">
        <v>14</v>
      </c>
      <c r="F100" s="275">
        <v>84.33</v>
      </c>
      <c r="G100" s="275"/>
      <c r="H100" s="275"/>
      <c r="I100" s="275"/>
      <c r="J100" s="268">
        <f t="shared" si="9"/>
        <v>4.03</v>
      </c>
      <c r="K100" s="268"/>
      <c r="L100" s="268"/>
      <c r="M100" s="268"/>
      <c r="N100" s="269">
        <f t="shared" si="10"/>
        <v>339.85</v>
      </c>
      <c r="O100" s="263"/>
      <c r="P100" s="263" t="s">
        <v>1908</v>
      </c>
      <c r="Q100" s="270"/>
      <c r="R100" s="216"/>
      <c r="S100" s="271">
        <v>4.8899999999999997</v>
      </c>
    </row>
    <row r="101" spans="1:19" ht="15" x14ac:dyDescent="0.2">
      <c r="A101" s="272" t="s">
        <v>1463</v>
      </c>
      <c r="B101" s="272">
        <v>87531</v>
      </c>
      <c r="C101" s="272" t="s">
        <v>1324</v>
      </c>
      <c r="D101" s="273" t="s">
        <v>1464</v>
      </c>
      <c r="E101" s="274" t="s">
        <v>14</v>
      </c>
      <c r="F101" s="275">
        <v>743.93</v>
      </c>
      <c r="G101" s="275"/>
      <c r="H101" s="275"/>
      <c r="I101" s="275"/>
      <c r="J101" s="268">
        <f t="shared" si="9"/>
        <v>26.27</v>
      </c>
      <c r="K101" s="268"/>
      <c r="L101" s="268"/>
      <c r="M101" s="268"/>
      <c r="N101" s="269">
        <f t="shared" si="10"/>
        <v>19543.04</v>
      </c>
      <c r="O101" s="263"/>
      <c r="P101" s="263" t="s">
        <v>1909</v>
      </c>
      <c r="Q101" s="270"/>
      <c r="R101" s="216"/>
      <c r="S101" s="271">
        <v>31.9</v>
      </c>
    </row>
    <row r="102" spans="1:19" ht="15" x14ac:dyDescent="0.2">
      <c r="A102" s="272" t="s">
        <v>1465</v>
      </c>
      <c r="B102" s="272" t="s">
        <v>1466</v>
      </c>
      <c r="C102" s="272" t="s">
        <v>1324</v>
      </c>
      <c r="D102" s="273" t="s">
        <v>1467</v>
      </c>
      <c r="E102" s="274" t="s">
        <v>14</v>
      </c>
      <c r="F102" s="275">
        <v>445.04</v>
      </c>
      <c r="G102" s="275"/>
      <c r="H102" s="275"/>
      <c r="I102" s="275"/>
      <c r="J102" s="268">
        <f t="shared" si="9"/>
        <v>12.12</v>
      </c>
      <c r="K102" s="268"/>
      <c r="L102" s="268"/>
      <c r="M102" s="268"/>
      <c r="N102" s="269">
        <f t="shared" si="10"/>
        <v>5393.88</v>
      </c>
      <c r="O102" s="263"/>
      <c r="P102" s="263" t="s">
        <v>1910</v>
      </c>
      <c r="Q102" s="270"/>
      <c r="R102" s="216"/>
      <c r="S102" s="271">
        <v>14.71</v>
      </c>
    </row>
    <row r="103" spans="1:19" ht="15" x14ac:dyDescent="0.2">
      <c r="A103" s="272" t="s">
        <v>1468</v>
      </c>
      <c r="B103" s="272" t="s">
        <v>1466</v>
      </c>
      <c r="C103" s="272" t="s">
        <v>1324</v>
      </c>
      <c r="D103" s="273" t="s">
        <v>1469</v>
      </c>
      <c r="E103" s="274" t="s">
        <v>14</v>
      </c>
      <c r="F103" s="275">
        <v>84.33</v>
      </c>
      <c r="G103" s="275"/>
      <c r="H103" s="275"/>
      <c r="I103" s="275"/>
      <c r="J103" s="268">
        <f t="shared" si="9"/>
        <v>14.08</v>
      </c>
      <c r="K103" s="268"/>
      <c r="L103" s="268"/>
      <c r="M103" s="268"/>
      <c r="N103" s="269">
        <f t="shared" si="10"/>
        <v>1187.3699999999999</v>
      </c>
      <c r="O103" s="263"/>
      <c r="P103" s="263" t="s">
        <v>1911</v>
      </c>
      <c r="Q103" s="270"/>
      <c r="R103" s="216"/>
      <c r="S103" s="271">
        <v>17.09</v>
      </c>
    </row>
    <row r="104" spans="1:19" ht="15" x14ac:dyDescent="0.2">
      <c r="A104" s="272" t="s">
        <v>1470</v>
      </c>
      <c r="B104" s="272">
        <v>87905</v>
      </c>
      <c r="C104" s="272" t="s">
        <v>1324</v>
      </c>
      <c r="D104" s="273" t="s">
        <v>1471</v>
      </c>
      <c r="E104" s="274" t="s">
        <v>14</v>
      </c>
      <c r="F104" s="275">
        <v>140.33000000000001</v>
      </c>
      <c r="G104" s="275"/>
      <c r="H104" s="275"/>
      <c r="I104" s="275"/>
      <c r="J104" s="268">
        <f t="shared" si="9"/>
        <v>6.11</v>
      </c>
      <c r="K104" s="268"/>
      <c r="L104" s="268"/>
      <c r="M104" s="268"/>
      <c r="N104" s="269">
        <f t="shared" si="10"/>
        <v>857.42</v>
      </c>
      <c r="O104" s="263"/>
      <c r="P104" s="263" t="s">
        <v>1912</v>
      </c>
      <c r="Q104" s="270"/>
      <c r="R104" s="216"/>
      <c r="S104" s="271">
        <v>7.42</v>
      </c>
    </row>
    <row r="105" spans="1:19" ht="15" x14ac:dyDescent="0.2">
      <c r="A105" s="272" t="s">
        <v>1472</v>
      </c>
      <c r="B105" s="272">
        <v>87531</v>
      </c>
      <c r="C105" s="272" t="s">
        <v>1324</v>
      </c>
      <c r="D105" s="273" t="s">
        <v>1473</v>
      </c>
      <c r="E105" s="274" t="s">
        <v>14</v>
      </c>
      <c r="F105" s="275">
        <v>140.33000000000001</v>
      </c>
      <c r="G105" s="275"/>
      <c r="H105" s="275"/>
      <c r="I105" s="275"/>
      <c r="J105" s="268">
        <f t="shared" si="9"/>
        <v>26.27</v>
      </c>
      <c r="K105" s="268"/>
      <c r="L105" s="268"/>
      <c r="M105" s="268"/>
      <c r="N105" s="269">
        <f t="shared" si="10"/>
        <v>3686.47</v>
      </c>
      <c r="O105" s="263"/>
      <c r="P105" s="263" t="s">
        <v>1913</v>
      </c>
      <c r="Q105" s="270"/>
      <c r="R105" s="216"/>
      <c r="S105" s="271">
        <v>31.9</v>
      </c>
    </row>
    <row r="106" spans="1:19" ht="25.5" x14ac:dyDescent="0.2">
      <c r="A106" s="272" t="s">
        <v>1474</v>
      </c>
      <c r="B106" s="272" t="s">
        <v>1466</v>
      </c>
      <c r="C106" s="272" t="s">
        <v>1324</v>
      </c>
      <c r="D106" s="273" t="s">
        <v>1475</v>
      </c>
      <c r="E106" s="274" t="s">
        <v>14</v>
      </c>
      <c r="F106" s="275">
        <v>140.33000000000001</v>
      </c>
      <c r="G106" s="275"/>
      <c r="H106" s="275"/>
      <c r="I106" s="275"/>
      <c r="J106" s="268">
        <f t="shared" si="9"/>
        <v>16.23</v>
      </c>
      <c r="K106" s="268"/>
      <c r="L106" s="268"/>
      <c r="M106" s="268"/>
      <c r="N106" s="269">
        <f t="shared" si="10"/>
        <v>2277.56</v>
      </c>
      <c r="O106" s="263"/>
      <c r="P106" s="263" t="s">
        <v>1914</v>
      </c>
      <c r="Q106" s="270"/>
      <c r="R106" s="216"/>
      <c r="S106" s="271">
        <v>19.71</v>
      </c>
    </row>
    <row r="107" spans="1:19" ht="25.5" x14ac:dyDescent="0.2">
      <c r="A107" s="272" t="s">
        <v>1476</v>
      </c>
      <c r="B107" s="272">
        <v>87272</v>
      </c>
      <c r="C107" s="272" t="s">
        <v>1324</v>
      </c>
      <c r="D107" s="273" t="s">
        <v>1477</v>
      </c>
      <c r="E107" s="274" t="s">
        <v>14</v>
      </c>
      <c r="F107" s="275">
        <v>210.5</v>
      </c>
      <c r="G107" s="275"/>
      <c r="H107" s="275"/>
      <c r="I107" s="275"/>
      <c r="J107" s="268">
        <f t="shared" si="9"/>
        <v>45.67</v>
      </c>
      <c r="K107" s="268"/>
      <c r="L107" s="268"/>
      <c r="M107" s="268"/>
      <c r="N107" s="269">
        <f t="shared" si="10"/>
        <v>9613.5400000000009</v>
      </c>
      <c r="O107" s="263"/>
      <c r="P107" s="263" t="s">
        <v>1915</v>
      </c>
      <c r="Q107" s="270"/>
      <c r="R107" s="216"/>
      <c r="S107" s="271">
        <v>55.45</v>
      </c>
    </row>
    <row r="108" spans="1:19" ht="25.5" x14ac:dyDescent="0.2">
      <c r="A108" s="272" t="s">
        <v>1478</v>
      </c>
      <c r="B108" s="272">
        <v>87267</v>
      </c>
      <c r="C108" s="272" t="s">
        <v>1324</v>
      </c>
      <c r="D108" s="273" t="s">
        <v>1479</v>
      </c>
      <c r="E108" s="274" t="s">
        <v>14</v>
      </c>
      <c r="F108" s="275">
        <v>85.51</v>
      </c>
      <c r="G108" s="275"/>
      <c r="H108" s="275"/>
      <c r="I108" s="275"/>
      <c r="J108" s="268">
        <v>46.64</v>
      </c>
      <c r="K108" s="268"/>
      <c r="L108" s="268"/>
      <c r="M108" s="268"/>
      <c r="N108" s="269">
        <f t="shared" si="10"/>
        <v>3988.19</v>
      </c>
      <c r="O108" s="263"/>
      <c r="P108" s="263" t="s">
        <v>1916</v>
      </c>
      <c r="Q108" s="270"/>
      <c r="R108" s="216"/>
      <c r="S108" s="271">
        <v>466.2</v>
      </c>
    </row>
    <row r="109" spans="1:19" ht="14.25" x14ac:dyDescent="0.2">
      <c r="A109" s="258">
        <v>10</v>
      </c>
      <c r="B109" s="258"/>
      <c r="C109" s="258"/>
      <c r="D109" s="259" t="s">
        <v>1480</v>
      </c>
      <c r="E109" s="260"/>
      <c r="F109" s="261"/>
      <c r="G109" s="261"/>
      <c r="H109" s="261"/>
      <c r="I109" s="261"/>
      <c r="J109" s="261">
        <f>N109</f>
        <v>60566.09</v>
      </c>
      <c r="K109" s="261"/>
      <c r="L109" s="261"/>
      <c r="M109" s="261"/>
      <c r="N109" s="262">
        <f>+N110+N116</f>
        <v>60566.09</v>
      </c>
      <c r="O109" s="263"/>
      <c r="P109" s="263" t="s">
        <v>1917</v>
      </c>
      <c r="Q109" s="270"/>
      <c r="R109" s="216"/>
      <c r="S109" s="271">
        <v>0</v>
      </c>
    </row>
    <row r="110" spans="1:19" ht="15" x14ac:dyDescent="0.2">
      <c r="A110" s="276" t="s">
        <v>254</v>
      </c>
      <c r="B110" s="276"/>
      <c r="C110" s="276"/>
      <c r="D110" s="277" t="s">
        <v>1481</v>
      </c>
      <c r="E110" s="278"/>
      <c r="F110" s="279"/>
      <c r="G110" s="279"/>
      <c r="H110" s="279"/>
      <c r="I110" s="279"/>
      <c r="J110" s="279">
        <f>N110</f>
        <v>54520.32</v>
      </c>
      <c r="K110" s="279"/>
      <c r="L110" s="279"/>
      <c r="M110" s="279"/>
      <c r="N110" s="280">
        <f>SUM(N111:N115)</f>
        <v>54520.32</v>
      </c>
      <c r="O110" s="263"/>
      <c r="P110" s="263" t="s">
        <v>1918</v>
      </c>
      <c r="Q110" s="270"/>
      <c r="R110" s="216"/>
      <c r="S110" s="271">
        <v>0</v>
      </c>
    </row>
    <row r="111" spans="1:19" ht="15" x14ac:dyDescent="0.2">
      <c r="A111" s="272" t="s">
        <v>1482</v>
      </c>
      <c r="B111" s="272"/>
      <c r="C111" s="272" t="s">
        <v>1339</v>
      </c>
      <c r="D111" s="273" t="s">
        <v>1483</v>
      </c>
      <c r="E111" s="274" t="s">
        <v>14</v>
      </c>
      <c r="F111" s="275">
        <v>64.91</v>
      </c>
      <c r="G111" s="275"/>
      <c r="H111" s="275"/>
      <c r="I111" s="275"/>
      <c r="J111" s="268">
        <f>ROUND(S111*$S$12,2)</f>
        <v>30.94</v>
      </c>
      <c r="K111" s="268"/>
      <c r="L111" s="268"/>
      <c r="M111" s="268"/>
      <c r="N111" s="269">
        <f>ROUND(F111*J111,2)</f>
        <v>2008.32</v>
      </c>
      <c r="O111" s="263"/>
      <c r="P111" s="263" t="s">
        <v>1919</v>
      </c>
      <c r="Q111" s="270"/>
      <c r="R111" s="216"/>
      <c r="S111" s="271">
        <v>37.57</v>
      </c>
    </row>
    <row r="112" spans="1:19" ht="15" x14ac:dyDescent="0.2">
      <c r="A112" s="272" t="s">
        <v>1484</v>
      </c>
      <c r="B112" s="272">
        <v>87630</v>
      </c>
      <c r="C112" s="272" t="s">
        <v>1324</v>
      </c>
      <c r="D112" s="273" t="s">
        <v>1485</v>
      </c>
      <c r="E112" s="274" t="s">
        <v>14</v>
      </c>
      <c r="F112" s="275">
        <v>64.91</v>
      </c>
      <c r="G112" s="275"/>
      <c r="H112" s="275"/>
      <c r="I112" s="275"/>
      <c r="J112" s="268">
        <f>ROUND(S112*$S$12,2)</f>
        <v>30.71</v>
      </c>
      <c r="K112" s="268"/>
      <c r="L112" s="268"/>
      <c r="M112" s="268"/>
      <c r="N112" s="269">
        <f>ROUND(F112*J112,2)</f>
        <v>1993.39</v>
      </c>
      <c r="O112" s="263"/>
      <c r="P112" s="263" t="s">
        <v>1920</v>
      </c>
      <c r="Q112" s="270"/>
      <c r="R112" s="216"/>
      <c r="S112" s="271">
        <v>37.29</v>
      </c>
    </row>
    <row r="113" spans="1:19" ht="25.5" x14ac:dyDescent="0.2">
      <c r="A113" s="272" t="s">
        <v>1486</v>
      </c>
      <c r="B113" s="272">
        <v>72136</v>
      </c>
      <c r="C113" s="272" t="s">
        <v>1324</v>
      </c>
      <c r="D113" s="273" t="s">
        <v>1487</v>
      </c>
      <c r="E113" s="274" t="s">
        <v>14</v>
      </c>
      <c r="F113" s="275">
        <v>676.67</v>
      </c>
      <c r="G113" s="275"/>
      <c r="H113" s="275"/>
      <c r="I113" s="275"/>
      <c r="J113" s="268">
        <f>ROUND(S113*$S$12,2)</f>
        <v>71.489999999999995</v>
      </c>
      <c r="K113" s="268"/>
      <c r="L113" s="268"/>
      <c r="M113" s="268"/>
      <c r="N113" s="269">
        <f>ROUND(F113*J113,2)</f>
        <v>48375.14</v>
      </c>
      <c r="O113" s="263"/>
      <c r="P113" s="263" t="s">
        <v>1921</v>
      </c>
      <c r="Q113" s="270"/>
      <c r="R113" s="216"/>
      <c r="S113" s="271">
        <v>86.8</v>
      </c>
    </row>
    <row r="114" spans="1:19" ht="25.5" x14ac:dyDescent="0.2">
      <c r="A114" s="272" t="s">
        <v>1488</v>
      </c>
      <c r="B114" s="272">
        <v>87251</v>
      </c>
      <c r="C114" s="272" t="s">
        <v>1324</v>
      </c>
      <c r="D114" s="273" t="s">
        <v>1489</v>
      </c>
      <c r="E114" s="274" t="s">
        <v>14</v>
      </c>
      <c r="F114" s="275">
        <v>64.91</v>
      </c>
      <c r="G114" s="275"/>
      <c r="H114" s="275"/>
      <c r="I114" s="275"/>
      <c r="J114" s="268">
        <f>ROUND(S114*$S$12,2)</f>
        <v>31.13</v>
      </c>
      <c r="K114" s="268"/>
      <c r="L114" s="268"/>
      <c r="M114" s="268"/>
      <c r="N114" s="269">
        <f>ROUND(F114*J114,2)</f>
        <v>2020.65</v>
      </c>
      <c r="O114" s="263"/>
      <c r="P114" s="263" t="s">
        <v>1922</v>
      </c>
      <c r="Q114" s="270"/>
      <c r="R114" s="216"/>
      <c r="S114" s="271">
        <v>37.799999999999997</v>
      </c>
    </row>
    <row r="115" spans="1:19" ht="15" x14ac:dyDescent="0.2">
      <c r="A115" s="272" t="s">
        <v>1490</v>
      </c>
      <c r="B115" s="272"/>
      <c r="C115" s="272" t="s">
        <v>1339</v>
      </c>
      <c r="D115" s="273" t="s">
        <v>1491</v>
      </c>
      <c r="E115" s="274" t="s">
        <v>81</v>
      </c>
      <c r="F115" s="275">
        <v>2.7</v>
      </c>
      <c r="G115" s="275"/>
      <c r="H115" s="275"/>
      <c r="I115" s="275"/>
      <c r="J115" s="268">
        <f>ROUND(S115*$S$12,2)</f>
        <v>45.49</v>
      </c>
      <c r="K115" s="268"/>
      <c r="L115" s="268"/>
      <c r="M115" s="268"/>
      <c r="N115" s="269">
        <f>ROUND(F115*J115,2)</f>
        <v>122.82</v>
      </c>
      <c r="O115" s="263"/>
      <c r="P115" s="263" t="s">
        <v>1923</v>
      </c>
      <c r="Q115" s="270"/>
      <c r="R115" s="216"/>
      <c r="S115" s="271">
        <v>55.23</v>
      </c>
    </row>
    <row r="116" spans="1:19" ht="15" x14ac:dyDescent="0.2">
      <c r="A116" s="276" t="s">
        <v>256</v>
      </c>
      <c r="B116" s="276"/>
      <c r="C116" s="276"/>
      <c r="D116" s="277" t="s">
        <v>1256</v>
      </c>
      <c r="E116" s="278"/>
      <c r="F116" s="279"/>
      <c r="G116" s="279"/>
      <c r="H116" s="279"/>
      <c r="I116" s="279"/>
      <c r="J116" s="279">
        <f>N116</f>
        <v>6045.77</v>
      </c>
      <c r="K116" s="279"/>
      <c r="L116" s="279"/>
      <c r="M116" s="279"/>
      <c r="N116" s="280">
        <f>SUM(N117:N119)</f>
        <v>6045.77</v>
      </c>
      <c r="O116" s="263"/>
      <c r="P116" s="263" t="s">
        <v>1924</v>
      </c>
      <c r="Q116" s="270"/>
      <c r="R116" s="216"/>
      <c r="S116" s="271">
        <v>0</v>
      </c>
    </row>
    <row r="117" spans="1:19" ht="15" x14ac:dyDescent="0.2">
      <c r="A117" s="272" t="s">
        <v>1492</v>
      </c>
      <c r="B117" s="272">
        <v>85181</v>
      </c>
      <c r="C117" s="272" t="s">
        <v>1324</v>
      </c>
      <c r="D117" s="273" t="s">
        <v>1493</v>
      </c>
      <c r="E117" s="274" t="s">
        <v>14</v>
      </c>
      <c r="F117" s="275">
        <v>9.7899999999999991</v>
      </c>
      <c r="G117" s="275"/>
      <c r="H117" s="275"/>
      <c r="I117" s="275"/>
      <c r="J117" s="268">
        <f>ROUND(S117*$S$12,2)</f>
        <v>523.70000000000005</v>
      </c>
      <c r="K117" s="268"/>
      <c r="L117" s="268"/>
      <c r="M117" s="268"/>
      <c r="N117" s="269">
        <f>ROUND(F117*J117,2)</f>
        <v>5127.0200000000004</v>
      </c>
      <c r="O117" s="263"/>
      <c r="P117" s="263" t="s">
        <v>1925</v>
      </c>
      <c r="Q117" s="270"/>
      <c r="R117" s="216"/>
      <c r="S117" s="271">
        <v>635.87</v>
      </c>
    </row>
    <row r="118" spans="1:19" ht="15" x14ac:dyDescent="0.2">
      <c r="A118" s="272" t="s">
        <v>1494</v>
      </c>
      <c r="B118" s="272">
        <v>5652</v>
      </c>
      <c r="C118" s="272" t="s">
        <v>1324</v>
      </c>
      <c r="D118" s="273" t="s">
        <v>1495</v>
      </c>
      <c r="E118" s="274" t="s">
        <v>48</v>
      </c>
      <c r="F118" s="275">
        <v>1.82</v>
      </c>
      <c r="G118" s="275"/>
      <c r="H118" s="275"/>
      <c r="I118" s="275"/>
      <c r="J118" s="268">
        <f>ROUND(S118*$S$12,2)</f>
        <v>276.27</v>
      </c>
      <c r="K118" s="268"/>
      <c r="L118" s="268"/>
      <c r="M118" s="268"/>
      <c r="N118" s="269">
        <f>ROUND(F118*J118,2)</f>
        <v>502.81</v>
      </c>
      <c r="O118" s="263"/>
      <c r="P118" s="263" t="s">
        <v>1926</v>
      </c>
      <c r="Q118" s="270"/>
      <c r="R118" s="216"/>
      <c r="S118" s="271">
        <v>335.45</v>
      </c>
    </row>
    <row r="119" spans="1:19" ht="25.5" x14ac:dyDescent="0.2">
      <c r="A119" s="272" t="s">
        <v>1496</v>
      </c>
      <c r="B119" s="272"/>
      <c r="C119" s="272" t="s">
        <v>1339</v>
      </c>
      <c r="D119" s="273" t="s">
        <v>1497</v>
      </c>
      <c r="E119" s="274" t="s">
        <v>14</v>
      </c>
      <c r="F119" s="275">
        <v>5.85</v>
      </c>
      <c r="G119" s="275"/>
      <c r="H119" s="275"/>
      <c r="I119" s="275"/>
      <c r="J119" s="268">
        <f>ROUND(S119*$S$12,2)</f>
        <v>71.099999999999994</v>
      </c>
      <c r="K119" s="268"/>
      <c r="L119" s="268"/>
      <c r="M119" s="268"/>
      <c r="N119" s="269">
        <f>ROUND(F119*J119,2)</f>
        <v>415.94</v>
      </c>
      <c r="O119" s="263"/>
      <c r="P119" s="263" t="s">
        <v>1927</v>
      </c>
      <c r="Q119" s="270"/>
      <c r="R119" s="216"/>
      <c r="S119" s="271">
        <v>86.33</v>
      </c>
    </row>
    <row r="120" spans="1:19" ht="14.25" x14ac:dyDescent="0.2">
      <c r="A120" s="258">
        <v>11</v>
      </c>
      <c r="B120" s="258"/>
      <c r="C120" s="258"/>
      <c r="D120" s="259" t="s">
        <v>1498</v>
      </c>
      <c r="E120" s="260"/>
      <c r="F120" s="261"/>
      <c r="G120" s="261"/>
      <c r="H120" s="261"/>
      <c r="I120" s="261"/>
      <c r="J120" s="261">
        <f>N120</f>
        <v>62088.5</v>
      </c>
      <c r="K120" s="261"/>
      <c r="L120" s="261"/>
      <c r="M120" s="261"/>
      <c r="N120" s="262">
        <f>SUM(N121:N128)</f>
        <v>62088.5</v>
      </c>
      <c r="O120" s="263"/>
      <c r="P120" s="263" t="s">
        <v>1928</v>
      </c>
      <c r="Q120" s="270"/>
      <c r="R120" s="216"/>
      <c r="S120" s="271">
        <v>0</v>
      </c>
    </row>
    <row r="121" spans="1:19" ht="15" x14ac:dyDescent="0.2">
      <c r="A121" s="272" t="s">
        <v>274</v>
      </c>
      <c r="B121" s="272"/>
      <c r="C121" s="272" t="s">
        <v>1339</v>
      </c>
      <c r="D121" s="273" t="s">
        <v>1499</v>
      </c>
      <c r="E121" s="274" t="s">
        <v>14</v>
      </c>
      <c r="F121" s="275">
        <v>529.37</v>
      </c>
      <c r="G121" s="275"/>
      <c r="H121" s="275"/>
      <c r="I121" s="275"/>
      <c r="J121" s="268">
        <f t="shared" ref="J121:J128" si="11">ROUND(S121*$S$12,2)</f>
        <v>7.03</v>
      </c>
      <c r="K121" s="268"/>
      <c r="L121" s="268"/>
      <c r="M121" s="268"/>
      <c r="N121" s="269">
        <f t="shared" ref="N121:N128" si="12">ROUND(F121*J121,2)</f>
        <v>3721.47</v>
      </c>
      <c r="O121" s="263"/>
      <c r="P121" s="263" t="s">
        <v>1929</v>
      </c>
      <c r="Q121" s="270"/>
      <c r="R121" s="216"/>
      <c r="S121" s="271">
        <v>8.5299999999999994</v>
      </c>
    </row>
    <row r="122" spans="1:19" ht="15" x14ac:dyDescent="0.2">
      <c r="A122" s="272" t="s">
        <v>276</v>
      </c>
      <c r="B122" s="272">
        <v>88489</v>
      </c>
      <c r="C122" s="272" t="s">
        <v>1324</v>
      </c>
      <c r="D122" s="273" t="s">
        <v>1500</v>
      </c>
      <c r="E122" s="274" t="s">
        <v>14</v>
      </c>
      <c r="F122" s="275">
        <v>445.04</v>
      </c>
      <c r="G122" s="275"/>
      <c r="H122" s="275"/>
      <c r="I122" s="275"/>
      <c r="J122" s="268">
        <f t="shared" si="11"/>
        <v>9.48</v>
      </c>
      <c r="K122" s="268"/>
      <c r="L122" s="268"/>
      <c r="M122" s="268"/>
      <c r="N122" s="269">
        <f t="shared" si="12"/>
        <v>4218.9799999999996</v>
      </c>
      <c r="O122" s="263"/>
      <c r="P122" s="263" t="s">
        <v>1930</v>
      </c>
      <c r="Q122" s="270"/>
      <c r="R122" s="216"/>
      <c r="S122" s="271">
        <v>11.51</v>
      </c>
    </row>
    <row r="123" spans="1:19" ht="15" x14ac:dyDescent="0.2">
      <c r="A123" s="272" t="s">
        <v>278</v>
      </c>
      <c r="B123" s="272">
        <v>88486</v>
      </c>
      <c r="C123" s="272" t="s">
        <v>1324</v>
      </c>
      <c r="D123" s="273" t="s">
        <v>1501</v>
      </c>
      <c r="E123" s="274" t="s">
        <v>14</v>
      </c>
      <c r="F123" s="275">
        <v>84.33</v>
      </c>
      <c r="G123" s="275"/>
      <c r="H123" s="275"/>
      <c r="I123" s="275"/>
      <c r="J123" s="268">
        <f t="shared" si="11"/>
        <v>8.2899999999999991</v>
      </c>
      <c r="K123" s="268"/>
      <c r="L123" s="268"/>
      <c r="M123" s="268"/>
      <c r="N123" s="269">
        <f t="shared" si="12"/>
        <v>699.1</v>
      </c>
      <c r="O123" s="263"/>
      <c r="P123" s="263" t="s">
        <v>1931</v>
      </c>
      <c r="Q123" s="270"/>
      <c r="R123" s="216"/>
      <c r="S123" s="271">
        <v>10.06</v>
      </c>
    </row>
    <row r="124" spans="1:19" ht="15" x14ac:dyDescent="0.2">
      <c r="A124" s="272" t="s">
        <v>281</v>
      </c>
      <c r="B124" s="272">
        <v>72815</v>
      </c>
      <c r="C124" s="272" t="s">
        <v>1324</v>
      </c>
      <c r="D124" s="273" t="s">
        <v>1502</v>
      </c>
      <c r="E124" s="274" t="s">
        <v>14</v>
      </c>
      <c r="F124" s="275">
        <v>483.8</v>
      </c>
      <c r="G124" s="275"/>
      <c r="H124" s="275"/>
      <c r="I124" s="275"/>
      <c r="J124" s="268">
        <f t="shared" si="11"/>
        <v>43.08</v>
      </c>
      <c r="K124" s="268"/>
      <c r="L124" s="268"/>
      <c r="M124" s="268"/>
      <c r="N124" s="269">
        <f t="shared" si="12"/>
        <v>20842.099999999999</v>
      </c>
      <c r="O124" s="263"/>
      <c r="P124" s="263" t="s">
        <v>1932</v>
      </c>
      <c r="Q124" s="270"/>
      <c r="R124" s="216"/>
      <c r="S124" s="271">
        <v>52.31</v>
      </c>
    </row>
    <row r="125" spans="1:19" ht="15" x14ac:dyDescent="0.2">
      <c r="A125" s="272" t="s">
        <v>1503</v>
      </c>
      <c r="B125" s="272">
        <v>41595</v>
      </c>
      <c r="C125" s="272" t="s">
        <v>1324</v>
      </c>
      <c r="D125" s="273" t="s">
        <v>1504</v>
      </c>
      <c r="E125" s="274" t="s">
        <v>81</v>
      </c>
      <c r="F125" s="275">
        <v>275.60000000000002</v>
      </c>
      <c r="G125" s="275"/>
      <c r="H125" s="275"/>
      <c r="I125" s="275"/>
      <c r="J125" s="268">
        <f t="shared" si="11"/>
        <v>8.86</v>
      </c>
      <c r="K125" s="268"/>
      <c r="L125" s="268"/>
      <c r="M125" s="268"/>
      <c r="N125" s="269">
        <f t="shared" si="12"/>
        <v>2441.8200000000002</v>
      </c>
      <c r="O125" s="263"/>
      <c r="P125" s="263" t="s">
        <v>1933</v>
      </c>
      <c r="Q125" s="270"/>
      <c r="R125" s="216"/>
      <c r="S125" s="271">
        <v>10.76</v>
      </c>
    </row>
    <row r="126" spans="1:19" ht="15" x14ac:dyDescent="0.2">
      <c r="A126" s="272" t="s">
        <v>1505</v>
      </c>
      <c r="B126" s="272" t="s">
        <v>1506</v>
      </c>
      <c r="C126" s="272" t="s">
        <v>1324</v>
      </c>
      <c r="D126" s="273" t="s">
        <v>1507</v>
      </c>
      <c r="E126" s="274" t="s">
        <v>14</v>
      </c>
      <c r="F126" s="275">
        <v>366.82</v>
      </c>
      <c r="G126" s="275"/>
      <c r="H126" s="275"/>
      <c r="I126" s="275"/>
      <c r="J126" s="268">
        <f t="shared" si="11"/>
        <v>7.25</v>
      </c>
      <c r="K126" s="268"/>
      <c r="L126" s="268"/>
      <c r="M126" s="268"/>
      <c r="N126" s="269">
        <f t="shared" si="12"/>
        <v>2659.45</v>
      </c>
      <c r="O126" s="263"/>
      <c r="P126" s="263" t="s">
        <v>1934</v>
      </c>
      <c r="Q126" s="270"/>
      <c r="R126" s="216"/>
      <c r="S126" s="271">
        <v>8.8000000000000007</v>
      </c>
    </row>
    <row r="127" spans="1:19" ht="15" x14ac:dyDescent="0.2">
      <c r="A127" s="272" t="s">
        <v>1508</v>
      </c>
      <c r="B127" s="272" t="s">
        <v>1509</v>
      </c>
      <c r="C127" s="272" t="s">
        <v>1324</v>
      </c>
      <c r="D127" s="273" t="s">
        <v>1510</v>
      </c>
      <c r="E127" s="274" t="s">
        <v>14</v>
      </c>
      <c r="F127" s="275">
        <v>567.82000000000005</v>
      </c>
      <c r="G127" s="275"/>
      <c r="H127" s="275"/>
      <c r="I127" s="275"/>
      <c r="J127" s="268">
        <f t="shared" si="11"/>
        <v>21.62</v>
      </c>
      <c r="K127" s="268"/>
      <c r="L127" s="268"/>
      <c r="M127" s="268"/>
      <c r="N127" s="269">
        <f t="shared" si="12"/>
        <v>12276.27</v>
      </c>
      <c r="O127" s="263"/>
      <c r="P127" s="263" t="s">
        <v>1935</v>
      </c>
      <c r="Q127" s="270"/>
      <c r="R127" s="216"/>
      <c r="S127" s="271">
        <v>26.25</v>
      </c>
    </row>
    <row r="128" spans="1:19" ht="15" x14ac:dyDescent="0.2">
      <c r="A128" s="272" t="s">
        <v>1511</v>
      </c>
      <c r="B128" s="272" t="s">
        <v>1512</v>
      </c>
      <c r="C128" s="272" t="s">
        <v>1324</v>
      </c>
      <c r="D128" s="273" t="s">
        <v>1513</v>
      </c>
      <c r="E128" s="274" t="s">
        <v>14</v>
      </c>
      <c r="F128" s="275">
        <v>1030.4000000000001</v>
      </c>
      <c r="G128" s="275"/>
      <c r="H128" s="275"/>
      <c r="I128" s="275"/>
      <c r="J128" s="268">
        <f t="shared" si="11"/>
        <v>14.78</v>
      </c>
      <c r="K128" s="268"/>
      <c r="L128" s="268"/>
      <c r="M128" s="268"/>
      <c r="N128" s="269">
        <f t="shared" si="12"/>
        <v>15229.31</v>
      </c>
      <c r="O128" s="263"/>
      <c r="P128" s="263" t="s">
        <v>1936</v>
      </c>
      <c r="Q128" s="270"/>
      <c r="R128" s="216"/>
      <c r="S128" s="271">
        <v>17.940000000000001</v>
      </c>
    </row>
    <row r="129" spans="1:19" ht="14.25" x14ac:dyDescent="0.2">
      <c r="A129" s="258">
        <v>12</v>
      </c>
      <c r="B129" s="258"/>
      <c r="C129" s="258"/>
      <c r="D129" s="259" t="s">
        <v>1514</v>
      </c>
      <c r="E129" s="260"/>
      <c r="F129" s="261"/>
      <c r="G129" s="261"/>
      <c r="H129" s="261"/>
      <c r="I129" s="261"/>
      <c r="J129" s="261">
        <f>N129</f>
        <v>4556.04</v>
      </c>
      <c r="K129" s="261"/>
      <c r="L129" s="261"/>
      <c r="M129" s="261"/>
      <c r="N129" s="262">
        <f>N130+N152</f>
        <v>4556.04</v>
      </c>
      <c r="O129" s="263"/>
      <c r="P129" s="263" t="s">
        <v>1937</v>
      </c>
      <c r="Q129" s="270"/>
      <c r="R129" s="216"/>
      <c r="S129" s="271">
        <v>0</v>
      </c>
    </row>
    <row r="130" spans="1:19" ht="15" x14ac:dyDescent="0.2">
      <c r="A130" s="276" t="s">
        <v>1515</v>
      </c>
      <c r="B130" s="276"/>
      <c r="C130" s="276"/>
      <c r="D130" s="277" t="s">
        <v>1516</v>
      </c>
      <c r="E130" s="278"/>
      <c r="F130" s="279"/>
      <c r="G130" s="279"/>
      <c r="H130" s="279"/>
      <c r="I130" s="279"/>
      <c r="J130" s="279">
        <f>N130</f>
        <v>1719.64</v>
      </c>
      <c r="K130" s="279"/>
      <c r="L130" s="279"/>
      <c r="M130" s="279"/>
      <c r="N130" s="280">
        <f>SUM(N131:N151)</f>
        <v>1719.64</v>
      </c>
      <c r="O130" s="263"/>
      <c r="P130" s="263" t="s">
        <v>1938</v>
      </c>
      <c r="Q130" s="270"/>
      <c r="R130" s="216"/>
      <c r="S130" s="271">
        <v>0</v>
      </c>
    </row>
    <row r="131" spans="1:19" ht="15" x14ac:dyDescent="0.2">
      <c r="A131" s="272" t="s">
        <v>1517</v>
      </c>
      <c r="B131" s="272">
        <v>89401</v>
      </c>
      <c r="C131" s="272" t="s">
        <v>1324</v>
      </c>
      <c r="D131" s="273" t="s">
        <v>1518</v>
      </c>
      <c r="E131" s="274" t="s">
        <v>81</v>
      </c>
      <c r="F131" s="275">
        <v>12</v>
      </c>
      <c r="G131" s="275"/>
      <c r="H131" s="275"/>
      <c r="I131" s="275"/>
      <c r="J131" s="268">
        <f t="shared" ref="J131:J151" si="13">ROUND(S131*$S$12,2)</f>
        <v>5.29</v>
      </c>
      <c r="K131" s="268"/>
      <c r="L131" s="268"/>
      <c r="M131" s="268"/>
      <c r="N131" s="269">
        <f t="shared" ref="N131:N151" si="14">ROUND(F131*J131,2)</f>
        <v>63.48</v>
      </c>
      <c r="O131" s="263"/>
      <c r="P131" s="263" t="s">
        <v>1939</v>
      </c>
      <c r="Q131" s="270"/>
      <c r="R131" s="216"/>
      <c r="S131" s="271">
        <v>6.42</v>
      </c>
    </row>
    <row r="132" spans="1:19" ht="15" x14ac:dyDescent="0.2">
      <c r="A132" s="272" t="s">
        <v>1519</v>
      </c>
      <c r="B132" s="272">
        <v>89446</v>
      </c>
      <c r="C132" s="272" t="s">
        <v>1324</v>
      </c>
      <c r="D132" s="273" t="s">
        <v>1520</v>
      </c>
      <c r="E132" s="274" t="s">
        <v>81</v>
      </c>
      <c r="F132" s="275">
        <v>42</v>
      </c>
      <c r="G132" s="275"/>
      <c r="H132" s="275"/>
      <c r="I132" s="275"/>
      <c r="J132" s="268">
        <f t="shared" si="13"/>
        <v>3.19</v>
      </c>
      <c r="K132" s="268"/>
      <c r="L132" s="268"/>
      <c r="M132" s="268"/>
      <c r="N132" s="269">
        <f t="shared" si="14"/>
        <v>133.97999999999999</v>
      </c>
      <c r="O132" s="263"/>
      <c r="P132" s="263" t="s">
        <v>1940</v>
      </c>
      <c r="Q132" s="270"/>
      <c r="R132" s="216"/>
      <c r="S132" s="271">
        <v>3.87</v>
      </c>
    </row>
    <row r="133" spans="1:19" ht="15" x14ac:dyDescent="0.2">
      <c r="A133" s="272" t="s">
        <v>1521</v>
      </c>
      <c r="B133" s="272">
        <v>89447</v>
      </c>
      <c r="C133" s="272" t="s">
        <v>1324</v>
      </c>
      <c r="D133" s="273" t="s">
        <v>1522</v>
      </c>
      <c r="E133" s="274" t="s">
        <v>81</v>
      </c>
      <c r="F133" s="275">
        <v>28</v>
      </c>
      <c r="G133" s="275"/>
      <c r="H133" s="275"/>
      <c r="I133" s="275"/>
      <c r="J133" s="268">
        <f t="shared" si="13"/>
        <v>6.33</v>
      </c>
      <c r="K133" s="268"/>
      <c r="L133" s="268"/>
      <c r="M133" s="268"/>
      <c r="N133" s="269">
        <f t="shared" si="14"/>
        <v>177.24</v>
      </c>
      <c r="O133" s="263"/>
      <c r="P133" s="263" t="s">
        <v>1941</v>
      </c>
      <c r="Q133" s="270"/>
      <c r="R133" s="216"/>
      <c r="S133" s="271">
        <v>7.69</v>
      </c>
    </row>
    <row r="134" spans="1:19" ht="15" x14ac:dyDescent="0.2">
      <c r="A134" s="272" t="s">
        <v>1523</v>
      </c>
      <c r="B134" s="272">
        <v>89448</v>
      </c>
      <c r="C134" s="272" t="s">
        <v>1324</v>
      </c>
      <c r="D134" s="273" t="s">
        <v>1524</v>
      </c>
      <c r="E134" s="274" t="s">
        <v>81</v>
      </c>
      <c r="F134" s="275">
        <v>30</v>
      </c>
      <c r="G134" s="275"/>
      <c r="H134" s="275"/>
      <c r="I134" s="275"/>
      <c r="J134" s="268">
        <f t="shared" si="13"/>
        <v>10.15</v>
      </c>
      <c r="K134" s="268"/>
      <c r="L134" s="268"/>
      <c r="M134" s="268"/>
      <c r="N134" s="269">
        <f t="shared" si="14"/>
        <v>304.5</v>
      </c>
      <c r="O134" s="263"/>
      <c r="P134" s="263" t="s">
        <v>1942</v>
      </c>
      <c r="Q134" s="270"/>
      <c r="R134" s="216"/>
      <c r="S134" s="271">
        <v>12.32</v>
      </c>
    </row>
    <row r="135" spans="1:19" ht="15" x14ac:dyDescent="0.2">
      <c r="A135" s="272" t="s">
        <v>1525</v>
      </c>
      <c r="B135" s="272">
        <v>89449</v>
      </c>
      <c r="C135" s="272" t="s">
        <v>1324</v>
      </c>
      <c r="D135" s="273" t="s">
        <v>1526</v>
      </c>
      <c r="E135" s="274" t="s">
        <v>81</v>
      </c>
      <c r="F135" s="275">
        <v>36</v>
      </c>
      <c r="G135" s="275"/>
      <c r="H135" s="275"/>
      <c r="I135" s="275"/>
      <c r="J135" s="268">
        <f t="shared" si="13"/>
        <v>11.27</v>
      </c>
      <c r="K135" s="268"/>
      <c r="L135" s="268"/>
      <c r="M135" s="268"/>
      <c r="N135" s="269">
        <f t="shared" si="14"/>
        <v>405.72</v>
      </c>
      <c r="O135" s="263"/>
      <c r="P135" s="263" t="s">
        <v>1943</v>
      </c>
      <c r="Q135" s="270"/>
      <c r="R135" s="216"/>
      <c r="S135" s="271">
        <v>13.68</v>
      </c>
    </row>
    <row r="136" spans="1:19" ht="15" x14ac:dyDescent="0.2">
      <c r="A136" s="272" t="s">
        <v>1527</v>
      </c>
      <c r="B136" s="272">
        <v>89408</v>
      </c>
      <c r="C136" s="272" t="s">
        <v>1324</v>
      </c>
      <c r="D136" s="273" t="s">
        <v>1528</v>
      </c>
      <c r="E136" s="274" t="s">
        <v>102</v>
      </c>
      <c r="F136" s="275">
        <v>15</v>
      </c>
      <c r="G136" s="275"/>
      <c r="H136" s="275"/>
      <c r="I136" s="275"/>
      <c r="J136" s="268">
        <f t="shared" si="13"/>
        <v>4.28</v>
      </c>
      <c r="K136" s="268"/>
      <c r="L136" s="268"/>
      <c r="M136" s="268"/>
      <c r="N136" s="269">
        <f t="shared" si="14"/>
        <v>64.2</v>
      </c>
      <c r="O136" s="263"/>
      <c r="P136" s="263" t="s">
        <v>1944</v>
      </c>
      <c r="Q136" s="270"/>
      <c r="R136" s="216"/>
      <c r="S136" s="271">
        <v>5.2</v>
      </c>
    </row>
    <row r="137" spans="1:19" ht="15" x14ac:dyDescent="0.2">
      <c r="A137" s="272" t="s">
        <v>1529</v>
      </c>
      <c r="B137" s="272">
        <v>89492</v>
      </c>
      <c r="C137" s="272" t="s">
        <v>1324</v>
      </c>
      <c r="D137" s="273" t="s">
        <v>1530</v>
      </c>
      <c r="E137" s="274" t="s">
        <v>102</v>
      </c>
      <c r="F137" s="275">
        <v>8</v>
      </c>
      <c r="G137" s="275"/>
      <c r="H137" s="275"/>
      <c r="I137" s="275"/>
      <c r="J137" s="268">
        <f t="shared" si="13"/>
        <v>4.79</v>
      </c>
      <c r="K137" s="268"/>
      <c r="L137" s="268"/>
      <c r="M137" s="268"/>
      <c r="N137" s="269">
        <f t="shared" si="14"/>
        <v>38.32</v>
      </c>
      <c r="O137" s="263"/>
      <c r="P137" s="263" t="s">
        <v>1945</v>
      </c>
      <c r="Q137" s="270"/>
      <c r="R137" s="216"/>
      <c r="S137" s="271">
        <v>5.82</v>
      </c>
    </row>
    <row r="138" spans="1:19" ht="15" x14ac:dyDescent="0.2">
      <c r="A138" s="272" t="s">
        <v>1531</v>
      </c>
      <c r="B138" s="272">
        <v>89501</v>
      </c>
      <c r="C138" s="272" t="s">
        <v>1324</v>
      </c>
      <c r="D138" s="273" t="s">
        <v>1532</v>
      </c>
      <c r="E138" s="274" t="s">
        <v>102</v>
      </c>
      <c r="F138" s="275">
        <v>6</v>
      </c>
      <c r="G138" s="275"/>
      <c r="H138" s="275"/>
      <c r="I138" s="275"/>
      <c r="J138" s="268">
        <f t="shared" si="13"/>
        <v>9.3800000000000008</v>
      </c>
      <c r="K138" s="268"/>
      <c r="L138" s="268"/>
      <c r="M138" s="268"/>
      <c r="N138" s="269">
        <f t="shared" si="14"/>
        <v>56.28</v>
      </c>
      <c r="O138" s="263"/>
      <c r="P138" s="263" t="s">
        <v>1946</v>
      </c>
      <c r="Q138" s="270"/>
      <c r="R138" s="216"/>
      <c r="S138" s="271">
        <v>11.39</v>
      </c>
    </row>
    <row r="139" spans="1:19" ht="25.5" x14ac:dyDescent="0.2">
      <c r="A139" s="272" t="s">
        <v>1533</v>
      </c>
      <c r="B139" s="272">
        <v>90373</v>
      </c>
      <c r="C139" s="272" t="s">
        <v>1324</v>
      </c>
      <c r="D139" s="273" t="s">
        <v>1534</v>
      </c>
      <c r="E139" s="274" t="s">
        <v>102</v>
      </c>
      <c r="F139" s="275">
        <v>2</v>
      </c>
      <c r="G139" s="275"/>
      <c r="H139" s="275"/>
      <c r="I139" s="275"/>
      <c r="J139" s="268">
        <f t="shared" si="13"/>
        <v>10.06</v>
      </c>
      <c r="K139" s="268"/>
      <c r="L139" s="268"/>
      <c r="M139" s="268"/>
      <c r="N139" s="269">
        <f t="shared" si="14"/>
        <v>20.12</v>
      </c>
      <c r="O139" s="263"/>
      <c r="P139" s="263" t="s">
        <v>1947</v>
      </c>
      <c r="Q139" s="270"/>
      <c r="R139" s="216"/>
      <c r="S139" s="271">
        <v>12.22</v>
      </c>
    </row>
    <row r="140" spans="1:19" ht="15" x14ac:dyDescent="0.2">
      <c r="A140" s="272" t="s">
        <v>1535</v>
      </c>
      <c r="B140" s="272"/>
      <c r="C140" s="272" t="s">
        <v>1339</v>
      </c>
      <c r="D140" s="273" t="s">
        <v>1536</v>
      </c>
      <c r="E140" s="274" t="s">
        <v>102</v>
      </c>
      <c r="F140" s="275">
        <v>4</v>
      </c>
      <c r="G140" s="275"/>
      <c r="H140" s="275"/>
      <c r="I140" s="275"/>
      <c r="J140" s="268">
        <f t="shared" si="13"/>
        <v>0</v>
      </c>
      <c r="K140" s="268"/>
      <c r="L140" s="268"/>
      <c r="M140" s="268"/>
      <c r="N140" s="269">
        <f t="shared" si="14"/>
        <v>0</v>
      </c>
      <c r="O140" s="263"/>
      <c r="P140" s="263" t="s">
        <v>1948</v>
      </c>
      <c r="Q140" s="270"/>
      <c r="R140" s="216"/>
      <c r="S140" s="271">
        <v>0</v>
      </c>
    </row>
    <row r="141" spans="1:19" ht="25.5" x14ac:dyDescent="0.2">
      <c r="A141" s="272" t="s">
        <v>1537</v>
      </c>
      <c r="B141" s="272">
        <v>90373</v>
      </c>
      <c r="C141" s="272" t="s">
        <v>1324</v>
      </c>
      <c r="D141" s="273" t="s">
        <v>1538</v>
      </c>
      <c r="E141" s="274" t="s">
        <v>102</v>
      </c>
      <c r="F141" s="275">
        <v>16</v>
      </c>
      <c r="G141" s="275"/>
      <c r="H141" s="275"/>
      <c r="I141" s="275"/>
      <c r="J141" s="268">
        <f t="shared" si="13"/>
        <v>10.06</v>
      </c>
      <c r="K141" s="268"/>
      <c r="L141" s="268"/>
      <c r="M141" s="268"/>
      <c r="N141" s="269">
        <f t="shared" si="14"/>
        <v>160.96</v>
      </c>
      <c r="O141" s="263"/>
      <c r="P141" s="263" t="s">
        <v>1949</v>
      </c>
      <c r="Q141" s="270"/>
      <c r="R141" s="216"/>
      <c r="S141" s="271">
        <v>12.22</v>
      </c>
    </row>
    <row r="142" spans="1:19" ht="15" x14ac:dyDescent="0.2">
      <c r="A142" s="272" t="s">
        <v>1539</v>
      </c>
      <c r="B142" s="272">
        <v>89622</v>
      </c>
      <c r="C142" s="272" t="s">
        <v>1324</v>
      </c>
      <c r="D142" s="273" t="s">
        <v>1540</v>
      </c>
      <c r="E142" s="274" t="s">
        <v>102</v>
      </c>
      <c r="F142" s="275">
        <v>4</v>
      </c>
      <c r="G142" s="275"/>
      <c r="H142" s="275"/>
      <c r="I142" s="275"/>
      <c r="J142" s="268">
        <f t="shared" si="13"/>
        <v>9.23</v>
      </c>
      <c r="K142" s="268"/>
      <c r="L142" s="268"/>
      <c r="M142" s="268"/>
      <c r="N142" s="269">
        <f t="shared" si="14"/>
        <v>36.92</v>
      </c>
      <c r="O142" s="263"/>
      <c r="P142" s="263" t="s">
        <v>1950</v>
      </c>
      <c r="Q142" s="270"/>
      <c r="R142" s="216"/>
      <c r="S142" s="271">
        <v>11.21</v>
      </c>
    </row>
    <row r="143" spans="1:19" ht="15" x14ac:dyDescent="0.2">
      <c r="A143" s="272" t="s">
        <v>1541</v>
      </c>
      <c r="B143" s="272">
        <v>89626</v>
      </c>
      <c r="C143" s="272" t="s">
        <v>1324</v>
      </c>
      <c r="D143" s="273" t="s">
        <v>1542</v>
      </c>
      <c r="E143" s="274" t="s">
        <v>102</v>
      </c>
      <c r="F143" s="275">
        <v>2</v>
      </c>
      <c r="G143" s="275"/>
      <c r="H143" s="275"/>
      <c r="I143" s="275"/>
      <c r="J143" s="268">
        <f t="shared" si="13"/>
        <v>17.79</v>
      </c>
      <c r="K143" s="268"/>
      <c r="L143" s="268"/>
      <c r="M143" s="268"/>
      <c r="N143" s="269">
        <f t="shared" si="14"/>
        <v>35.58</v>
      </c>
      <c r="O143" s="263"/>
      <c r="P143" s="263" t="s">
        <v>1951</v>
      </c>
      <c r="Q143" s="270"/>
      <c r="R143" s="216"/>
      <c r="S143" s="271">
        <v>21.6</v>
      </c>
    </row>
    <row r="144" spans="1:19" ht="15" x14ac:dyDescent="0.2">
      <c r="A144" s="272" t="s">
        <v>1543</v>
      </c>
      <c r="B144" s="272">
        <v>89534</v>
      </c>
      <c r="C144" s="272" t="s">
        <v>1324</v>
      </c>
      <c r="D144" s="273" t="s">
        <v>1544</v>
      </c>
      <c r="E144" s="274" t="s">
        <v>102</v>
      </c>
      <c r="F144" s="275">
        <v>8</v>
      </c>
      <c r="G144" s="275"/>
      <c r="H144" s="275"/>
      <c r="I144" s="275"/>
      <c r="J144" s="268">
        <f t="shared" si="13"/>
        <v>2.9</v>
      </c>
      <c r="K144" s="268"/>
      <c r="L144" s="268"/>
      <c r="M144" s="268"/>
      <c r="N144" s="269">
        <f t="shared" si="14"/>
        <v>23.2</v>
      </c>
      <c r="O144" s="263"/>
      <c r="P144" s="263" t="s">
        <v>1952</v>
      </c>
      <c r="Q144" s="270"/>
      <c r="R144" s="216"/>
      <c r="S144" s="271">
        <v>3.52</v>
      </c>
    </row>
    <row r="145" spans="1:19" ht="15" x14ac:dyDescent="0.2">
      <c r="A145" s="272" t="s">
        <v>1545</v>
      </c>
      <c r="B145" s="272">
        <v>89386</v>
      </c>
      <c r="C145" s="272" t="s">
        <v>1324</v>
      </c>
      <c r="D145" s="273" t="s">
        <v>1546</v>
      </c>
      <c r="E145" s="274" t="s">
        <v>102</v>
      </c>
      <c r="F145" s="275">
        <v>4</v>
      </c>
      <c r="G145" s="275"/>
      <c r="H145" s="275"/>
      <c r="I145" s="275"/>
      <c r="J145" s="268">
        <f t="shared" si="13"/>
        <v>6</v>
      </c>
      <c r="K145" s="268"/>
      <c r="L145" s="268"/>
      <c r="M145" s="268"/>
      <c r="N145" s="269">
        <f t="shared" si="14"/>
        <v>24</v>
      </c>
      <c r="O145" s="263"/>
      <c r="P145" s="263" t="s">
        <v>1953</v>
      </c>
      <c r="Q145" s="270"/>
      <c r="R145" s="216"/>
      <c r="S145" s="271">
        <v>7.29</v>
      </c>
    </row>
    <row r="146" spans="1:19" ht="15" x14ac:dyDescent="0.2">
      <c r="A146" s="272" t="s">
        <v>1547</v>
      </c>
      <c r="B146" s="272">
        <v>89433</v>
      </c>
      <c r="C146" s="272" t="s">
        <v>1324</v>
      </c>
      <c r="D146" s="273" t="s">
        <v>1548</v>
      </c>
      <c r="E146" s="274" t="s">
        <v>102</v>
      </c>
      <c r="F146" s="275">
        <v>4</v>
      </c>
      <c r="G146" s="275"/>
      <c r="H146" s="275"/>
      <c r="I146" s="275"/>
      <c r="J146" s="268">
        <f t="shared" si="13"/>
        <v>5.63</v>
      </c>
      <c r="K146" s="268"/>
      <c r="L146" s="268"/>
      <c r="M146" s="268"/>
      <c r="N146" s="269">
        <f t="shared" si="14"/>
        <v>22.52</v>
      </c>
      <c r="O146" s="263"/>
      <c r="P146" s="263" t="s">
        <v>1954</v>
      </c>
      <c r="Q146" s="270"/>
      <c r="R146" s="216"/>
      <c r="S146" s="271">
        <v>6.84</v>
      </c>
    </row>
    <row r="147" spans="1:19" ht="15" x14ac:dyDescent="0.2">
      <c r="A147" s="272" t="s">
        <v>1549</v>
      </c>
      <c r="B147" s="272">
        <v>89605</v>
      </c>
      <c r="C147" s="272" t="s">
        <v>1324</v>
      </c>
      <c r="D147" s="273" t="s">
        <v>1550</v>
      </c>
      <c r="E147" s="274" t="s">
        <v>102</v>
      </c>
      <c r="F147" s="275">
        <v>2</v>
      </c>
      <c r="G147" s="275"/>
      <c r="H147" s="275"/>
      <c r="I147" s="275"/>
      <c r="J147" s="268">
        <f t="shared" si="13"/>
        <v>11.65</v>
      </c>
      <c r="K147" s="268"/>
      <c r="L147" s="268"/>
      <c r="M147" s="268"/>
      <c r="N147" s="269">
        <f t="shared" si="14"/>
        <v>23.3</v>
      </c>
      <c r="O147" s="263"/>
      <c r="P147" s="263" t="s">
        <v>1955</v>
      </c>
      <c r="Q147" s="270"/>
      <c r="R147" s="216"/>
      <c r="S147" s="271">
        <v>14.14</v>
      </c>
    </row>
    <row r="148" spans="1:19" ht="15" x14ac:dyDescent="0.2">
      <c r="A148" s="272" t="s">
        <v>1551</v>
      </c>
      <c r="B148" s="272">
        <v>90375</v>
      </c>
      <c r="C148" s="272" t="s">
        <v>1324</v>
      </c>
      <c r="D148" s="273" t="s">
        <v>1552</v>
      </c>
      <c r="E148" s="274" t="s">
        <v>102</v>
      </c>
      <c r="F148" s="275">
        <v>2</v>
      </c>
      <c r="G148" s="275"/>
      <c r="H148" s="275"/>
      <c r="I148" s="275"/>
      <c r="J148" s="268">
        <f t="shared" si="13"/>
        <v>6.61</v>
      </c>
      <c r="K148" s="268"/>
      <c r="L148" s="268"/>
      <c r="M148" s="268"/>
      <c r="N148" s="269">
        <f t="shared" si="14"/>
        <v>13.22</v>
      </c>
      <c r="O148" s="263"/>
      <c r="P148" s="263" t="s">
        <v>1956</v>
      </c>
      <c r="Q148" s="270"/>
      <c r="R148" s="216"/>
      <c r="S148" s="271">
        <v>8.02</v>
      </c>
    </row>
    <row r="149" spans="1:19" ht="15" x14ac:dyDescent="0.2">
      <c r="A149" s="272" t="s">
        <v>1553</v>
      </c>
      <c r="B149" s="272">
        <v>90375</v>
      </c>
      <c r="C149" s="272" t="s">
        <v>1324</v>
      </c>
      <c r="D149" s="273" t="s">
        <v>1554</v>
      </c>
      <c r="E149" s="274" t="s">
        <v>102</v>
      </c>
      <c r="F149" s="275">
        <v>4</v>
      </c>
      <c r="G149" s="275"/>
      <c r="H149" s="275"/>
      <c r="I149" s="275"/>
      <c r="J149" s="268">
        <f t="shared" si="13"/>
        <v>6.61</v>
      </c>
      <c r="K149" s="268"/>
      <c r="L149" s="268"/>
      <c r="M149" s="268"/>
      <c r="N149" s="269">
        <f t="shared" si="14"/>
        <v>26.44</v>
      </c>
      <c r="O149" s="263"/>
      <c r="P149" s="263" t="s">
        <v>1957</v>
      </c>
      <c r="Q149" s="270"/>
      <c r="R149" s="216"/>
      <c r="S149" s="271">
        <v>8.02</v>
      </c>
    </row>
    <row r="150" spans="1:19" ht="15" x14ac:dyDescent="0.2">
      <c r="A150" s="272" t="s">
        <v>1555</v>
      </c>
      <c r="B150" s="272">
        <v>89375</v>
      </c>
      <c r="C150" s="272" t="s">
        <v>1324</v>
      </c>
      <c r="D150" s="273" t="s">
        <v>1556</v>
      </c>
      <c r="E150" s="274" t="s">
        <v>102</v>
      </c>
      <c r="F150" s="275">
        <v>6</v>
      </c>
      <c r="G150" s="275"/>
      <c r="H150" s="275"/>
      <c r="I150" s="275"/>
      <c r="J150" s="268">
        <f t="shared" si="13"/>
        <v>7.45</v>
      </c>
      <c r="K150" s="268"/>
      <c r="L150" s="268"/>
      <c r="M150" s="268"/>
      <c r="N150" s="269">
        <f t="shared" si="14"/>
        <v>44.7</v>
      </c>
      <c r="O150" s="263"/>
      <c r="P150" s="263" t="s">
        <v>1958</v>
      </c>
      <c r="Q150" s="270"/>
      <c r="R150" s="216"/>
      <c r="S150" s="271">
        <v>9.0500000000000007</v>
      </c>
    </row>
    <row r="151" spans="1:19" ht="15" x14ac:dyDescent="0.2">
      <c r="A151" s="272" t="s">
        <v>1557</v>
      </c>
      <c r="B151" s="272">
        <v>89594</v>
      </c>
      <c r="C151" s="272" t="s">
        <v>1324</v>
      </c>
      <c r="D151" s="273" t="s">
        <v>1558</v>
      </c>
      <c r="E151" s="274" t="s">
        <v>102</v>
      </c>
      <c r="F151" s="275">
        <v>2</v>
      </c>
      <c r="G151" s="275"/>
      <c r="H151" s="275"/>
      <c r="I151" s="275"/>
      <c r="J151" s="268">
        <f t="shared" si="13"/>
        <v>22.48</v>
      </c>
      <c r="K151" s="268"/>
      <c r="L151" s="268"/>
      <c r="M151" s="268"/>
      <c r="N151" s="269">
        <f t="shared" si="14"/>
        <v>44.96</v>
      </c>
      <c r="O151" s="263"/>
      <c r="P151" s="263" t="s">
        <v>1959</v>
      </c>
      <c r="Q151" s="270"/>
      <c r="R151" s="216"/>
      <c r="S151" s="271">
        <v>27.3</v>
      </c>
    </row>
    <row r="152" spans="1:19" ht="15" x14ac:dyDescent="0.2">
      <c r="A152" s="276" t="s">
        <v>290</v>
      </c>
      <c r="B152" s="276"/>
      <c r="C152" s="276"/>
      <c r="D152" s="277" t="s">
        <v>1559</v>
      </c>
      <c r="E152" s="278"/>
      <c r="F152" s="279"/>
      <c r="G152" s="279"/>
      <c r="H152" s="279"/>
      <c r="I152" s="279"/>
      <c r="J152" s="279">
        <f>N152</f>
        <v>2836.4</v>
      </c>
      <c r="K152" s="279"/>
      <c r="L152" s="279"/>
      <c r="M152" s="279"/>
      <c r="N152" s="280">
        <f>SUM(N153:N167)</f>
        <v>2836.4</v>
      </c>
      <c r="O152" s="263"/>
      <c r="P152" s="263" t="s">
        <v>1960</v>
      </c>
      <c r="Q152" s="270"/>
      <c r="R152" s="216"/>
      <c r="S152" s="271">
        <v>0</v>
      </c>
    </row>
    <row r="153" spans="1:19" ht="15" x14ac:dyDescent="0.2">
      <c r="A153" s="272" t="s">
        <v>1560</v>
      </c>
      <c r="B153" s="272">
        <v>89353</v>
      </c>
      <c r="C153" s="272" t="s">
        <v>1324</v>
      </c>
      <c r="D153" s="273" t="s">
        <v>1561</v>
      </c>
      <c r="E153" s="274" t="s">
        <v>102</v>
      </c>
      <c r="F153" s="275">
        <v>1</v>
      </c>
      <c r="G153" s="275"/>
      <c r="H153" s="275"/>
      <c r="I153" s="275"/>
      <c r="J153" s="268">
        <f t="shared" ref="J153:J167" si="15">ROUND(S153*$S$12,2)</f>
        <v>30.67</v>
      </c>
      <c r="K153" s="268"/>
      <c r="L153" s="268"/>
      <c r="M153" s="268"/>
      <c r="N153" s="269">
        <f t="shared" ref="N153:N167" si="16">ROUND(F153*J153,2)</f>
        <v>30.67</v>
      </c>
      <c r="O153" s="263"/>
      <c r="P153" s="263" t="s">
        <v>1961</v>
      </c>
      <c r="Q153" s="270"/>
      <c r="R153" s="216"/>
      <c r="S153" s="271">
        <v>37.24</v>
      </c>
    </row>
    <row r="154" spans="1:19" ht="15" x14ac:dyDescent="0.2">
      <c r="A154" s="272" t="s">
        <v>1562</v>
      </c>
      <c r="B154" s="272" t="s">
        <v>1563</v>
      </c>
      <c r="C154" s="272" t="s">
        <v>1324</v>
      </c>
      <c r="D154" s="273" t="s">
        <v>1564</v>
      </c>
      <c r="E154" s="274" t="s">
        <v>102</v>
      </c>
      <c r="F154" s="275">
        <v>2</v>
      </c>
      <c r="G154" s="275"/>
      <c r="H154" s="275"/>
      <c r="I154" s="275"/>
      <c r="J154" s="268">
        <f t="shared" si="15"/>
        <v>86.64</v>
      </c>
      <c r="K154" s="268"/>
      <c r="L154" s="268"/>
      <c r="M154" s="268"/>
      <c r="N154" s="269">
        <f t="shared" si="16"/>
        <v>173.28</v>
      </c>
      <c r="O154" s="263"/>
      <c r="P154" s="263" t="s">
        <v>1962</v>
      </c>
      <c r="Q154" s="270"/>
      <c r="R154" s="216"/>
      <c r="S154" s="271">
        <v>105.2</v>
      </c>
    </row>
    <row r="155" spans="1:19" ht="15" x14ac:dyDescent="0.2">
      <c r="A155" s="272" t="s">
        <v>1565</v>
      </c>
      <c r="B155" s="272" t="s">
        <v>1566</v>
      </c>
      <c r="C155" s="272" t="s">
        <v>1324</v>
      </c>
      <c r="D155" s="273" t="s">
        <v>1567</v>
      </c>
      <c r="E155" s="274" t="s">
        <v>102</v>
      </c>
      <c r="F155" s="275">
        <v>2</v>
      </c>
      <c r="G155" s="275"/>
      <c r="H155" s="275"/>
      <c r="I155" s="275"/>
      <c r="J155" s="268">
        <f t="shared" si="15"/>
        <v>52.59</v>
      </c>
      <c r="K155" s="268"/>
      <c r="L155" s="268"/>
      <c r="M155" s="268"/>
      <c r="N155" s="269">
        <f t="shared" si="16"/>
        <v>105.18</v>
      </c>
      <c r="O155" s="263"/>
      <c r="P155" s="263" t="s">
        <v>1963</v>
      </c>
      <c r="Q155" s="270"/>
      <c r="R155" s="216"/>
      <c r="S155" s="271">
        <v>63.86</v>
      </c>
    </row>
    <row r="156" spans="1:19" ht="15" x14ac:dyDescent="0.2">
      <c r="A156" s="272" t="s">
        <v>1568</v>
      </c>
      <c r="B156" s="272" t="s">
        <v>1569</v>
      </c>
      <c r="C156" s="272" t="s">
        <v>1324</v>
      </c>
      <c r="D156" s="273" t="s">
        <v>1570</v>
      </c>
      <c r="E156" s="274" t="s">
        <v>102</v>
      </c>
      <c r="F156" s="275">
        <v>2</v>
      </c>
      <c r="G156" s="275"/>
      <c r="H156" s="275"/>
      <c r="I156" s="275"/>
      <c r="J156" s="268">
        <f t="shared" si="15"/>
        <v>120.21</v>
      </c>
      <c r="K156" s="268"/>
      <c r="L156" s="268"/>
      <c r="M156" s="268"/>
      <c r="N156" s="269">
        <f t="shared" si="16"/>
        <v>240.42</v>
      </c>
      <c r="O156" s="263"/>
      <c r="P156" s="263" t="s">
        <v>1964</v>
      </c>
      <c r="Q156" s="270"/>
      <c r="R156" s="216"/>
      <c r="S156" s="271">
        <v>145.96</v>
      </c>
    </row>
    <row r="157" spans="1:19" ht="15" x14ac:dyDescent="0.2">
      <c r="A157" s="272" t="s">
        <v>1571</v>
      </c>
      <c r="B157" s="272" t="s">
        <v>1572</v>
      </c>
      <c r="C157" s="272" t="s">
        <v>1324</v>
      </c>
      <c r="D157" s="273" t="s">
        <v>1573</v>
      </c>
      <c r="E157" s="274" t="s">
        <v>102</v>
      </c>
      <c r="F157" s="275">
        <v>2</v>
      </c>
      <c r="G157" s="275"/>
      <c r="H157" s="275"/>
      <c r="I157" s="275"/>
      <c r="J157" s="268">
        <f t="shared" si="15"/>
        <v>67.349999999999994</v>
      </c>
      <c r="K157" s="268"/>
      <c r="L157" s="268"/>
      <c r="M157" s="268"/>
      <c r="N157" s="269">
        <f t="shared" si="16"/>
        <v>134.69999999999999</v>
      </c>
      <c r="O157" s="263"/>
      <c r="P157" s="263" t="s">
        <v>1965</v>
      </c>
      <c r="Q157" s="270"/>
      <c r="R157" s="216"/>
      <c r="S157" s="271">
        <v>81.78</v>
      </c>
    </row>
    <row r="158" spans="1:19" ht="15" x14ac:dyDescent="0.2">
      <c r="A158" s="272" t="s">
        <v>1574</v>
      </c>
      <c r="B158" s="272">
        <v>89987</v>
      </c>
      <c r="C158" s="272" t="s">
        <v>1324</v>
      </c>
      <c r="D158" s="273" t="s">
        <v>1575</v>
      </c>
      <c r="E158" s="274" t="s">
        <v>102</v>
      </c>
      <c r="F158" s="275">
        <v>2</v>
      </c>
      <c r="G158" s="275"/>
      <c r="H158" s="275"/>
      <c r="I158" s="275"/>
      <c r="J158" s="268">
        <f t="shared" si="15"/>
        <v>35.92</v>
      </c>
      <c r="K158" s="268"/>
      <c r="L158" s="268"/>
      <c r="M158" s="268"/>
      <c r="N158" s="269">
        <f t="shared" si="16"/>
        <v>71.84</v>
      </c>
      <c r="O158" s="263"/>
      <c r="P158" s="263" t="s">
        <v>1966</v>
      </c>
      <c r="Q158" s="270"/>
      <c r="R158" s="216"/>
      <c r="S158" s="271">
        <v>43.61</v>
      </c>
    </row>
    <row r="159" spans="1:19" ht="15" x14ac:dyDescent="0.2">
      <c r="A159" s="272" t="s">
        <v>1576</v>
      </c>
      <c r="B159" s="272">
        <v>89985</v>
      </c>
      <c r="C159" s="272" t="s">
        <v>1324</v>
      </c>
      <c r="D159" s="273" t="s">
        <v>1577</v>
      </c>
      <c r="E159" s="274" t="s">
        <v>102</v>
      </c>
      <c r="F159" s="275">
        <v>8</v>
      </c>
      <c r="G159" s="275"/>
      <c r="H159" s="275"/>
      <c r="I159" s="275"/>
      <c r="J159" s="268">
        <f t="shared" si="15"/>
        <v>64.02</v>
      </c>
      <c r="K159" s="268"/>
      <c r="L159" s="268"/>
      <c r="M159" s="268"/>
      <c r="N159" s="269">
        <f t="shared" si="16"/>
        <v>512.16</v>
      </c>
      <c r="O159" s="263"/>
      <c r="P159" s="263" t="s">
        <v>1967</v>
      </c>
      <c r="Q159" s="270"/>
      <c r="R159" s="216"/>
      <c r="S159" s="271">
        <v>77.73</v>
      </c>
    </row>
    <row r="160" spans="1:19" ht="15" x14ac:dyDescent="0.2">
      <c r="A160" s="272" t="s">
        <v>1578</v>
      </c>
      <c r="B160" s="272">
        <v>89538</v>
      </c>
      <c r="C160" s="272" t="s">
        <v>1324</v>
      </c>
      <c r="D160" s="273" t="s">
        <v>1579</v>
      </c>
      <c r="E160" s="274" t="s">
        <v>102</v>
      </c>
      <c r="F160" s="275">
        <v>12</v>
      </c>
      <c r="G160" s="275"/>
      <c r="H160" s="275"/>
      <c r="I160" s="275"/>
      <c r="J160" s="268">
        <f t="shared" si="15"/>
        <v>2.75</v>
      </c>
      <c r="K160" s="268"/>
      <c r="L160" s="268"/>
      <c r="M160" s="268"/>
      <c r="N160" s="269">
        <f t="shared" si="16"/>
        <v>33</v>
      </c>
      <c r="O160" s="263"/>
      <c r="P160" s="263" t="s">
        <v>1968</v>
      </c>
      <c r="Q160" s="270"/>
      <c r="R160" s="216"/>
      <c r="S160" s="271">
        <v>3.34</v>
      </c>
    </row>
    <row r="161" spans="1:19" ht="15" x14ac:dyDescent="0.2">
      <c r="A161" s="272" t="s">
        <v>1580</v>
      </c>
      <c r="B161" s="272">
        <v>89553</v>
      </c>
      <c r="C161" s="272" t="s">
        <v>1324</v>
      </c>
      <c r="D161" s="273" t="s">
        <v>1581</v>
      </c>
      <c r="E161" s="274" t="s">
        <v>102</v>
      </c>
      <c r="F161" s="275">
        <v>4</v>
      </c>
      <c r="G161" s="275"/>
      <c r="H161" s="275"/>
      <c r="I161" s="275"/>
      <c r="J161" s="268">
        <f t="shared" si="15"/>
        <v>4.01</v>
      </c>
      <c r="K161" s="268"/>
      <c r="L161" s="268"/>
      <c r="M161" s="268"/>
      <c r="N161" s="269">
        <f t="shared" si="16"/>
        <v>16.04</v>
      </c>
      <c r="O161" s="263"/>
      <c r="P161" s="263" t="s">
        <v>1969</v>
      </c>
      <c r="Q161" s="270"/>
      <c r="R161" s="216"/>
      <c r="S161" s="271">
        <v>4.87</v>
      </c>
    </row>
    <row r="162" spans="1:19" ht="15" x14ac:dyDescent="0.2">
      <c r="A162" s="272" t="s">
        <v>1582</v>
      </c>
      <c r="B162" s="272">
        <v>89570</v>
      </c>
      <c r="C162" s="272" t="s">
        <v>1324</v>
      </c>
      <c r="D162" s="273" t="s">
        <v>1583</v>
      </c>
      <c r="E162" s="274" t="s">
        <v>102</v>
      </c>
      <c r="F162" s="275">
        <v>4</v>
      </c>
      <c r="G162" s="275"/>
      <c r="H162" s="275"/>
      <c r="I162" s="275"/>
      <c r="J162" s="268">
        <f t="shared" si="15"/>
        <v>6.66</v>
      </c>
      <c r="K162" s="268"/>
      <c r="L162" s="268"/>
      <c r="M162" s="268"/>
      <c r="N162" s="269">
        <f t="shared" si="16"/>
        <v>26.64</v>
      </c>
      <c r="O162" s="263"/>
      <c r="P162" s="263" t="s">
        <v>1970</v>
      </c>
      <c r="Q162" s="270"/>
      <c r="R162" s="216"/>
      <c r="S162" s="271">
        <v>8.09</v>
      </c>
    </row>
    <row r="163" spans="1:19" ht="15" x14ac:dyDescent="0.2">
      <c r="A163" s="272" t="s">
        <v>1584</v>
      </c>
      <c r="B163" s="272">
        <v>89596</v>
      </c>
      <c r="C163" s="272" t="s">
        <v>1324</v>
      </c>
      <c r="D163" s="273" t="s">
        <v>1585</v>
      </c>
      <c r="E163" s="274" t="s">
        <v>102</v>
      </c>
      <c r="F163" s="275">
        <v>4</v>
      </c>
      <c r="G163" s="275"/>
      <c r="H163" s="275"/>
      <c r="I163" s="275"/>
      <c r="J163" s="268">
        <f t="shared" si="15"/>
        <v>7.49</v>
      </c>
      <c r="K163" s="268"/>
      <c r="L163" s="268"/>
      <c r="M163" s="268"/>
      <c r="N163" s="269">
        <f t="shared" si="16"/>
        <v>29.96</v>
      </c>
      <c r="O163" s="263"/>
      <c r="P163" s="263" t="s">
        <v>1971</v>
      </c>
      <c r="Q163" s="270"/>
      <c r="R163" s="216"/>
      <c r="S163" s="271">
        <v>9.1</v>
      </c>
    </row>
    <row r="164" spans="1:19" ht="15" x14ac:dyDescent="0.2">
      <c r="A164" s="272" t="s">
        <v>1586</v>
      </c>
      <c r="B164" s="272">
        <v>86884</v>
      </c>
      <c r="C164" s="272" t="s">
        <v>1324</v>
      </c>
      <c r="D164" s="273" t="s">
        <v>1587</v>
      </c>
      <c r="E164" s="274" t="s">
        <v>102</v>
      </c>
      <c r="F164" s="275">
        <v>10</v>
      </c>
      <c r="G164" s="275"/>
      <c r="H164" s="275"/>
      <c r="I164" s="275"/>
      <c r="J164" s="268">
        <f t="shared" si="15"/>
        <v>6.05</v>
      </c>
      <c r="K164" s="268"/>
      <c r="L164" s="268"/>
      <c r="M164" s="268"/>
      <c r="N164" s="269">
        <f t="shared" si="16"/>
        <v>60.5</v>
      </c>
      <c r="O164" s="263"/>
      <c r="P164" s="263" t="s">
        <v>1972</v>
      </c>
      <c r="Q164" s="270"/>
      <c r="R164" s="216"/>
      <c r="S164" s="271">
        <v>7.34</v>
      </c>
    </row>
    <row r="165" spans="1:19" ht="15" x14ac:dyDescent="0.2">
      <c r="A165" s="272" t="s">
        <v>1588</v>
      </c>
      <c r="B165" s="272">
        <v>72789</v>
      </c>
      <c r="C165" s="272" t="s">
        <v>1324</v>
      </c>
      <c r="D165" s="273" t="s">
        <v>1589</v>
      </c>
      <c r="E165" s="274" t="s">
        <v>102</v>
      </c>
      <c r="F165" s="275">
        <v>3</v>
      </c>
      <c r="G165" s="275"/>
      <c r="H165" s="275"/>
      <c r="I165" s="275"/>
      <c r="J165" s="268">
        <f t="shared" si="15"/>
        <v>16.59</v>
      </c>
      <c r="K165" s="268"/>
      <c r="L165" s="268"/>
      <c r="M165" s="268"/>
      <c r="N165" s="269">
        <f t="shared" si="16"/>
        <v>49.77</v>
      </c>
      <c r="O165" s="263"/>
      <c r="P165" s="263" t="s">
        <v>1973</v>
      </c>
      <c r="Q165" s="270"/>
      <c r="R165" s="216"/>
      <c r="S165" s="271">
        <v>20.14</v>
      </c>
    </row>
    <row r="166" spans="1:19" ht="15" x14ac:dyDescent="0.2">
      <c r="A166" s="272" t="s">
        <v>1590</v>
      </c>
      <c r="B166" s="272">
        <v>72792</v>
      </c>
      <c r="C166" s="272" t="s">
        <v>1324</v>
      </c>
      <c r="D166" s="273" t="s">
        <v>1591</v>
      </c>
      <c r="E166" s="274" t="s">
        <v>102</v>
      </c>
      <c r="F166" s="275">
        <v>2</v>
      </c>
      <c r="G166" s="275"/>
      <c r="H166" s="275"/>
      <c r="I166" s="275"/>
      <c r="J166" s="268">
        <f t="shared" si="15"/>
        <v>32.79</v>
      </c>
      <c r="K166" s="268"/>
      <c r="L166" s="268"/>
      <c r="M166" s="268"/>
      <c r="N166" s="269">
        <f t="shared" si="16"/>
        <v>65.58</v>
      </c>
      <c r="O166" s="263"/>
      <c r="P166" s="263" t="s">
        <v>1974</v>
      </c>
      <c r="Q166" s="270"/>
      <c r="R166" s="216"/>
      <c r="S166" s="271">
        <v>39.81</v>
      </c>
    </row>
    <row r="167" spans="1:19" ht="15" x14ac:dyDescent="0.2">
      <c r="A167" s="272" t="s">
        <v>1592</v>
      </c>
      <c r="B167" s="272"/>
      <c r="C167" s="272" t="s">
        <v>1339</v>
      </c>
      <c r="D167" s="273" t="s">
        <v>1593</v>
      </c>
      <c r="E167" s="274" t="s">
        <v>102</v>
      </c>
      <c r="F167" s="275">
        <v>1</v>
      </c>
      <c r="G167" s="275"/>
      <c r="H167" s="275"/>
      <c r="I167" s="275"/>
      <c r="J167" s="268">
        <f t="shared" si="15"/>
        <v>1286.6600000000001</v>
      </c>
      <c r="K167" s="268"/>
      <c r="L167" s="268"/>
      <c r="M167" s="268"/>
      <c r="N167" s="269">
        <f t="shared" si="16"/>
        <v>1286.6600000000001</v>
      </c>
      <c r="O167" s="263"/>
      <c r="P167" s="263" t="s">
        <v>1975</v>
      </c>
      <c r="Q167" s="270"/>
      <c r="R167" s="216"/>
      <c r="S167" s="271">
        <v>1562.26</v>
      </c>
    </row>
    <row r="168" spans="1:19" ht="14.25" x14ac:dyDescent="0.2">
      <c r="A168" s="258">
        <v>13</v>
      </c>
      <c r="B168" s="258"/>
      <c r="C168" s="258"/>
      <c r="D168" s="259" t="s">
        <v>1594</v>
      </c>
      <c r="E168" s="260"/>
      <c r="F168" s="261"/>
      <c r="G168" s="261"/>
      <c r="H168" s="261"/>
      <c r="I168" s="261"/>
      <c r="J168" s="261">
        <f>N168</f>
        <v>16232.49</v>
      </c>
      <c r="K168" s="261"/>
      <c r="L168" s="261"/>
      <c r="M168" s="261"/>
      <c r="N168" s="262">
        <f>N169+N181</f>
        <v>16232.49</v>
      </c>
      <c r="O168" s="263"/>
      <c r="P168" s="263" t="s">
        <v>1976</v>
      </c>
      <c r="Q168" s="270"/>
      <c r="R168" s="216"/>
      <c r="S168" s="271">
        <v>0</v>
      </c>
    </row>
    <row r="169" spans="1:19" ht="15" x14ac:dyDescent="0.2">
      <c r="A169" s="276" t="s">
        <v>306</v>
      </c>
      <c r="B169" s="276"/>
      <c r="C169" s="276"/>
      <c r="D169" s="277" t="s">
        <v>1516</v>
      </c>
      <c r="E169" s="278"/>
      <c r="F169" s="279"/>
      <c r="G169" s="279"/>
      <c r="H169" s="279"/>
      <c r="I169" s="279"/>
      <c r="J169" s="279">
        <f>N169</f>
        <v>2433.5100000000002</v>
      </c>
      <c r="K169" s="279"/>
      <c r="L169" s="279"/>
      <c r="M169" s="279"/>
      <c r="N169" s="280">
        <f>SUM(N171:N180)</f>
        <v>2433.5100000000002</v>
      </c>
      <c r="O169" s="263"/>
      <c r="P169" s="263" t="s">
        <v>1977</v>
      </c>
      <c r="Q169" s="270"/>
      <c r="R169" s="216"/>
      <c r="S169" s="271">
        <v>0</v>
      </c>
    </row>
    <row r="170" spans="1:19" ht="15" x14ac:dyDescent="0.2">
      <c r="A170" s="272" t="s">
        <v>1595</v>
      </c>
      <c r="B170" s="272">
        <v>89711</v>
      </c>
      <c r="C170" s="272" t="s">
        <v>1324</v>
      </c>
      <c r="D170" s="273" t="s">
        <v>1596</v>
      </c>
      <c r="E170" s="274" t="s">
        <v>81</v>
      </c>
      <c r="F170" s="275">
        <v>47.5</v>
      </c>
      <c r="G170" s="275"/>
      <c r="H170" s="275"/>
      <c r="I170" s="275"/>
      <c r="J170" s="268">
        <f t="shared" ref="J170:J180" si="17">ROUND(S170*$S$12,2)</f>
        <v>13.04</v>
      </c>
      <c r="K170" s="268"/>
      <c r="L170" s="268"/>
      <c r="M170" s="268"/>
      <c r="N170" s="269">
        <f t="shared" ref="N170:N180" si="18">ROUND(F170*J170,2)</f>
        <v>619.4</v>
      </c>
      <c r="O170" s="263"/>
      <c r="P170" s="263" t="s">
        <v>1978</v>
      </c>
      <c r="Q170" s="270"/>
      <c r="R170" s="216"/>
      <c r="S170" s="271">
        <v>15.83</v>
      </c>
    </row>
    <row r="171" spans="1:19" ht="15" x14ac:dyDescent="0.2">
      <c r="A171" s="272" t="s">
        <v>1597</v>
      </c>
      <c r="B171" s="272">
        <v>89712</v>
      </c>
      <c r="C171" s="272" t="s">
        <v>1324</v>
      </c>
      <c r="D171" s="273" t="s">
        <v>1598</v>
      </c>
      <c r="E171" s="274" t="s">
        <v>81</v>
      </c>
      <c r="F171" s="275">
        <v>21.5</v>
      </c>
      <c r="G171" s="275"/>
      <c r="H171" s="275"/>
      <c r="I171" s="275"/>
      <c r="J171" s="268">
        <f t="shared" si="17"/>
        <v>18.98</v>
      </c>
      <c r="K171" s="268"/>
      <c r="L171" s="268"/>
      <c r="M171" s="268"/>
      <c r="N171" s="269">
        <f t="shared" si="18"/>
        <v>408.07</v>
      </c>
      <c r="O171" s="263"/>
      <c r="P171" s="263" t="s">
        <v>1979</v>
      </c>
      <c r="Q171" s="270"/>
      <c r="R171" s="216"/>
      <c r="S171" s="271">
        <v>23.04</v>
      </c>
    </row>
    <row r="172" spans="1:19" ht="15" x14ac:dyDescent="0.2">
      <c r="A172" s="272" t="s">
        <v>1599</v>
      </c>
      <c r="B172" s="272">
        <v>89714</v>
      </c>
      <c r="C172" s="272" t="s">
        <v>1324</v>
      </c>
      <c r="D172" s="273" t="s">
        <v>1600</v>
      </c>
      <c r="E172" s="274" t="s">
        <v>81</v>
      </c>
      <c r="F172" s="275">
        <v>36</v>
      </c>
      <c r="G172" s="275"/>
      <c r="H172" s="275"/>
      <c r="I172" s="275"/>
      <c r="J172" s="268">
        <f t="shared" si="17"/>
        <v>36.869999999999997</v>
      </c>
      <c r="K172" s="268"/>
      <c r="L172" s="268"/>
      <c r="M172" s="268"/>
      <c r="N172" s="269">
        <f t="shared" si="18"/>
        <v>1327.32</v>
      </c>
      <c r="O172" s="263"/>
      <c r="P172" s="263" t="s">
        <v>1980</v>
      </c>
      <c r="Q172" s="270"/>
      <c r="R172" s="216"/>
      <c r="S172" s="271">
        <v>44.77</v>
      </c>
    </row>
    <row r="173" spans="1:19" ht="15" x14ac:dyDescent="0.2">
      <c r="A173" s="272" t="s">
        <v>1601</v>
      </c>
      <c r="B173" s="272">
        <v>89726</v>
      </c>
      <c r="C173" s="272" t="s">
        <v>1324</v>
      </c>
      <c r="D173" s="273" t="s">
        <v>1602</v>
      </c>
      <c r="E173" s="274" t="s">
        <v>102</v>
      </c>
      <c r="F173" s="275">
        <v>7</v>
      </c>
      <c r="G173" s="275"/>
      <c r="H173" s="275"/>
      <c r="I173" s="275"/>
      <c r="J173" s="268">
        <f t="shared" si="17"/>
        <v>6.33</v>
      </c>
      <c r="K173" s="268"/>
      <c r="L173" s="268"/>
      <c r="M173" s="268"/>
      <c r="N173" s="269">
        <f t="shared" si="18"/>
        <v>44.31</v>
      </c>
      <c r="O173" s="263"/>
      <c r="P173" s="263" t="s">
        <v>1981</v>
      </c>
      <c r="Q173" s="270"/>
      <c r="R173" s="216"/>
      <c r="S173" s="271">
        <v>7.68</v>
      </c>
    </row>
    <row r="174" spans="1:19" ht="15" x14ac:dyDescent="0.2">
      <c r="A174" s="272" t="s">
        <v>1603</v>
      </c>
      <c r="B174" s="272">
        <v>89744</v>
      </c>
      <c r="C174" s="272" t="s">
        <v>1324</v>
      </c>
      <c r="D174" s="273" t="s">
        <v>1604</v>
      </c>
      <c r="E174" s="274" t="s">
        <v>102</v>
      </c>
      <c r="F174" s="275">
        <v>6</v>
      </c>
      <c r="G174" s="275"/>
      <c r="H174" s="275"/>
      <c r="I174" s="275"/>
      <c r="J174" s="268">
        <f t="shared" si="17"/>
        <v>16.600000000000001</v>
      </c>
      <c r="K174" s="268"/>
      <c r="L174" s="268"/>
      <c r="M174" s="268"/>
      <c r="N174" s="269">
        <f t="shared" si="18"/>
        <v>99.6</v>
      </c>
      <c r="O174" s="263"/>
      <c r="P174" s="263" t="s">
        <v>1982</v>
      </c>
      <c r="Q174" s="270"/>
      <c r="R174" s="216"/>
      <c r="S174" s="271">
        <v>20.16</v>
      </c>
    </row>
    <row r="175" spans="1:19" ht="15" x14ac:dyDescent="0.2">
      <c r="A175" s="272" t="s">
        <v>1605</v>
      </c>
      <c r="B175" s="272">
        <v>89724</v>
      </c>
      <c r="C175" s="272" t="s">
        <v>1324</v>
      </c>
      <c r="D175" s="273" t="s">
        <v>1606</v>
      </c>
      <c r="E175" s="274" t="s">
        <v>102</v>
      </c>
      <c r="F175" s="275">
        <v>10</v>
      </c>
      <c r="G175" s="275"/>
      <c r="H175" s="275"/>
      <c r="I175" s="275"/>
      <c r="J175" s="268">
        <f t="shared" si="17"/>
        <v>5.6</v>
      </c>
      <c r="K175" s="268"/>
      <c r="L175" s="268"/>
      <c r="M175" s="268"/>
      <c r="N175" s="269">
        <f t="shared" si="18"/>
        <v>56</v>
      </c>
      <c r="O175" s="263"/>
      <c r="P175" s="263" t="s">
        <v>1983</v>
      </c>
      <c r="Q175" s="270"/>
      <c r="R175" s="216"/>
      <c r="S175" s="271">
        <v>6.8</v>
      </c>
    </row>
    <row r="176" spans="1:19" ht="15" x14ac:dyDescent="0.2">
      <c r="A176" s="272" t="s">
        <v>1607</v>
      </c>
      <c r="B176" s="272">
        <v>89827</v>
      </c>
      <c r="C176" s="272" t="s">
        <v>1324</v>
      </c>
      <c r="D176" s="273" t="s">
        <v>1608</v>
      </c>
      <c r="E176" s="274" t="s">
        <v>102</v>
      </c>
      <c r="F176" s="275">
        <v>6</v>
      </c>
      <c r="G176" s="275"/>
      <c r="H176" s="275"/>
      <c r="I176" s="275"/>
      <c r="J176" s="268">
        <f t="shared" si="17"/>
        <v>10.23</v>
      </c>
      <c r="K176" s="268"/>
      <c r="L176" s="268"/>
      <c r="M176" s="268"/>
      <c r="N176" s="269">
        <f t="shared" si="18"/>
        <v>61.38</v>
      </c>
      <c r="O176" s="263"/>
      <c r="P176" s="263" t="s">
        <v>1984</v>
      </c>
      <c r="Q176" s="270"/>
      <c r="R176" s="216"/>
      <c r="S176" s="271">
        <v>12.42</v>
      </c>
    </row>
    <row r="177" spans="1:19" ht="15" x14ac:dyDescent="0.2">
      <c r="A177" s="272" t="s">
        <v>1609</v>
      </c>
      <c r="B177" s="272">
        <v>89834</v>
      </c>
      <c r="C177" s="272" t="s">
        <v>1324</v>
      </c>
      <c r="D177" s="273" t="s">
        <v>1610</v>
      </c>
      <c r="E177" s="274" t="s">
        <v>102</v>
      </c>
      <c r="F177" s="275">
        <v>5</v>
      </c>
      <c r="G177" s="275"/>
      <c r="H177" s="275"/>
      <c r="I177" s="275"/>
      <c r="J177" s="268">
        <f t="shared" si="17"/>
        <v>25.46</v>
      </c>
      <c r="K177" s="268"/>
      <c r="L177" s="268"/>
      <c r="M177" s="268"/>
      <c r="N177" s="269">
        <f t="shared" si="18"/>
        <v>127.3</v>
      </c>
      <c r="O177" s="263"/>
      <c r="P177" s="263" t="s">
        <v>1985</v>
      </c>
      <c r="Q177" s="270"/>
      <c r="R177" s="216"/>
      <c r="S177" s="271">
        <v>30.91</v>
      </c>
    </row>
    <row r="178" spans="1:19" ht="15" x14ac:dyDescent="0.2">
      <c r="A178" s="272" t="s">
        <v>1611</v>
      </c>
      <c r="B178" s="272">
        <v>89797</v>
      </c>
      <c r="C178" s="272" t="s">
        <v>1324</v>
      </c>
      <c r="D178" s="273" t="s">
        <v>1612</v>
      </c>
      <c r="E178" s="274" t="s">
        <v>102</v>
      </c>
      <c r="F178" s="275">
        <v>5</v>
      </c>
      <c r="G178" s="275"/>
      <c r="H178" s="275"/>
      <c r="I178" s="275"/>
      <c r="J178" s="268">
        <f t="shared" si="17"/>
        <v>31.16</v>
      </c>
      <c r="K178" s="268"/>
      <c r="L178" s="268"/>
      <c r="M178" s="268"/>
      <c r="N178" s="269">
        <f t="shared" si="18"/>
        <v>155.80000000000001</v>
      </c>
      <c r="O178" s="263"/>
      <c r="P178" s="263" t="s">
        <v>1986</v>
      </c>
      <c r="Q178" s="270"/>
      <c r="R178" s="216"/>
      <c r="S178" s="271">
        <v>37.840000000000003</v>
      </c>
    </row>
    <row r="179" spans="1:19" ht="15" x14ac:dyDescent="0.2">
      <c r="A179" s="272" t="s">
        <v>1613</v>
      </c>
      <c r="B179" s="272">
        <v>89852</v>
      </c>
      <c r="C179" s="272" t="s">
        <v>1324</v>
      </c>
      <c r="D179" s="273" t="s">
        <v>1614</v>
      </c>
      <c r="E179" s="274" t="s">
        <v>102</v>
      </c>
      <c r="F179" s="275">
        <v>1</v>
      </c>
      <c r="G179" s="275"/>
      <c r="H179" s="275"/>
      <c r="I179" s="275"/>
      <c r="J179" s="268">
        <f t="shared" si="17"/>
        <v>27.17</v>
      </c>
      <c r="K179" s="268"/>
      <c r="L179" s="268"/>
      <c r="M179" s="268"/>
      <c r="N179" s="269">
        <f t="shared" si="18"/>
        <v>27.17</v>
      </c>
      <c r="O179" s="263"/>
      <c r="P179" s="263" t="s">
        <v>1987</v>
      </c>
      <c r="Q179" s="270"/>
      <c r="R179" s="216"/>
      <c r="S179" s="271">
        <v>32.99</v>
      </c>
    </row>
    <row r="180" spans="1:19" ht="15" x14ac:dyDescent="0.2">
      <c r="A180" s="272" t="s">
        <v>1615</v>
      </c>
      <c r="B180" s="272">
        <v>89728</v>
      </c>
      <c r="C180" s="272" t="s">
        <v>1324</v>
      </c>
      <c r="D180" s="273" t="s">
        <v>1616</v>
      </c>
      <c r="E180" s="274" t="s">
        <v>102</v>
      </c>
      <c r="F180" s="275">
        <v>16</v>
      </c>
      <c r="G180" s="275"/>
      <c r="H180" s="275"/>
      <c r="I180" s="275"/>
      <c r="J180" s="268">
        <f t="shared" si="17"/>
        <v>7.91</v>
      </c>
      <c r="K180" s="268"/>
      <c r="L180" s="268"/>
      <c r="M180" s="268"/>
      <c r="N180" s="269">
        <f t="shared" si="18"/>
        <v>126.56</v>
      </c>
      <c r="O180" s="263"/>
      <c r="P180" s="263" t="s">
        <v>1988</v>
      </c>
      <c r="Q180" s="270"/>
      <c r="R180" s="216"/>
      <c r="S180" s="271">
        <v>9.6</v>
      </c>
    </row>
    <row r="181" spans="1:19" ht="15" x14ac:dyDescent="0.2">
      <c r="A181" s="276" t="s">
        <v>309</v>
      </c>
      <c r="B181" s="276"/>
      <c r="C181" s="276"/>
      <c r="D181" s="277" t="s">
        <v>1617</v>
      </c>
      <c r="E181" s="278"/>
      <c r="F181" s="279"/>
      <c r="G181" s="279"/>
      <c r="H181" s="279"/>
      <c r="I181" s="279"/>
      <c r="J181" s="279">
        <f>N181</f>
        <v>13798.98</v>
      </c>
      <c r="K181" s="279"/>
      <c r="L181" s="279"/>
      <c r="M181" s="279"/>
      <c r="N181" s="280">
        <f>SUM(N182:N189)</f>
        <v>13798.98</v>
      </c>
      <c r="O181" s="263"/>
      <c r="P181" s="263" t="s">
        <v>1989</v>
      </c>
      <c r="Q181" s="270"/>
      <c r="R181" s="216"/>
      <c r="S181" s="271">
        <v>0</v>
      </c>
    </row>
    <row r="182" spans="1:19" ht="15" x14ac:dyDescent="0.2">
      <c r="A182" s="272" t="s">
        <v>1618</v>
      </c>
      <c r="B182" s="272"/>
      <c r="C182" s="272" t="s">
        <v>1339</v>
      </c>
      <c r="D182" s="273" t="s">
        <v>1619</v>
      </c>
      <c r="E182" s="274" t="s">
        <v>102</v>
      </c>
      <c r="F182" s="275">
        <v>6</v>
      </c>
      <c r="G182" s="275"/>
      <c r="H182" s="275"/>
      <c r="I182" s="275"/>
      <c r="J182" s="268">
        <f t="shared" ref="J182:J189" si="19">ROUND(S182*$S$12,2)</f>
        <v>46.81</v>
      </c>
      <c r="K182" s="268"/>
      <c r="L182" s="268"/>
      <c r="M182" s="268"/>
      <c r="N182" s="269">
        <f t="shared" ref="N182:N189" si="20">ROUND(F182*J182,2)</f>
        <v>280.86</v>
      </c>
      <c r="O182" s="263"/>
      <c r="P182" s="263" t="s">
        <v>1990</v>
      </c>
      <c r="Q182" s="270"/>
      <c r="R182" s="216"/>
      <c r="S182" s="271">
        <v>56.84</v>
      </c>
    </row>
    <row r="183" spans="1:19" ht="15" x14ac:dyDescent="0.2">
      <c r="A183" s="272" t="s">
        <v>1620</v>
      </c>
      <c r="B183" s="272" t="s">
        <v>1621</v>
      </c>
      <c r="C183" s="272" t="s">
        <v>1324</v>
      </c>
      <c r="D183" s="273" t="s">
        <v>1622</v>
      </c>
      <c r="E183" s="274" t="s">
        <v>102</v>
      </c>
      <c r="F183" s="275">
        <v>2</v>
      </c>
      <c r="G183" s="275"/>
      <c r="H183" s="275"/>
      <c r="I183" s="275"/>
      <c r="J183" s="268">
        <f t="shared" si="19"/>
        <v>367.21</v>
      </c>
      <c r="K183" s="268"/>
      <c r="L183" s="268"/>
      <c r="M183" s="268"/>
      <c r="N183" s="269">
        <f t="shared" si="20"/>
        <v>734.42</v>
      </c>
      <c r="O183" s="263"/>
      <c r="P183" s="263" t="s">
        <v>1991</v>
      </c>
      <c r="Q183" s="270"/>
      <c r="R183" s="216"/>
      <c r="S183" s="271">
        <v>445.87</v>
      </c>
    </row>
    <row r="184" spans="1:19" ht="15" x14ac:dyDescent="0.2">
      <c r="A184" s="272" t="s">
        <v>1623</v>
      </c>
      <c r="B184" s="272">
        <v>89710</v>
      </c>
      <c r="C184" s="272" t="s">
        <v>1324</v>
      </c>
      <c r="D184" s="273" t="s">
        <v>1624</v>
      </c>
      <c r="E184" s="274" t="s">
        <v>102</v>
      </c>
      <c r="F184" s="275">
        <v>6</v>
      </c>
      <c r="G184" s="275"/>
      <c r="H184" s="275"/>
      <c r="I184" s="275"/>
      <c r="J184" s="268">
        <f t="shared" si="19"/>
        <v>7.75</v>
      </c>
      <c r="K184" s="268"/>
      <c r="L184" s="268"/>
      <c r="M184" s="268"/>
      <c r="N184" s="269">
        <f t="shared" si="20"/>
        <v>46.5</v>
      </c>
      <c r="O184" s="263"/>
      <c r="P184" s="263" t="s">
        <v>1992</v>
      </c>
      <c r="Q184" s="270"/>
      <c r="R184" s="216"/>
      <c r="S184" s="271">
        <v>9.41</v>
      </c>
    </row>
    <row r="185" spans="1:19" ht="15" x14ac:dyDescent="0.2">
      <c r="A185" s="272" t="s">
        <v>1625</v>
      </c>
      <c r="B185" s="272">
        <v>89798</v>
      </c>
      <c r="C185" s="272" t="s">
        <v>1324</v>
      </c>
      <c r="D185" s="273" t="s">
        <v>1626</v>
      </c>
      <c r="E185" s="274" t="s">
        <v>81</v>
      </c>
      <c r="F185" s="275">
        <v>8</v>
      </c>
      <c r="G185" s="275"/>
      <c r="H185" s="275"/>
      <c r="I185" s="275"/>
      <c r="J185" s="268">
        <f t="shared" si="19"/>
        <v>6.93</v>
      </c>
      <c r="K185" s="268"/>
      <c r="L185" s="268"/>
      <c r="M185" s="268"/>
      <c r="N185" s="269">
        <f t="shared" si="20"/>
        <v>55.44</v>
      </c>
      <c r="O185" s="263"/>
      <c r="P185" s="263" t="s">
        <v>1993</v>
      </c>
      <c r="Q185" s="270"/>
      <c r="R185" s="216"/>
      <c r="S185" s="271">
        <v>8.42</v>
      </c>
    </row>
    <row r="186" spans="1:19" ht="15" x14ac:dyDescent="0.2">
      <c r="A186" s="272" t="s">
        <v>1627</v>
      </c>
      <c r="B186" s="272">
        <v>86882</v>
      </c>
      <c r="C186" s="272" t="s">
        <v>1324</v>
      </c>
      <c r="D186" s="273" t="s">
        <v>1628</v>
      </c>
      <c r="E186" s="274" t="s">
        <v>102</v>
      </c>
      <c r="F186" s="275">
        <v>8</v>
      </c>
      <c r="G186" s="275"/>
      <c r="H186" s="275"/>
      <c r="I186" s="275"/>
      <c r="J186" s="268">
        <f t="shared" si="19"/>
        <v>13.42</v>
      </c>
      <c r="K186" s="268"/>
      <c r="L186" s="268"/>
      <c r="M186" s="268"/>
      <c r="N186" s="269">
        <f t="shared" si="20"/>
        <v>107.36</v>
      </c>
      <c r="O186" s="263"/>
      <c r="P186" s="263" t="s">
        <v>1994</v>
      </c>
      <c r="Q186" s="270"/>
      <c r="R186" s="216"/>
      <c r="S186" s="271">
        <v>16.29</v>
      </c>
    </row>
    <row r="187" spans="1:19" ht="15" x14ac:dyDescent="0.2">
      <c r="A187" s="282" t="s">
        <v>1629</v>
      </c>
      <c r="B187" s="282" t="s">
        <v>1630</v>
      </c>
      <c r="C187" s="282" t="s">
        <v>1324</v>
      </c>
      <c r="D187" s="283" t="s">
        <v>1631</v>
      </c>
      <c r="E187" s="284" t="s">
        <v>102</v>
      </c>
      <c r="F187" s="285">
        <v>8</v>
      </c>
      <c r="G187" s="285"/>
      <c r="H187" s="285"/>
      <c r="I187" s="285"/>
      <c r="J187" s="268">
        <f t="shared" si="19"/>
        <v>57.87</v>
      </c>
      <c r="K187" s="268"/>
      <c r="L187" s="268"/>
      <c r="M187" s="268"/>
      <c r="N187" s="269">
        <f t="shared" si="20"/>
        <v>462.96</v>
      </c>
      <c r="O187" s="263"/>
      <c r="P187" s="263" t="s">
        <v>1995</v>
      </c>
      <c r="Q187" s="270"/>
      <c r="R187" s="216"/>
      <c r="S187" s="271">
        <v>70.27</v>
      </c>
    </row>
    <row r="188" spans="1:19" ht="15" x14ac:dyDescent="0.2">
      <c r="A188" s="282" t="s">
        <v>1632</v>
      </c>
      <c r="B188" s="282" t="s">
        <v>1633</v>
      </c>
      <c r="C188" s="282" t="s">
        <v>1324</v>
      </c>
      <c r="D188" s="283" t="s">
        <v>1634</v>
      </c>
      <c r="E188" s="284" t="s">
        <v>102</v>
      </c>
      <c r="F188" s="285">
        <v>1</v>
      </c>
      <c r="G188" s="285"/>
      <c r="H188" s="285"/>
      <c r="I188" s="285"/>
      <c r="J188" s="268">
        <f t="shared" si="19"/>
        <v>3019.34</v>
      </c>
      <c r="K188" s="268"/>
      <c r="L188" s="268"/>
      <c r="M188" s="268"/>
      <c r="N188" s="269">
        <f t="shared" si="20"/>
        <v>3019.34</v>
      </c>
      <c r="O188" s="263"/>
      <c r="P188" s="263"/>
      <c r="Q188" s="270"/>
      <c r="R188" s="216"/>
      <c r="S188" s="271">
        <v>3666.08</v>
      </c>
    </row>
    <row r="189" spans="1:19" ht="15" x14ac:dyDescent="0.2">
      <c r="A189" s="282" t="s">
        <v>1635</v>
      </c>
      <c r="B189" s="282" t="s">
        <v>1636</v>
      </c>
      <c r="C189" s="282" t="s">
        <v>1324</v>
      </c>
      <c r="D189" s="283" t="s">
        <v>1637</v>
      </c>
      <c r="E189" s="284" t="s">
        <v>102</v>
      </c>
      <c r="F189" s="285">
        <v>1</v>
      </c>
      <c r="G189" s="285"/>
      <c r="H189" s="285"/>
      <c r="I189" s="285"/>
      <c r="J189" s="268">
        <f t="shared" si="19"/>
        <v>9092.1</v>
      </c>
      <c r="K189" s="268"/>
      <c r="L189" s="268"/>
      <c r="M189" s="268"/>
      <c r="N189" s="269">
        <f t="shared" si="20"/>
        <v>9092.1</v>
      </c>
      <c r="O189" s="263"/>
      <c r="P189" s="263"/>
      <c r="Q189" s="270"/>
      <c r="R189" s="216"/>
      <c r="S189" s="271">
        <v>11039.6</v>
      </c>
    </row>
    <row r="190" spans="1:19" ht="14.25" x14ac:dyDescent="0.2">
      <c r="A190" s="286">
        <v>14</v>
      </c>
      <c r="B190" s="286"/>
      <c r="C190" s="286"/>
      <c r="D190" s="287" t="s">
        <v>656</v>
      </c>
      <c r="E190" s="288"/>
      <c r="F190" s="289"/>
      <c r="G190" s="261"/>
      <c r="H190" s="261"/>
      <c r="I190" s="261"/>
      <c r="J190" s="261">
        <f>N190</f>
        <v>11646.28</v>
      </c>
      <c r="K190" s="261"/>
      <c r="L190" s="261"/>
      <c r="M190" s="261"/>
      <c r="N190" s="262">
        <f>SUM(N191:N193)</f>
        <v>11646.28</v>
      </c>
      <c r="O190" s="263"/>
      <c r="P190" s="263"/>
      <c r="Q190" s="270"/>
      <c r="R190" s="216"/>
      <c r="S190" s="271">
        <v>0</v>
      </c>
    </row>
    <row r="191" spans="1:19" ht="15" x14ac:dyDescent="0.2">
      <c r="A191" s="282" t="s">
        <v>355</v>
      </c>
      <c r="B191" s="282">
        <v>83688</v>
      </c>
      <c r="C191" s="282" t="s">
        <v>1324</v>
      </c>
      <c r="D191" s="283" t="s">
        <v>1638</v>
      </c>
      <c r="E191" s="284" t="s">
        <v>81</v>
      </c>
      <c r="F191" s="285">
        <v>76.400000000000006</v>
      </c>
      <c r="G191" s="285"/>
      <c r="H191" s="285"/>
      <c r="I191" s="285"/>
      <c r="J191" s="268">
        <f>ROUND(S191*$S$12,2)</f>
        <v>141.97999999999999</v>
      </c>
      <c r="K191" s="268"/>
      <c r="L191" s="268"/>
      <c r="M191" s="268"/>
      <c r="N191" s="269">
        <f>ROUND(F191*J191,2)</f>
        <v>10847.27</v>
      </c>
      <c r="O191" s="263"/>
      <c r="P191" s="263"/>
      <c r="Q191" s="270"/>
      <c r="R191" s="216"/>
      <c r="S191" s="271">
        <v>172.39</v>
      </c>
    </row>
    <row r="192" spans="1:19" ht="15" x14ac:dyDescent="0.2">
      <c r="A192" s="282" t="s">
        <v>1639</v>
      </c>
      <c r="B192" s="282"/>
      <c r="C192" s="282" t="s">
        <v>1339</v>
      </c>
      <c r="D192" s="283" t="s">
        <v>1640</v>
      </c>
      <c r="E192" s="284" t="s">
        <v>102</v>
      </c>
      <c r="F192" s="285">
        <v>8</v>
      </c>
      <c r="G192" s="285"/>
      <c r="H192" s="285"/>
      <c r="I192" s="285"/>
      <c r="J192" s="268">
        <f>ROUND(S192*$S$12,2)</f>
        <v>76.84</v>
      </c>
      <c r="K192" s="268"/>
      <c r="L192" s="268"/>
      <c r="M192" s="268"/>
      <c r="N192" s="269">
        <f>ROUND(F192*J192,2)</f>
        <v>614.72</v>
      </c>
      <c r="O192" s="263"/>
      <c r="P192" s="263"/>
      <c r="Q192" s="270"/>
      <c r="R192" s="216"/>
      <c r="S192" s="271">
        <v>93.3</v>
      </c>
    </row>
    <row r="193" spans="1:19" ht="15" x14ac:dyDescent="0.2">
      <c r="A193" s="282" t="s">
        <v>1641</v>
      </c>
      <c r="B193" s="282">
        <v>88549</v>
      </c>
      <c r="C193" s="282" t="s">
        <v>1324</v>
      </c>
      <c r="D193" s="283" t="s">
        <v>1642</v>
      </c>
      <c r="E193" s="284" t="s">
        <v>48</v>
      </c>
      <c r="F193" s="285">
        <v>1.87</v>
      </c>
      <c r="G193" s="285"/>
      <c r="H193" s="285"/>
      <c r="I193" s="285"/>
      <c r="J193" s="268">
        <f>ROUND(S193*$S$12,2)</f>
        <v>98.55</v>
      </c>
      <c r="K193" s="268"/>
      <c r="L193" s="268"/>
      <c r="M193" s="268"/>
      <c r="N193" s="269">
        <f>ROUND(F193*J193,2)</f>
        <v>184.29</v>
      </c>
      <c r="O193" s="263"/>
      <c r="P193" s="263"/>
      <c r="Q193" s="270"/>
      <c r="R193" s="216"/>
      <c r="S193" s="271">
        <v>119.66</v>
      </c>
    </row>
    <row r="194" spans="1:19" ht="14.25" x14ac:dyDescent="0.2">
      <c r="A194" s="286">
        <v>15</v>
      </c>
      <c r="B194" s="286"/>
      <c r="C194" s="286"/>
      <c r="D194" s="287" t="s">
        <v>1643</v>
      </c>
      <c r="E194" s="288"/>
      <c r="F194" s="289"/>
      <c r="G194" s="261"/>
      <c r="H194" s="261"/>
      <c r="I194" s="261"/>
      <c r="J194" s="261">
        <f>N194</f>
        <v>7636.1200000000017</v>
      </c>
      <c r="K194" s="261"/>
      <c r="L194" s="261"/>
      <c r="M194" s="261"/>
      <c r="N194" s="262">
        <f>SUM(N195:N207)</f>
        <v>7636.1200000000017</v>
      </c>
      <c r="O194" s="263"/>
      <c r="P194" s="263"/>
      <c r="Q194" s="270"/>
      <c r="R194" s="216"/>
      <c r="S194" s="271">
        <v>0</v>
      </c>
    </row>
    <row r="195" spans="1:19" ht="15" x14ac:dyDescent="0.2">
      <c r="A195" s="282" t="s">
        <v>494</v>
      </c>
      <c r="B195" s="282">
        <v>6021</v>
      </c>
      <c r="C195" s="282" t="s">
        <v>1324</v>
      </c>
      <c r="D195" s="283" t="s">
        <v>1644</v>
      </c>
      <c r="E195" s="284" t="s">
        <v>102</v>
      </c>
      <c r="F195" s="285">
        <v>6</v>
      </c>
      <c r="G195" s="285"/>
      <c r="H195" s="285"/>
      <c r="I195" s="285"/>
      <c r="J195" s="268">
        <f t="shared" ref="J195:J207" si="21">ROUND(S195*$S$12,2)</f>
        <v>330.33</v>
      </c>
      <c r="K195" s="268"/>
      <c r="L195" s="268"/>
      <c r="M195" s="268"/>
      <c r="N195" s="269">
        <f t="shared" ref="N195:N207" si="22">ROUND(F195*J195,2)</f>
        <v>1981.98</v>
      </c>
      <c r="O195" s="263"/>
      <c r="P195" s="263"/>
      <c r="Q195" s="270"/>
      <c r="R195" s="216"/>
      <c r="S195" s="271">
        <v>401.09</v>
      </c>
    </row>
    <row r="196" spans="1:19" ht="25.5" x14ac:dyDescent="0.2">
      <c r="A196" s="282" t="s">
        <v>496</v>
      </c>
      <c r="B196" s="282">
        <v>40729</v>
      </c>
      <c r="C196" s="282" t="s">
        <v>1324</v>
      </c>
      <c r="D196" s="283" t="s">
        <v>1645</v>
      </c>
      <c r="E196" s="284" t="s">
        <v>102</v>
      </c>
      <c r="F196" s="285">
        <v>6</v>
      </c>
      <c r="G196" s="285"/>
      <c r="H196" s="285"/>
      <c r="I196" s="285"/>
      <c r="J196" s="268">
        <f t="shared" si="21"/>
        <v>204.63</v>
      </c>
      <c r="K196" s="268"/>
      <c r="L196" s="268"/>
      <c r="M196" s="268"/>
      <c r="N196" s="269">
        <f t="shared" si="22"/>
        <v>1227.78</v>
      </c>
      <c r="O196" s="263"/>
      <c r="P196" s="263"/>
      <c r="Q196" s="270"/>
      <c r="R196" s="216"/>
      <c r="S196" s="271">
        <v>248.46</v>
      </c>
    </row>
    <row r="197" spans="1:19" ht="15" x14ac:dyDescent="0.2">
      <c r="A197" s="282" t="s">
        <v>498</v>
      </c>
      <c r="B197" s="282">
        <v>86901</v>
      </c>
      <c r="C197" s="282" t="s">
        <v>1324</v>
      </c>
      <c r="D197" s="283" t="s">
        <v>1646</v>
      </c>
      <c r="E197" s="284" t="s">
        <v>102</v>
      </c>
      <c r="F197" s="285">
        <v>6</v>
      </c>
      <c r="G197" s="285"/>
      <c r="H197" s="285"/>
      <c r="I197" s="285"/>
      <c r="J197" s="268">
        <f t="shared" si="21"/>
        <v>102.4</v>
      </c>
      <c r="K197" s="268"/>
      <c r="L197" s="268"/>
      <c r="M197" s="268"/>
      <c r="N197" s="269">
        <f t="shared" si="22"/>
        <v>614.4</v>
      </c>
      <c r="O197" s="263"/>
      <c r="P197" s="263"/>
      <c r="Q197" s="270"/>
      <c r="R197" s="216"/>
      <c r="S197" s="271">
        <v>124.33</v>
      </c>
    </row>
    <row r="198" spans="1:19" ht="25.5" x14ac:dyDescent="0.2">
      <c r="A198" s="282" t="s">
        <v>500</v>
      </c>
      <c r="B198" s="282">
        <v>86942</v>
      </c>
      <c r="C198" s="282" t="s">
        <v>1324</v>
      </c>
      <c r="D198" s="283" t="s">
        <v>1647</v>
      </c>
      <c r="E198" s="284" t="s">
        <v>102</v>
      </c>
      <c r="F198" s="285">
        <v>2</v>
      </c>
      <c r="G198" s="285"/>
      <c r="H198" s="285"/>
      <c r="I198" s="285"/>
      <c r="J198" s="268">
        <f t="shared" si="21"/>
        <v>160.06</v>
      </c>
      <c r="K198" s="268"/>
      <c r="L198" s="268"/>
      <c r="M198" s="268"/>
      <c r="N198" s="269">
        <f t="shared" si="22"/>
        <v>320.12</v>
      </c>
      <c r="O198" s="263"/>
      <c r="P198" s="263"/>
      <c r="Q198" s="270"/>
      <c r="R198" s="216"/>
      <c r="S198" s="271">
        <v>194.35</v>
      </c>
    </row>
    <row r="199" spans="1:19" ht="25.5" x14ac:dyDescent="0.2">
      <c r="A199" s="282" t="s">
        <v>502</v>
      </c>
      <c r="B199" s="282"/>
      <c r="C199" s="282" t="s">
        <v>1339</v>
      </c>
      <c r="D199" s="283" t="s">
        <v>1648</v>
      </c>
      <c r="E199" s="284" t="s">
        <v>102</v>
      </c>
      <c r="F199" s="285">
        <v>2</v>
      </c>
      <c r="G199" s="285"/>
      <c r="H199" s="285"/>
      <c r="I199" s="285"/>
      <c r="J199" s="268">
        <f t="shared" si="21"/>
        <v>223.26</v>
      </c>
      <c r="K199" s="268"/>
      <c r="L199" s="268"/>
      <c r="M199" s="268"/>
      <c r="N199" s="269">
        <f t="shared" si="22"/>
        <v>446.52</v>
      </c>
      <c r="O199" s="263"/>
      <c r="P199" s="263"/>
      <c r="Q199" s="270"/>
      <c r="R199" s="216"/>
      <c r="S199" s="271">
        <v>271.08</v>
      </c>
    </row>
    <row r="200" spans="1:19" ht="25.5" x14ac:dyDescent="0.2">
      <c r="A200" s="282" t="s">
        <v>504</v>
      </c>
      <c r="B200" s="282">
        <v>86906</v>
      </c>
      <c r="C200" s="282" t="s">
        <v>1324</v>
      </c>
      <c r="D200" s="283" t="s">
        <v>1649</v>
      </c>
      <c r="E200" s="284" t="s">
        <v>102</v>
      </c>
      <c r="F200" s="285">
        <v>8</v>
      </c>
      <c r="G200" s="285"/>
      <c r="H200" s="285"/>
      <c r="I200" s="285"/>
      <c r="J200" s="268">
        <f t="shared" si="21"/>
        <v>39.97</v>
      </c>
      <c r="K200" s="268"/>
      <c r="L200" s="268"/>
      <c r="M200" s="268"/>
      <c r="N200" s="269">
        <f t="shared" si="22"/>
        <v>319.76</v>
      </c>
      <c r="O200" s="263"/>
      <c r="P200" s="263"/>
      <c r="Q200" s="270"/>
      <c r="R200" s="216"/>
      <c r="S200" s="271">
        <v>48.53</v>
      </c>
    </row>
    <row r="201" spans="1:19" ht="15" x14ac:dyDescent="0.2">
      <c r="A201" s="282" t="s">
        <v>506</v>
      </c>
      <c r="B201" s="282">
        <v>86914</v>
      </c>
      <c r="C201" s="282" t="s">
        <v>1324</v>
      </c>
      <c r="D201" s="283" t="s">
        <v>1650</v>
      </c>
      <c r="E201" s="284" t="s">
        <v>102</v>
      </c>
      <c r="F201" s="285">
        <v>2</v>
      </c>
      <c r="G201" s="285"/>
      <c r="H201" s="285"/>
      <c r="I201" s="285"/>
      <c r="J201" s="268">
        <f t="shared" si="21"/>
        <v>31.02</v>
      </c>
      <c r="K201" s="268"/>
      <c r="L201" s="268"/>
      <c r="M201" s="268"/>
      <c r="N201" s="269">
        <f t="shared" si="22"/>
        <v>62.04</v>
      </c>
      <c r="O201" s="263"/>
      <c r="P201" s="263"/>
      <c r="Q201" s="270"/>
      <c r="R201" s="216"/>
      <c r="S201" s="271">
        <v>37.67</v>
      </c>
    </row>
    <row r="202" spans="1:19" ht="25.5" x14ac:dyDescent="0.2">
      <c r="A202" s="282" t="s">
        <v>508</v>
      </c>
      <c r="B202" s="282">
        <v>9535</v>
      </c>
      <c r="C202" s="282" t="s">
        <v>1324</v>
      </c>
      <c r="D202" s="283" t="s">
        <v>1651</v>
      </c>
      <c r="E202" s="284" t="s">
        <v>102</v>
      </c>
      <c r="F202" s="285">
        <v>6</v>
      </c>
      <c r="G202" s="285"/>
      <c r="H202" s="285"/>
      <c r="I202" s="285"/>
      <c r="J202" s="268">
        <f t="shared" si="21"/>
        <v>30.06</v>
      </c>
      <c r="K202" s="268"/>
      <c r="L202" s="268"/>
      <c r="M202" s="268"/>
      <c r="N202" s="269">
        <f t="shared" si="22"/>
        <v>180.36</v>
      </c>
      <c r="O202" s="263"/>
      <c r="P202" s="263"/>
      <c r="Q202" s="270"/>
      <c r="R202" s="216"/>
      <c r="S202" s="271">
        <v>36.5</v>
      </c>
    </row>
    <row r="203" spans="1:19" ht="25.5" x14ac:dyDescent="0.2">
      <c r="A203" s="282" t="s">
        <v>511</v>
      </c>
      <c r="B203" s="282"/>
      <c r="C203" s="282" t="s">
        <v>1339</v>
      </c>
      <c r="D203" s="283" t="s">
        <v>1652</v>
      </c>
      <c r="E203" s="284" t="s">
        <v>102</v>
      </c>
      <c r="F203" s="285">
        <v>6</v>
      </c>
      <c r="G203" s="285"/>
      <c r="H203" s="285"/>
      <c r="I203" s="285"/>
      <c r="J203" s="268">
        <f t="shared" si="21"/>
        <v>141.72</v>
      </c>
      <c r="K203" s="268"/>
      <c r="L203" s="268"/>
      <c r="M203" s="268"/>
      <c r="N203" s="269">
        <f t="shared" si="22"/>
        <v>850.32</v>
      </c>
      <c r="O203" s="263"/>
      <c r="P203" s="263"/>
      <c r="Q203" s="270"/>
      <c r="R203" s="216"/>
      <c r="S203" s="271">
        <v>172.08</v>
      </c>
    </row>
    <row r="204" spans="1:19" ht="15" x14ac:dyDescent="0.2">
      <c r="A204" s="282" t="s">
        <v>513</v>
      </c>
      <c r="B204" s="282"/>
      <c r="C204" s="282" t="s">
        <v>1339</v>
      </c>
      <c r="D204" s="283" t="s">
        <v>1653</v>
      </c>
      <c r="E204" s="284" t="s">
        <v>102</v>
      </c>
      <c r="F204" s="285">
        <v>4</v>
      </c>
      <c r="G204" s="285"/>
      <c r="H204" s="285"/>
      <c r="I204" s="285"/>
      <c r="J204" s="268">
        <f t="shared" si="21"/>
        <v>39.700000000000003</v>
      </c>
      <c r="K204" s="268"/>
      <c r="L204" s="268"/>
      <c r="M204" s="268"/>
      <c r="N204" s="269">
        <f t="shared" si="22"/>
        <v>158.80000000000001</v>
      </c>
      <c r="O204" s="263"/>
      <c r="P204" s="263"/>
      <c r="Q204" s="270"/>
      <c r="R204" s="216"/>
      <c r="S204" s="271">
        <v>48.2</v>
      </c>
    </row>
    <row r="205" spans="1:19" ht="15" x14ac:dyDescent="0.2">
      <c r="A205" s="282" t="s">
        <v>515</v>
      </c>
      <c r="B205" s="282"/>
      <c r="C205" s="282" t="s">
        <v>1339</v>
      </c>
      <c r="D205" s="283" t="s">
        <v>1654</v>
      </c>
      <c r="E205" s="284" t="s">
        <v>102</v>
      </c>
      <c r="F205" s="285">
        <v>4</v>
      </c>
      <c r="G205" s="285"/>
      <c r="H205" s="285"/>
      <c r="I205" s="285"/>
      <c r="J205" s="268">
        <f t="shared" si="21"/>
        <v>30.45</v>
      </c>
      <c r="K205" s="268"/>
      <c r="L205" s="268"/>
      <c r="M205" s="268"/>
      <c r="N205" s="269">
        <f t="shared" si="22"/>
        <v>121.8</v>
      </c>
      <c r="O205" s="263"/>
      <c r="P205" s="263"/>
      <c r="Q205" s="270"/>
      <c r="R205" s="216"/>
      <c r="S205" s="271">
        <v>36.97</v>
      </c>
    </row>
    <row r="206" spans="1:19" ht="25.5" x14ac:dyDescent="0.2">
      <c r="A206" s="282" t="s">
        <v>517</v>
      </c>
      <c r="B206" s="282"/>
      <c r="C206" s="282" t="s">
        <v>1339</v>
      </c>
      <c r="D206" s="283" t="s">
        <v>1655</v>
      </c>
      <c r="E206" s="284" t="s">
        <v>102</v>
      </c>
      <c r="F206" s="285">
        <v>6</v>
      </c>
      <c r="G206" s="285"/>
      <c r="H206" s="285"/>
      <c r="I206" s="285"/>
      <c r="J206" s="268">
        <f t="shared" si="21"/>
        <v>32.1</v>
      </c>
      <c r="K206" s="268"/>
      <c r="L206" s="268"/>
      <c r="M206" s="268"/>
      <c r="N206" s="269">
        <f t="shared" si="22"/>
        <v>192.6</v>
      </c>
      <c r="O206" s="263"/>
      <c r="P206" s="263"/>
      <c r="Q206" s="270"/>
      <c r="R206" s="216"/>
      <c r="S206" s="271">
        <v>38.979999999999997</v>
      </c>
    </row>
    <row r="207" spans="1:19" ht="15" x14ac:dyDescent="0.2">
      <c r="A207" s="282" t="s">
        <v>519</v>
      </c>
      <c r="B207" s="282"/>
      <c r="C207" s="282" t="s">
        <v>1339</v>
      </c>
      <c r="D207" s="283" t="s">
        <v>1656</v>
      </c>
      <c r="E207" s="284" t="s">
        <v>102</v>
      </c>
      <c r="F207" s="285">
        <v>2</v>
      </c>
      <c r="G207" s="285"/>
      <c r="H207" s="285"/>
      <c r="I207" s="285"/>
      <c r="J207" s="268">
        <f t="shared" si="21"/>
        <v>579.82000000000005</v>
      </c>
      <c r="K207" s="268"/>
      <c r="L207" s="268"/>
      <c r="M207" s="268"/>
      <c r="N207" s="269">
        <f t="shared" si="22"/>
        <v>1159.6400000000001</v>
      </c>
      <c r="O207" s="263"/>
      <c r="P207" s="263"/>
      <c r="Q207" s="270"/>
      <c r="R207" s="216"/>
      <c r="S207" s="271">
        <v>704.01</v>
      </c>
    </row>
    <row r="208" spans="1:19" ht="14.25" x14ac:dyDescent="0.2">
      <c r="A208" s="286">
        <v>16</v>
      </c>
      <c r="B208" s="286"/>
      <c r="C208" s="286"/>
      <c r="D208" s="287" t="s">
        <v>1657</v>
      </c>
      <c r="E208" s="288"/>
      <c r="F208" s="289"/>
      <c r="G208" s="261"/>
      <c r="H208" s="261"/>
      <c r="I208" s="261"/>
      <c r="J208" s="261">
        <f>N208</f>
        <v>792.22</v>
      </c>
      <c r="K208" s="261"/>
      <c r="L208" s="261"/>
      <c r="M208" s="261"/>
      <c r="N208" s="262">
        <f>SUM(N209:N213)</f>
        <v>792.22</v>
      </c>
      <c r="O208" s="263"/>
      <c r="P208" s="263"/>
      <c r="Q208" s="270"/>
      <c r="R208" s="216"/>
      <c r="S208" s="271">
        <v>0</v>
      </c>
    </row>
    <row r="209" spans="1:19" ht="15" x14ac:dyDescent="0.2">
      <c r="A209" s="282" t="s">
        <v>616</v>
      </c>
      <c r="B209" s="282"/>
      <c r="C209" s="282" t="s">
        <v>1339</v>
      </c>
      <c r="D209" s="283" t="s">
        <v>1658</v>
      </c>
      <c r="E209" s="284" t="s">
        <v>102</v>
      </c>
      <c r="F209" s="285">
        <v>2</v>
      </c>
      <c r="G209" s="285"/>
      <c r="H209" s="285"/>
      <c r="I209" s="285"/>
      <c r="J209" s="268">
        <f>ROUND(S209*$S$12,2)</f>
        <v>109.5</v>
      </c>
      <c r="K209" s="268"/>
      <c r="L209" s="268"/>
      <c r="M209" s="268"/>
      <c r="N209" s="269">
        <f>ROUND(F209*J209,2)</f>
        <v>219</v>
      </c>
      <c r="O209" s="263"/>
      <c r="P209" s="263"/>
      <c r="Q209" s="270"/>
      <c r="R209" s="216"/>
      <c r="S209" s="271">
        <v>132.96</v>
      </c>
    </row>
    <row r="210" spans="1:19" ht="15" x14ac:dyDescent="0.2">
      <c r="A210" s="282" t="s">
        <v>618</v>
      </c>
      <c r="B210" s="282"/>
      <c r="C210" s="282" t="s">
        <v>1339</v>
      </c>
      <c r="D210" s="283" t="s">
        <v>1659</v>
      </c>
      <c r="E210" s="284" t="s">
        <v>102</v>
      </c>
      <c r="F210" s="285">
        <v>2</v>
      </c>
      <c r="G210" s="285"/>
      <c r="H210" s="285"/>
      <c r="I210" s="285"/>
      <c r="J210" s="268">
        <f>ROUND(S210*$S$12,2)</f>
        <v>227.16</v>
      </c>
      <c r="K210" s="268"/>
      <c r="L210" s="268"/>
      <c r="M210" s="268"/>
      <c r="N210" s="269">
        <f>ROUND(F210*J210,2)</f>
        <v>454.32</v>
      </c>
      <c r="O210" s="263"/>
      <c r="P210" s="263"/>
      <c r="Q210" s="270"/>
      <c r="R210" s="216"/>
      <c r="S210" s="271">
        <v>275.82</v>
      </c>
    </row>
    <row r="211" spans="1:19" ht="15" x14ac:dyDescent="0.2">
      <c r="A211" s="282" t="s">
        <v>620</v>
      </c>
      <c r="B211" s="282"/>
      <c r="C211" s="282" t="s">
        <v>1339</v>
      </c>
      <c r="D211" s="283" t="s">
        <v>1660</v>
      </c>
      <c r="E211" s="284" t="s">
        <v>102</v>
      </c>
      <c r="F211" s="285">
        <v>2</v>
      </c>
      <c r="G211" s="285"/>
      <c r="H211" s="285"/>
      <c r="I211" s="285"/>
      <c r="J211" s="268">
        <f>ROUND(S211*$S$12,2)</f>
        <v>27.98</v>
      </c>
      <c r="K211" s="268"/>
      <c r="L211" s="268"/>
      <c r="M211" s="268"/>
      <c r="N211" s="269">
        <f>ROUND(F211*J211,2)</f>
        <v>55.96</v>
      </c>
      <c r="O211" s="263"/>
      <c r="P211" s="263"/>
      <c r="Q211" s="270"/>
      <c r="R211" s="216"/>
      <c r="S211" s="271">
        <v>33.97</v>
      </c>
    </row>
    <row r="212" spans="1:19" ht="15" x14ac:dyDescent="0.2">
      <c r="A212" s="282" t="s">
        <v>1661</v>
      </c>
      <c r="B212" s="282"/>
      <c r="C212" s="282" t="s">
        <v>1339</v>
      </c>
      <c r="D212" s="283" t="s">
        <v>1662</v>
      </c>
      <c r="E212" s="284" t="s">
        <v>102</v>
      </c>
      <c r="F212" s="285">
        <v>2</v>
      </c>
      <c r="G212" s="285"/>
      <c r="H212" s="285"/>
      <c r="I212" s="285"/>
      <c r="J212" s="268">
        <f>ROUND(S212*$S$12,2)</f>
        <v>16.36</v>
      </c>
      <c r="K212" s="268"/>
      <c r="L212" s="268"/>
      <c r="M212" s="268"/>
      <c r="N212" s="269">
        <f>ROUND(F212*J212,2)</f>
        <v>32.72</v>
      </c>
      <c r="O212" s="263"/>
      <c r="P212" s="263"/>
      <c r="Q212" s="270"/>
      <c r="R212" s="216"/>
      <c r="S212" s="271">
        <v>19.87</v>
      </c>
    </row>
    <row r="213" spans="1:19" ht="15" x14ac:dyDescent="0.2">
      <c r="A213" s="282" t="s">
        <v>1663</v>
      </c>
      <c r="B213" s="282"/>
      <c r="C213" s="282" t="s">
        <v>1339</v>
      </c>
      <c r="D213" s="283" t="s">
        <v>1664</v>
      </c>
      <c r="E213" s="284" t="s">
        <v>102</v>
      </c>
      <c r="F213" s="285">
        <v>2</v>
      </c>
      <c r="G213" s="285"/>
      <c r="H213" s="285"/>
      <c r="I213" s="285"/>
      <c r="J213" s="268">
        <f>ROUND(S213*$S$12,2)</f>
        <v>15.11</v>
      </c>
      <c r="K213" s="268"/>
      <c r="L213" s="268"/>
      <c r="M213" s="268"/>
      <c r="N213" s="269">
        <f>ROUND(F213*J213,2)</f>
        <v>30.22</v>
      </c>
      <c r="O213" s="263"/>
      <c r="P213" s="263"/>
      <c r="Q213" s="270"/>
      <c r="R213" s="216"/>
      <c r="S213" s="271">
        <v>18.350000000000001</v>
      </c>
    </row>
    <row r="214" spans="1:19" ht="14.25" x14ac:dyDescent="0.2">
      <c r="A214" s="286">
        <v>17</v>
      </c>
      <c r="B214" s="286"/>
      <c r="C214" s="286"/>
      <c r="D214" s="287" t="s">
        <v>1665</v>
      </c>
      <c r="E214" s="288"/>
      <c r="F214" s="289"/>
      <c r="G214" s="261"/>
      <c r="H214" s="261"/>
      <c r="I214" s="261"/>
      <c r="J214" s="261">
        <f>N214</f>
        <v>20098.660000000003</v>
      </c>
      <c r="K214" s="261"/>
      <c r="L214" s="261"/>
      <c r="M214" s="261"/>
      <c r="N214" s="262">
        <f>N215+N225+N247+N252</f>
        <v>20098.660000000003</v>
      </c>
      <c r="O214" s="263"/>
      <c r="P214" s="263"/>
      <c r="Q214" s="270"/>
      <c r="R214" s="216"/>
      <c r="S214" s="271">
        <v>0</v>
      </c>
    </row>
    <row r="215" spans="1:19" ht="15" x14ac:dyDescent="0.2">
      <c r="A215" s="290" t="s">
        <v>625</v>
      </c>
      <c r="B215" s="290"/>
      <c r="C215" s="290"/>
      <c r="D215" s="291" t="s">
        <v>1666</v>
      </c>
      <c r="E215" s="292"/>
      <c r="F215" s="293"/>
      <c r="G215" s="279"/>
      <c r="H215" s="279"/>
      <c r="I215" s="279"/>
      <c r="J215" s="279">
        <f>N215</f>
        <v>1711.6100000000001</v>
      </c>
      <c r="K215" s="279"/>
      <c r="L215" s="279"/>
      <c r="M215" s="279"/>
      <c r="N215" s="280">
        <f>SUM(N216:N224)</f>
        <v>1711.6100000000001</v>
      </c>
      <c r="O215" s="263"/>
      <c r="P215" s="263"/>
      <c r="Q215" s="270"/>
      <c r="R215" s="216"/>
      <c r="S215" s="271">
        <v>0</v>
      </c>
    </row>
    <row r="216" spans="1:19" ht="15" x14ac:dyDescent="0.2">
      <c r="A216" s="282" t="s">
        <v>1667</v>
      </c>
      <c r="B216" s="282">
        <v>83463</v>
      </c>
      <c r="C216" s="282" t="s">
        <v>1324</v>
      </c>
      <c r="D216" s="283" t="s">
        <v>1668</v>
      </c>
      <c r="E216" s="284" t="s">
        <v>102</v>
      </c>
      <c r="F216" s="285">
        <v>1</v>
      </c>
      <c r="G216" s="285"/>
      <c r="H216" s="285"/>
      <c r="I216" s="285"/>
      <c r="J216" s="268">
        <f t="shared" ref="J216:J224" si="23">ROUND(S216*$S$12,2)</f>
        <v>211.62</v>
      </c>
      <c r="K216" s="268"/>
      <c r="L216" s="268"/>
      <c r="M216" s="268"/>
      <c r="N216" s="269">
        <f t="shared" ref="N216:N224" si="24">ROUND(F216*J216,2)</f>
        <v>211.62</v>
      </c>
      <c r="O216" s="263"/>
      <c r="P216" s="263"/>
      <c r="Q216" s="270"/>
      <c r="R216" s="216"/>
      <c r="S216" s="271">
        <v>256.95</v>
      </c>
    </row>
    <row r="217" spans="1:19" ht="15" x14ac:dyDescent="0.2">
      <c r="A217" s="282" t="s">
        <v>1669</v>
      </c>
      <c r="B217" s="282" t="s">
        <v>1670</v>
      </c>
      <c r="C217" s="282" t="s">
        <v>1324</v>
      </c>
      <c r="D217" s="283" t="s">
        <v>1671</v>
      </c>
      <c r="E217" s="284" t="s">
        <v>102</v>
      </c>
      <c r="F217" s="285">
        <v>1</v>
      </c>
      <c r="G217" s="285"/>
      <c r="H217" s="285"/>
      <c r="I217" s="285"/>
      <c r="J217" s="268">
        <f t="shared" si="23"/>
        <v>332.47</v>
      </c>
      <c r="K217" s="268"/>
      <c r="L217" s="268"/>
      <c r="M217" s="268"/>
      <c r="N217" s="269">
        <f t="shared" si="24"/>
        <v>332.47</v>
      </c>
      <c r="O217" s="263"/>
      <c r="P217" s="263"/>
      <c r="Q217" s="270"/>
      <c r="R217" s="216"/>
      <c r="S217" s="271">
        <v>403.69</v>
      </c>
    </row>
    <row r="218" spans="1:19" ht="15" x14ac:dyDescent="0.2">
      <c r="A218" s="282" t="s">
        <v>1672</v>
      </c>
      <c r="B218" s="282" t="s">
        <v>1673</v>
      </c>
      <c r="C218" s="282" t="s">
        <v>1343</v>
      </c>
      <c r="D218" s="283" t="s">
        <v>1674</v>
      </c>
      <c r="E218" s="284" t="s">
        <v>102</v>
      </c>
      <c r="F218" s="285">
        <v>1</v>
      </c>
      <c r="G218" s="285"/>
      <c r="H218" s="285"/>
      <c r="I218" s="285"/>
      <c r="J218" s="268">
        <f t="shared" si="23"/>
        <v>65.62</v>
      </c>
      <c r="K218" s="268"/>
      <c r="L218" s="268"/>
      <c r="M218" s="268"/>
      <c r="N218" s="269">
        <f t="shared" si="24"/>
        <v>65.62</v>
      </c>
      <c r="O218" s="263"/>
      <c r="P218" s="263"/>
      <c r="Q218" s="270"/>
      <c r="R218" s="216"/>
      <c r="S218" s="271">
        <v>79.67</v>
      </c>
    </row>
    <row r="219" spans="1:19" ht="15" x14ac:dyDescent="0.2">
      <c r="A219" s="282" t="s">
        <v>1675</v>
      </c>
      <c r="B219" s="282" t="s">
        <v>1676</v>
      </c>
      <c r="C219" s="282" t="s">
        <v>1324</v>
      </c>
      <c r="D219" s="283" t="s">
        <v>1677</v>
      </c>
      <c r="E219" s="284" t="s">
        <v>102</v>
      </c>
      <c r="F219" s="285">
        <v>7</v>
      </c>
      <c r="G219" s="285"/>
      <c r="H219" s="285"/>
      <c r="I219" s="285"/>
      <c r="J219" s="268">
        <f t="shared" si="23"/>
        <v>11.27</v>
      </c>
      <c r="K219" s="268"/>
      <c r="L219" s="268"/>
      <c r="M219" s="268"/>
      <c r="N219" s="269">
        <f t="shared" si="24"/>
        <v>78.89</v>
      </c>
      <c r="O219" s="263"/>
      <c r="P219" s="263"/>
      <c r="Q219" s="270"/>
      <c r="R219" s="216"/>
      <c r="S219" s="271">
        <v>13.68</v>
      </c>
    </row>
    <row r="220" spans="1:19" ht="15" x14ac:dyDescent="0.2">
      <c r="A220" s="282" t="s">
        <v>1678</v>
      </c>
      <c r="B220" s="282" t="s">
        <v>1676</v>
      </c>
      <c r="C220" s="282" t="s">
        <v>1324</v>
      </c>
      <c r="D220" s="283" t="s">
        <v>1679</v>
      </c>
      <c r="E220" s="284" t="s">
        <v>102</v>
      </c>
      <c r="F220" s="285">
        <v>5</v>
      </c>
      <c r="G220" s="285"/>
      <c r="H220" s="285"/>
      <c r="I220" s="285"/>
      <c r="J220" s="268">
        <f t="shared" si="23"/>
        <v>11.27</v>
      </c>
      <c r="K220" s="268"/>
      <c r="L220" s="268"/>
      <c r="M220" s="268"/>
      <c r="N220" s="269">
        <f t="shared" si="24"/>
        <v>56.35</v>
      </c>
      <c r="O220" s="263"/>
      <c r="P220" s="263"/>
      <c r="Q220" s="270"/>
      <c r="R220" s="216"/>
      <c r="S220" s="271">
        <v>13.68</v>
      </c>
    </row>
    <row r="221" spans="1:19" ht="15" x14ac:dyDescent="0.2">
      <c r="A221" s="282" t="s">
        <v>1680</v>
      </c>
      <c r="B221" s="282" t="s">
        <v>1676</v>
      </c>
      <c r="C221" s="282" t="s">
        <v>1324</v>
      </c>
      <c r="D221" s="283" t="s">
        <v>1681</v>
      </c>
      <c r="E221" s="284" t="s">
        <v>102</v>
      </c>
      <c r="F221" s="285">
        <v>8</v>
      </c>
      <c r="G221" s="285"/>
      <c r="H221" s="285"/>
      <c r="I221" s="285"/>
      <c r="J221" s="268">
        <f t="shared" si="23"/>
        <v>11.27</v>
      </c>
      <c r="K221" s="268"/>
      <c r="L221" s="268"/>
      <c r="M221" s="268"/>
      <c r="N221" s="269">
        <f t="shared" si="24"/>
        <v>90.16</v>
      </c>
      <c r="O221" s="263"/>
      <c r="P221" s="263"/>
      <c r="Q221" s="270"/>
      <c r="R221" s="216"/>
      <c r="S221" s="271">
        <v>13.68</v>
      </c>
    </row>
    <row r="222" spans="1:19" ht="15" x14ac:dyDescent="0.2">
      <c r="A222" s="282" t="s">
        <v>1682</v>
      </c>
      <c r="B222" s="282" t="s">
        <v>1683</v>
      </c>
      <c r="C222" s="282" t="s">
        <v>1324</v>
      </c>
      <c r="D222" s="283" t="s">
        <v>1684</v>
      </c>
      <c r="E222" s="284" t="s">
        <v>102</v>
      </c>
      <c r="F222" s="285">
        <v>2</v>
      </c>
      <c r="G222" s="285"/>
      <c r="H222" s="285"/>
      <c r="I222" s="285"/>
      <c r="J222" s="268">
        <f t="shared" si="23"/>
        <v>97.76</v>
      </c>
      <c r="K222" s="268"/>
      <c r="L222" s="268"/>
      <c r="M222" s="268"/>
      <c r="N222" s="269">
        <f t="shared" si="24"/>
        <v>195.52</v>
      </c>
      <c r="O222" s="263"/>
      <c r="P222" s="263"/>
      <c r="Q222" s="270"/>
      <c r="R222" s="216"/>
      <c r="S222" s="271">
        <v>118.7</v>
      </c>
    </row>
    <row r="223" spans="1:19" ht="15" x14ac:dyDescent="0.2">
      <c r="A223" s="282" t="s">
        <v>1685</v>
      </c>
      <c r="B223" s="282" t="s">
        <v>1686</v>
      </c>
      <c r="C223" s="282" t="s">
        <v>1324</v>
      </c>
      <c r="D223" s="283" t="s">
        <v>1687</v>
      </c>
      <c r="E223" s="284" t="s">
        <v>102</v>
      </c>
      <c r="F223" s="285">
        <v>1</v>
      </c>
      <c r="G223" s="285"/>
      <c r="H223" s="285"/>
      <c r="I223" s="285"/>
      <c r="J223" s="268">
        <f t="shared" si="23"/>
        <v>276.94</v>
      </c>
      <c r="K223" s="268"/>
      <c r="L223" s="268"/>
      <c r="M223" s="268"/>
      <c r="N223" s="269">
        <f t="shared" si="24"/>
        <v>276.94</v>
      </c>
      <c r="O223" s="263"/>
      <c r="P223" s="263"/>
      <c r="Q223" s="270"/>
      <c r="R223" s="216"/>
      <c r="S223" s="271">
        <v>336.26</v>
      </c>
    </row>
    <row r="224" spans="1:19" ht="25.5" x14ac:dyDescent="0.2">
      <c r="A224" s="282" t="s">
        <v>1688</v>
      </c>
      <c r="B224" s="282"/>
      <c r="C224" s="282" t="s">
        <v>1339</v>
      </c>
      <c r="D224" s="283" t="s">
        <v>1689</v>
      </c>
      <c r="E224" s="284" t="s">
        <v>102</v>
      </c>
      <c r="F224" s="285">
        <v>4</v>
      </c>
      <c r="G224" s="285"/>
      <c r="H224" s="285"/>
      <c r="I224" s="285"/>
      <c r="J224" s="268">
        <f t="shared" si="23"/>
        <v>101.01</v>
      </c>
      <c r="K224" s="268"/>
      <c r="L224" s="268"/>
      <c r="M224" s="268"/>
      <c r="N224" s="269">
        <f t="shared" si="24"/>
        <v>404.04</v>
      </c>
      <c r="O224" s="263"/>
      <c r="P224" s="263"/>
      <c r="Q224" s="270"/>
      <c r="R224" s="216"/>
      <c r="S224" s="271">
        <v>122.65</v>
      </c>
    </row>
    <row r="225" spans="1:19" ht="15" x14ac:dyDescent="0.2">
      <c r="A225" s="290" t="s">
        <v>631</v>
      </c>
      <c r="B225" s="290"/>
      <c r="C225" s="290"/>
      <c r="D225" s="291" t="s">
        <v>1690</v>
      </c>
      <c r="E225" s="292"/>
      <c r="F225" s="293"/>
      <c r="G225" s="279"/>
      <c r="H225" s="279"/>
      <c r="I225" s="279"/>
      <c r="J225" s="279">
        <f>N225</f>
        <v>3741.5200000000004</v>
      </c>
      <c r="K225" s="279"/>
      <c r="L225" s="279"/>
      <c r="M225" s="279"/>
      <c r="N225" s="280">
        <f>SUM(N226:N246)</f>
        <v>3741.5200000000004</v>
      </c>
      <c r="O225" s="263"/>
      <c r="P225" s="263"/>
      <c r="Q225" s="270"/>
      <c r="R225" s="216"/>
      <c r="S225" s="271">
        <v>0</v>
      </c>
    </row>
    <row r="226" spans="1:19" ht="15" x14ac:dyDescent="0.2">
      <c r="A226" s="282" t="s">
        <v>1691</v>
      </c>
      <c r="B226" s="282">
        <v>91854</v>
      </c>
      <c r="C226" s="282" t="s">
        <v>1324</v>
      </c>
      <c r="D226" s="283" t="s">
        <v>1692</v>
      </c>
      <c r="E226" s="284" t="s">
        <v>81</v>
      </c>
      <c r="F226" s="285">
        <v>28</v>
      </c>
      <c r="G226" s="285"/>
      <c r="H226" s="285"/>
      <c r="I226" s="285"/>
      <c r="J226" s="268">
        <f t="shared" ref="J226:J246" si="25">ROUND(S226*$S$12,2)</f>
        <v>6.16</v>
      </c>
      <c r="K226" s="268"/>
      <c r="L226" s="268"/>
      <c r="M226" s="268"/>
      <c r="N226" s="269">
        <f t="shared" ref="N226:N246" si="26">ROUND(F226*J226,2)</f>
        <v>172.48</v>
      </c>
      <c r="O226" s="263"/>
      <c r="P226" s="263"/>
      <c r="Q226" s="270"/>
      <c r="R226" s="216"/>
      <c r="S226" s="271">
        <v>7.48</v>
      </c>
    </row>
    <row r="227" spans="1:19" ht="15" x14ac:dyDescent="0.2">
      <c r="A227" s="282" t="s">
        <v>1693</v>
      </c>
      <c r="B227" s="282">
        <v>91856</v>
      </c>
      <c r="C227" s="282" t="s">
        <v>1324</v>
      </c>
      <c r="D227" s="283" t="s">
        <v>1694</v>
      </c>
      <c r="E227" s="284" t="s">
        <v>81</v>
      </c>
      <c r="F227" s="285">
        <v>18</v>
      </c>
      <c r="G227" s="285"/>
      <c r="H227" s="285"/>
      <c r="I227" s="285"/>
      <c r="J227" s="268">
        <f t="shared" si="25"/>
        <v>7.73</v>
      </c>
      <c r="K227" s="268"/>
      <c r="L227" s="268"/>
      <c r="M227" s="268"/>
      <c r="N227" s="269">
        <f t="shared" si="26"/>
        <v>139.13999999999999</v>
      </c>
      <c r="O227" s="263"/>
      <c r="P227" s="263"/>
      <c r="Q227" s="270"/>
      <c r="R227" s="216"/>
      <c r="S227" s="271">
        <v>9.3800000000000008</v>
      </c>
    </row>
    <row r="228" spans="1:19" ht="15" x14ac:dyDescent="0.2">
      <c r="A228" s="282" t="s">
        <v>1695</v>
      </c>
      <c r="B228" s="282">
        <v>91873</v>
      </c>
      <c r="C228" s="282" t="s">
        <v>1324</v>
      </c>
      <c r="D228" s="283" t="s">
        <v>1696</v>
      </c>
      <c r="E228" s="284" t="s">
        <v>81</v>
      </c>
      <c r="F228" s="285">
        <v>18</v>
      </c>
      <c r="G228" s="285"/>
      <c r="H228" s="285"/>
      <c r="I228" s="285"/>
      <c r="J228" s="268">
        <f t="shared" si="25"/>
        <v>12.57</v>
      </c>
      <c r="K228" s="268"/>
      <c r="L228" s="268"/>
      <c r="M228" s="268"/>
      <c r="N228" s="269">
        <f t="shared" si="26"/>
        <v>226.26</v>
      </c>
      <c r="O228" s="263"/>
      <c r="P228" s="263"/>
      <c r="Q228" s="270"/>
      <c r="R228" s="216"/>
      <c r="S228" s="271">
        <v>15.26</v>
      </c>
    </row>
    <row r="229" spans="1:19" ht="15" x14ac:dyDescent="0.2">
      <c r="A229" s="282" t="s">
        <v>1697</v>
      </c>
      <c r="B229" s="282">
        <v>72308</v>
      </c>
      <c r="C229" s="282" t="s">
        <v>1324</v>
      </c>
      <c r="D229" s="283" t="s">
        <v>1698</v>
      </c>
      <c r="E229" s="284" t="s">
        <v>81</v>
      </c>
      <c r="F229" s="285">
        <v>82</v>
      </c>
      <c r="G229" s="285"/>
      <c r="H229" s="285"/>
      <c r="I229" s="285"/>
      <c r="J229" s="268">
        <f t="shared" si="25"/>
        <v>14.39</v>
      </c>
      <c r="K229" s="268"/>
      <c r="L229" s="268"/>
      <c r="M229" s="268"/>
      <c r="N229" s="269">
        <f t="shared" si="26"/>
        <v>1179.98</v>
      </c>
      <c r="O229" s="263"/>
      <c r="P229" s="263"/>
      <c r="Q229" s="270"/>
      <c r="R229" s="216"/>
      <c r="S229" s="271">
        <v>17.47</v>
      </c>
    </row>
    <row r="230" spans="1:19" ht="15" x14ac:dyDescent="0.2">
      <c r="A230" s="282" t="s">
        <v>1699</v>
      </c>
      <c r="B230" s="282">
        <v>72309</v>
      </c>
      <c r="C230" s="282" t="s">
        <v>1324</v>
      </c>
      <c r="D230" s="283" t="s">
        <v>1700</v>
      </c>
      <c r="E230" s="284" t="s">
        <v>81</v>
      </c>
      <c r="F230" s="285">
        <v>13</v>
      </c>
      <c r="G230" s="285"/>
      <c r="H230" s="285"/>
      <c r="I230" s="285"/>
      <c r="J230" s="268">
        <f t="shared" si="25"/>
        <v>22.92</v>
      </c>
      <c r="K230" s="268"/>
      <c r="L230" s="268"/>
      <c r="M230" s="268"/>
      <c r="N230" s="269">
        <f t="shared" si="26"/>
        <v>297.95999999999998</v>
      </c>
      <c r="O230" s="263"/>
      <c r="P230" s="263"/>
      <c r="Q230" s="270"/>
      <c r="R230" s="216"/>
      <c r="S230" s="271">
        <v>27.83</v>
      </c>
    </row>
    <row r="231" spans="1:19" ht="15" x14ac:dyDescent="0.2">
      <c r="A231" s="282" t="s">
        <v>1701</v>
      </c>
      <c r="B231" s="282">
        <v>72310</v>
      </c>
      <c r="C231" s="282" t="s">
        <v>1324</v>
      </c>
      <c r="D231" s="283" t="s">
        <v>1702</v>
      </c>
      <c r="E231" s="284" t="s">
        <v>81</v>
      </c>
      <c r="F231" s="285">
        <v>30</v>
      </c>
      <c r="G231" s="285"/>
      <c r="H231" s="285"/>
      <c r="I231" s="285"/>
      <c r="J231" s="268">
        <f t="shared" si="25"/>
        <v>24.94</v>
      </c>
      <c r="K231" s="268"/>
      <c r="L231" s="268"/>
      <c r="M231" s="268"/>
      <c r="N231" s="269">
        <f t="shared" si="26"/>
        <v>748.2</v>
      </c>
      <c r="O231" s="263"/>
      <c r="P231" s="263"/>
      <c r="Q231" s="270"/>
      <c r="R231" s="216"/>
      <c r="S231" s="271">
        <v>30.28</v>
      </c>
    </row>
    <row r="232" spans="1:19" ht="15" x14ac:dyDescent="0.2">
      <c r="A232" s="282" t="s">
        <v>1703</v>
      </c>
      <c r="B232" s="282" t="s">
        <v>1704</v>
      </c>
      <c r="C232" s="282" t="s">
        <v>1324</v>
      </c>
      <c r="D232" s="283" t="s">
        <v>1705</v>
      </c>
      <c r="E232" s="284" t="s">
        <v>102</v>
      </c>
      <c r="F232" s="285">
        <v>5</v>
      </c>
      <c r="G232" s="285"/>
      <c r="H232" s="285"/>
      <c r="I232" s="285"/>
      <c r="J232" s="268">
        <f t="shared" si="25"/>
        <v>23.12</v>
      </c>
      <c r="K232" s="268"/>
      <c r="L232" s="268"/>
      <c r="M232" s="268"/>
      <c r="N232" s="269">
        <f t="shared" si="26"/>
        <v>115.6</v>
      </c>
      <c r="O232" s="263"/>
      <c r="P232" s="263"/>
      <c r="Q232" s="270"/>
      <c r="R232" s="216"/>
      <c r="S232" s="271">
        <v>28.07</v>
      </c>
    </row>
    <row r="233" spans="1:19" ht="15" x14ac:dyDescent="0.2">
      <c r="A233" s="282" t="s">
        <v>1706</v>
      </c>
      <c r="B233" s="282" t="s">
        <v>1707</v>
      </c>
      <c r="C233" s="282" t="s">
        <v>1324</v>
      </c>
      <c r="D233" s="283" t="s">
        <v>1708</v>
      </c>
      <c r="E233" s="284" t="s">
        <v>102</v>
      </c>
      <c r="F233" s="285">
        <v>5</v>
      </c>
      <c r="G233" s="285"/>
      <c r="H233" s="285"/>
      <c r="I233" s="285"/>
      <c r="J233" s="268">
        <f t="shared" si="25"/>
        <v>25.34</v>
      </c>
      <c r="K233" s="268"/>
      <c r="L233" s="268"/>
      <c r="M233" s="268"/>
      <c r="N233" s="269">
        <f t="shared" si="26"/>
        <v>126.7</v>
      </c>
      <c r="O233" s="263"/>
      <c r="P233" s="263"/>
      <c r="Q233" s="270"/>
      <c r="R233" s="216"/>
      <c r="S233" s="271">
        <v>30.77</v>
      </c>
    </row>
    <row r="234" spans="1:19" ht="15" x14ac:dyDescent="0.2">
      <c r="A234" s="282" t="s">
        <v>1709</v>
      </c>
      <c r="B234" s="282" t="s">
        <v>1704</v>
      </c>
      <c r="C234" s="282" t="s">
        <v>1324</v>
      </c>
      <c r="D234" s="283" t="s">
        <v>1710</v>
      </c>
      <c r="E234" s="284" t="s">
        <v>102</v>
      </c>
      <c r="F234" s="285">
        <v>4</v>
      </c>
      <c r="G234" s="285"/>
      <c r="H234" s="285"/>
      <c r="I234" s="285"/>
      <c r="J234" s="268">
        <f t="shared" si="25"/>
        <v>25.88</v>
      </c>
      <c r="K234" s="268"/>
      <c r="L234" s="268"/>
      <c r="M234" s="268"/>
      <c r="N234" s="269">
        <f t="shared" si="26"/>
        <v>103.52</v>
      </c>
      <c r="O234" s="263"/>
      <c r="P234" s="263"/>
      <c r="Q234" s="270"/>
      <c r="R234" s="216"/>
      <c r="S234" s="271">
        <v>31.42</v>
      </c>
    </row>
    <row r="235" spans="1:19" ht="15" x14ac:dyDescent="0.2">
      <c r="A235" s="282" t="s">
        <v>1711</v>
      </c>
      <c r="B235" s="282" t="s">
        <v>1712</v>
      </c>
      <c r="C235" s="282" t="s">
        <v>1324</v>
      </c>
      <c r="D235" s="283" t="s">
        <v>1713</v>
      </c>
      <c r="E235" s="284" t="s">
        <v>102</v>
      </c>
      <c r="F235" s="285">
        <v>1</v>
      </c>
      <c r="G235" s="285"/>
      <c r="H235" s="285"/>
      <c r="I235" s="285"/>
      <c r="J235" s="268">
        <f t="shared" si="25"/>
        <v>26.28</v>
      </c>
      <c r="K235" s="268"/>
      <c r="L235" s="268"/>
      <c r="M235" s="268"/>
      <c r="N235" s="269">
        <f t="shared" si="26"/>
        <v>26.28</v>
      </c>
      <c r="O235" s="263"/>
      <c r="P235" s="263"/>
      <c r="Q235" s="270"/>
      <c r="R235" s="216"/>
      <c r="S235" s="271">
        <v>31.91</v>
      </c>
    </row>
    <row r="236" spans="1:19" ht="15" x14ac:dyDescent="0.2">
      <c r="A236" s="282" t="s">
        <v>1714</v>
      </c>
      <c r="B236" s="282" t="s">
        <v>1715</v>
      </c>
      <c r="C236" s="282" t="s">
        <v>1343</v>
      </c>
      <c r="D236" s="283" t="s">
        <v>1716</v>
      </c>
      <c r="E236" s="284" t="s">
        <v>102</v>
      </c>
      <c r="F236" s="285">
        <v>50</v>
      </c>
      <c r="G236" s="285"/>
      <c r="H236" s="285"/>
      <c r="I236" s="285"/>
      <c r="J236" s="268">
        <f t="shared" si="25"/>
        <v>1.94</v>
      </c>
      <c r="K236" s="268"/>
      <c r="L236" s="268"/>
      <c r="M236" s="268"/>
      <c r="N236" s="269">
        <f t="shared" si="26"/>
        <v>97</v>
      </c>
      <c r="O236" s="263"/>
      <c r="P236" s="263"/>
      <c r="Q236" s="270"/>
      <c r="R236" s="216"/>
      <c r="S236" s="271">
        <v>2.35</v>
      </c>
    </row>
    <row r="237" spans="1:19" ht="15" x14ac:dyDescent="0.2">
      <c r="A237" s="282" t="s">
        <v>1717</v>
      </c>
      <c r="B237" s="282" t="s">
        <v>1715</v>
      </c>
      <c r="C237" s="282" t="s">
        <v>1343</v>
      </c>
      <c r="D237" s="283" t="s">
        <v>1718</v>
      </c>
      <c r="E237" s="284" t="s">
        <v>102</v>
      </c>
      <c r="F237" s="285">
        <v>4</v>
      </c>
      <c r="G237" s="285"/>
      <c r="H237" s="285"/>
      <c r="I237" s="285"/>
      <c r="J237" s="268">
        <f t="shared" si="25"/>
        <v>2.19</v>
      </c>
      <c r="K237" s="268"/>
      <c r="L237" s="268"/>
      <c r="M237" s="268"/>
      <c r="N237" s="269">
        <f t="shared" si="26"/>
        <v>8.76</v>
      </c>
      <c r="O237" s="263"/>
      <c r="P237" s="263"/>
      <c r="Q237" s="270"/>
      <c r="R237" s="216"/>
      <c r="S237" s="271">
        <v>2.66</v>
      </c>
    </row>
    <row r="238" spans="1:19" ht="15" x14ac:dyDescent="0.2">
      <c r="A238" s="282" t="s">
        <v>1719</v>
      </c>
      <c r="B238" s="282" t="s">
        <v>1715</v>
      </c>
      <c r="C238" s="282" t="s">
        <v>1343</v>
      </c>
      <c r="D238" s="283" t="s">
        <v>1720</v>
      </c>
      <c r="E238" s="284" t="s">
        <v>102</v>
      </c>
      <c r="F238" s="285">
        <v>4</v>
      </c>
      <c r="G238" s="285"/>
      <c r="H238" s="285"/>
      <c r="I238" s="285"/>
      <c r="J238" s="268">
        <f t="shared" si="25"/>
        <v>2.4</v>
      </c>
      <c r="K238" s="268"/>
      <c r="L238" s="268"/>
      <c r="M238" s="268"/>
      <c r="N238" s="269">
        <f t="shared" si="26"/>
        <v>9.6</v>
      </c>
      <c r="O238" s="263"/>
      <c r="P238" s="263"/>
      <c r="Q238" s="270"/>
      <c r="R238" s="216"/>
      <c r="S238" s="271">
        <v>2.92</v>
      </c>
    </row>
    <row r="239" spans="1:19" ht="15" x14ac:dyDescent="0.2">
      <c r="A239" s="282" t="s">
        <v>1721</v>
      </c>
      <c r="B239" s="282">
        <v>73542</v>
      </c>
      <c r="C239" s="282" t="s">
        <v>1324</v>
      </c>
      <c r="D239" s="283" t="s">
        <v>1722</v>
      </c>
      <c r="E239" s="284" t="s">
        <v>1723</v>
      </c>
      <c r="F239" s="285">
        <v>15</v>
      </c>
      <c r="G239" s="285"/>
      <c r="H239" s="285"/>
      <c r="I239" s="285"/>
      <c r="J239" s="268">
        <f t="shared" si="25"/>
        <v>0.73</v>
      </c>
      <c r="K239" s="268"/>
      <c r="L239" s="268"/>
      <c r="M239" s="268"/>
      <c r="N239" s="269">
        <f t="shared" si="26"/>
        <v>10.95</v>
      </c>
      <c r="O239" s="263"/>
      <c r="P239" s="263"/>
      <c r="Q239" s="270"/>
      <c r="R239" s="216"/>
      <c r="S239" s="271">
        <v>0.89</v>
      </c>
    </row>
    <row r="240" spans="1:19" ht="15" x14ac:dyDescent="0.2">
      <c r="A240" s="282" t="s">
        <v>1724</v>
      </c>
      <c r="B240" s="282">
        <v>84158</v>
      </c>
      <c r="C240" s="282" t="s">
        <v>1324</v>
      </c>
      <c r="D240" s="283" t="s">
        <v>1725</v>
      </c>
      <c r="E240" s="284" t="s">
        <v>1723</v>
      </c>
      <c r="F240" s="285">
        <v>2</v>
      </c>
      <c r="G240" s="285"/>
      <c r="H240" s="285"/>
      <c r="I240" s="285"/>
      <c r="J240" s="268">
        <f t="shared" si="25"/>
        <v>1.42</v>
      </c>
      <c r="K240" s="268"/>
      <c r="L240" s="268"/>
      <c r="M240" s="268"/>
      <c r="N240" s="269">
        <f t="shared" si="26"/>
        <v>2.84</v>
      </c>
      <c r="O240" s="263"/>
      <c r="P240" s="263"/>
      <c r="Q240" s="270"/>
      <c r="R240" s="216"/>
      <c r="S240" s="271">
        <v>1.73</v>
      </c>
    </row>
    <row r="241" spans="1:19" ht="15" x14ac:dyDescent="0.2">
      <c r="A241" s="282" t="s">
        <v>1726</v>
      </c>
      <c r="B241" s="282">
        <v>84159</v>
      </c>
      <c r="C241" s="282" t="s">
        <v>1324</v>
      </c>
      <c r="D241" s="283" t="s">
        <v>1727</v>
      </c>
      <c r="E241" s="284" t="s">
        <v>1723</v>
      </c>
      <c r="F241" s="285">
        <v>1</v>
      </c>
      <c r="G241" s="285"/>
      <c r="H241" s="285"/>
      <c r="I241" s="285"/>
      <c r="J241" s="268">
        <f t="shared" si="25"/>
        <v>3.16</v>
      </c>
      <c r="K241" s="268"/>
      <c r="L241" s="268"/>
      <c r="M241" s="268"/>
      <c r="N241" s="269">
        <f t="shared" si="26"/>
        <v>3.16</v>
      </c>
      <c r="O241" s="263"/>
      <c r="P241" s="263"/>
      <c r="Q241" s="270"/>
      <c r="R241" s="216"/>
      <c r="S241" s="271">
        <v>3.84</v>
      </c>
    </row>
    <row r="242" spans="1:19" ht="15" x14ac:dyDescent="0.2">
      <c r="A242" s="282" t="s">
        <v>1728</v>
      </c>
      <c r="B242" s="282">
        <v>92695</v>
      </c>
      <c r="C242" s="282" t="s">
        <v>1324</v>
      </c>
      <c r="D242" s="283" t="s">
        <v>1729</v>
      </c>
      <c r="E242" s="284" t="s">
        <v>102</v>
      </c>
      <c r="F242" s="285">
        <v>15</v>
      </c>
      <c r="G242" s="285"/>
      <c r="H242" s="285"/>
      <c r="I242" s="285"/>
      <c r="J242" s="268">
        <f t="shared" si="25"/>
        <v>14</v>
      </c>
      <c r="K242" s="268"/>
      <c r="L242" s="268"/>
      <c r="M242" s="268"/>
      <c r="N242" s="269">
        <f t="shared" si="26"/>
        <v>210</v>
      </c>
      <c r="O242" s="263"/>
      <c r="P242" s="263"/>
      <c r="Q242" s="270"/>
      <c r="R242" s="216"/>
      <c r="S242" s="271">
        <v>17</v>
      </c>
    </row>
    <row r="243" spans="1:19" ht="15" x14ac:dyDescent="0.2">
      <c r="A243" s="282" t="s">
        <v>1730</v>
      </c>
      <c r="B243" s="282">
        <v>92697</v>
      </c>
      <c r="C243" s="282" t="s">
        <v>1324</v>
      </c>
      <c r="D243" s="283" t="s">
        <v>1731</v>
      </c>
      <c r="E243" s="284" t="s">
        <v>102</v>
      </c>
      <c r="F243" s="285">
        <v>2</v>
      </c>
      <c r="G243" s="285"/>
      <c r="H243" s="285"/>
      <c r="I243" s="285"/>
      <c r="J243" s="268">
        <f t="shared" si="25"/>
        <v>22.66</v>
      </c>
      <c r="K243" s="268"/>
      <c r="L243" s="268"/>
      <c r="M243" s="268"/>
      <c r="N243" s="269">
        <f t="shared" si="26"/>
        <v>45.32</v>
      </c>
      <c r="O243" s="263"/>
      <c r="P243" s="263"/>
      <c r="Q243" s="270"/>
      <c r="R243" s="216"/>
      <c r="S243" s="271">
        <v>27.51</v>
      </c>
    </row>
    <row r="244" spans="1:19" ht="15" x14ac:dyDescent="0.2">
      <c r="A244" s="282" t="s">
        <v>1732</v>
      </c>
      <c r="B244" s="282">
        <v>92662</v>
      </c>
      <c r="C244" s="282" t="s">
        <v>1324</v>
      </c>
      <c r="D244" s="283" t="s">
        <v>1733</v>
      </c>
      <c r="E244" s="284" t="s">
        <v>102</v>
      </c>
      <c r="F244" s="285">
        <v>1</v>
      </c>
      <c r="G244" s="285"/>
      <c r="H244" s="285"/>
      <c r="I244" s="285"/>
      <c r="J244" s="268">
        <f t="shared" si="25"/>
        <v>22.38</v>
      </c>
      <c r="K244" s="268"/>
      <c r="L244" s="268"/>
      <c r="M244" s="268"/>
      <c r="N244" s="269">
        <f t="shared" si="26"/>
        <v>22.38</v>
      </c>
      <c r="O244" s="263"/>
      <c r="P244" s="263"/>
      <c r="Q244" s="270"/>
      <c r="R244" s="216"/>
      <c r="S244" s="271">
        <v>27.17</v>
      </c>
    </row>
    <row r="245" spans="1:19" ht="15" x14ac:dyDescent="0.2">
      <c r="A245" s="282" t="s">
        <v>1734</v>
      </c>
      <c r="B245" s="282">
        <v>92868</v>
      </c>
      <c r="C245" s="282" t="s">
        <v>1324</v>
      </c>
      <c r="D245" s="283" t="s">
        <v>1735</v>
      </c>
      <c r="E245" s="284" t="s">
        <v>102</v>
      </c>
      <c r="F245" s="285">
        <v>16</v>
      </c>
      <c r="G245" s="285"/>
      <c r="H245" s="285"/>
      <c r="I245" s="285"/>
      <c r="J245" s="268">
        <f t="shared" si="25"/>
        <v>9.5299999999999994</v>
      </c>
      <c r="K245" s="268"/>
      <c r="L245" s="268"/>
      <c r="M245" s="268"/>
      <c r="N245" s="269">
        <f t="shared" si="26"/>
        <v>152.47999999999999</v>
      </c>
      <c r="O245" s="263"/>
      <c r="P245" s="263"/>
      <c r="Q245" s="270"/>
      <c r="R245" s="216"/>
      <c r="S245" s="271">
        <v>11.57</v>
      </c>
    </row>
    <row r="246" spans="1:19" ht="25.5" x14ac:dyDescent="0.2">
      <c r="A246" s="282" t="s">
        <v>1736</v>
      </c>
      <c r="B246" s="282">
        <v>92865</v>
      </c>
      <c r="C246" s="282" t="s">
        <v>1324</v>
      </c>
      <c r="D246" s="283" t="s">
        <v>1737</v>
      </c>
      <c r="E246" s="284" t="s">
        <v>102</v>
      </c>
      <c r="F246" s="285">
        <v>7</v>
      </c>
      <c r="G246" s="285"/>
      <c r="H246" s="285"/>
      <c r="I246" s="285"/>
      <c r="J246" s="268">
        <f t="shared" si="25"/>
        <v>6.13</v>
      </c>
      <c r="K246" s="268"/>
      <c r="L246" s="268"/>
      <c r="M246" s="268"/>
      <c r="N246" s="269">
        <f t="shared" si="26"/>
        <v>42.91</v>
      </c>
      <c r="O246" s="263"/>
      <c r="P246" s="263"/>
      <c r="Q246" s="270"/>
      <c r="R246" s="216"/>
      <c r="S246" s="271">
        <v>7.44</v>
      </c>
    </row>
    <row r="247" spans="1:19" ht="15" x14ac:dyDescent="0.2">
      <c r="A247" s="290" t="s">
        <v>634</v>
      </c>
      <c r="B247" s="290"/>
      <c r="C247" s="290"/>
      <c r="D247" s="291" t="s">
        <v>1738</v>
      </c>
      <c r="E247" s="292"/>
      <c r="F247" s="293"/>
      <c r="G247" s="279"/>
      <c r="H247" s="279"/>
      <c r="I247" s="279"/>
      <c r="J247" s="279">
        <f>N247</f>
        <v>4345.79</v>
      </c>
      <c r="K247" s="279"/>
      <c r="L247" s="279"/>
      <c r="M247" s="279"/>
      <c r="N247" s="280">
        <f>SUM(N248:N251)</f>
        <v>4345.79</v>
      </c>
      <c r="O247" s="263"/>
      <c r="P247" s="263"/>
      <c r="Q247" s="270"/>
      <c r="R247" s="216"/>
      <c r="S247" s="271">
        <v>0</v>
      </c>
    </row>
    <row r="248" spans="1:19" ht="15" x14ac:dyDescent="0.2">
      <c r="A248" s="282" t="s">
        <v>1739</v>
      </c>
      <c r="B248" s="282">
        <v>91926</v>
      </c>
      <c r="C248" s="282" t="s">
        <v>1324</v>
      </c>
      <c r="D248" s="283" t="s">
        <v>1740</v>
      </c>
      <c r="E248" s="284" t="s">
        <v>81</v>
      </c>
      <c r="F248" s="285">
        <v>190</v>
      </c>
      <c r="G248" s="285"/>
      <c r="H248" s="285"/>
      <c r="I248" s="285"/>
      <c r="J248" s="268">
        <f>ROUND(S248*$S$12,2)</f>
        <v>2.31</v>
      </c>
      <c r="K248" s="268"/>
      <c r="L248" s="268"/>
      <c r="M248" s="268"/>
      <c r="N248" s="269">
        <f>ROUND(F248*J248,2)</f>
        <v>438.9</v>
      </c>
      <c r="O248" s="263"/>
      <c r="P248" s="263"/>
      <c r="Q248" s="270"/>
      <c r="R248" s="216"/>
      <c r="S248" s="271">
        <v>2.8</v>
      </c>
    </row>
    <row r="249" spans="1:19" ht="15" x14ac:dyDescent="0.2">
      <c r="A249" s="282" t="s">
        <v>1741</v>
      </c>
      <c r="B249" s="282">
        <v>91928</v>
      </c>
      <c r="C249" s="282" t="s">
        <v>1324</v>
      </c>
      <c r="D249" s="283" t="s">
        <v>1742</v>
      </c>
      <c r="E249" s="284" t="s">
        <v>81</v>
      </c>
      <c r="F249" s="285">
        <v>820</v>
      </c>
      <c r="G249" s="285"/>
      <c r="H249" s="285"/>
      <c r="I249" s="285"/>
      <c r="J249" s="268">
        <f>ROUND(S249*$S$12,2)</f>
        <v>3.64</v>
      </c>
      <c r="K249" s="268"/>
      <c r="L249" s="268"/>
      <c r="M249" s="268"/>
      <c r="N249" s="269">
        <f>ROUND(F249*J249,2)</f>
        <v>2984.8</v>
      </c>
      <c r="O249" s="263"/>
      <c r="P249" s="263"/>
      <c r="Q249" s="270"/>
      <c r="R249" s="216"/>
      <c r="S249" s="271">
        <v>4.42</v>
      </c>
    </row>
    <row r="250" spans="1:19" ht="15" x14ac:dyDescent="0.2">
      <c r="A250" s="282" t="s">
        <v>1743</v>
      </c>
      <c r="B250" s="282">
        <v>91934</v>
      </c>
      <c r="C250" s="282" t="s">
        <v>1324</v>
      </c>
      <c r="D250" s="283" t="s">
        <v>1744</v>
      </c>
      <c r="E250" s="284" t="s">
        <v>81</v>
      </c>
      <c r="F250" s="285">
        <v>14</v>
      </c>
      <c r="G250" s="285"/>
      <c r="H250" s="285"/>
      <c r="I250" s="285"/>
      <c r="J250" s="268">
        <f>ROUND(S250*$S$12,2)</f>
        <v>12.3</v>
      </c>
      <c r="K250" s="268"/>
      <c r="L250" s="268"/>
      <c r="M250" s="268"/>
      <c r="N250" s="269">
        <f>ROUND(F250*J250,2)</f>
        <v>172.2</v>
      </c>
      <c r="O250" s="263"/>
      <c r="P250" s="263"/>
      <c r="Q250" s="270"/>
      <c r="R250" s="216"/>
      <c r="S250" s="271">
        <v>14.94</v>
      </c>
    </row>
    <row r="251" spans="1:19" ht="15" x14ac:dyDescent="0.2">
      <c r="A251" s="282" t="s">
        <v>1745</v>
      </c>
      <c r="B251" s="282">
        <v>92985</v>
      </c>
      <c r="C251" s="282" t="s">
        <v>1324</v>
      </c>
      <c r="D251" s="283" t="s">
        <v>1746</v>
      </c>
      <c r="E251" s="284" t="s">
        <v>81</v>
      </c>
      <c r="F251" s="285">
        <v>41</v>
      </c>
      <c r="G251" s="285"/>
      <c r="H251" s="285"/>
      <c r="I251" s="285"/>
      <c r="J251" s="268">
        <f>ROUND(S251*$S$12,2)</f>
        <v>18.29</v>
      </c>
      <c r="K251" s="268"/>
      <c r="L251" s="268"/>
      <c r="M251" s="268"/>
      <c r="N251" s="269">
        <f>ROUND(F251*J251,2)</f>
        <v>749.89</v>
      </c>
      <c r="O251" s="263"/>
      <c r="P251" s="263"/>
      <c r="Q251" s="270"/>
      <c r="R251" s="216"/>
      <c r="S251" s="271">
        <v>22.21</v>
      </c>
    </row>
    <row r="252" spans="1:19" ht="15" x14ac:dyDescent="0.2">
      <c r="A252" s="290" t="s">
        <v>640</v>
      </c>
      <c r="B252" s="290"/>
      <c r="C252" s="290"/>
      <c r="D252" s="291" t="s">
        <v>1747</v>
      </c>
      <c r="E252" s="292"/>
      <c r="F252" s="293"/>
      <c r="G252" s="279"/>
      <c r="H252" s="279"/>
      <c r="I252" s="279"/>
      <c r="J252" s="279">
        <f>N252</f>
        <v>10299.74</v>
      </c>
      <c r="K252" s="279"/>
      <c r="L252" s="279"/>
      <c r="M252" s="279"/>
      <c r="N252" s="280">
        <f>SUM(N253:N258)</f>
        <v>10299.74</v>
      </c>
      <c r="O252" s="263"/>
      <c r="P252" s="263"/>
      <c r="Q252" s="270"/>
      <c r="R252" s="216"/>
      <c r="S252" s="271">
        <v>0</v>
      </c>
    </row>
    <row r="253" spans="1:19" ht="15" x14ac:dyDescent="0.2">
      <c r="A253" s="282" t="s">
        <v>1748</v>
      </c>
      <c r="B253" s="282">
        <v>92000</v>
      </c>
      <c r="C253" s="282" t="s">
        <v>1324</v>
      </c>
      <c r="D253" s="283" t="s">
        <v>1749</v>
      </c>
      <c r="E253" s="284" t="s">
        <v>102</v>
      </c>
      <c r="F253" s="285">
        <v>4</v>
      </c>
      <c r="G253" s="285"/>
      <c r="H253" s="285"/>
      <c r="I253" s="285"/>
      <c r="J253" s="268">
        <f t="shared" ref="J253:J258" si="27">ROUND(S253*$S$12,2)</f>
        <v>20.07</v>
      </c>
      <c r="K253" s="268"/>
      <c r="L253" s="268"/>
      <c r="M253" s="268"/>
      <c r="N253" s="269">
        <f t="shared" ref="N253:N258" si="28">ROUND(F253*J253,2)</f>
        <v>80.28</v>
      </c>
      <c r="O253" s="263"/>
      <c r="P253" s="263"/>
      <c r="Q253" s="270"/>
      <c r="R253" s="216"/>
      <c r="S253" s="271">
        <v>24.37</v>
      </c>
    </row>
    <row r="254" spans="1:19" ht="15" x14ac:dyDescent="0.2">
      <c r="A254" s="282" t="s">
        <v>1750</v>
      </c>
      <c r="B254" s="282">
        <v>92001</v>
      </c>
      <c r="C254" s="282" t="s">
        <v>1324</v>
      </c>
      <c r="D254" s="283" t="s">
        <v>1751</v>
      </c>
      <c r="E254" s="284" t="s">
        <v>102</v>
      </c>
      <c r="F254" s="285">
        <v>1</v>
      </c>
      <c r="G254" s="285"/>
      <c r="H254" s="285"/>
      <c r="I254" s="285"/>
      <c r="J254" s="268">
        <f t="shared" si="27"/>
        <v>21.83</v>
      </c>
      <c r="K254" s="268"/>
      <c r="L254" s="268"/>
      <c r="M254" s="268"/>
      <c r="N254" s="269">
        <f t="shared" si="28"/>
        <v>21.83</v>
      </c>
      <c r="O254" s="263"/>
      <c r="P254" s="263"/>
      <c r="Q254" s="270"/>
      <c r="R254" s="216"/>
      <c r="S254" s="271">
        <v>26.5</v>
      </c>
    </row>
    <row r="255" spans="1:19" ht="25.5" x14ac:dyDescent="0.2">
      <c r="A255" s="282" t="s">
        <v>1752</v>
      </c>
      <c r="B255" s="282">
        <v>91953</v>
      </c>
      <c r="C255" s="282" t="s">
        <v>1324</v>
      </c>
      <c r="D255" s="283" t="s">
        <v>1753</v>
      </c>
      <c r="E255" s="284" t="s">
        <v>102</v>
      </c>
      <c r="F255" s="285">
        <v>7</v>
      </c>
      <c r="G255" s="285"/>
      <c r="H255" s="285"/>
      <c r="I255" s="285"/>
      <c r="J255" s="268">
        <f t="shared" si="27"/>
        <v>18.98</v>
      </c>
      <c r="K255" s="268"/>
      <c r="L255" s="268"/>
      <c r="M255" s="268"/>
      <c r="N255" s="269">
        <f t="shared" si="28"/>
        <v>132.86000000000001</v>
      </c>
      <c r="O255" s="263"/>
      <c r="P255" s="263"/>
      <c r="Q255" s="270"/>
      <c r="R255" s="216"/>
      <c r="S255" s="271">
        <v>23.04</v>
      </c>
    </row>
    <row r="256" spans="1:19" ht="15" x14ac:dyDescent="0.2">
      <c r="A256" s="282" t="s">
        <v>1754</v>
      </c>
      <c r="B256" s="282" t="s">
        <v>1755</v>
      </c>
      <c r="C256" s="282" t="s">
        <v>1324</v>
      </c>
      <c r="D256" s="283" t="s">
        <v>1756</v>
      </c>
      <c r="E256" s="284" t="s">
        <v>102</v>
      </c>
      <c r="F256" s="285">
        <v>1</v>
      </c>
      <c r="G256" s="285"/>
      <c r="H256" s="285"/>
      <c r="I256" s="285"/>
      <c r="J256" s="268">
        <f t="shared" si="27"/>
        <v>133.31</v>
      </c>
      <c r="K256" s="268"/>
      <c r="L256" s="268"/>
      <c r="M256" s="268"/>
      <c r="N256" s="269">
        <f t="shared" si="28"/>
        <v>133.31</v>
      </c>
      <c r="O256" s="263"/>
      <c r="P256" s="263"/>
      <c r="Q256" s="270"/>
      <c r="R256" s="216"/>
      <c r="S256" s="271">
        <v>161.87</v>
      </c>
    </row>
    <row r="257" spans="1:19" ht="15" x14ac:dyDescent="0.2">
      <c r="A257" s="282" t="s">
        <v>1757</v>
      </c>
      <c r="B257" s="282" t="s">
        <v>1758</v>
      </c>
      <c r="C257" s="282" t="s">
        <v>1324</v>
      </c>
      <c r="D257" s="283" t="s">
        <v>1759</v>
      </c>
      <c r="E257" s="284" t="s">
        <v>102</v>
      </c>
      <c r="F257" s="285">
        <v>6</v>
      </c>
      <c r="G257" s="285"/>
      <c r="H257" s="285"/>
      <c r="I257" s="285"/>
      <c r="J257" s="268">
        <f t="shared" si="27"/>
        <v>156.31</v>
      </c>
      <c r="K257" s="268"/>
      <c r="L257" s="268"/>
      <c r="M257" s="268"/>
      <c r="N257" s="269">
        <f t="shared" si="28"/>
        <v>937.86</v>
      </c>
      <c r="O257" s="263"/>
      <c r="P257" s="263"/>
      <c r="Q257" s="270"/>
      <c r="R257" s="216"/>
      <c r="S257" s="271">
        <v>189.79</v>
      </c>
    </row>
    <row r="258" spans="1:19" ht="25.5" x14ac:dyDescent="0.2">
      <c r="A258" s="282" t="s">
        <v>1760</v>
      </c>
      <c r="B258" s="282"/>
      <c r="C258" s="282" t="s">
        <v>1339</v>
      </c>
      <c r="D258" s="283" t="s">
        <v>1761</v>
      </c>
      <c r="E258" s="284" t="s">
        <v>102</v>
      </c>
      <c r="F258" s="285">
        <v>20</v>
      </c>
      <c r="G258" s="285"/>
      <c r="H258" s="285"/>
      <c r="I258" s="285"/>
      <c r="J258" s="268">
        <f t="shared" si="27"/>
        <v>449.68</v>
      </c>
      <c r="K258" s="268"/>
      <c r="L258" s="268"/>
      <c r="M258" s="268"/>
      <c r="N258" s="269">
        <f t="shared" si="28"/>
        <v>8993.6</v>
      </c>
      <c r="O258" s="263"/>
      <c r="P258" s="263"/>
      <c r="Q258" s="270"/>
      <c r="R258" s="216"/>
      <c r="S258" s="271">
        <v>546</v>
      </c>
    </row>
    <row r="259" spans="1:19" ht="14.25" x14ac:dyDescent="0.2">
      <c r="A259" s="286">
        <v>18</v>
      </c>
      <c r="B259" s="286"/>
      <c r="C259" s="286"/>
      <c r="D259" s="287" t="s">
        <v>1762</v>
      </c>
      <c r="E259" s="288"/>
      <c r="F259" s="289"/>
      <c r="G259" s="261"/>
      <c r="H259" s="261"/>
      <c r="I259" s="261"/>
      <c r="J259" s="261">
        <f>N259</f>
        <v>7237.1900000000014</v>
      </c>
      <c r="K259" s="261"/>
      <c r="L259" s="261"/>
      <c r="M259" s="261"/>
      <c r="N259" s="262">
        <f>SUM(N260:N267)</f>
        <v>7237.1900000000014</v>
      </c>
      <c r="O259" s="263"/>
      <c r="P259" s="263"/>
      <c r="Q259" s="270"/>
      <c r="R259" s="216"/>
      <c r="S259" s="271">
        <v>0</v>
      </c>
    </row>
    <row r="260" spans="1:19" ht="25.5" x14ac:dyDescent="0.2">
      <c r="A260" s="282" t="s">
        <v>657</v>
      </c>
      <c r="B260" s="282"/>
      <c r="C260" s="282" t="s">
        <v>1339</v>
      </c>
      <c r="D260" s="283" t="s">
        <v>1763</v>
      </c>
      <c r="E260" s="284" t="s">
        <v>102</v>
      </c>
      <c r="F260" s="285">
        <v>7</v>
      </c>
      <c r="G260" s="285"/>
      <c r="H260" s="285"/>
      <c r="I260" s="285"/>
      <c r="J260" s="268">
        <f t="shared" ref="J260:J267" si="29">ROUND(S260*$S$12,2)</f>
        <v>205.82</v>
      </c>
      <c r="K260" s="268"/>
      <c r="L260" s="268"/>
      <c r="M260" s="268"/>
      <c r="N260" s="269">
        <f t="shared" ref="N260:N267" si="30">ROUND(F260*J260,2)</f>
        <v>1440.74</v>
      </c>
      <c r="O260" s="263"/>
      <c r="P260" s="263"/>
      <c r="Q260" s="270"/>
      <c r="R260" s="216"/>
      <c r="S260" s="271">
        <v>249.91</v>
      </c>
    </row>
    <row r="261" spans="1:19" ht="15" x14ac:dyDescent="0.2">
      <c r="A261" s="282" t="s">
        <v>664</v>
      </c>
      <c r="B261" s="282"/>
      <c r="C261" s="282" t="s">
        <v>1339</v>
      </c>
      <c r="D261" s="283" t="s">
        <v>1764</v>
      </c>
      <c r="E261" s="284" t="s">
        <v>102</v>
      </c>
      <c r="F261" s="285">
        <v>1</v>
      </c>
      <c r="G261" s="285"/>
      <c r="H261" s="285"/>
      <c r="I261" s="285"/>
      <c r="J261" s="268">
        <f t="shared" si="29"/>
        <v>232.41</v>
      </c>
      <c r="K261" s="268"/>
      <c r="L261" s="268"/>
      <c r="M261" s="268"/>
      <c r="N261" s="269">
        <f t="shared" si="30"/>
        <v>232.41</v>
      </c>
      <c r="O261" s="263"/>
      <c r="P261" s="263"/>
      <c r="Q261" s="270"/>
      <c r="R261" s="216"/>
      <c r="S261" s="271">
        <v>282.19</v>
      </c>
    </row>
    <row r="262" spans="1:19" ht="15" x14ac:dyDescent="0.2">
      <c r="A262" s="282" t="s">
        <v>668</v>
      </c>
      <c r="B262" s="282">
        <v>72929</v>
      </c>
      <c r="C262" s="282" t="s">
        <v>1324</v>
      </c>
      <c r="D262" s="283" t="s">
        <v>1765</v>
      </c>
      <c r="E262" s="284" t="s">
        <v>81</v>
      </c>
      <c r="F262" s="285">
        <v>39.200000000000003</v>
      </c>
      <c r="G262" s="285"/>
      <c r="H262" s="285"/>
      <c r="I262" s="285"/>
      <c r="J262" s="268">
        <f t="shared" si="29"/>
        <v>22.1</v>
      </c>
      <c r="K262" s="268"/>
      <c r="L262" s="268"/>
      <c r="M262" s="268"/>
      <c r="N262" s="269">
        <f t="shared" si="30"/>
        <v>866.32</v>
      </c>
      <c r="O262" s="263"/>
      <c r="P262" s="263"/>
      <c r="Q262" s="270"/>
      <c r="R262" s="216"/>
      <c r="S262" s="271">
        <v>26.83</v>
      </c>
    </row>
    <row r="263" spans="1:19" ht="15" x14ac:dyDescent="0.2">
      <c r="A263" s="282" t="s">
        <v>671</v>
      </c>
      <c r="B263" s="282">
        <v>72930</v>
      </c>
      <c r="C263" s="282" t="s">
        <v>1324</v>
      </c>
      <c r="D263" s="283" t="s">
        <v>1766</v>
      </c>
      <c r="E263" s="284" t="s">
        <v>81</v>
      </c>
      <c r="F263" s="285">
        <v>126.32</v>
      </c>
      <c r="G263" s="285"/>
      <c r="H263" s="285"/>
      <c r="I263" s="285"/>
      <c r="J263" s="268">
        <f t="shared" si="29"/>
        <v>31.35</v>
      </c>
      <c r="K263" s="268"/>
      <c r="L263" s="268"/>
      <c r="M263" s="268"/>
      <c r="N263" s="269">
        <f t="shared" si="30"/>
        <v>3960.13</v>
      </c>
      <c r="O263" s="263"/>
      <c r="P263" s="263"/>
      <c r="Q263" s="270"/>
      <c r="R263" s="216"/>
      <c r="S263" s="271">
        <v>38.07</v>
      </c>
    </row>
    <row r="264" spans="1:19" ht="15" x14ac:dyDescent="0.2">
      <c r="A264" s="282" t="s">
        <v>679</v>
      </c>
      <c r="B264" s="282">
        <v>93008</v>
      </c>
      <c r="C264" s="282" t="s">
        <v>1324</v>
      </c>
      <c r="D264" s="283" t="s">
        <v>1767</v>
      </c>
      <c r="E264" s="284" t="s">
        <v>81</v>
      </c>
      <c r="F264" s="285">
        <v>21</v>
      </c>
      <c r="G264" s="285"/>
      <c r="H264" s="285"/>
      <c r="I264" s="285"/>
      <c r="J264" s="268">
        <f t="shared" si="29"/>
        <v>9.83</v>
      </c>
      <c r="K264" s="268"/>
      <c r="L264" s="268"/>
      <c r="M264" s="268"/>
      <c r="N264" s="269">
        <f t="shared" si="30"/>
        <v>206.43</v>
      </c>
      <c r="O264" s="263"/>
      <c r="P264" s="263"/>
      <c r="Q264" s="270"/>
      <c r="R264" s="216"/>
      <c r="S264" s="271">
        <v>11.93</v>
      </c>
    </row>
    <row r="265" spans="1:19" ht="15" x14ac:dyDescent="0.2">
      <c r="A265" s="282" t="s">
        <v>1768</v>
      </c>
      <c r="B265" s="282"/>
      <c r="C265" s="282" t="s">
        <v>1769</v>
      </c>
      <c r="D265" s="283" t="s">
        <v>1770</v>
      </c>
      <c r="E265" s="284" t="s">
        <v>102</v>
      </c>
      <c r="F265" s="285">
        <v>7</v>
      </c>
      <c r="G265" s="285"/>
      <c r="H265" s="285"/>
      <c r="I265" s="285"/>
      <c r="J265" s="268">
        <f t="shared" si="29"/>
        <v>38.299999999999997</v>
      </c>
      <c r="K265" s="268"/>
      <c r="L265" s="268"/>
      <c r="M265" s="268"/>
      <c r="N265" s="269">
        <f t="shared" si="30"/>
        <v>268.10000000000002</v>
      </c>
      <c r="O265" s="263"/>
      <c r="P265" s="263"/>
      <c r="Q265" s="270"/>
      <c r="R265" s="216"/>
      <c r="S265" s="271">
        <v>46.5</v>
      </c>
    </row>
    <row r="266" spans="1:19" ht="15" x14ac:dyDescent="0.2">
      <c r="A266" s="282" t="s">
        <v>1771</v>
      </c>
      <c r="B266" s="282"/>
      <c r="C266" s="282" t="s">
        <v>1769</v>
      </c>
      <c r="D266" s="283" t="s">
        <v>1772</v>
      </c>
      <c r="E266" s="284" t="s">
        <v>102</v>
      </c>
      <c r="F266" s="285">
        <v>7</v>
      </c>
      <c r="G266" s="285"/>
      <c r="H266" s="285"/>
      <c r="I266" s="285"/>
      <c r="J266" s="268">
        <f t="shared" si="29"/>
        <v>24.49</v>
      </c>
      <c r="K266" s="268"/>
      <c r="L266" s="268"/>
      <c r="M266" s="268"/>
      <c r="N266" s="269">
        <f t="shared" si="30"/>
        <v>171.43</v>
      </c>
      <c r="O266" s="263"/>
      <c r="P266" s="263"/>
      <c r="Q266" s="270"/>
      <c r="R266" s="216"/>
      <c r="S266" s="271">
        <v>29.73</v>
      </c>
    </row>
    <row r="267" spans="1:19" ht="15" x14ac:dyDescent="0.2">
      <c r="A267" s="282" t="s">
        <v>1773</v>
      </c>
      <c r="B267" s="282">
        <v>72262</v>
      </c>
      <c r="C267" s="282" t="s">
        <v>1324</v>
      </c>
      <c r="D267" s="283" t="s">
        <v>1774</v>
      </c>
      <c r="E267" s="284" t="s">
        <v>102</v>
      </c>
      <c r="F267" s="285">
        <v>7</v>
      </c>
      <c r="G267" s="285"/>
      <c r="H267" s="285"/>
      <c r="I267" s="285"/>
      <c r="J267" s="268">
        <f t="shared" si="29"/>
        <v>13.09</v>
      </c>
      <c r="K267" s="268"/>
      <c r="L267" s="268"/>
      <c r="M267" s="268"/>
      <c r="N267" s="269">
        <f t="shared" si="30"/>
        <v>91.63</v>
      </c>
      <c r="O267" s="263"/>
      <c r="P267" s="263"/>
      <c r="Q267" s="270"/>
      <c r="R267" s="216"/>
      <c r="S267" s="271">
        <v>15.89</v>
      </c>
    </row>
    <row r="268" spans="1:19" ht="14.25" x14ac:dyDescent="0.2">
      <c r="A268" s="286">
        <v>19</v>
      </c>
      <c r="B268" s="286"/>
      <c r="C268" s="286"/>
      <c r="D268" s="287" t="s">
        <v>304</v>
      </c>
      <c r="E268" s="288"/>
      <c r="F268" s="289"/>
      <c r="G268" s="261"/>
      <c r="H268" s="261"/>
      <c r="I268" s="261"/>
      <c r="J268" s="261">
        <f>N268</f>
        <v>28168.979999999996</v>
      </c>
      <c r="K268" s="261"/>
      <c r="L268" s="261"/>
      <c r="M268" s="261"/>
      <c r="N268" s="262">
        <f>N269+N275</f>
        <v>28168.979999999996</v>
      </c>
      <c r="O268" s="263"/>
      <c r="P268" s="263"/>
      <c r="Q268" s="270"/>
      <c r="R268" s="216"/>
      <c r="S268" s="271">
        <v>0</v>
      </c>
    </row>
    <row r="269" spans="1:19" ht="15" x14ac:dyDescent="0.2">
      <c r="A269" s="290" t="s">
        <v>685</v>
      </c>
      <c r="B269" s="290"/>
      <c r="C269" s="290"/>
      <c r="D269" s="291" t="s">
        <v>1775</v>
      </c>
      <c r="E269" s="292"/>
      <c r="F269" s="293"/>
      <c r="G269" s="279"/>
      <c r="H269" s="279"/>
      <c r="I269" s="279"/>
      <c r="J269" s="279">
        <f>N269</f>
        <v>6263.99</v>
      </c>
      <c r="K269" s="279"/>
      <c r="L269" s="279"/>
      <c r="M269" s="279"/>
      <c r="N269" s="280">
        <f>SUM(N270:N274)</f>
        <v>6263.99</v>
      </c>
      <c r="O269" s="263"/>
      <c r="P269" s="263"/>
      <c r="Q269" s="270"/>
      <c r="R269" s="216"/>
      <c r="S269" s="271">
        <v>0</v>
      </c>
    </row>
    <row r="270" spans="1:19" ht="15" x14ac:dyDescent="0.2">
      <c r="A270" s="282" t="s">
        <v>1776</v>
      </c>
      <c r="B270" s="282"/>
      <c r="C270" s="282" t="s">
        <v>1339</v>
      </c>
      <c r="D270" s="283" t="s">
        <v>1777</v>
      </c>
      <c r="E270" s="284" t="s">
        <v>14</v>
      </c>
      <c r="F270" s="285">
        <v>2.5</v>
      </c>
      <c r="G270" s="285"/>
      <c r="H270" s="285"/>
      <c r="I270" s="285"/>
      <c r="J270" s="268">
        <f>ROUND(S270*$S$12,2)</f>
        <v>236.77</v>
      </c>
      <c r="K270" s="268"/>
      <c r="L270" s="268"/>
      <c r="M270" s="268"/>
      <c r="N270" s="269">
        <f>ROUND(F270*J270,2)</f>
        <v>591.92999999999995</v>
      </c>
      <c r="O270" s="263"/>
      <c r="P270" s="263"/>
      <c r="Q270" s="270"/>
      <c r="R270" s="216"/>
      <c r="S270" s="271">
        <v>287.48</v>
      </c>
    </row>
    <row r="271" spans="1:19" ht="15" x14ac:dyDescent="0.2">
      <c r="A271" s="282" t="s">
        <v>1778</v>
      </c>
      <c r="B271" s="282"/>
      <c r="C271" s="282" t="s">
        <v>1339</v>
      </c>
      <c r="D271" s="283" t="s">
        <v>1779</v>
      </c>
      <c r="E271" s="284" t="s">
        <v>102</v>
      </c>
      <c r="F271" s="285">
        <v>1</v>
      </c>
      <c r="G271" s="285"/>
      <c r="H271" s="285"/>
      <c r="I271" s="285"/>
      <c r="J271" s="268">
        <f>ROUND(S271*$S$12,2)</f>
        <v>1103.49</v>
      </c>
      <c r="K271" s="268"/>
      <c r="L271" s="268"/>
      <c r="M271" s="268"/>
      <c r="N271" s="269">
        <f>ROUND(F271*J271,2)</f>
        <v>1103.49</v>
      </c>
      <c r="O271" s="263"/>
      <c r="P271" s="263"/>
      <c r="Q271" s="270"/>
      <c r="R271" s="216"/>
      <c r="S271" s="271">
        <v>1339.85</v>
      </c>
    </row>
    <row r="272" spans="1:19" ht="15" x14ac:dyDescent="0.2">
      <c r="A272" s="282" t="s">
        <v>1780</v>
      </c>
      <c r="B272" s="282"/>
      <c r="C272" s="282" t="s">
        <v>1339</v>
      </c>
      <c r="D272" s="283" t="s">
        <v>1781</v>
      </c>
      <c r="E272" s="284" t="s">
        <v>102</v>
      </c>
      <c r="F272" s="285">
        <v>1</v>
      </c>
      <c r="G272" s="285"/>
      <c r="H272" s="285"/>
      <c r="I272" s="285"/>
      <c r="J272" s="268">
        <f>ROUND(S272*$S$12,2)</f>
        <v>1841.38</v>
      </c>
      <c r="K272" s="268"/>
      <c r="L272" s="268"/>
      <c r="M272" s="268"/>
      <c r="N272" s="269">
        <f>ROUND(F272*J272,2)</f>
        <v>1841.38</v>
      </c>
      <c r="O272" s="263"/>
      <c r="P272" s="263"/>
      <c r="Q272" s="270"/>
      <c r="R272" s="216"/>
      <c r="S272" s="271">
        <v>2235.8000000000002</v>
      </c>
    </row>
    <row r="273" spans="1:19" ht="15" x14ac:dyDescent="0.2">
      <c r="A273" s="282" t="s">
        <v>1782</v>
      </c>
      <c r="B273" s="282"/>
      <c r="C273" s="282" t="s">
        <v>1339</v>
      </c>
      <c r="D273" s="283" t="s">
        <v>1783</v>
      </c>
      <c r="E273" s="284" t="s">
        <v>102</v>
      </c>
      <c r="F273" s="285">
        <v>1</v>
      </c>
      <c r="G273" s="285"/>
      <c r="H273" s="285"/>
      <c r="I273" s="285"/>
      <c r="J273" s="268">
        <f>ROUND(S273*$S$12,2)</f>
        <v>777.91</v>
      </c>
      <c r="K273" s="268"/>
      <c r="L273" s="268"/>
      <c r="M273" s="268"/>
      <c r="N273" s="269">
        <f>ROUND(F273*J273,2)</f>
        <v>777.91</v>
      </c>
      <c r="O273" s="263"/>
      <c r="P273" s="263"/>
      <c r="Q273" s="270"/>
      <c r="R273" s="216"/>
      <c r="S273" s="271">
        <v>944.54</v>
      </c>
    </row>
    <row r="274" spans="1:19" ht="15" x14ac:dyDescent="0.2">
      <c r="A274" s="282" t="s">
        <v>1784</v>
      </c>
      <c r="B274" s="282">
        <v>84862</v>
      </c>
      <c r="C274" s="282" t="s">
        <v>1324</v>
      </c>
      <c r="D274" s="283" t="s">
        <v>1785</v>
      </c>
      <c r="E274" s="284" t="s">
        <v>81</v>
      </c>
      <c r="F274" s="285">
        <v>9.6</v>
      </c>
      <c r="G274" s="285"/>
      <c r="H274" s="285"/>
      <c r="I274" s="285"/>
      <c r="J274" s="268">
        <f>ROUND(S274*$S$12,2)</f>
        <v>203.05</v>
      </c>
      <c r="K274" s="268"/>
      <c r="L274" s="268"/>
      <c r="M274" s="268"/>
      <c r="N274" s="269">
        <f>ROUND(F274*J274,2)</f>
        <v>1949.28</v>
      </c>
      <c r="O274" s="263"/>
      <c r="P274" s="263"/>
      <c r="Q274" s="270"/>
      <c r="R274" s="216"/>
      <c r="S274" s="271">
        <v>246.54</v>
      </c>
    </row>
    <row r="275" spans="1:19" ht="15" x14ac:dyDescent="0.2">
      <c r="A275" s="290" t="s">
        <v>691</v>
      </c>
      <c r="B275" s="290"/>
      <c r="C275" s="290"/>
      <c r="D275" s="291" t="s">
        <v>1786</v>
      </c>
      <c r="E275" s="292"/>
      <c r="F275" s="293"/>
      <c r="G275" s="279"/>
      <c r="H275" s="279"/>
      <c r="I275" s="279"/>
      <c r="J275" s="279">
        <f>N275</f>
        <v>21904.989999999998</v>
      </c>
      <c r="K275" s="279"/>
      <c r="L275" s="279"/>
      <c r="M275" s="279"/>
      <c r="N275" s="280">
        <f>SUM(N276:N277)</f>
        <v>21904.989999999998</v>
      </c>
      <c r="O275" s="263"/>
      <c r="P275" s="263"/>
      <c r="Q275" s="270"/>
      <c r="R275" s="216"/>
      <c r="S275" s="271">
        <v>0</v>
      </c>
    </row>
    <row r="276" spans="1:19" ht="25.5" x14ac:dyDescent="0.2">
      <c r="A276" s="282" t="s">
        <v>1787</v>
      </c>
      <c r="B276" s="282" t="s">
        <v>1788</v>
      </c>
      <c r="C276" s="282" t="s">
        <v>1324</v>
      </c>
      <c r="D276" s="283" t="s">
        <v>1789</v>
      </c>
      <c r="E276" s="284" t="s">
        <v>14</v>
      </c>
      <c r="F276" s="285">
        <v>201</v>
      </c>
      <c r="G276" s="285"/>
      <c r="H276" s="285"/>
      <c r="I276" s="285"/>
      <c r="J276" s="268">
        <f>ROUND(S276*$S$12,2)</f>
        <v>103.67</v>
      </c>
      <c r="K276" s="268"/>
      <c r="L276" s="268"/>
      <c r="M276" s="268"/>
      <c r="N276" s="269">
        <f>ROUND(F276*J276,2)</f>
        <v>20837.669999999998</v>
      </c>
      <c r="O276" s="263"/>
      <c r="P276" s="263"/>
      <c r="Q276" s="270"/>
      <c r="R276" s="216"/>
      <c r="S276" s="271">
        <v>125.87</v>
      </c>
    </row>
    <row r="277" spans="1:19" ht="15" x14ac:dyDescent="0.2">
      <c r="A277" s="282" t="s">
        <v>1790</v>
      </c>
      <c r="B277" s="282"/>
      <c r="C277" s="282" t="s">
        <v>1339</v>
      </c>
      <c r="D277" s="283" t="s">
        <v>1791</v>
      </c>
      <c r="E277" s="284" t="s">
        <v>102</v>
      </c>
      <c r="F277" s="285">
        <v>4</v>
      </c>
      <c r="G277" s="285"/>
      <c r="H277" s="285"/>
      <c r="I277" s="285"/>
      <c r="J277" s="268">
        <f>ROUND(S277*$S$12,2)</f>
        <v>266.83</v>
      </c>
      <c r="K277" s="268"/>
      <c r="L277" s="268"/>
      <c r="M277" s="268"/>
      <c r="N277" s="269">
        <f>ROUND(F277*J277,2)</f>
        <v>1067.32</v>
      </c>
      <c r="O277" s="263"/>
      <c r="P277" s="263"/>
      <c r="Q277" s="270"/>
      <c r="R277" s="216"/>
      <c r="S277" s="271">
        <v>323.99</v>
      </c>
    </row>
    <row r="278" spans="1:19" ht="14.25" x14ac:dyDescent="0.2">
      <c r="A278" s="286">
        <v>20</v>
      </c>
      <c r="B278" s="286"/>
      <c r="C278" s="286"/>
      <c r="D278" s="287" t="s">
        <v>1232</v>
      </c>
      <c r="E278" s="288"/>
      <c r="F278" s="289"/>
      <c r="G278" s="261"/>
      <c r="H278" s="261"/>
      <c r="I278" s="261"/>
      <c r="J278" s="261">
        <f>N278</f>
        <v>4777.13</v>
      </c>
      <c r="K278" s="261"/>
      <c r="L278" s="261"/>
      <c r="M278" s="261"/>
      <c r="N278" s="294">
        <f>SUM(N279:N283)</f>
        <v>4777.13</v>
      </c>
      <c r="O278" s="263"/>
      <c r="P278" s="263"/>
      <c r="Q278" s="270"/>
      <c r="R278" s="216"/>
      <c r="S278" s="271">
        <v>0</v>
      </c>
    </row>
    <row r="279" spans="1:19" ht="15" x14ac:dyDescent="0.2">
      <c r="A279" s="282" t="s">
        <v>719</v>
      </c>
      <c r="B279" s="282" t="s">
        <v>1792</v>
      </c>
      <c r="C279" s="282" t="s">
        <v>1324</v>
      </c>
      <c r="D279" s="283" t="s">
        <v>1793</v>
      </c>
      <c r="E279" s="284" t="s">
        <v>14</v>
      </c>
      <c r="F279" s="285">
        <v>296.01</v>
      </c>
      <c r="G279" s="285"/>
      <c r="H279" s="285"/>
      <c r="I279" s="285"/>
      <c r="J279" s="268">
        <f>ROUND(S279*$S$12,2)</f>
        <v>4.97</v>
      </c>
      <c r="K279" s="268"/>
      <c r="L279" s="268"/>
      <c r="M279" s="268"/>
      <c r="N279" s="269">
        <f>ROUND(F279*J279,2)</f>
        <v>1471.17</v>
      </c>
      <c r="O279" s="263"/>
      <c r="P279" s="263"/>
      <c r="Q279" s="270"/>
      <c r="R279" s="216"/>
      <c r="S279" s="271">
        <v>6.04</v>
      </c>
    </row>
    <row r="280" spans="1:19" ht="15" x14ac:dyDescent="0.2">
      <c r="A280" s="282" t="s">
        <v>726</v>
      </c>
      <c r="B280" s="282" t="s">
        <v>1794</v>
      </c>
      <c r="C280" s="282" t="s">
        <v>1324</v>
      </c>
      <c r="D280" s="283" t="s">
        <v>1795</v>
      </c>
      <c r="E280" s="284" t="s">
        <v>14</v>
      </c>
      <c r="F280" s="285">
        <v>21.9</v>
      </c>
      <c r="G280" s="285"/>
      <c r="H280" s="285"/>
      <c r="I280" s="285"/>
      <c r="J280" s="268">
        <f>ROUND(S280*$S$12,2)</f>
        <v>9.57</v>
      </c>
      <c r="K280" s="268"/>
      <c r="L280" s="268"/>
      <c r="M280" s="268"/>
      <c r="N280" s="269">
        <f>ROUND(F280*J280,2)</f>
        <v>209.58</v>
      </c>
      <c r="O280" s="263"/>
      <c r="P280" s="263"/>
      <c r="Q280" s="270"/>
      <c r="R280" s="216"/>
      <c r="S280" s="271">
        <v>11.62</v>
      </c>
    </row>
    <row r="281" spans="1:19" ht="15" x14ac:dyDescent="0.2">
      <c r="A281" s="282" t="s">
        <v>730</v>
      </c>
      <c r="B281" s="282" t="s">
        <v>1796</v>
      </c>
      <c r="C281" s="282" t="s">
        <v>1324</v>
      </c>
      <c r="D281" s="283" t="s">
        <v>1797</v>
      </c>
      <c r="E281" s="284" t="s">
        <v>14</v>
      </c>
      <c r="F281" s="285">
        <v>64.91</v>
      </c>
      <c r="G281" s="285"/>
      <c r="H281" s="285"/>
      <c r="I281" s="285"/>
      <c r="J281" s="268">
        <f>ROUND(S281*$S$12,2)</f>
        <v>11.45</v>
      </c>
      <c r="K281" s="268"/>
      <c r="L281" s="268"/>
      <c r="M281" s="268"/>
      <c r="N281" s="269">
        <f>ROUND(F281*J281,2)</f>
        <v>743.22</v>
      </c>
      <c r="O281" s="263"/>
      <c r="P281" s="263"/>
      <c r="Q281" s="270"/>
      <c r="R281" s="216"/>
      <c r="S281" s="271">
        <v>13.9</v>
      </c>
    </row>
    <row r="282" spans="1:19" ht="15" x14ac:dyDescent="0.2">
      <c r="A282" s="282" t="s">
        <v>739</v>
      </c>
      <c r="B282" s="282" t="s">
        <v>1798</v>
      </c>
      <c r="C282" s="282" t="s">
        <v>1324</v>
      </c>
      <c r="D282" s="283" t="s">
        <v>1799</v>
      </c>
      <c r="E282" s="284" t="s">
        <v>14</v>
      </c>
      <c r="F282" s="285">
        <v>676.67</v>
      </c>
      <c r="G282" s="285"/>
      <c r="H282" s="285"/>
      <c r="I282" s="285"/>
      <c r="J282" s="268">
        <f>ROUND(S282*$S$12,2)</f>
        <v>1.53</v>
      </c>
      <c r="K282" s="268"/>
      <c r="L282" s="268"/>
      <c r="M282" s="268"/>
      <c r="N282" s="269">
        <f>ROUND(F282*J282,2)</f>
        <v>1035.31</v>
      </c>
      <c r="O282" s="263"/>
      <c r="P282" s="263"/>
      <c r="Q282" s="270"/>
      <c r="R282" s="216"/>
      <c r="S282" s="271">
        <v>1.86</v>
      </c>
    </row>
    <row r="283" spans="1:19" ht="15" x14ac:dyDescent="0.2">
      <c r="A283" s="282" t="s">
        <v>743</v>
      </c>
      <c r="B283" s="282">
        <v>84122</v>
      </c>
      <c r="C283" s="282" t="s">
        <v>1324</v>
      </c>
      <c r="D283" s="283" t="s">
        <v>1800</v>
      </c>
      <c r="E283" s="284" t="s">
        <v>102</v>
      </c>
      <c r="F283" s="285">
        <v>1</v>
      </c>
      <c r="G283" s="285"/>
      <c r="H283" s="285"/>
      <c r="I283" s="285"/>
      <c r="J283" s="268">
        <f>ROUND(S283*$S$12,2)</f>
        <v>1317.85</v>
      </c>
      <c r="K283" s="268"/>
      <c r="L283" s="268"/>
      <c r="M283" s="268"/>
      <c r="N283" s="269">
        <f>ROUND(F283*J283,2)</f>
        <v>1317.85</v>
      </c>
      <c r="O283" s="263"/>
      <c r="P283" s="263"/>
      <c r="Q283" s="270"/>
      <c r="R283" s="216"/>
      <c r="S283" s="271">
        <v>1600.13</v>
      </c>
    </row>
  </sheetData>
  <mergeCells count="8">
    <mergeCell ref="A10:N10"/>
    <mergeCell ref="Q13:R13"/>
    <mergeCell ref="C2:N2"/>
    <mergeCell ref="C3:N3"/>
    <mergeCell ref="A4:A6"/>
    <mergeCell ref="E6:F6"/>
    <mergeCell ref="B8:J8"/>
    <mergeCell ref="B9:N9"/>
  </mergeCells>
  <conditionalFormatting sqref="A89:I283 J45:N46 J51:N51 J57:N57 J62:N62 J67:N67 J69:N70 J72:N72 J75:N75 J77:N78 J83:N83 J87:N87 J90:N90 J92:N92 J95:N95 J98:N98 J109:N110 J116:N116 J120:N120 J129:N130 J152:N152 J168:N169 J181:N181 J190:N190 J194:N194 J208:N208 J214:N215 J225:N225 J247:N247 J252:N252 J259:N259 J268:N269 J275:N275 J278:N278 A16:G25 A45:I87 A26:N26 A32:N33 A39:N39 A27:H31 A34:G38 A40:G44">
    <cfRule type="expression" dxfId="957" priority="5">
      <formula>$D16&lt;&gt;0</formula>
    </cfRule>
    <cfRule type="expression" dxfId="956" priority="6">
      <formula>$O16=1</formula>
    </cfRule>
  </conditionalFormatting>
  <conditionalFormatting sqref="A14:N14">
    <cfRule type="expression" dxfId="955" priority="7">
      <formula>$D14&lt;&gt;0</formula>
    </cfRule>
    <cfRule type="expression" dxfId="954" priority="8">
      <formula>$O14=1</formula>
    </cfRule>
  </conditionalFormatting>
  <conditionalFormatting sqref="H34:H38">
    <cfRule type="expression" dxfId="953" priority="3">
      <formula>$D34&lt;&gt;0</formula>
    </cfRule>
    <cfRule type="expression" dxfId="952" priority="4">
      <formula>$O34=1</formula>
    </cfRule>
  </conditionalFormatting>
  <conditionalFormatting sqref="H40:H44">
    <cfRule type="expression" dxfId="951" priority="1">
      <formula>$D40&lt;&gt;0</formula>
    </cfRule>
    <cfRule type="expression" dxfId="950" priority="2">
      <formula>$O40=1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1" r:id="rId4" name="Button 11">
              <controlPr defaultSize="0" print="0" autoFill="0" autoPict="0" macro="[4]!VOLTARPREÇOS">
                <anchor moveWithCells="1" sizeWithCells="1">
                  <from>
                    <xdr:col>14</xdr:col>
                    <xdr:colOff>0</xdr:colOff>
                    <xdr:row>1</xdr:row>
                    <xdr:rowOff>161925</xdr:rowOff>
                  </from>
                  <to>
                    <xdr:col>14</xdr:col>
                    <xdr:colOff>0</xdr:colOff>
                    <xdr:row>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5" name="Button 12">
              <controlPr defaultSize="0" print="0" autoFill="0" autoPict="0" macro="[5]!VOLTARPREÇOS">
                <anchor moveWithCells="1" sizeWithCells="1">
                  <from>
                    <xdr:col>14</xdr:col>
                    <xdr:colOff>0</xdr:colOff>
                    <xdr:row>1</xdr:row>
                    <xdr:rowOff>161925</xdr:rowOff>
                  </from>
                  <to>
                    <xdr:col>14</xdr:col>
                    <xdr:colOff>0</xdr:colOff>
                    <xdr:row>4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283"/>
  <sheetViews>
    <sheetView workbookViewId="0">
      <selection activeCell="K13" sqref="K13"/>
    </sheetView>
  </sheetViews>
  <sheetFormatPr defaultRowHeight="12.75" x14ac:dyDescent="0.2"/>
  <cols>
    <col min="1" max="1" width="11.5" customWidth="1"/>
    <col min="2" max="3" width="12.5" customWidth="1"/>
    <col min="4" max="4" width="76.33203125" customWidth="1"/>
    <col min="5" max="5" width="10.83203125" customWidth="1"/>
    <col min="6" max="6" width="16.5" customWidth="1"/>
    <col min="7" max="7" width="18.1640625" customWidth="1"/>
    <col min="8" max="8" width="19.6640625" customWidth="1"/>
    <col min="9" max="9" width="16" customWidth="1"/>
    <col min="10" max="10" width="24" bestFit="1" customWidth="1"/>
    <col min="11" max="11" width="20.83203125" customWidth="1"/>
    <col min="12" max="12" width="18.1640625" customWidth="1"/>
    <col min="13" max="13" width="18.5" bestFit="1" customWidth="1"/>
    <col min="14" max="14" width="23.5" bestFit="1" customWidth="1"/>
    <col min="15" max="15" width="12.5" customWidth="1"/>
    <col min="16" max="16" width="24" customWidth="1"/>
    <col min="17" max="20" width="0" hidden="1" customWidth="1"/>
  </cols>
  <sheetData>
    <row r="1" spans="1:22" ht="16.5" thickBot="1" x14ac:dyDescent="0.25">
      <c r="A1" s="221"/>
      <c r="B1" s="221"/>
      <c r="C1" s="296"/>
      <c r="D1" s="226"/>
      <c r="E1" s="296"/>
      <c r="F1" s="226"/>
      <c r="G1" s="226"/>
      <c r="H1" s="226"/>
      <c r="I1" s="226"/>
      <c r="J1" s="226"/>
      <c r="K1" s="226"/>
      <c r="L1" s="226"/>
      <c r="M1" s="226"/>
      <c r="N1" s="226"/>
      <c r="O1" s="297"/>
      <c r="P1" s="298"/>
      <c r="Q1" s="299"/>
      <c r="R1" s="299"/>
      <c r="S1" s="300"/>
      <c r="T1" s="217"/>
      <c r="U1" s="217"/>
      <c r="V1" s="217"/>
    </row>
    <row r="2" spans="1:22" ht="20.25" x14ac:dyDescent="0.2">
      <c r="A2" s="218"/>
      <c r="B2" s="219"/>
      <c r="C2" s="848" t="s">
        <v>1808</v>
      </c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4"/>
      <c r="O2" s="297"/>
      <c r="P2" s="298"/>
      <c r="Q2" s="299"/>
      <c r="R2" s="299"/>
      <c r="S2" s="300"/>
      <c r="T2" s="217"/>
      <c r="U2" s="217"/>
      <c r="V2" s="217"/>
    </row>
    <row r="3" spans="1:22" ht="20.25" x14ac:dyDescent="0.2">
      <c r="A3" s="220"/>
      <c r="B3" s="221"/>
      <c r="C3" s="849" t="s">
        <v>1996</v>
      </c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6"/>
      <c r="O3" s="297"/>
      <c r="P3" s="298"/>
      <c r="Q3" s="299"/>
      <c r="R3" s="299"/>
      <c r="S3" s="300"/>
      <c r="T3" s="217"/>
      <c r="U3" s="217"/>
      <c r="V3" s="217"/>
    </row>
    <row r="4" spans="1:22" ht="15.75" x14ac:dyDescent="0.2">
      <c r="A4" s="837"/>
      <c r="B4" s="222"/>
      <c r="C4" s="301"/>
      <c r="D4" s="224" t="s">
        <v>1810</v>
      </c>
      <c r="E4" s="225">
        <f>[6]DADOS!C11</f>
        <v>0.87519999999999998</v>
      </c>
      <c r="F4" s="226"/>
      <c r="G4" s="226"/>
      <c r="H4" s="226"/>
      <c r="I4" s="226" t="s">
        <v>1811</v>
      </c>
      <c r="J4" s="225">
        <f>[6]DADOS!D11</f>
        <v>0.49359999999999998</v>
      </c>
      <c r="K4" s="226" t="s">
        <v>1812</v>
      </c>
      <c r="L4" s="225"/>
      <c r="M4" s="225"/>
      <c r="N4" s="227"/>
      <c r="O4" s="297"/>
      <c r="P4" s="298"/>
      <c r="Q4" s="302"/>
      <c r="R4" s="302"/>
      <c r="S4" s="303"/>
      <c r="T4" s="217"/>
      <c r="U4" s="217"/>
      <c r="V4" s="217"/>
    </row>
    <row r="5" spans="1:22" ht="15.75" x14ac:dyDescent="0.2">
      <c r="A5" s="837"/>
      <c r="B5" s="222"/>
      <c r="C5" s="301"/>
      <c r="D5" s="229" t="s">
        <v>1813</v>
      </c>
      <c r="E5" s="225">
        <f>[6]DADOS!C10</f>
        <v>0.27139999999999997</v>
      </c>
      <c r="F5" s="226"/>
      <c r="G5" s="226"/>
      <c r="H5" s="226"/>
      <c r="I5" s="226"/>
      <c r="J5" s="226"/>
      <c r="K5" s="226"/>
      <c r="L5" s="226"/>
      <c r="M5" s="226"/>
      <c r="N5" s="227"/>
      <c r="O5" s="297"/>
      <c r="P5" s="298"/>
      <c r="Q5" s="304"/>
      <c r="R5" s="304"/>
      <c r="S5" s="303"/>
      <c r="T5" s="217"/>
      <c r="U5" s="217"/>
      <c r="V5" s="217"/>
    </row>
    <row r="6" spans="1:22" ht="16.5" thickBot="1" x14ac:dyDescent="0.25">
      <c r="A6" s="838"/>
      <c r="B6" s="231"/>
      <c r="C6" s="305"/>
      <c r="D6" s="233" t="s">
        <v>1997</v>
      </c>
      <c r="E6" s="839">
        <f>[6]DADOS!C4</f>
        <v>43629</v>
      </c>
      <c r="F6" s="839"/>
      <c r="G6" s="234"/>
      <c r="H6" s="234"/>
      <c r="I6" s="234"/>
      <c r="J6" s="235"/>
      <c r="K6" s="235"/>
      <c r="L6" s="235"/>
      <c r="M6" s="235"/>
      <c r="N6" s="236"/>
      <c r="O6" s="297"/>
      <c r="P6" s="298"/>
      <c r="Q6" s="302"/>
      <c r="R6" s="302"/>
      <c r="S6" s="303"/>
      <c r="T6" s="217"/>
      <c r="U6" s="217"/>
      <c r="V6" s="217"/>
    </row>
    <row r="7" spans="1:22" ht="16.5" thickBot="1" x14ac:dyDescent="0.25">
      <c r="A7" s="237"/>
      <c r="B7" s="237"/>
      <c r="C7" s="238"/>
      <c r="D7" s="239"/>
      <c r="E7" s="238"/>
      <c r="F7" s="239"/>
      <c r="G7" s="239"/>
      <c r="H7" s="239"/>
      <c r="I7" s="239"/>
      <c r="J7" s="239"/>
      <c r="K7" s="239"/>
      <c r="L7" s="239"/>
      <c r="M7" s="239"/>
      <c r="N7" s="239"/>
      <c r="O7" s="297"/>
      <c r="P7" s="306"/>
      <c r="Q7" s="307"/>
      <c r="R7" s="307"/>
      <c r="S7" s="308"/>
      <c r="T7" s="217"/>
      <c r="U7" s="217"/>
      <c r="V7" s="217"/>
    </row>
    <row r="8" spans="1:22" ht="15.75" x14ac:dyDescent="0.2">
      <c r="A8" s="309" t="s">
        <v>1814</v>
      </c>
      <c r="B8" s="850" t="str">
        <f>[6]DADOS!C16</f>
        <v>PREFEITURA MUNICIPAL DE BARREIRAS</v>
      </c>
      <c r="C8" s="850"/>
      <c r="D8" s="850"/>
      <c r="E8" s="850"/>
      <c r="F8" s="850"/>
      <c r="G8" s="850"/>
      <c r="H8" s="850"/>
      <c r="I8" s="850"/>
      <c r="J8" s="850"/>
      <c r="K8" s="310"/>
      <c r="L8" s="310"/>
      <c r="M8" s="310"/>
      <c r="N8" s="311"/>
      <c r="O8" s="297"/>
      <c r="P8" s="306"/>
      <c r="Q8" s="307"/>
      <c r="R8" s="307"/>
      <c r="S8" s="308"/>
      <c r="T8" s="217"/>
      <c r="U8" s="217"/>
      <c r="V8" s="217"/>
    </row>
    <row r="9" spans="1:22" ht="15.75" x14ac:dyDescent="0.2">
      <c r="A9" s="312" t="s">
        <v>1815</v>
      </c>
      <c r="B9" s="851" t="str">
        <f>[6]DADOS!C17</f>
        <v>CONTRATAÇÃO DE EMPRESA PRESTADORA DE SERVIÇOS NO RAMO DA CONSTRUÇÃO CIVIL NA EXECUÇÃO DA OBRA DE CONSTRUÇÃO DE UMA QUADRA COBERTA POLIESPORTIVA , TIPO 1 PADRÃO FNDE NA ESCOLA MUNICIPAL PROFESSORA CLEONICE LOPES NA SEDE DESTE MUNICÍPIO</v>
      </c>
      <c r="C9" s="851"/>
      <c r="D9" s="851"/>
      <c r="E9" s="851"/>
      <c r="F9" s="851"/>
      <c r="G9" s="851"/>
      <c r="H9" s="851"/>
      <c r="I9" s="851"/>
      <c r="J9" s="851"/>
      <c r="K9" s="851"/>
      <c r="L9" s="851"/>
      <c r="M9" s="851"/>
      <c r="N9" s="852"/>
      <c r="O9" s="297"/>
      <c r="P9" s="313"/>
      <c r="Q9" s="314"/>
      <c r="R9" s="314"/>
      <c r="S9" s="315"/>
      <c r="T9" s="217"/>
      <c r="U9" s="217"/>
      <c r="V9" s="217"/>
    </row>
    <row r="10" spans="1:22" ht="16.5" thickBot="1" x14ac:dyDescent="0.25">
      <c r="A10" s="845" t="s">
        <v>1816</v>
      </c>
      <c r="B10" s="846"/>
      <c r="C10" s="846"/>
      <c r="D10" s="846"/>
      <c r="E10" s="846"/>
      <c r="F10" s="846"/>
      <c r="G10" s="846"/>
      <c r="H10" s="846"/>
      <c r="I10" s="846"/>
      <c r="J10" s="846"/>
      <c r="K10" s="846"/>
      <c r="L10" s="846"/>
      <c r="M10" s="846"/>
      <c r="N10" s="847"/>
      <c r="O10" s="297"/>
      <c r="P10" s="306"/>
      <c r="Q10" s="307"/>
      <c r="R10" s="307"/>
      <c r="S10" s="308"/>
      <c r="T10" s="217"/>
      <c r="U10" s="217"/>
      <c r="V10" s="217"/>
    </row>
    <row r="11" spans="1:22" ht="15.75" x14ac:dyDescent="0.2">
      <c r="A11" s="237"/>
      <c r="B11" s="237"/>
      <c r="C11" s="238"/>
      <c r="D11" s="239"/>
      <c r="E11" s="238"/>
      <c r="F11" s="239"/>
      <c r="G11" s="239"/>
      <c r="H11" s="239"/>
      <c r="I11" s="239"/>
      <c r="J11" s="239"/>
      <c r="K11" s="239"/>
      <c r="L11" s="239"/>
      <c r="M11" s="239"/>
      <c r="N11" s="239"/>
      <c r="O11" s="297"/>
      <c r="P11" s="306"/>
      <c r="Q11" s="307"/>
      <c r="R11" s="307"/>
      <c r="S11" s="308"/>
      <c r="T11" s="217"/>
      <c r="U11" s="217"/>
      <c r="V11" s="217"/>
    </row>
    <row r="12" spans="1:22" ht="25.5" x14ac:dyDescent="0.2">
      <c r="A12" s="247" t="s">
        <v>4</v>
      </c>
      <c r="B12" s="247" t="s">
        <v>1326</v>
      </c>
      <c r="C12" s="248" t="s">
        <v>1327</v>
      </c>
      <c r="D12" s="247" t="s">
        <v>5</v>
      </c>
      <c r="E12" s="247" t="s">
        <v>1817</v>
      </c>
      <c r="F12" s="247" t="s">
        <v>7</v>
      </c>
      <c r="G12" s="247" t="s">
        <v>1818</v>
      </c>
      <c r="H12" s="247" t="s">
        <v>1819</v>
      </c>
      <c r="I12" s="247" t="s">
        <v>1295</v>
      </c>
      <c r="J12" s="248" t="s">
        <v>1820</v>
      </c>
      <c r="K12" s="247" t="s">
        <v>1818</v>
      </c>
      <c r="L12" s="247" t="s">
        <v>1819</v>
      </c>
      <c r="M12" s="247" t="s">
        <v>1295</v>
      </c>
      <c r="N12" s="248" t="s">
        <v>1821</v>
      </c>
      <c r="O12" s="297"/>
      <c r="P12" s="316"/>
      <c r="Q12" s="317"/>
      <c r="R12" s="317"/>
      <c r="S12" s="318"/>
      <c r="T12" s="251">
        <v>0.8235894900825953</v>
      </c>
      <c r="U12" s="217"/>
      <c r="V12" s="217"/>
    </row>
    <row r="13" spans="1:22" ht="63.75" x14ac:dyDescent="0.2">
      <c r="A13" s="252"/>
      <c r="B13" s="252"/>
      <c r="C13" s="253"/>
      <c r="D13" s="254" t="str">
        <f>B9</f>
        <v>CONTRATAÇÃO DE EMPRESA PRESTADORA DE SERVIÇOS NO RAMO DA CONSTRUÇÃO CIVIL NA EXECUÇÃO DA OBRA DE CONSTRUÇÃO DE UMA QUADRA COBERTA POLIESPORTIVA , TIPO 1 PADRÃO FNDE NA ESCOLA MUNICIPAL PROFESSORA CLEONICE LOPES NA SEDE DESTE MUNICÍPIO</v>
      </c>
      <c r="E13" s="252"/>
      <c r="F13" s="255"/>
      <c r="G13" s="255"/>
      <c r="H13" s="255"/>
      <c r="I13" s="255"/>
      <c r="J13" s="256">
        <f>N13</f>
        <v>664297.16</v>
      </c>
      <c r="K13" s="256">
        <f>SUM(K14,K26,K32)</f>
        <v>31571.098399999995</v>
      </c>
      <c r="L13" s="256"/>
      <c r="M13" s="256"/>
      <c r="N13" s="257">
        <f>N14+N26+N32+N45+N69+N77+N92+N95+N98+N109+N120+N129+N168+N190+N194+N208+N214+N259+N268+N278</f>
        <v>664297.16</v>
      </c>
      <c r="O13" s="297"/>
      <c r="P13" s="319"/>
      <c r="Q13" s="317"/>
      <c r="R13" s="317"/>
      <c r="S13" s="318"/>
      <c r="T13" s="251"/>
      <c r="U13" s="217"/>
      <c r="V13" s="320" t="s">
        <v>1998</v>
      </c>
    </row>
    <row r="14" spans="1:22" ht="15.75" x14ac:dyDescent="0.2">
      <c r="A14" s="258">
        <v>1</v>
      </c>
      <c r="B14" s="258"/>
      <c r="C14" s="258"/>
      <c r="D14" s="259" t="s">
        <v>9</v>
      </c>
      <c r="E14" s="260"/>
      <c r="F14" s="261">
        <f>SUM(F15:F25)</f>
        <v>2411.4</v>
      </c>
      <c r="G14" s="261">
        <f>SUM(G15:G25)</f>
        <v>218.49999999999997</v>
      </c>
      <c r="H14" s="261">
        <f>SUM(H15:H25)</f>
        <v>2411.4</v>
      </c>
      <c r="I14" s="261">
        <f>SUM(I15:I25)</f>
        <v>0</v>
      </c>
      <c r="J14" s="261">
        <f>N14</f>
        <v>32660.889999999992</v>
      </c>
      <c r="K14" s="261">
        <f>SUM(K15:K25)</f>
        <v>16468.809999999998</v>
      </c>
      <c r="L14" s="261">
        <f>SUM(L15:L25)</f>
        <v>16468.809999999998</v>
      </c>
      <c r="M14" s="261">
        <v>0</v>
      </c>
      <c r="N14" s="262">
        <f>SUM(N15:N25)</f>
        <v>32660.889999999992</v>
      </c>
      <c r="O14" s="321"/>
      <c r="P14" s="319"/>
      <c r="Q14" s="322"/>
      <c r="R14" s="322"/>
      <c r="S14" s="323" t="s">
        <v>1822</v>
      </c>
      <c r="T14" s="264"/>
      <c r="U14" s="324"/>
      <c r="V14" s="261">
        <f>SUM(V15:V25)</f>
        <v>2192.9</v>
      </c>
    </row>
    <row r="15" spans="1:22" ht="15.75" x14ac:dyDescent="0.2">
      <c r="A15" s="265" t="s">
        <v>10</v>
      </c>
      <c r="B15" s="265" t="s">
        <v>1328</v>
      </c>
      <c r="C15" s="265" t="s">
        <v>1324</v>
      </c>
      <c r="D15" s="266" t="s">
        <v>1329</v>
      </c>
      <c r="E15" s="267" t="s">
        <v>14</v>
      </c>
      <c r="F15" s="268">
        <v>10</v>
      </c>
      <c r="G15" s="268">
        <v>0</v>
      </c>
      <c r="H15" s="268">
        <f>V15+G15</f>
        <v>10</v>
      </c>
      <c r="I15" s="268">
        <f t="shared" ref="I15:I25" si="0">F15-H15</f>
        <v>0</v>
      </c>
      <c r="J15" s="268">
        <f>ROUND(T15*$T$12,2)</f>
        <v>232.25</v>
      </c>
      <c r="K15" s="268">
        <f>G15*J15</f>
        <v>0</v>
      </c>
      <c r="L15" s="268">
        <f>K15</f>
        <v>0</v>
      </c>
      <c r="M15" s="268">
        <f>K15-L15</f>
        <v>0</v>
      </c>
      <c r="N15" s="269">
        <f t="shared" ref="N15:N25" si="1">ROUND(F15*J15,2)</f>
        <v>2322.5</v>
      </c>
      <c r="O15" s="325">
        <f>L15/P15</f>
        <v>0</v>
      </c>
      <c r="P15" s="319">
        <f t="shared" ref="P15:P25" si="2">F15*J15</f>
        <v>2322.5</v>
      </c>
      <c r="Q15" s="322"/>
      <c r="R15" s="322"/>
      <c r="S15" s="323" t="s">
        <v>1823</v>
      </c>
      <c r="T15" s="271">
        <v>282</v>
      </c>
      <c r="U15" s="324"/>
      <c r="V15" s="268">
        <v>10</v>
      </c>
    </row>
    <row r="16" spans="1:22" ht="15.75" x14ac:dyDescent="0.2">
      <c r="A16" s="272" t="s">
        <v>1330</v>
      </c>
      <c r="B16" s="272" t="s">
        <v>1331</v>
      </c>
      <c r="C16" s="272" t="s">
        <v>1324</v>
      </c>
      <c r="D16" s="273" t="s">
        <v>1332</v>
      </c>
      <c r="E16" s="274" t="s">
        <v>14</v>
      </c>
      <c r="F16" s="275">
        <v>312.39999999999998</v>
      </c>
      <c r="G16" s="275">
        <f>F16-V16</f>
        <v>203.49999999999997</v>
      </c>
      <c r="H16" s="268">
        <f>V16+G16</f>
        <v>312.39999999999998</v>
      </c>
      <c r="I16" s="268">
        <f t="shared" si="0"/>
        <v>0</v>
      </c>
      <c r="J16" s="268">
        <f t="shared" ref="J16:J25" si="3">ROUND(T16*$T$12,2)</f>
        <v>39.78</v>
      </c>
      <c r="K16" s="268">
        <f t="shared" ref="K16:K31" si="4">G16*J16</f>
        <v>8095.2299999999987</v>
      </c>
      <c r="L16" s="268">
        <f t="shared" ref="L16:L31" si="5">K16</f>
        <v>8095.2299999999987</v>
      </c>
      <c r="M16" s="268">
        <f t="shared" ref="M16:M25" si="6">K16-L16</f>
        <v>0</v>
      </c>
      <c r="N16" s="269">
        <f t="shared" si="1"/>
        <v>12427.27</v>
      </c>
      <c r="O16" s="325">
        <f t="shared" ref="O16:O79" si="7">L16/P16</f>
        <v>0.65140845070422526</v>
      </c>
      <c r="P16" s="319">
        <f t="shared" si="2"/>
        <v>12427.271999999999</v>
      </c>
      <c r="Q16" s="322"/>
      <c r="R16" s="322"/>
      <c r="S16" s="323" t="s">
        <v>1824</v>
      </c>
      <c r="T16" s="271">
        <v>48.3</v>
      </c>
      <c r="U16" s="324"/>
      <c r="V16" s="275">
        <v>108.9</v>
      </c>
    </row>
    <row r="17" spans="1:22" ht="25.5" x14ac:dyDescent="0.2">
      <c r="A17" s="272" t="s">
        <v>1333</v>
      </c>
      <c r="B17" s="272">
        <v>9540</v>
      </c>
      <c r="C17" s="272" t="s">
        <v>1324</v>
      </c>
      <c r="D17" s="273" t="s">
        <v>1334</v>
      </c>
      <c r="E17" s="274" t="s">
        <v>102</v>
      </c>
      <c r="F17" s="275">
        <v>1</v>
      </c>
      <c r="G17" s="275">
        <v>1</v>
      </c>
      <c r="H17" s="268">
        <f t="shared" ref="H17:H31" si="8">V17+G17</f>
        <v>1</v>
      </c>
      <c r="I17" s="268">
        <f t="shared" si="0"/>
        <v>0</v>
      </c>
      <c r="J17" s="268">
        <f t="shared" si="3"/>
        <v>783.05</v>
      </c>
      <c r="K17" s="268">
        <f t="shared" si="4"/>
        <v>783.05</v>
      </c>
      <c r="L17" s="268">
        <f t="shared" si="5"/>
        <v>783.05</v>
      </c>
      <c r="M17" s="268">
        <f t="shared" si="6"/>
        <v>0</v>
      </c>
      <c r="N17" s="269">
        <f t="shared" si="1"/>
        <v>783.05</v>
      </c>
      <c r="O17" s="325">
        <f t="shared" si="7"/>
        <v>1</v>
      </c>
      <c r="P17" s="319">
        <f t="shared" si="2"/>
        <v>783.05</v>
      </c>
      <c r="Q17" s="322"/>
      <c r="R17" s="322"/>
      <c r="S17" s="323" t="s">
        <v>1825</v>
      </c>
      <c r="T17" s="271">
        <v>950.78</v>
      </c>
      <c r="U17" s="324"/>
      <c r="V17" s="275">
        <v>0</v>
      </c>
    </row>
    <row r="18" spans="1:22" ht="15.75" x14ac:dyDescent="0.2">
      <c r="A18" s="272" t="s">
        <v>1335</v>
      </c>
      <c r="B18" s="272" t="s">
        <v>1336</v>
      </c>
      <c r="C18" s="272" t="s">
        <v>1324</v>
      </c>
      <c r="D18" s="273" t="s">
        <v>1337</v>
      </c>
      <c r="E18" s="274" t="s">
        <v>102</v>
      </c>
      <c r="F18" s="275">
        <v>1</v>
      </c>
      <c r="G18" s="275">
        <v>1</v>
      </c>
      <c r="H18" s="268">
        <f t="shared" si="8"/>
        <v>1</v>
      </c>
      <c r="I18" s="268">
        <f t="shared" si="0"/>
        <v>0</v>
      </c>
      <c r="J18" s="268">
        <f t="shared" si="3"/>
        <v>1344.39</v>
      </c>
      <c r="K18" s="268">
        <f t="shared" si="4"/>
        <v>1344.39</v>
      </c>
      <c r="L18" s="268">
        <f t="shared" si="5"/>
        <v>1344.39</v>
      </c>
      <c r="M18" s="268">
        <f t="shared" si="6"/>
        <v>0</v>
      </c>
      <c r="N18" s="269">
        <f t="shared" si="1"/>
        <v>1344.39</v>
      </c>
      <c r="O18" s="325">
        <f t="shared" si="7"/>
        <v>1</v>
      </c>
      <c r="P18" s="319">
        <f t="shared" si="2"/>
        <v>1344.39</v>
      </c>
      <c r="Q18" s="322"/>
      <c r="R18" s="322"/>
      <c r="S18" s="323" t="s">
        <v>1826</v>
      </c>
      <c r="T18" s="271">
        <v>1632.35</v>
      </c>
      <c r="U18" s="324"/>
      <c r="V18" s="275">
        <v>0</v>
      </c>
    </row>
    <row r="19" spans="1:22" ht="15.75" x14ac:dyDescent="0.2">
      <c r="A19" s="272" t="s">
        <v>1338</v>
      </c>
      <c r="B19" s="272"/>
      <c r="C19" s="272" t="s">
        <v>1339</v>
      </c>
      <c r="D19" s="273" t="s">
        <v>1340</v>
      </c>
      <c r="E19" s="274" t="s">
        <v>102</v>
      </c>
      <c r="F19" s="275">
        <v>1</v>
      </c>
      <c r="G19" s="275">
        <v>1</v>
      </c>
      <c r="H19" s="268">
        <f t="shared" si="8"/>
        <v>1</v>
      </c>
      <c r="I19" s="268">
        <f t="shared" si="0"/>
        <v>0</v>
      </c>
      <c r="J19" s="268">
        <f t="shared" si="3"/>
        <v>823.61</v>
      </c>
      <c r="K19" s="268">
        <f t="shared" si="4"/>
        <v>823.61</v>
      </c>
      <c r="L19" s="268">
        <f t="shared" si="5"/>
        <v>823.61</v>
      </c>
      <c r="M19" s="268">
        <f t="shared" si="6"/>
        <v>0</v>
      </c>
      <c r="N19" s="269">
        <f t="shared" si="1"/>
        <v>823.61</v>
      </c>
      <c r="O19" s="325">
        <f t="shared" si="7"/>
        <v>1</v>
      </c>
      <c r="P19" s="319">
        <f t="shared" si="2"/>
        <v>823.61</v>
      </c>
      <c r="Q19" s="322"/>
      <c r="R19" s="322"/>
      <c r="S19" s="323" t="s">
        <v>1827</v>
      </c>
      <c r="T19" s="271">
        <v>1000.03</v>
      </c>
      <c r="U19" s="324"/>
      <c r="V19" s="275">
        <v>0</v>
      </c>
    </row>
    <row r="20" spans="1:22" ht="15.75" x14ac:dyDescent="0.2">
      <c r="A20" s="272" t="s">
        <v>1341</v>
      </c>
      <c r="B20" s="272" t="s">
        <v>1342</v>
      </c>
      <c r="C20" s="272" t="s">
        <v>1343</v>
      </c>
      <c r="D20" s="273" t="s">
        <v>1344</v>
      </c>
      <c r="E20" s="274" t="s">
        <v>102</v>
      </c>
      <c r="F20" s="275">
        <v>1</v>
      </c>
      <c r="G20" s="275">
        <v>1</v>
      </c>
      <c r="H20" s="268">
        <f t="shared" si="8"/>
        <v>1</v>
      </c>
      <c r="I20" s="268">
        <f t="shared" si="0"/>
        <v>0</v>
      </c>
      <c r="J20" s="268">
        <f t="shared" si="3"/>
        <v>174.71</v>
      </c>
      <c r="K20" s="268">
        <f t="shared" si="4"/>
        <v>174.71</v>
      </c>
      <c r="L20" s="268">
        <f t="shared" si="5"/>
        <v>174.71</v>
      </c>
      <c r="M20" s="268">
        <f t="shared" si="6"/>
        <v>0</v>
      </c>
      <c r="N20" s="269">
        <f t="shared" si="1"/>
        <v>174.71</v>
      </c>
      <c r="O20" s="325">
        <f t="shared" si="7"/>
        <v>1</v>
      </c>
      <c r="P20" s="319">
        <f t="shared" si="2"/>
        <v>174.71</v>
      </c>
      <c r="Q20" s="322"/>
      <c r="R20" s="322"/>
      <c r="S20" s="323" t="s">
        <v>1828</v>
      </c>
      <c r="T20" s="271">
        <v>212.13</v>
      </c>
      <c r="U20" s="324"/>
      <c r="V20" s="275">
        <v>0</v>
      </c>
    </row>
    <row r="21" spans="1:22" ht="25.5" x14ac:dyDescent="0.2">
      <c r="A21" s="272" t="s">
        <v>1345</v>
      </c>
      <c r="B21" s="272" t="s">
        <v>1346</v>
      </c>
      <c r="C21" s="272" t="s">
        <v>1324</v>
      </c>
      <c r="D21" s="273" t="s">
        <v>1347</v>
      </c>
      <c r="E21" s="274" t="s">
        <v>102</v>
      </c>
      <c r="F21" s="275">
        <v>1</v>
      </c>
      <c r="G21" s="275">
        <v>1</v>
      </c>
      <c r="H21" s="268">
        <f t="shared" si="8"/>
        <v>1</v>
      </c>
      <c r="I21" s="268">
        <f t="shared" si="0"/>
        <v>0</v>
      </c>
      <c r="J21" s="268">
        <f t="shared" si="3"/>
        <v>1343.12</v>
      </c>
      <c r="K21" s="268">
        <f t="shared" si="4"/>
        <v>1343.12</v>
      </c>
      <c r="L21" s="268">
        <f t="shared" si="5"/>
        <v>1343.12</v>
      </c>
      <c r="M21" s="268">
        <f t="shared" si="6"/>
        <v>0</v>
      </c>
      <c r="N21" s="269">
        <f t="shared" si="1"/>
        <v>1343.12</v>
      </c>
      <c r="O21" s="325">
        <f t="shared" si="7"/>
        <v>1</v>
      </c>
      <c r="P21" s="319">
        <f t="shared" si="2"/>
        <v>1343.12</v>
      </c>
      <c r="Q21" s="322"/>
      <c r="R21" s="322"/>
      <c r="S21" s="323" t="s">
        <v>1829</v>
      </c>
      <c r="T21" s="271">
        <v>1630.81</v>
      </c>
      <c r="U21" s="324"/>
      <c r="V21" s="275">
        <v>0</v>
      </c>
    </row>
    <row r="22" spans="1:22" ht="15.75" x14ac:dyDescent="0.2">
      <c r="A22" s="272" t="s">
        <v>1348</v>
      </c>
      <c r="B22" s="272" t="s">
        <v>1349</v>
      </c>
      <c r="C22" s="272" t="s">
        <v>1324</v>
      </c>
      <c r="D22" s="273" t="s">
        <v>1350</v>
      </c>
      <c r="E22" s="274" t="s">
        <v>14</v>
      </c>
      <c r="F22" s="275">
        <v>20</v>
      </c>
      <c r="G22" s="275">
        <v>10</v>
      </c>
      <c r="H22" s="268">
        <f t="shared" si="8"/>
        <v>20</v>
      </c>
      <c r="I22" s="268">
        <f t="shared" si="0"/>
        <v>0</v>
      </c>
      <c r="J22" s="268">
        <f t="shared" si="3"/>
        <v>390.47</v>
      </c>
      <c r="K22" s="268">
        <f t="shared" si="4"/>
        <v>3904.7000000000003</v>
      </c>
      <c r="L22" s="268">
        <f t="shared" si="5"/>
        <v>3904.7000000000003</v>
      </c>
      <c r="M22" s="268">
        <f t="shared" si="6"/>
        <v>0</v>
      </c>
      <c r="N22" s="269">
        <f t="shared" si="1"/>
        <v>7809.4</v>
      </c>
      <c r="O22" s="325">
        <f t="shared" si="7"/>
        <v>0.5</v>
      </c>
      <c r="P22" s="319">
        <f t="shared" si="2"/>
        <v>7809.4000000000005</v>
      </c>
      <c r="Q22" s="322"/>
      <c r="R22" s="322"/>
      <c r="S22" s="323" t="s">
        <v>1830</v>
      </c>
      <c r="T22" s="271">
        <v>474.11</v>
      </c>
      <c r="U22" s="324"/>
      <c r="V22" s="275">
        <v>10</v>
      </c>
    </row>
    <row r="23" spans="1:22" ht="15.75" x14ac:dyDescent="0.2">
      <c r="A23" s="272" t="s">
        <v>1351</v>
      </c>
      <c r="B23" s="272" t="s">
        <v>1352</v>
      </c>
      <c r="C23" s="272" t="s">
        <v>1324</v>
      </c>
      <c r="D23" s="273" t="s">
        <v>1353</v>
      </c>
      <c r="E23" s="274" t="s">
        <v>14</v>
      </c>
      <c r="F23" s="275">
        <v>785</v>
      </c>
      <c r="G23" s="275">
        <v>0</v>
      </c>
      <c r="H23" s="268">
        <f t="shared" si="8"/>
        <v>785</v>
      </c>
      <c r="I23" s="268">
        <f t="shared" si="0"/>
        <v>0</v>
      </c>
      <c r="J23" s="268">
        <f t="shared" si="3"/>
        <v>4.0999999999999996</v>
      </c>
      <c r="K23" s="268">
        <f t="shared" si="4"/>
        <v>0</v>
      </c>
      <c r="L23" s="268">
        <f t="shared" si="5"/>
        <v>0</v>
      </c>
      <c r="M23" s="268">
        <f t="shared" si="6"/>
        <v>0</v>
      </c>
      <c r="N23" s="269">
        <f t="shared" si="1"/>
        <v>3218.5</v>
      </c>
      <c r="O23" s="325">
        <f t="shared" si="7"/>
        <v>0</v>
      </c>
      <c r="P23" s="319">
        <f t="shared" si="2"/>
        <v>3218.4999999999995</v>
      </c>
      <c r="Q23" s="322"/>
      <c r="R23" s="322"/>
      <c r="S23" s="323" t="s">
        <v>1831</v>
      </c>
      <c r="T23" s="271">
        <v>4.9800000000000004</v>
      </c>
      <c r="U23" s="324"/>
      <c r="V23" s="275">
        <v>785</v>
      </c>
    </row>
    <row r="24" spans="1:22" ht="15.75" x14ac:dyDescent="0.2">
      <c r="A24" s="272" t="s">
        <v>1354</v>
      </c>
      <c r="B24" s="272" t="s">
        <v>1355</v>
      </c>
      <c r="C24" s="272" t="s">
        <v>1343</v>
      </c>
      <c r="D24" s="273" t="s">
        <v>1356</v>
      </c>
      <c r="E24" s="274" t="s">
        <v>81</v>
      </c>
      <c r="F24" s="275">
        <v>49</v>
      </c>
      <c r="G24" s="275">
        <v>0</v>
      </c>
      <c r="H24" s="268">
        <f t="shared" si="8"/>
        <v>49</v>
      </c>
      <c r="I24" s="268">
        <f t="shared" si="0"/>
        <v>0</v>
      </c>
      <c r="J24" s="268">
        <f t="shared" si="3"/>
        <v>46.26</v>
      </c>
      <c r="K24" s="268">
        <f t="shared" si="4"/>
        <v>0</v>
      </c>
      <c r="L24" s="268">
        <f t="shared" si="5"/>
        <v>0</v>
      </c>
      <c r="M24" s="268">
        <f t="shared" si="6"/>
        <v>0</v>
      </c>
      <c r="N24" s="269">
        <f t="shared" si="1"/>
        <v>2266.7399999999998</v>
      </c>
      <c r="O24" s="325">
        <f t="shared" si="7"/>
        <v>0</v>
      </c>
      <c r="P24" s="319">
        <f t="shared" si="2"/>
        <v>2266.7399999999998</v>
      </c>
      <c r="Q24" s="322"/>
      <c r="R24" s="322"/>
      <c r="S24" s="323" t="s">
        <v>1832</v>
      </c>
      <c r="T24" s="271">
        <v>56.17</v>
      </c>
      <c r="U24" s="324"/>
      <c r="V24" s="275">
        <v>49</v>
      </c>
    </row>
    <row r="25" spans="1:22" ht="15.75" x14ac:dyDescent="0.2">
      <c r="A25" s="272" t="s">
        <v>1357</v>
      </c>
      <c r="B25" s="272">
        <v>72213</v>
      </c>
      <c r="C25" s="272" t="s">
        <v>1324</v>
      </c>
      <c r="D25" s="273" t="s">
        <v>1358</v>
      </c>
      <c r="E25" s="274" t="s">
        <v>14</v>
      </c>
      <c r="F25" s="275">
        <v>1230</v>
      </c>
      <c r="G25" s="275">
        <v>0</v>
      </c>
      <c r="H25" s="268">
        <f t="shared" si="8"/>
        <v>1230</v>
      </c>
      <c r="I25" s="268">
        <f t="shared" si="0"/>
        <v>0</v>
      </c>
      <c r="J25" s="268">
        <f t="shared" si="3"/>
        <v>0.12</v>
      </c>
      <c r="K25" s="268">
        <f t="shared" si="4"/>
        <v>0</v>
      </c>
      <c r="L25" s="268">
        <f t="shared" si="5"/>
        <v>0</v>
      </c>
      <c r="M25" s="268">
        <f t="shared" si="6"/>
        <v>0</v>
      </c>
      <c r="N25" s="269">
        <f t="shared" si="1"/>
        <v>147.6</v>
      </c>
      <c r="O25" s="325">
        <f t="shared" si="7"/>
        <v>0</v>
      </c>
      <c r="P25" s="319">
        <f t="shared" si="2"/>
        <v>147.6</v>
      </c>
      <c r="Q25" s="322"/>
      <c r="R25" s="322"/>
      <c r="S25" s="323" t="s">
        <v>1833</v>
      </c>
      <c r="T25" s="271">
        <v>0.14000000000000001</v>
      </c>
      <c r="U25" s="324"/>
      <c r="V25" s="275">
        <v>1230</v>
      </c>
    </row>
    <row r="26" spans="1:22" ht="15.75" x14ac:dyDescent="0.2">
      <c r="A26" s="258">
        <v>2</v>
      </c>
      <c r="B26" s="258"/>
      <c r="C26" s="258"/>
      <c r="D26" s="259" t="s">
        <v>1359</v>
      </c>
      <c r="E26" s="260"/>
      <c r="F26" s="261">
        <f t="shared" ref="F26:L26" si="9">SUM(F27:F31)</f>
        <v>438.40999999999997</v>
      </c>
      <c r="G26" s="261">
        <f t="shared" si="9"/>
        <v>194.56</v>
      </c>
      <c r="H26" s="261">
        <f t="shared" si="9"/>
        <v>353.02</v>
      </c>
      <c r="I26" s="261">
        <f t="shared" si="9"/>
        <v>85.39</v>
      </c>
      <c r="J26" s="261">
        <f t="shared" si="9"/>
        <v>131.45000000000002</v>
      </c>
      <c r="K26" s="261">
        <f t="shared" si="9"/>
        <v>5440.6827999999996</v>
      </c>
      <c r="L26" s="261">
        <f t="shared" si="9"/>
        <v>5440.6827999999996</v>
      </c>
      <c r="M26" s="261">
        <f>N26-L26</f>
        <v>5574.4772000000003</v>
      </c>
      <c r="N26" s="262">
        <f>SUM(N27:N31)</f>
        <v>11015.16</v>
      </c>
      <c r="O26" s="325"/>
      <c r="P26" s="319"/>
      <c r="Q26" s="322"/>
      <c r="R26" s="322"/>
      <c r="S26" s="323" t="s">
        <v>1834</v>
      </c>
      <c r="T26" s="264"/>
      <c r="U26" s="324"/>
      <c r="V26" s="261">
        <f>SUM(V27:V31)</f>
        <v>158.45999999999998</v>
      </c>
    </row>
    <row r="27" spans="1:22" ht="25.5" x14ac:dyDescent="0.2">
      <c r="A27" s="272" t="s">
        <v>27</v>
      </c>
      <c r="B27" s="272">
        <v>55835</v>
      </c>
      <c r="C27" s="272" t="s">
        <v>1324</v>
      </c>
      <c r="D27" s="273" t="s">
        <v>1360</v>
      </c>
      <c r="E27" s="274" t="s">
        <v>48</v>
      </c>
      <c r="F27" s="275">
        <v>154.94</v>
      </c>
      <c r="G27" s="275">
        <v>154.94</v>
      </c>
      <c r="H27" s="268">
        <f t="shared" si="8"/>
        <v>154.94</v>
      </c>
      <c r="I27" s="268">
        <f>F27-H27</f>
        <v>0</v>
      </c>
      <c r="J27" s="268">
        <f>ROUND(T27*$T$12,2)</f>
        <v>29.27</v>
      </c>
      <c r="K27" s="268">
        <f t="shared" si="4"/>
        <v>4535.0937999999996</v>
      </c>
      <c r="L27" s="268">
        <f t="shared" si="5"/>
        <v>4535.0937999999996</v>
      </c>
      <c r="M27" s="268">
        <f>K27-L27</f>
        <v>0</v>
      </c>
      <c r="N27" s="269">
        <f>ROUND(F27*J27,2)</f>
        <v>4535.09</v>
      </c>
      <c r="O27" s="325" t="e">
        <f t="shared" si="7"/>
        <v>#DIV/0!</v>
      </c>
      <c r="P27" s="319"/>
      <c r="Q27" s="322"/>
      <c r="R27" s="322"/>
      <c r="S27" s="323" t="s">
        <v>1835</v>
      </c>
      <c r="T27" s="271">
        <v>35.54</v>
      </c>
      <c r="U27" s="324"/>
      <c r="V27" s="275">
        <v>0</v>
      </c>
    </row>
    <row r="28" spans="1:22" ht="15.75" x14ac:dyDescent="0.2">
      <c r="A28" s="272" t="s">
        <v>1263</v>
      </c>
      <c r="B28" s="272">
        <v>79478</v>
      </c>
      <c r="C28" s="272" t="s">
        <v>1324</v>
      </c>
      <c r="D28" s="273" t="s">
        <v>1361</v>
      </c>
      <c r="E28" s="274" t="s">
        <v>48</v>
      </c>
      <c r="F28" s="275">
        <v>83.25</v>
      </c>
      <c r="G28" s="275">
        <f>F28-V28</f>
        <v>16.650000000000006</v>
      </c>
      <c r="H28" s="268">
        <f t="shared" si="8"/>
        <v>83.25</v>
      </c>
      <c r="I28" s="268">
        <f>F28-H28</f>
        <v>0</v>
      </c>
      <c r="J28" s="268">
        <f>ROUND(T28*$T$12,2)</f>
        <v>46.94</v>
      </c>
      <c r="K28" s="268">
        <f t="shared" si="4"/>
        <v>781.55100000000027</v>
      </c>
      <c r="L28" s="268">
        <f t="shared" si="5"/>
        <v>781.55100000000027</v>
      </c>
      <c r="M28" s="268">
        <f>K28-L28</f>
        <v>0</v>
      </c>
      <c r="N28" s="269">
        <f>ROUND(F28*J28,2)</f>
        <v>3907.76</v>
      </c>
      <c r="O28" s="325">
        <f t="shared" si="7"/>
        <v>0.20000000000000009</v>
      </c>
      <c r="P28" s="319">
        <f t="shared" ref="P28:P89" si="10">F28*J28</f>
        <v>3907.7549999999997</v>
      </c>
      <c r="Q28" s="322"/>
      <c r="R28" s="322"/>
      <c r="S28" s="323" t="s">
        <v>1836</v>
      </c>
      <c r="T28" s="271">
        <v>57</v>
      </c>
      <c r="U28" s="324"/>
      <c r="V28" s="275">
        <v>66.599999999999994</v>
      </c>
    </row>
    <row r="29" spans="1:22" ht="15.75" x14ac:dyDescent="0.2">
      <c r="A29" s="272" t="s">
        <v>1362</v>
      </c>
      <c r="B29" s="272">
        <v>79483</v>
      </c>
      <c r="C29" s="272" t="s">
        <v>1324</v>
      </c>
      <c r="D29" s="273" t="s">
        <v>1363</v>
      </c>
      <c r="E29" s="274" t="s">
        <v>14</v>
      </c>
      <c r="F29" s="275">
        <v>114.83</v>
      </c>
      <c r="G29" s="275">
        <f>F29-V29</f>
        <v>22.97</v>
      </c>
      <c r="H29" s="268">
        <f t="shared" si="8"/>
        <v>114.83</v>
      </c>
      <c r="I29" s="268">
        <f>F29-H29</f>
        <v>0</v>
      </c>
      <c r="J29" s="268">
        <f>ROUND(T29*$T$12,2)</f>
        <v>5.4</v>
      </c>
      <c r="K29" s="268">
        <f t="shared" si="4"/>
        <v>124.038</v>
      </c>
      <c r="L29" s="268">
        <f t="shared" si="5"/>
        <v>124.038</v>
      </c>
      <c r="M29" s="268">
        <f>K29-L29</f>
        <v>0</v>
      </c>
      <c r="N29" s="269">
        <f>ROUND(F29*J29,2)</f>
        <v>620.08000000000004</v>
      </c>
      <c r="O29" s="325">
        <f t="shared" si="7"/>
        <v>0.20003483410258643</v>
      </c>
      <c r="P29" s="319">
        <f t="shared" si="10"/>
        <v>620.08199999999999</v>
      </c>
      <c r="Q29" s="322"/>
      <c r="R29" s="322"/>
      <c r="S29" s="323" t="s">
        <v>1837</v>
      </c>
      <c r="T29" s="271">
        <v>6.56</v>
      </c>
      <c r="U29" s="324"/>
      <c r="V29" s="275">
        <v>91.86</v>
      </c>
    </row>
    <row r="30" spans="1:22" ht="15.75" x14ac:dyDescent="0.2">
      <c r="A30" s="272" t="s">
        <v>1364</v>
      </c>
      <c r="B30" s="272">
        <v>53527</v>
      </c>
      <c r="C30" s="272" t="s">
        <v>1324</v>
      </c>
      <c r="D30" s="273" t="s">
        <v>1365</v>
      </c>
      <c r="E30" s="274" t="s">
        <v>48</v>
      </c>
      <c r="F30" s="275">
        <v>62.89</v>
      </c>
      <c r="G30" s="275"/>
      <c r="H30" s="268">
        <f t="shared" si="8"/>
        <v>0</v>
      </c>
      <c r="I30" s="268">
        <f>F30-H30</f>
        <v>62.89</v>
      </c>
      <c r="J30" s="268">
        <f>ROUND(T30*$T$12,2)</f>
        <v>20.57</v>
      </c>
      <c r="K30" s="268">
        <f t="shared" si="4"/>
        <v>0</v>
      </c>
      <c r="L30" s="268">
        <f t="shared" si="5"/>
        <v>0</v>
      </c>
      <c r="M30" s="268">
        <f>K30-L30</f>
        <v>0</v>
      </c>
      <c r="N30" s="269">
        <f>ROUND(F30*J30,2)</f>
        <v>1293.6500000000001</v>
      </c>
      <c r="O30" s="325">
        <f t="shared" si="7"/>
        <v>0</v>
      </c>
      <c r="P30" s="319">
        <f t="shared" si="10"/>
        <v>1293.6473000000001</v>
      </c>
      <c r="Q30" s="322"/>
      <c r="R30" s="322"/>
      <c r="S30" s="323" t="s">
        <v>1838</v>
      </c>
      <c r="T30" s="271">
        <v>24.97</v>
      </c>
      <c r="U30" s="324"/>
      <c r="V30" s="275">
        <v>0</v>
      </c>
    </row>
    <row r="31" spans="1:22" ht="15.75" x14ac:dyDescent="0.2">
      <c r="A31" s="272" t="s">
        <v>1366</v>
      </c>
      <c r="B31" s="272">
        <v>55835</v>
      </c>
      <c r="C31" s="272" t="s">
        <v>1324</v>
      </c>
      <c r="D31" s="273" t="s">
        <v>1367</v>
      </c>
      <c r="E31" s="274" t="s">
        <v>48</v>
      </c>
      <c r="F31" s="275">
        <v>22.5</v>
      </c>
      <c r="G31" s="275">
        <v>0</v>
      </c>
      <c r="H31" s="268">
        <f t="shared" si="8"/>
        <v>0</v>
      </c>
      <c r="I31" s="268">
        <f>F31-H31</f>
        <v>22.5</v>
      </c>
      <c r="J31" s="268">
        <f>ROUND(T31*$T$12,2)</f>
        <v>29.27</v>
      </c>
      <c r="K31" s="268">
        <f t="shared" si="4"/>
        <v>0</v>
      </c>
      <c r="L31" s="268">
        <f t="shared" si="5"/>
        <v>0</v>
      </c>
      <c r="M31" s="268">
        <f>K31-L31</f>
        <v>0</v>
      </c>
      <c r="N31" s="269">
        <f>ROUND(F31*J31,2)</f>
        <v>658.58</v>
      </c>
      <c r="O31" s="325">
        <f t="shared" si="7"/>
        <v>0</v>
      </c>
      <c r="P31" s="319">
        <f t="shared" si="10"/>
        <v>658.57500000000005</v>
      </c>
      <c r="Q31" s="322"/>
      <c r="R31" s="322"/>
      <c r="S31" s="323" t="s">
        <v>1839</v>
      </c>
      <c r="T31" s="271">
        <v>35.54</v>
      </c>
      <c r="U31" s="324"/>
      <c r="V31" s="275">
        <v>0</v>
      </c>
    </row>
    <row r="32" spans="1:22" ht="15.75" x14ac:dyDescent="0.2">
      <c r="A32" s="258">
        <v>3</v>
      </c>
      <c r="B32" s="258"/>
      <c r="C32" s="258"/>
      <c r="D32" s="259" t="s">
        <v>1368</v>
      </c>
      <c r="E32" s="260"/>
      <c r="F32" s="261">
        <f>SUM(F33,F39)</f>
        <v>1911.17</v>
      </c>
      <c r="G32" s="261">
        <f>SUM(G33,G39)</f>
        <v>504.28000000000003</v>
      </c>
      <c r="H32" s="261">
        <f>SUM(H33,H39)</f>
        <v>1231.6000000000001</v>
      </c>
      <c r="I32" s="261">
        <f>SUM(I33,I39)</f>
        <v>679.56999999999994</v>
      </c>
      <c r="J32" s="261">
        <f>N32</f>
        <v>35418.720000000001</v>
      </c>
      <c r="K32" s="261">
        <f>SUM(K33,K39)</f>
        <v>9661.605599999999</v>
      </c>
      <c r="L32" s="261">
        <f>SUM(L33,L39)</f>
        <v>9661.605599999999</v>
      </c>
      <c r="M32" s="261">
        <f>N32-L32</f>
        <v>25757.114400000002</v>
      </c>
      <c r="N32" s="262">
        <f>N33+N39</f>
        <v>35418.720000000001</v>
      </c>
      <c r="O32" s="325" t="e">
        <f t="shared" si="7"/>
        <v>#DIV/0!</v>
      </c>
      <c r="P32" s="319"/>
      <c r="Q32" s="322"/>
      <c r="R32" s="322"/>
      <c r="S32" s="323" t="s">
        <v>1840</v>
      </c>
      <c r="T32" s="264"/>
      <c r="U32" s="324"/>
      <c r="V32" s="261">
        <f>SUM(V33,V39)</f>
        <v>727.31999999999994</v>
      </c>
    </row>
    <row r="33" spans="1:22" ht="15.75" x14ac:dyDescent="0.2">
      <c r="A33" s="276" t="s">
        <v>41</v>
      </c>
      <c r="B33" s="276"/>
      <c r="C33" s="276"/>
      <c r="D33" s="277" t="s">
        <v>1369</v>
      </c>
      <c r="E33" s="278"/>
      <c r="F33" s="279">
        <f>SUM(F34:F38)</f>
        <v>1231.6000000000001</v>
      </c>
      <c r="G33" s="279">
        <f>SUM(G34:G38)</f>
        <v>504.28000000000003</v>
      </c>
      <c r="H33" s="279">
        <f>SUM(H34:H38)</f>
        <v>1231.6000000000001</v>
      </c>
      <c r="I33" s="279">
        <f>SUM(I34:I38)</f>
        <v>0</v>
      </c>
      <c r="J33" s="279">
        <f>N33</f>
        <v>16448.150000000001</v>
      </c>
      <c r="K33" s="279">
        <f>SUM(K34:K38)</f>
        <v>9661.605599999999</v>
      </c>
      <c r="L33" s="279">
        <f>SUM(L34:L38)</f>
        <v>9661.605599999999</v>
      </c>
      <c r="M33" s="279">
        <f>N33-L33</f>
        <v>6786.5444000000025</v>
      </c>
      <c r="N33" s="280">
        <f>SUM(N34:N38)</f>
        <v>16448.150000000001</v>
      </c>
      <c r="O33" s="325" t="e">
        <f t="shared" si="7"/>
        <v>#DIV/0!</v>
      </c>
      <c r="P33" s="319"/>
      <c r="Q33" s="322"/>
      <c r="R33" s="322"/>
      <c r="S33" s="323" t="s">
        <v>1841</v>
      </c>
      <c r="T33" s="281"/>
      <c r="U33" s="324"/>
      <c r="V33" s="279">
        <f>SUM(V34:V38)</f>
        <v>727.31999999999994</v>
      </c>
    </row>
    <row r="34" spans="1:22" ht="15.75" x14ac:dyDescent="0.2">
      <c r="A34" s="272" t="s">
        <v>43</v>
      </c>
      <c r="B34" s="272">
        <v>83532</v>
      </c>
      <c r="C34" s="272" t="s">
        <v>1324</v>
      </c>
      <c r="D34" s="273" t="s">
        <v>1370</v>
      </c>
      <c r="E34" s="274" t="s">
        <v>48</v>
      </c>
      <c r="F34" s="275">
        <v>3.77</v>
      </c>
      <c r="G34" s="275">
        <v>3.77</v>
      </c>
      <c r="H34" s="275">
        <f>G34</f>
        <v>3.77</v>
      </c>
      <c r="I34" s="268">
        <f>F34-H34</f>
        <v>0</v>
      </c>
      <c r="J34" s="268">
        <f>ROUND(T34*$T$12,2)</f>
        <v>19.86</v>
      </c>
      <c r="K34" s="268">
        <f t="shared" ref="K34:K44" si="11">G34*J34</f>
        <v>74.872199999999992</v>
      </c>
      <c r="L34" s="268">
        <f>K34</f>
        <v>74.872199999999992</v>
      </c>
      <c r="M34" s="268">
        <f>K34-L34</f>
        <v>0</v>
      </c>
      <c r="N34" s="269">
        <f>ROUND(F34*J34,2)</f>
        <v>74.87</v>
      </c>
      <c r="O34" s="325">
        <f t="shared" si="7"/>
        <v>1</v>
      </c>
      <c r="P34" s="319">
        <f t="shared" si="10"/>
        <v>74.872199999999992</v>
      </c>
      <c r="Q34" s="322"/>
      <c r="R34" s="322"/>
      <c r="S34" s="323" t="s">
        <v>1842</v>
      </c>
      <c r="T34" s="271">
        <v>24.12</v>
      </c>
      <c r="U34" s="324"/>
      <c r="V34" s="275">
        <v>0</v>
      </c>
    </row>
    <row r="35" spans="1:22" ht="15.75" x14ac:dyDescent="0.2">
      <c r="A35" s="272" t="s">
        <v>45</v>
      </c>
      <c r="B35" s="272">
        <v>5970</v>
      </c>
      <c r="C35" s="272" t="s">
        <v>1324</v>
      </c>
      <c r="D35" s="273" t="s">
        <v>1371</v>
      </c>
      <c r="E35" s="274" t="s">
        <v>14</v>
      </c>
      <c r="F35" s="275">
        <v>63.02</v>
      </c>
      <c r="G35" s="275">
        <f>F35-V35</f>
        <v>25.21</v>
      </c>
      <c r="H35" s="275">
        <f>G35+V35</f>
        <v>63.02</v>
      </c>
      <c r="I35" s="268">
        <f>F35-H35</f>
        <v>0</v>
      </c>
      <c r="J35" s="268">
        <f>ROUND(T35*$T$12,2)</f>
        <v>93.42</v>
      </c>
      <c r="K35" s="268">
        <f t="shared" si="11"/>
        <v>2355.1182000000003</v>
      </c>
      <c r="L35" s="268">
        <f>K35</f>
        <v>2355.1182000000003</v>
      </c>
      <c r="M35" s="268">
        <f>K35-L35</f>
        <v>0</v>
      </c>
      <c r="N35" s="269">
        <f>ROUND(F35*J35,2)</f>
        <v>5887.33</v>
      </c>
      <c r="O35" s="325">
        <f t="shared" si="7"/>
        <v>0.40003173595683911</v>
      </c>
      <c r="P35" s="319">
        <f t="shared" si="10"/>
        <v>5887.3284000000003</v>
      </c>
      <c r="Q35" s="322"/>
      <c r="R35" s="322"/>
      <c r="S35" s="323" t="s">
        <v>1843</v>
      </c>
      <c r="T35" s="271">
        <v>113.43</v>
      </c>
      <c r="U35" s="324"/>
      <c r="V35" s="275">
        <v>37.81</v>
      </c>
    </row>
    <row r="36" spans="1:22" ht="25.5" x14ac:dyDescent="0.2">
      <c r="A36" s="272" t="s">
        <v>47</v>
      </c>
      <c r="B36" s="272">
        <v>92793</v>
      </c>
      <c r="C36" s="272" t="s">
        <v>1324</v>
      </c>
      <c r="D36" s="273" t="s">
        <v>1372</v>
      </c>
      <c r="E36" s="274" t="s">
        <v>35</v>
      </c>
      <c r="F36" s="275">
        <v>1094.27</v>
      </c>
      <c r="G36" s="275">
        <f>F36-V36</f>
        <v>437.71000000000004</v>
      </c>
      <c r="H36" s="275">
        <f>G36+V36</f>
        <v>1094.27</v>
      </c>
      <c r="I36" s="268">
        <f>F36-H36</f>
        <v>0</v>
      </c>
      <c r="J36" s="268">
        <f>ROUND(T36*$T$12,2)</f>
        <v>4.6500000000000004</v>
      </c>
      <c r="K36" s="268">
        <f t="shared" si="11"/>
        <v>2035.3515000000002</v>
      </c>
      <c r="L36" s="268">
        <f>K36</f>
        <v>2035.3515000000002</v>
      </c>
      <c r="M36" s="268">
        <f>K36-L36</f>
        <v>0</v>
      </c>
      <c r="N36" s="269">
        <f>ROUND(F36*J36,2)</f>
        <v>5088.3599999999997</v>
      </c>
      <c r="O36" s="325">
        <f t="shared" si="7"/>
        <v>0.4000018277024866</v>
      </c>
      <c r="P36" s="319">
        <f t="shared" si="10"/>
        <v>5088.3555000000006</v>
      </c>
      <c r="Q36" s="322"/>
      <c r="R36" s="322"/>
      <c r="S36" s="323" t="s">
        <v>1844</v>
      </c>
      <c r="T36" s="271">
        <v>5.65</v>
      </c>
      <c r="U36" s="324"/>
      <c r="V36" s="275">
        <v>656.56</v>
      </c>
    </row>
    <row r="37" spans="1:22" ht="25.5" x14ac:dyDescent="0.2">
      <c r="A37" s="272" t="s">
        <v>49</v>
      </c>
      <c r="B37" s="272">
        <v>92791</v>
      </c>
      <c r="C37" s="272" t="s">
        <v>1324</v>
      </c>
      <c r="D37" s="273" t="s">
        <v>1373</v>
      </c>
      <c r="E37" s="274" t="s">
        <v>35</v>
      </c>
      <c r="F37" s="275">
        <v>54.91</v>
      </c>
      <c r="G37" s="275">
        <f>F37-V37</f>
        <v>21.959999999999994</v>
      </c>
      <c r="H37" s="275">
        <f>G37+V37</f>
        <v>54.91</v>
      </c>
      <c r="I37" s="268">
        <f>F37-H37</f>
        <v>0</v>
      </c>
      <c r="J37" s="268">
        <f>ROUND(T37*$T$12,2)</f>
        <v>6.11</v>
      </c>
      <c r="K37" s="268">
        <f t="shared" si="11"/>
        <v>134.17559999999997</v>
      </c>
      <c r="L37" s="268">
        <f>K37</f>
        <v>134.17559999999997</v>
      </c>
      <c r="M37" s="268">
        <f>K37-L37</f>
        <v>0</v>
      </c>
      <c r="N37" s="269">
        <f>ROUND(F37*J37,2)</f>
        <v>335.5</v>
      </c>
      <c r="O37" s="325">
        <f t="shared" si="7"/>
        <v>0.39992715352394825</v>
      </c>
      <c r="P37" s="319">
        <f t="shared" si="10"/>
        <v>335.50009999999997</v>
      </c>
      <c r="Q37" s="322"/>
      <c r="R37" s="322"/>
      <c r="S37" s="323" t="s">
        <v>1845</v>
      </c>
      <c r="T37" s="271">
        <v>7.42</v>
      </c>
      <c r="U37" s="324"/>
      <c r="V37" s="275">
        <v>32.950000000000003</v>
      </c>
    </row>
    <row r="38" spans="1:22" ht="15.75" x14ac:dyDescent="0.2">
      <c r="A38" s="272" t="s">
        <v>1374</v>
      </c>
      <c r="B38" s="272">
        <v>92720</v>
      </c>
      <c r="C38" s="272" t="s">
        <v>1324</v>
      </c>
      <c r="D38" s="273" t="s">
        <v>1375</v>
      </c>
      <c r="E38" s="274" t="s">
        <v>48</v>
      </c>
      <c r="F38" s="275">
        <v>15.63</v>
      </c>
      <c r="G38" s="275">
        <f>F38-V38</f>
        <v>15.63</v>
      </c>
      <c r="H38" s="275">
        <f>G38</f>
        <v>15.63</v>
      </c>
      <c r="I38" s="268">
        <f>F38-H38</f>
        <v>0</v>
      </c>
      <c r="J38" s="268">
        <f>ROUND(T38*$T$12,2)</f>
        <v>323.87</v>
      </c>
      <c r="K38" s="268">
        <f t="shared" si="11"/>
        <v>5062.0880999999999</v>
      </c>
      <c r="L38" s="268">
        <f>K38</f>
        <v>5062.0880999999999</v>
      </c>
      <c r="M38" s="268">
        <f>K38-L38</f>
        <v>0</v>
      </c>
      <c r="N38" s="269">
        <f>ROUND(F38*J38,2)</f>
        <v>5062.09</v>
      </c>
      <c r="O38" s="325">
        <f t="shared" si="7"/>
        <v>1</v>
      </c>
      <c r="P38" s="319">
        <f t="shared" si="10"/>
        <v>5062.0880999999999</v>
      </c>
      <c r="Q38" s="322"/>
      <c r="R38" s="322"/>
      <c r="S38" s="323" t="s">
        <v>1846</v>
      </c>
      <c r="T38" s="271">
        <v>393.24</v>
      </c>
      <c r="U38" s="324"/>
      <c r="V38" s="275">
        <v>0</v>
      </c>
    </row>
    <row r="39" spans="1:22" ht="15.75" x14ac:dyDescent="0.2">
      <c r="A39" s="276" t="s">
        <v>50</v>
      </c>
      <c r="B39" s="276"/>
      <c r="C39" s="276"/>
      <c r="D39" s="277" t="s">
        <v>1376</v>
      </c>
      <c r="E39" s="278"/>
      <c r="F39" s="279">
        <f>SUM(F40:F44)</f>
        <v>679.56999999999994</v>
      </c>
      <c r="G39" s="279">
        <f>SUM(G40:G44)</f>
        <v>0</v>
      </c>
      <c r="H39" s="279">
        <f>SUM(H40:H44)</f>
        <v>0</v>
      </c>
      <c r="I39" s="279">
        <f>SUM(I40:I44)</f>
        <v>679.56999999999994</v>
      </c>
      <c r="J39" s="279">
        <f>N39</f>
        <v>18970.57</v>
      </c>
      <c r="K39" s="279">
        <f>SUM(K40:K44)</f>
        <v>0</v>
      </c>
      <c r="L39" s="279">
        <f>SUM(L40:L44)</f>
        <v>0</v>
      </c>
      <c r="M39" s="279">
        <f>N39-L39</f>
        <v>18970.57</v>
      </c>
      <c r="N39" s="280">
        <f>SUM(N40:N44)</f>
        <v>18970.57</v>
      </c>
      <c r="O39" s="325">
        <f t="shared" si="7"/>
        <v>0</v>
      </c>
      <c r="P39" s="319">
        <f t="shared" si="10"/>
        <v>12891830.254899999</v>
      </c>
      <c r="Q39" s="322"/>
      <c r="R39" s="322"/>
      <c r="S39" s="323" t="s">
        <v>1847</v>
      </c>
      <c r="T39" s="281"/>
      <c r="U39" s="324"/>
      <c r="V39" s="279">
        <f>SUM(V40:V44)</f>
        <v>0</v>
      </c>
    </row>
    <row r="40" spans="1:22" ht="15.75" x14ac:dyDescent="0.2">
      <c r="A40" s="272" t="s">
        <v>52</v>
      </c>
      <c r="B40" s="272">
        <v>83532</v>
      </c>
      <c r="C40" s="272" t="s">
        <v>1324</v>
      </c>
      <c r="D40" s="273" t="s">
        <v>1370</v>
      </c>
      <c r="E40" s="274" t="s">
        <v>48</v>
      </c>
      <c r="F40" s="275">
        <v>2.58</v>
      </c>
      <c r="G40" s="275">
        <v>0</v>
      </c>
      <c r="H40" s="275">
        <f>G40</f>
        <v>0</v>
      </c>
      <c r="I40" s="268">
        <f>F40-H40</f>
        <v>2.58</v>
      </c>
      <c r="J40" s="268">
        <f>ROUND(T40*$T$12,2)</f>
        <v>19.86</v>
      </c>
      <c r="K40" s="268">
        <f t="shared" si="11"/>
        <v>0</v>
      </c>
      <c r="L40" s="268">
        <f>K40</f>
        <v>0</v>
      </c>
      <c r="M40" s="268">
        <f>K40-L40</f>
        <v>0</v>
      </c>
      <c r="N40" s="269">
        <f>ROUND(F40*J40,2)</f>
        <v>51.24</v>
      </c>
      <c r="O40" s="325">
        <f t="shared" si="7"/>
        <v>0</v>
      </c>
      <c r="P40" s="319">
        <f t="shared" si="10"/>
        <v>51.238799999999998</v>
      </c>
      <c r="Q40" s="322"/>
      <c r="R40" s="322"/>
      <c r="S40" s="323" t="s">
        <v>1848</v>
      </c>
      <c r="T40" s="271">
        <v>24.12</v>
      </c>
      <c r="U40" s="324"/>
      <c r="V40" s="275">
        <v>0</v>
      </c>
    </row>
    <row r="41" spans="1:22" ht="15.75" x14ac:dyDescent="0.2">
      <c r="A41" s="272" t="s">
        <v>53</v>
      </c>
      <c r="B41" s="272">
        <v>5970</v>
      </c>
      <c r="C41" s="272" t="s">
        <v>1324</v>
      </c>
      <c r="D41" s="273" t="s">
        <v>1371</v>
      </c>
      <c r="E41" s="274" t="s">
        <v>14</v>
      </c>
      <c r="F41" s="275">
        <v>139.57</v>
      </c>
      <c r="G41" s="275">
        <v>0</v>
      </c>
      <c r="H41" s="275">
        <f>G41</f>
        <v>0</v>
      </c>
      <c r="I41" s="268">
        <f>F41-H41</f>
        <v>139.57</v>
      </c>
      <c r="J41" s="268">
        <f>ROUND(T41*$T$12,2)</f>
        <v>93.42</v>
      </c>
      <c r="K41" s="268">
        <f t="shared" si="11"/>
        <v>0</v>
      </c>
      <c r="L41" s="268">
        <f>K41</f>
        <v>0</v>
      </c>
      <c r="M41" s="268">
        <f>K41-L41</f>
        <v>0</v>
      </c>
      <c r="N41" s="269">
        <f>ROUND(F41*J41,2)</f>
        <v>13038.63</v>
      </c>
      <c r="O41" s="325">
        <f t="shared" si="7"/>
        <v>0</v>
      </c>
      <c r="P41" s="319">
        <f t="shared" si="10"/>
        <v>13038.6294</v>
      </c>
      <c r="Q41" s="322"/>
      <c r="R41" s="322"/>
      <c r="S41" s="323" t="s">
        <v>1849</v>
      </c>
      <c r="T41" s="271">
        <v>113.43</v>
      </c>
      <c r="U41" s="324"/>
      <c r="V41" s="275">
        <v>0</v>
      </c>
    </row>
    <row r="42" spans="1:22" ht="25.5" x14ac:dyDescent="0.2">
      <c r="A42" s="272" t="s">
        <v>54</v>
      </c>
      <c r="B42" s="272">
        <v>92793</v>
      </c>
      <c r="C42" s="272" t="s">
        <v>1324</v>
      </c>
      <c r="D42" s="273" t="s">
        <v>1372</v>
      </c>
      <c r="E42" s="274" t="s">
        <v>35</v>
      </c>
      <c r="F42" s="275">
        <v>389.64</v>
      </c>
      <c r="G42" s="275">
        <v>0</v>
      </c>
      <c r="H42" s="275">
        <f>G42</f>
        <v>0</v>
      </c>
      <c r="I42" s="268">
        <f>F42-H42</f>
        <v>389.64</v>
      </c>
      <c r="J42" s="268">
        <f>ROUND(T42*$T$12,2)</f>
        <v>4.6500000000000004</v>
      </c>
      <c r="K42" s="268">
        <f t="shared" si="11"/>
        <v>0</v>
      </c>
      <c r="L42" s="268">
        <f>K42</f>
        <v>0</v>
      </c>
      <c r="M42" s="268">
        <f>K42-L42</f>
        <v>0</v>
      </c>
      <c r="N42" s="269">
        <f>ROUND(F42*J42,2)</f>
        <v>1811.83</v>
      </c>
      <c r="O42" s="325">
        <f t="shared" si="7"/>
        <v>0</v>
      </c>
      <c r="P42" s="319">
        <f t="shared" si="10"/>
        <v>1811.826</v>
      </c>
      <c r="Q42" s="322"/>
      <c r="R42" s="322"/>
      <c r="S42" s="323" t="s">
        <v>1850</v>
      </c>
      <c r="T42" s="271">
        <v>5.65</v>
      </c>
      <c r="U42" s="324"/>
      <c r="V42" s="275">
        <v>0</v>
      </c>
    </row>
    <row r="43" spans="1:22" ht="25.5" x14ac:dyDescent="0.2">
      <c r="A43" s="272" t="s">
        <v>55</v>
      </c>
      <c r="B43" s="272">
        <v>92791</v>
      </c>
      <c r="C43" s="272" t="s">
        <v>1324</v>
      </c>
      <c r="D43" s="273" t="s">
        <v>1373</v>
      </c>
      <c r="E43" s="274" t="s">
        <v>35</v>
      </c>
      <c r="F43" s="275">
        <v>137.72999999999999</v>
      </c>
      <c r="G43" s="275">
        <v>0</v>
      </c>
      <c r="H43" s="275">
        <f>G43</f>
        <v>0</v>
      </c>
      <c r="I43" s="268">
        <f>F43-H43</f>
        <v>137.72999999999999</v>
      </c>
      <c r="J43" s="268">
        <f>ROUND(T43*$T$12,2)</f>
        <v>5.91</v>
      </c>
      <c r="K43" s="268">
        <f t="shared" si="11"/>
        <v>0</v>
      </c>
      <c r="L43" s="268">
        <f>K43</f>
        <v>0</v>
      </c>
      <c r="M43" s="268">
        <f>K43-L43</f>
        <v>0</v>
      </c>
      <c r="N43" s="269">
        <f>ROUND(F43*J43,2)</f>
        <v>813.98</v>
      </c>
      <c r="O43" s="325">
        <f t="shared" si="7"/>
        <v>0</v>
      </c>
      <c r="P43" s="319">
        <f t="shared" si="10"/>
        <v>813.98429999999996</v>
      </c>
      <c r="Q43" s="322"/>
      <c r="R43" s="322"/>
      <c r="S43" s="323" t="s">
        <v>1851</v>
      </c>
      <c r="T43" s="271">
        <v>7.17</v>
      </c>
      <c r="U43" s="324"/>
      <c r="V43" s="275">
        <v>0</v>
      </c>
    </row>
    <row r="44" spans="1:22" ht="15.75" x14ac:dyDescent="0.2">
      <c r="A44" s="272" t="s">
        <v>1377</v>
      </c>
      <c r="B44" s="272">
        <v>92720</v>
      </c>
      <c r="C44" s="272" t="s">
        <v>1324</v>
      </c>
      <c r="D44" s="273" t="s">
        <v>1375</v>
      </c>
      <c r="E44" s="274" t="s">
        <v>48</v>
      </c>
      <c r="F44" s="275">
        <v>10.050000000000001</v>
      </c>
      <c r="G44" s="275">
        <v>0</v>
      </c>
      <c r="H44" s="275">
        <f>G44</f>
        <v>0</v>
      </c>
      <c r="I44" s="268">
        <f>F44-H44</f>
        <v>10.050000000000001</v>
      </c>
      <c r="J44" s="268">
        <f>ROUND(T44*$T$12,2)</f>
        <v>323.87</v>
      </c>
      <c r="K44" s="268">
        <f t="shared" si="11"/>
        <v>0</v>
      </c>
      <c r="L44" s="268">
        <f>K44</f>
        <v>0</v>
      </c>
      <c r="M44" s="268">
        <f>K44-L44</f>
        <v>0</v>
      </c>
      <c r="N44" s="269">
        <f>ROUND(F44*J44,2)</f>
        <v>3254.89</v>
      </c>
      <c r="O44" s="325">
        <f t="shared" si="7"/>
        <v>0</v>
      </c>
      <c r="P44" s="319">
        <f t="shared" si="10"/>
        <v>3254.8935000000001</v>
      </c>
      <c r="Q44" s="322"/>
      <c r="R44" s="322"/>
      <c r="S44" s="323" t="s">
        <v>1852</v>
      </c>
      <c r="T44" s="271">
        <v>393.24</v>
      </c>
      <c r="U44" s="324"/>
      <c r="V44" s="275">
        <v>0</v>
      </c>
    </row>
    <row r="45" spans="1:22" ht="15.75" x14ac:dyDescent="0.2">
      <c r="A45" s="258">
        <v>4</v>
      </c>
      <c r="B45" s="258"/>
      <c r="C45" s="258"/>
      <c r="D45" s="259" t="s">
        <v>1378</v>
      </c>
      <c r="E45" s="260"/>
      <c r="F45" s="261"/>
      <c r="G45" s="261"/>
      <c r="H45" s="261"/>
      <c r="I45" s="261"/>
      <c r="J45" s="261">
        <f>N45</f>
        <v>88897.260000000009</v>
      </c>
      <c r="K45" s="261"/>
      <c r="L45" s="261"/>
      <c r="M45" s="261"/>
      <c r="N45" s="262">
        <f>N46+N51+N57+N62+N67</f>
        <v>88897.260000000009</v>
      </c>
      <c r="O45" s="325"/>
      <c r="P45" s="319"/>
      <c r="Q45" s="322"/>
      <c r="R45" s="322"/>
      <c r="S45" s="323" t="s">
        <v>1853</v>
      </c>
      <c r="T45" s="264"/>
      <c r="U45" s="324"/>
      <c r="V45" s="261"/>
    </row>
    <row r="46" spans="1:22" ht="15.75" x14ac:dyDescent="0.2">
      <c r="A46" s="276" t="s">
        <v>74</v>
      </c>
      <c r="B46" s="276"/>
      <c r="C46" s="276"/>
      <c r="D46" s="277" t="s">
        <v>1379</v>
      </c>
      <c r="E46" s="278"/>
      <c r="F46" s="279"/>
      <c r="G46" s="279"/>
      <c r="H46" s="279"/>
      <c r="I46" s="279"/>
      <c r="J46" s="279">
        <f>N46</f>
        <v>17368.48</v>
      </c>
      <c r="K46" s="279"/>
      <c r="L46" s="279"/>
      <c r="M46" s="279"/>
      <c r="N46" s="280">
        <f>SUM(N47:N50)</f>
        <v>17368.48</v>
      </c>
      <c r="O46" s="325"/>
      <c r="P46" s="319"/>
      <c r="Q46" s="322"/>
      <c r="R46" s="322"/>
      <c r="S46" s="323" t="s">
        <v>1854</v>
      </c>
      <c r="T46" s="281"/>
      <c r="U46" s="324"/>
      <c r="V46" s="279"/>
    </row>
    <row r="47" spans="1:22" ht="25.5" x14ac:dyDescent="0.2">
      <c r="A47" s="272" t="s">
        <v>76</v>
      </c>
      <c r="B47" s="272">
        <v>92448</v>
      </c>
      <c r="C47" s="272" t="s">
        <v>1324</v>
      </c>
      <c r="D47" s="273" t="s">
        <v>1380</v>
      </c>
      <c r="E47" s="274" t="s">
        <v>14</v>
      </c>
      <c r="F47" s="275">
        <v>126.72</v>
      </c>
      <c r="G47" s="275">
        <v>0</v>
      </c>
      <c r="H47" s="275">
        <v>0</v>
      </c>
      <c r="I47" s="275">
        <v>0</v>
      </c>
      <c r="J47" s="268">
        <f>ROUND(T47*$T$12,2)</f>
        <v>93.42</v>
      </c>
      <c r="K47" s="268">
        <f>G47*J47</f>
        <v>0</v>
      </c>
      <c r="L47" s="268">
        <f>K47</f>
        <v>0</v>
      </c>
      <c r="M47" s="268">
        <f>K47-L47</f>
        <v>0</v>
      </c>
      <c r="N47" s="269">
        <f>ROUND(F47*J47,2)</f>
        <v>11838.18</v>
      </c>
      <c r="O47" s="325">
        <f t="shared" si="7"/>
        <v>0</v>
      </c>
      <c r="P47" s="319">
        <f t="shared" si="10"/>
        <v>11838.1824</v>
      </c>
      <c r="Q47" s="322"/>
      <c r="R47" s="322"/>
      <c r="S47" s="323" t="s">
        <v>1855</v>
      </c>
      <c r="T47" s="271">
        <v>113.43</v>
      </c>
      <c r="U47" s="324"/>
      <c r="V47" s="275">
        <v>0</v>
      </c>
    </row>
    <row r="48" spans="1:22" ht="25.5" x14ac:dyDescent="0.2">
      <c r="A48" s="272" t="s">
        <v>79</v>
      </c>
      <c r="B48" s="272">
        <v>92793</v>
      </c>
      <c r="C48" s="272" t="s">
        <v>1324</v>
      </c>
      <c r="D48" s="273" t="s">
        <v>1372</v>
      </c>
      <c r="E48" s="274" t="s">
        <v>35</v>
      </c>
      <c r="F48" s="275">
        <v>428.55</v>
      </c>
      <c r="G48" s="275">
        <v>0</v>
      </c>
      <c r="H48" s="275">
        <v>0</v>
      </c>
      <c r="I48" s="275">
        <v>0</v>
      </c>
      <c r="J48" s="268">
        <f>ROUND(T48*$T$12,2)</f>
        <v>4.6500000000000004</v>
      </c>
      <c r="K48" s="268">
        <f>G48*J48</f>
        <v>0</v>
      </c>
      <c r="L48" s="268">
        <f t="shared" ref="L48:L68" si="12">K48</f>
        <v>0</v>
      </c>
      <c r="M48" s="268">
        <f>K48-L48</f>
        <v>0</v>
      </c>
      <c r="N48" s="269">
        <f>ROUND(F48*J48,2)</f>
        <v>1992.76</v>
      </c>
      <c r="O48" s="325">
        <f t="shared" si="7"/>
        <v>0</v>
      </c>
      <c r="P48" s="319">
        <f t="shared" si="10"/>
        <v>1992.7575000000002</v>
      </c>
      <c r="Q48" s="322"/>
      <c r="R48" s="322"/>
      <c r="S48" s="323" t="s">
        <v>1856</v>
      </c>
      <c r="T48" s="271">
        <v>5.65</v>
      </c>
      <c r="U48" s="324"/>
      <c r="V48" s="275">
        <v>0</v>
      </c>
    </row>
    <row r="49" spans="1:22" ht="25.5" x14ac:dyDescent="0.2">
      <c r="A49" s="272" t="s">
        <v>83</v>
      </c>
      <c r="B49" s="272">
        <v>92791</v>
      </c>
      <c r="C49" s="272" t="s">
        <v>1324</v>
      </c>
      <c r="D49" s="273" t="s">
        <v>1373</v>
      </c>
      <c r="E49" s="274" t="s">
        <v>35</v>
      </c>
      <c r="F49" s="275">
        <v>127.36</v>
      </c>
      <c r="G49" s="275">
        <v>0</v>
      </c>
      <c r="H49" s="275">
        <v>0</v>
      </c>
      <c r="I49" s="275">
        <v>0</v>
      </c>
      <c r="J49" s="268">
        <f>ROUND(T49*$T$12,2)</f>
        <v>6.11</v>
      </c>
      <c r="K49" s="268">
        <f>G49*J49</f>
        <v>0</v>
      </c>
      <c r="L49" s="268">
        <f t="shared" si="12"/>
        <v>0</v>
      </c>
      <c r="M49" s="268">
        <f>K49-L49</f>
        <v>0</v>
      </c>
      <c r="N49" s="269">
        <f>ROUND(F49*J49,2)</f>
        <v>778.17</v>
      </c>
      <c r="O49" s="325">
        <f t="shared" si="7"/>
        <v>0</v>
      </c>
      <c r="P49" s="319">
        <f t="shared" si="10"/>
        <v>778.16960000000006</v>
      </c>
      <c r="Q49" s="322"/>
      <c r="R49" s="322"/>
      <c r="S49" s="323" t="s">
        <v>1857</v>
      </c>
      <c r="T49" s="271">
        <v>7.42</v>
      </c>
      <c r="U49" s="324"/>
      <c r="V49" s="275">
        <v>0</v>
      </c>
    </row>
    <row r="50" spans="1:22" ht="15.75" x14ac:dyDescent="0.2">
      <c r="A50" s="272" t="s">
        <v>86</v>
      </c>
      <c r="B50" s="272">
        <v>92720</v>
      </c>
      <c r="C50" s="272" t="s">
        <v>1324</v>
      </c>
      <c r="D50" s="273" t="s">
        <v>1375</v>
      </c>
      <c r="E50" s="274" t="s">
        <v>48</v>
      </c>
      <c r="F50" s="275">
        <v>8.52</v>
      </c>
      <c r="G50" s="275">
        <v>0</v>
      </c>
      <c r="H50" s="275">
        <v>0</v>
      </c>
      <c r="I50" s="275">
        <v>0</v>
      </c>
      <c r="J50" s="268">
        <f>ROUND(T50*$T$12,2)</f>
        <v>323.87</v>
      </c>
      <c r="K50" s="268">
        <f>G50*J50</f>
        <v>0</v>
      </c>
      <c r="L50" s="268">
        <f t="shared" si="12"/>
        <v>0</v>
      </c>
      <c r="M50" s="268">
        <f>K50-L50</f>
        <v>0</v>
      </c>
      <c r="N50" s="269">
        <f>ROUND(F50*J50,2)</f>
        <v>2759.37</v>
      </c>
      <c r="O50" s="325">
        <f t="shared" si="7"/>
        <v>0</v>
      </c>
      <c r="P50" s="319">
        <f t="shared" si="10"/>
        <v>2759.3723999999997</v>
      </c>
      <c r="Q50" s="322"/>
      <c r="R50" s="322"/>
      <c r="S50" s="323" t="s">
        <v>1858</v>
      </c>
      <c r="T50" s="271">
        <v>393.24</v>
      </c>
      <c r="U50" s="324"/>
      <c r="V50" s="275">
        <v>0</v>
      </c>
    </row>
    <row r="51" spans="1:22" ht="15.75" x14ac:dyDescent="0.2">
      <c r="A51" s="276" t="s">
        <v>1381</v>
      </c>
      <c r="B51" s="276"/>
      <c r="C51" s="276"/>
      <c r="D51" s="277" t="s">
        <v>1382</v>
      </c>
      <c r="E51" s="278"/>
      <c r="F51" s="279"/>
      <c r="G51" s="279"/>
      <c r="H51" s="279"/>
      <c r="I51" s="279"/>
      <c r="J51" s="279">
        <f>N51</f>
        <v>33356.590000000004</v>
      </c>
      <c r="K51" s="279"/>
      <c r="L51" s="279"/>
      <c r="M51" s="279"/>
      <c r="N51" s="280">
        <f>SUM(N52:N56)</f>
        <v>33356.590000000004</v>
      </c>
      <c r="O51" s="325" t="e">
        <f t="shared" si="7"/>
        <v>#DIV/0!</v>
      </c>
      <c r="P51" s="319"/>
      <c r="Q51" s="322"/>
      <c r="R51" s="322"/>
      <c r="S51" s="323" t="s">
        <v>1859</v>
      </c>
      <c r="T51" s="271">
        <v>0</v>
      </c>
      <c r="U51" s="324"/>
      <c r="V51" s="279"/>
    </row>
    <row r="52" spans="1:22" ht="15.75" x14ac:dyDescent="0.2">
      <c r="A52" s="272" t="s">
        <v>1383</v>
      </c>
      <c r="B52" s="272">
        <v>92510</v>
      </c>
      <c r="C52" s="272" t="s">
        <v>1324</v>
      </c>
      <c r="D52" s="273" t="s">
        <v>1384</v>
      </c>
      <c r="E52" s="274" t="s">
        <v>14</v>
      </c>
      <c r="F52" s="275">
        <v>155.72999999999999</v>
      </c>
      <c r="G52" s="275">
        <v>0</v>
      </c>
      <c r="H52" s="275">
        <v>0</v>
      </c>
      <c r="I52" s="275">
        <v>0</v>
      </c>
      <c r="J52" s="268">
        <f>ROUND(T52*$T$12,2)</f>
        <v>93.42</v>
      </c>
      <c r="K52" s="268">
        <f>G52*J52</f>
        <v>0</v>
      </c>
      <c r="L52" s="268">
        <f t="shared" si="12"/>
        <v>0</v>
      </c>
      <c r="M52" s="268">
        <f>K52-L52</f>
        <v>0</v>
      </c>
      <c r="N52" s="269">
        <f>ROUND(F52*J52,2)</f>
        <v>14548.3</v>
      </c>
      <c r="O52" s="325">
        <f t="shared" si="7"/>
        <v>0</v>
      </c>
      <c r="P52" s="319">
        <f t="shared" si="10"/>
        <v>14548.2966</v>
      </c>
      <c r="Q52" s="322"/>
      <c r="R52" s="322"/>
      <c r="S52" s="323" t="s">
        <v>1860</v>
      </c>
      <c r="T52" s="271">
        <v>113.43</v>
      </c>
      <c r="U52" s="324"/>
      <c r="V52" s="275">
        <v>0</v>
      </c>
    </row>
    <row r="53" spans="1:22" ht="25.5" x14ac:dyDescent="0.2">
      <c r="A53" s="272" t="s">
        <v>1385</v>
      </c>
      <c r="B53" s="272">
        <v>92793</v>
      </c>
      <c r="C53" s="272" t="s">
        <v>1324</v>
      </c>
      <c r="D53" s="273" t="s">
        <v>1372</v>
      </c>
      <c r="E53" s="274" t="s">
        <v>35</v>
      </c>
      <c r="F53" s="275">
        <v>1946.45</v>
      </c>
      <c r="G53" s="275">
        <v>0</v>
      </c>
      <c r="H53" s="275">
        <v>0</v>
      </c>
      <c r="I53" s="275">
        <v>0</v>
      </c>
      <c r="J53" s="268">
        <f>ROUND(T53*$T$12,2)</f>
        <v>4.6500000000000004</v>
      </c>
      <c r="K53" s="268">
        <f>G53*J53</f>
        <v>0</v>
      </c>
      <c r="L53" s="268">
        <f t="shared" si="12"/>
        <v>0</v>
      </c>
      <c r="M53" s="268">
        <f>K53-L53</f>
        <v>0</v>
      </c>
      <c r="N53" s="269">
        <f>ROUND(F53*J53,2)</f>
        <v>9050.99</v>
      </c>
      <c r="O53" s="325">
        <f t="shared" si="7"/>
        <v>0</v>
      </c>
      <c r="P53" s="319">
        <f t="shared" si="10"/>
        <v>9050.9925000000003</v>
      </c>
      <c r="Q53" s="322"/>
      <c r="R53" s="322"/>
      <c r="S53" s="323" t="s">
        <v>1861</v>
      </c>
      <c r="T53" s="271">
        <v>5.65</v>
      </c>
      <c r="U53" s="324"/>
      <c r="V53" s="275">
        <v>0</v>
      </c>
    </row>
    <row r="54" spans="1:22" ht="25.5" x14ac:dyDescent="0.2">
      <c r="A54" s="272" t="s">
        <v>1386</v>
      </c>
      <c r="B54" s="272">
        <v>92791</v>
      </c>
      <c r="C54" s="272" t="s">
        <v>1324</v>
      </c>
      <c r="D54" s="273" t="s">
        <v>1373</v>
      </c>
      <c r="E54" s="274" t="s">
        <v>35</v>
      </c>
      <c r="F54" s="275">
        <v>240.18</v>
      </c>
      <c r="G54" s="275">
        <v>0</v>
      </c>
      <c r="H54" s="275">
        <v>0</v>
      </c>
      <c r="I54" s="275">
        <v>0</v>
      </c>
      <c r="J54" s="268">
        <f>ROUND(T54*$T$12,2)</f>
        <v>6.11</v>
      </c>
      <c r="K54" s="268">
        <f>G54*J54</f>
        <v>0</v>
      </c>
      <c r="L54" s="268">
        <f t="shared" si="12"/>
        <v>0</v>
      </c>
      <c r="M54" s="268">
        <f>K54-L54</f>
        <v>0</v>
      </c>
      <c r="N54" s="269">
        <f>ROUND(F54*J54,2)</f>
        <v>1467.5</v>
      </c>
      <c r="O54" s="325">
        <f t="shared" si="7"/>
        <v>0</v>
      </c>
      <c r="P54" s="319">
        <f t="shared" si="10"/>
        <v>1467.4998000000001</v>
      </c>
      <c r="Q54" s="322"/>
      <c r="R54" s="322"/>
      <c r="S54" s="323" t="s">
        <v>1862</v>
      </c>
      <c r="T54" s="271">
        <v>7.42</v>
      </c>
      <c r="U54" s="324"/>
      <c r="V54" s="275">
        <v>0</v>
      </c>
    </row>
    <row r="55" spans="1:22" ht="15.75" x14ac:dyDescent="0.2">
      <c r="A55" s="272" t="s">
        <v>1387</v>
      </c>
      <c r="B55" s="272">
        <v>92720</v>
      </c>
      <c r="C55" s="272" t="s">
        <v>1324</v>
      </c>
      <c r="D55" s="273" t="s">
        <v>1375</v>
      </c>
      <c r="E55" s="274" t="s">
        <v>48</v>
      </c>
      <c r="F55" s="275">
        <v>10.71</v>
      </c>
      <c r="G55" s="275">
        <v>0</v>
      </c>
      <c r="H55" s="275">
        <v>0</v>
      </c>
      <c r="I55" s="275"/>
      <c r="J55" s="268">
        <f>ROUND(T55*$T$12,2)</f>
        <v>323.87</v>
      </c>
      <c r="K55" s="268">
        <f>G55*J55</f>
        <v>0</v>
      </c>
      <c r="L55" s="268">
        <f t="shared" si="12"/>
        <v>0</v>
      </c>
      <c r="M55" s="268">
        <f>K55-L55</f>
        <v>0</v>
      </c>
      <c r="N55" s="269">
        <f>ROUND(F55*J55,2)</f>
        <v>3468.65</v>
      </c>
      <c r="O55" s="325">
        <f t="shared" si="7"/>
        <v>0</v>
      </c>
      <c r="P55" s="319">
        <f t="shared" si="10"/>
        <v>3468.6477000000004</v>
      </c>
      <c r="Q55" s="322"/>
      <c r="R55" s="322"/>
      <c r="S55" s="323" t="s">
        <v>1863</v>
      </c>
      <c r="T55" s="271">
        <v>393.24</v>
      </c>
      <c r="U55" s="324"/>
      <c r="V55" s="275">
        <v>0</v>
      </c>
    </row>
    <row r="56" spans="1:22" ht="15.75" x14ac:dyDescent="0.2">
      <c r="A56" s="272" t="s">
        <v>1388</v>
      </c>
      <c r="B56" s="272" t="s">
        <v>1389</v>
      </c>
      <c r="C56" s="272" t="s">
        <v>1324</v>
      </c>
      <c r="D56" s="273" t="s">
        <v>1390</v>
      </c>
      <c r="E56" s="274" t="s">
        <v>14</v>
      </c>
      <c r="F56" s="275">
        <v>84.33</v>
      </c>
      <c r="G56" s="275">
        <v>0</v>
      </c>
      <c r="H56" s="275">
        <v>0</v>
      </c>
      <c r="I56" s="275">
        <v>0</v>
      </c>
      <c r="J56" s="268">
        <f>ROUND(T56*$T$12,2)</f>
        <v>57.17</v>
      </c>
      <c r="K56" s="268">
        <f>G56*J56</f>
        <v>0</v>
      </c>
      <c r="L56" s="268">
        <f t="shared" si="12"/>
        <v>0</v>
      </c>
      <c r="M56" s="268">
        <f>K56-L56</f>
        <v>0</v>
      </c>
      <c r="N56" s="269">
        <f>ROUND(F56*J56,2)</f>
        <v>4821.1499999999996</v>
      </c>
      <c r="O56" s="325">
        <f t="shared" si="7"/>
        <v>0</v>
      </c>
      <c r="P56" s="319">
        <f t="shared" si="10"/>
        <v>4821.1460999999999</v>
      </c>
      <c r="Q56" s="322"/>
      <c r="R56" s="322"/>
      <c r="S56" s="323" t="s">
        <v>1864</v>
      </c>
      <c r="T56" s="271">
        <v>69.41</v>
      </c>
      <c r="U56" s="324"/>
      <c r="V56" s="275">
        <v>0</v>
      </c>
    </row>
    <row r="57" spans="1:22" ht="15.75" x14ac:dyDescent="0.2">
      <c r="A57" s="276" t="s">
        <v>1391</v>
      </c>
      <c r="B57" s="276"/>
      <c r="C57" s="276"/>
      <c r="D57" s="277" t="s">
        <v>1392</v>
      </c>
      <c r="E57" s="278"/>
      <c r="F57" s="279"/>
      <c r="G57" s="279"/>
      <c r="H57" s="279"/>
      <c r="I57" s="279"/>
      <c r="J57" s="279">
        <f>N57</f>
        <v>13794.349999999999</v>
      </c>
      <c r="K57" s="279"/>
      <c r="L57" s="279"/>
      <c r="M57" s="279"/>
      <c r="N57" s="280">
        <f>SUM(N58:N61)</f>
        <v>13794.349999999999</v>
      </c>
      <c r="O57" s="325" t="e">
        <f t="shared" si="7"/>
        <v>#DIV/0!</v>
      </c>
      <c r="P57" s="319"/>
      <c r="Q57" s="322"/>
      <c r="R57" s="322"/>
      <c r="S57" s="323" t="s">
        <v>1865</v>
      </c>
      <c r="T57" s="271">
        <v>0</v>
      </c>
      <c r="U57" s="324"/>
      <c r="V57" s="279"/>
    </row>
    <row r="58" spans="1:22" ht="15.75" x14ac:dyDescent="0.2">
      <c r="A58" s="272" t="s">
        <v>1393</v>
      </c>
      <c r="B58" s="272">
        <v>92510</v>
      </c>
      <c r="C58" s="272" t="s">
        <v>1324</v>
      </c>
      <c r="D58" s="273" t="s">
        <v>1384</v>
      </c>
      <c r="E58" s="274" t="s">
        <v>14</v>
      </c>
      <c r="F58" s="275">
        <v>111.8</v>
      </c>
      <c r="G58" s="275">
        <v>0</v>
      </c>
      <c r="H58" s="275">
        <v>0</v>
      </c>
      <c r="I58" s="275">
        <v>0</v>
      </c>
      <c r="J58" s="268">
        <f>ROUND(T58*$T$12,2)</f>
        <v>93.42</v>
      </c>
      <c r="K58" s="268">
        <f>G58*J58</f>
        <v>0</v>
      </c>
      <c r="L58" s="268">
        <f t="shared" si="12"/>
        <v>0</v>
      </c>
      <c r="M58" s="268">
        <f>K58-L58</f>
        <v>0</v>
      </c>
      <c r="N58" s="269">
        <f>ROUND(F58*J58,2)</f>
        <v>10444.36</v>
      </c>
      <c r="O58" s="325">
        <f t="shared" si="7"/>
        <v>0</v>
      </c>
      <c r="P58" s="319">
        <f t="shared" si="10"/>
        <v>10444.356</v>
      </c>
      <c r="Q58" s="322"/>
      <c r="R58" s="322"/>
      <c r="S58" s="323" t="s">
        <v>1866</v>
      </c>
      <c r="T58" s="271">
        <v>113.43</v>
      </c>
      <c r="U58" s="324"/>
      <c r="V58" s="275">
        <v>0</v>
      </c>
    </row>
    <row r="59" spans="1:22" ht="25.5" x14ac:dyDescent="0.2">
      <c r="A59" s="272" t="s">
        <v>1394</v>
      </c>
      <c r="B59" s="272">
        <v>92793</v>
      </c>
      <c r="C59" s="272" t="s">
        <v>1324</v>
      </c>
      <c r="D59" s="273" t="s">
        <v>1372</v>
      </c>
      <c r="E59" s="274" t="s">
        <v>35</v>
      </c>
      <c r="F59" s="275">
        <v>135.38999999999999</v>
      </c>
      <c r="G59" s="275">
        <v>0</v>
      </c>
      <c r="H59" s="275">
        <v>0</v>
      </c>
      <c r="I59" s="275">
        <v>0</v>
      </c>
      <c r="J59" s="268">
        <f>ROUND(T59*$T$12,2)</f>
        <v>4.6500000000000004</v>
      </c>
      <c r="K59" s="268">
        <f>G59*J59</f>
        <v>0</v>
      </c>
      <c r="L59" s="268">
        <f t="shared" si="12"/>
        <v>0</v>
      </c>
      <c r="M59" s="268">
        <f>K59-L59</f>
        <v>0</v>
      </c>
      <c r="N59" s="269">
        <f>ROUND(F59*J59,2)</f>
        <v>629.55999999999995</v>
      </c>
      <c r="O59" s="325">
        <f t="shared" si="7"/>
        <v>0</v>
      </c>
      <c r="P59" s="319">
        <f t="shared" si="10"/>
        <v>629.56349999999998</v>
      </c>
      <c r="Q59" s="322"/>
      <c r="R59" s="322"/>
      <c r="S59" s="323" t="s">
        <v>1867</v>
      </c>
      <c r="T59" s="271">
        <v>5.65</v>
      </c>
      <c r="U59" s="324"/>
      <c r="V59" s="275">
        <v>0</v>
      </c>
    </row>
    <row r="60" spans="1:22" ht="25.5" x14ac:dyDescent="0.2">
      <c r="A60" s="272" t="s">
        <v>1395</v>
      </c>
      <c r="B60" s="272">
        <v>92791</v>
      </c>
      <c r="C60" s="272" t="s">
        <v>1324</v>
      </c>
      <c r="D60" s="273" t="s">
        <v>1373</v>
      </c>
      <c r="E60" s="274" t="s">
        <v>35</v>
      </c>
      <c r="F60" s="275">
        <v>95.93</v>
      </c>
      <c r="G60" s="275">
        <v>0</v>
      </c>
      <c r="H60" s="275">
        <v>0</v>
      </c>
      <c r="I60" s="275">
        <v>0</v>
      </c>
      <c r="J60" s="268">
        <f>ROUND(T60*$T$12,2)</f>
        <v>6.11</v>
      </c>
      <c r="K60" s="268">
        <f>G60*J60</f>
        <v>0</v>
      </c>
      <c r="L60" s="268">
        <f t="shared" si="12"/>
        <v>0</v>
      </c>
      <c r="M60" s="268">
        <f>K60-L60</f>
        <v>0</v>
      </c>
      <c r="N60" s="269">
        <f>ROUND(F60*J60,2)</f>
        <v>586.13</v>
      </c>
      <c r="O60" s="325">
        <f t="shared" si="7"/>
        <v>0</v>
      </c>
      <c r="P60" s="319">
        <f t="shared" si="10"/>
        <v>586.1323000000001</v>
      </c>
      <c r="Q60" s="322"/>
      <c r="R60" s="322"/>
      <c r="S60" s="323" t="s">
        <v>1868</v>
      </c>
      <c r="T60" s="271">
        <v>7.42</v>
      </c>
      <c r="U60" s="324"/>
      <c r="V60" s="275">
        <v>0</v>
      </c>
    </row>
    <row r="61" spans="1:22" ht="15.75" x14ac:dyDescent="0.2">
      <c r="A61" s="272" t="s">
        <v>1396</v>
      </c>
      <c r="B61" s="272">
        <v>92720</v>
      </c>
      <c r="C61" s="272" t="s">
        <v>1324</v>
      </c>
      <c r="D61" s="273" t="s">
        <v>1375</v>
      </c>
      <c r="E61" s="274" t="s">
        <v>48</v>
      </c>
      <c r="F61" s="275">
        <v>6.59</v>
      </c>
      <c r="G61" s="275">
        <v>0</v>
      </c>
      <c r="H61" s="275">
        <v>0</v>
      </c>
      <c r="I61" s="275">
        <v>0</v>
      </c>
      <c r="J61" s="268">
        <f>ROUND(T61*$T$12,2)</f>
        <v>323.87</v>
      </c>
      <c r="K61" s="268">
        <f>G61*J61</f>
        <v>0</v>
      </c>
      <c r="L61" s="268">
        <f t="shared" si="12"/>
        <v>0</v>
      </c>
      <c r="M61" s="268">
        <f>K61-L61</f>
        <v>0</v>
      </c>
      <c r="N61" s="269">
        <f>ROUND(F61*J61,2)</f>
        <v>2134.3000000000002</v>
      </c>
      <c r="O61" s="325">
        <f t="shared" si="7"/>
        <v>0</v>
      </c>
      <c r="P61" s="319">
        <f t="shared" si="10"/>
        <v>2134.3033</v>
      </c>
      <c r="Q61" s="322"/>
      <c r="R61" s="322"/>
      <c r="S61" s="323" t="s">
        <v>1869</v>
      </c>
      <c r="T61" s="271">
        <v>393.24</v>
      </c>
      <c r="U61" s="324"/>
      <c r="V61" s="275">
        <v>0</v>
      </c>
    </row>
    <row r="62" spans="1:22" ht="15.75" x14ac:dyDescent="0.2">
      <c r="A62" s="276" t="s">
        <v>1397</v>
      </c>
      <c r="B62" s="276"/>
      <c r="C62" s="276"/>
      <c r="D62" s="277" t="s">
        <v>1398</v>
      </c>
      <c r="E62" s="278"/>
      <c r="F62" s="279"/>
      <c r="G62" s="279"/>
      <c r="H62" s="279"/>
      <c r="I62" s="279"/>
      <c r="J62" s="279">
        <f>N62</f>
        <v>23465.25</v>
      </c>
      <c r="K62" s="279"/>
      <c r="L62" s="279"/>
      <c r="M62" s="279"/>
      <c r="N62" s="280">
        <f>SUM(N63:N66)</f>
        <v>23465.25</v>
      </c>
      <c r="O62" s="325" t="e">
        <f t="shared" si="7"/>
        <v>#DIV/0!</v>
      </c>
      <c r="P62" s="319"/>
      <c r="Q62" s="322"/>
      <c r="R62" s="322"/>
      <c r="S62" s="323" t="s">
        <v>1870</v>
      </c>
      <c r="T62" s="271">
        <v>0</v>
      </c>
      <c r="U62" s="324"/>
      <c r="V62" s="279"/>
    </row>
    <row r="63" spans="1:22" ht="15.75" x14ac:dyDescent="0.2">
      <c r="A63" s="272" t="s">
        <v>1399</v>
      </c>
      <c r="B63" s="272">
        <v>92422</v>
      </c>
      <c r="C63" s="272" t="s">
        <v>1324</v>
      </c>
      <c r="D63" s="273" t="s">
        <v>1384</v>
      </c>
      <c r="E63" s="274" t="s">
        <v>14</v>
      </c>
      <c r="F63" s="275">
        <v>10.8</v>
      </c>
      <c r="G63" s="275">
        <v>0</v>
      </c>
      <c r="H63" s="275">
        <v>0</v>
      </c>
      <c r="I63" s="275">
        <v>0</v>
      </c>
      <c r="J63" s="268">
        <f>ROUND(T63*$T$12,2)</f>
        <v>93.42</v>
      </c>
      <c r="K63" s="268">
        <f>G63*J63</f>
        <v>0</v>
      </c>
      <c r="L63" s="268">
        <f t="shared" si="12"/>
        <v>0</v>
      </c>
      <c r="M63" s="268">
        <f>K63-L63</f>
        <v>0</v>
      </c>
      <c r="N63" s="269">
        <f>ROUND(F63*J63,2)</f>
        <v>1008.94</v>
      </c>
      <c r="O63" s="325">
        <f t="shared" si="7"/>
        <v>0</v>
      </c>
      <c r="P63" s="319">
        <f t="shared" si="10"/>
        <v>1008.936</v>
      </c>
      <c r="Q63" s="322"/>
      <c r="R63" s="322"/>
      <c r="S63" s="323" t="s">
        <v>1871</v>
      </c>
      <c r="T63" s="271">
        <v>113.43</v>
      </c>
      <c r="U63" s="324"/>
      <c r="V63" s="275">
        <v>0</v>
      </c>
    </row>
    <row r="64" spans="1:22" ht="15.75" x14ac:dyDescent="0.2">
      <c r="A64" s="272" t="s">
        <v>1400</v>
      </c>
      <c r="B64" s="272" t="s">
        <v>1401</v>
      </c>
      <c r="C64" s="272" t="s">
        <v>1324</v>
      </c>
      <c r="D64" s="273" t="s">
        <v>1402</v>
      </c>
      <c r="E64" s="274" t="s">
        <v>48</v>
      </c>
      <c r="F64" s="275">
        <v>33.83</v>
      </c>
      <c r="G64" s="275">
        <v>0</v>
      </c>
      <c r="H64" s="275">
        <v>0</v>
      </c>
      <c r="I64" s="275">
        <v>0</v>
      </c>
      <c r="J64" s="268">
        <f>ROUND(T64*$T$12,2)</f>
        <v>98.55</v>
      </c>
      <c r="K64" s="268">
        <f>G64*J64</f>
        <v>0</v>
      </c>
      <c r="L64" s="268">
        <f t="shared" si="12"/>
        <v>0</v>
      </c>
      <c r="M64" s="268">
        <f>K64-L64</f>
        <v>0</v>
      </c>
      <c r="N64" s="269">
        <f>ROUND(F64*J64,2)</f>
        <v>3333.95</v>
      </c>
      <c r="O64" s="325">
        <f t="shared" si="7"/>
        <v>0</v>
      </c>
      <c r="P64" s="319">
        <f t="shared" si="10"/>
        <v>3333.9464999999996</v>
      </c>
      <c r="Q64" s="322"/>
      <c r="R64" s="322"/>
      <c r="S64" s="323" t="s">
        <v>1872</v>
      </c>
      <c r="T64" s="271">
        <v>119.66</v>
      </c>
      <c r="U64" s="324"/>
      <c r="V64" s="275">
        <v>0</v>
      </c>
    </row>
    <row r="65" spans="1:22" ht="15.75" x14ac:dyDescent="0.2">
      <c r="A65" s="272" t="s">
        <v>1403</v>
      </c>
      <c r="B65" s="272">
        <v>85662</v>
      </c>
      <c r="C65" s="272" t="s">
        <v>1324</v>
      </c>
      <c r="D65" s="273" t="s">
        <v>1404</v>
      </c>
      <c r="E65" s="274" t="s">
        <v>14</v>
      </c>
      <c r="F65" s="275">
        <v>1001.47</v>
      </c>
      <c r="G65" s="275">
        <v>0</v>
      </c>
      <c r="H65" s="275">
        <v>0</v>
      </c>
      <c r="I65" s="275">
        <v>0</v>
      </c>
      <c r="J65" s="268">
        <f>ROUND(T65*$T$12,2)</f>
        <v>10.34</v>
      </c>
      <c r="K65" s="268">
        <f>G65*J65</f>
        <v>0</v>
      </c>
      <c r="L65" s="268">
        <f t="shared" si="12"/>
        <v>0</v>
      </c>
      <c r="M65" s="268">
        <f>K65-L65</f>
        <v>0</v>
      </c>
      <c r="N65" s="269">
        <f>ROUND(F65*J65,2)</f>
        <v>10355.200000000001</v>
      </c>
      <c r="O65" s="325">
        <f t="shared" si="7"/>
        <v>0</v>
      </c>
      <c r="P65" s="319">
        <f t="shared" si="10"/>
        <v>10355.1998</v>
      </c>
      <c r="Q65" s="322"/>
      <c r="R65" s="322"/>
      <c r="S65" s="323" t="s">
        <v>1873</v>
      </c>
      <c r="T65" s="271">
        <v>12.56</v>
      </c>
      <c r="U65" s="324"/>
      <c r="V65" s="275">
        <v>0</v>
      </c>
    </row>
    <row r="66" spans="1:22" ht="15.75" x14ac:dyDescent="0.2">
      <c r="A66" s="272" t="s">
        <v>1405</v>
      </c>
      <c r="B66" s="272">
        <v>92720</v>
      </c>
      <c r="C66" s="272" t="s">
        <v>1324</v>
      </c>
      <c r="D66" s="273" t="s">
        <v>1375</v>
      </c>
      <c r="E66" s="274" t="s">
        <v>48</v>
      </c>
      <c r="F66" s="275">
        <v>27.07</v>
      </c>
      <c r="G66" s="275">
        <v>0</v>
      </c>
      <c r="H66" s="275">
        <v>0</v>
      </c>
      <c r="I66" s="275">
        <v>0</v>
      </c>
      <c r="J66" s="268">
        <f>ROUND(T66*$T$12,2)</f>
        <v>323.87</v>
      </c>
      <c r="K66" s="268">
        <f>G66*J66</f>
        <v>0</v>
      </c>
      <c r="L66" s="268">
        <f t="shared" si="12"/>
        <v>0</v>
      </c>
      <c r="M66" s="268">
        <f>K66-L66</f>
        <v>0</v>
      </c>
      <c r="N66" s="269">
        <f>ROUND(F66*J66,2)</f>
        <v>8767.16</v>
      </c>
      <c r="O66" s="325">
        <f t="shared" si="7"/>
        <v>0</v>
      </c>
      <c r="P66" s="319">
        <f t="shared" si="10"/>
        <v>8767.1609000000008</v>
      </c>
      <c r="Q66" s="322"/>
      <c r="R66" s="322"/>
      <c r="S66" s="323" t="s">
        <v>1874</v>
      </c>
      <c r="T66" s="271">
        <v>393.24</v>
      </c>
      <c r="U66" s="324"/>
      <c r="V66" s="275">
        <v>0</v>
      </c>
    </row>
    <row r="67" spans="1:22" ht="15.75" x14ac:dyDescent="0.2">
      <c r="A67" s="276" t="s">
        <v>1406</v>
      </c>
      <c r="B67" s="276"/>
      <c r="C67" s="276"/>
      <c r="D67" s="277" t="s">
        <v>1407</v>
      </c>
      <c r="E67" s="278"/>
      <c r="F67" s="279"/>
      <c r="G67" s="279"/>
      <c r="H67" s="279"/>
      <c r="I67" s="279"/>
      <c r="J67" s="279">
        <f>N67</f>
        <v>912.59</v>
      </c>
      <c r="K67" s="279"/>
      <c r="L67" s="279"/>
      <c r="M67" s="279"/>
      <c r="N67" s="280">
        <f>SUM(N68)</f>
        <v>912.59</v>
      </c>
      <c r="O67" s="325" t="e">
        <f t="shared" si="7"/>
        <v>#DIV/0!</v>
      </c>
      <c r="P67" s="319"/>
      <c r="Q67" s="322"/>
      <c r="R67" s="322"/>
      <c r="S67" s="323" t="s">
        <v>1875</v>
      </c>
      <c r="T67" s="271">
        <v>0</v>
      </c>
      <c r="U67" s="324"/>
      <c r="V67" s="279"/>
    </row>
    <row r="68" spans="1:22" ht="15.75" x14ac:dyDescent="0.2">
      <c r="A68" s="272" t="s">
        <v>1408</v>
      </c>
      <c r="B68" s="272" t="s">
        <v>1409</v>
      </c>
      <c r="C68" s="272" t="s">
        <v>1324</v>
      </c>
      <c r="D68" s="273" t="s">
        <v>1410</v>
      </c>
      <c r="E68" s="274" t="s">
        <v>81</v>
      </c>
      <c r="F68" s="275">
        <v>33.9</v>
      </c>
      <c r="G68" s="275">
        <v>0</v>
      </c>
      <c r="H68" s="275">
        <v>0</v>
      </c>
      <c r="I68" s="275">
        <v>0</v>
      </c>
      <c r="J68" s="268">
        <f>ROUND(T68*$T$12,2)</f>
        <v>26.92</v>
      </c>
      <c r="K68" s="268">
        <f>G68*J68</f>
        <v>0</v>
      </c>
      <c r="L68" s="268">
        <f t="shared" si="12"/>
        <v>0</v>
      </c>
      <c r="M68" s="268">
        <f>K68-L68</f>
        <v>0</v>
      </c>
      <c r="N68" s="269">
        <f>ROUND(F68*J68,2)</f>
        <v>912.59</v>
      </c>
      <c r="O68" s="325">
        <f t="shared" si="7"/>
        <v>0</v>
      </c>
      <c r="P68" s="319">
        <f t="shared" si="10"/>
        <v>912.58799999999997</v>
      </c>
      <c r="Q68" s="322"/>
      <c r="R68" s="322"/>
      <c r="S68" s="323" t="s">
        <v>1876</v>
      </c>
      <c r="T68" s="271">
        <v>32.69</v>
      </c>
      <c r="U68" s="324"/>
      <c r="V68" s="275">
        <v>0</v>
      </c>
    </row>
    <row r="69" spans="1:22" ht="15.75" x14ac:dyDescent="0.2">
      <c r="A69" s="258">
        <v>5</v>
      </c>
      <c r="B69" s="258"/>
      <c r="C69" s="258"/>
      <c r="D69" s="259" t="s">
        <v>1411</v>
      </c>
      <c r="E69" s="260"/>
      <c r="F69" s="261"/>
      <c r="G69" s="261"/>
      <c r="H69" s="261"/>
      <c r="I69" s="261"/>
      <c r="J69" s="261">
        <f>N69</f>
        <v>31428.92</v>
      </c>
      <c r="K69" s="261"/>
      <c r="L69" s="261"/>
      <c r="M69" s="261"/>
      <c r="N69" s="262">
        <f>N70+N72+N75</f>
        <v>31428.92</v>
      </c>
      <c r="O69" s="325" t="e">
        <f t="shared" si="7"/>
        <v>#DIV/0!</v>
      </c>
      <c r="P69" s="319"/>
      <c r="Q69" s="322"/>
      <c r="R69" s="322"/>
      <c r="S69" s="323" t="s">
        <v>1877</v>
      </c>
      <c r="T69" s="271">
        <v>0</v>
      </c>
      <c r="U69" s="324"/>
      <c r="V69" s="261"/>
    </row>
    <row r="70" spans="1:22" ht="15.75" x14ac:dyDescent="0.2">
      <c r="A70" s="276" t="s">
        <v>98</v>
      </c>
      <c r="B70" s="276"/>
      <c r="C70" s="276"/>
      <c r="D70" s="277" t="s">
        <v>1412</v>
      </c>
      <c r="E70" s="278"/>
      <c r="F70" s="279"/>
      <c r="G70" s="279"/>
      <c r="H70" s="279"/>
      <c r="I70" s="279"/>
      <c r="J70" s="279">
        <f>N70</f>
        <v>7200.78</v>
      </c>
      <c r="K70" s="279"/>
      <c r="L70" s="279"/>
      <c r="M70" s="279"/>
      <c r="N70" s="280">
        <f>SUM(N71)</f>
        <v>7200.78</v>
      </c>
      <c r="O70" s="325" t="e">
        <f t="shared" si="7"/>
        <v>#DIV/0!</v>
      </c>
      <c r="P70" s="319"/>
      <c r="Q70" s="322"/>
      <c r="R70" s="322"/>
      <c r="S70" s="323" t="s">
        <v>1878</v>
      </c>
      <c r="T70" s="271">
        <v>0</v>
      </c>
      <c r="U70" s="324"/>
      <c r="V70" s="279"/>
    </row>
    <row r="71" spans="1:22" ht="25.5" x14ac:dyDescent="0.2">
      <c r="A71" s="272" t="s">
        <v>100</v>
      </c>
      <c r="B71" s="272" t="s">
        <v>1413</v>
      </c>
      <c r="C71" s="272" t="s">
        <v>1324</v>
      </c>
      <c r="D71" s="273" t="s">
        <v>1414</v>
      </c>
      <c r="E71" s="274" t="s">
        <v>14</v>
      </c>
      <c r="F71" s="275">
        <v>134.72</v>
      </c>
      <c r="G71" s="275">
        <v>0</v>
      </c>
      <c r="H71" s="275">
        <v>0</v>
      </c>
      <c r="I71" s="275">
        <v>0</v>
      </c>
      <c r="J71" s="268">
        <f>ROUND(T71*$T$12,2)</f>
        <v>53.45</v>
      </c>
      <c r="K71" s="268">
        <f>G71*J71</f>
        <v>0</v>
      </c>
      <c r="L71" s="268">
        <f>K71</f>
        <v>0</v>
      </c>
      <c r="M71" s="268">
        <f>K71-L71</f>
        <v>0</v>
      </c>
      <c r="N71" s="269">
        <f>ROUND(F71*J71,2)</f>
        <v>7200.78</v>
      </c>
      <c r="O71" s="325">
        <f t="shared" si="7"/>
        <v>0</v>
      </c>
      <c r="P71" s="319">
        <f t="shared" si="10"/>
        <v>7200.7840000000006</v>
      </c>
      <c r="Q71" s="322"/>
      <c r="R71" s="322"/>
      <c r="S71" s="323" t="s">
        <v>1879</v>
      </c>
      <c r="T71" s="271">
        <v>64.900000000000006</v>
      </c>
      <c r="U71" s="324"/>
      <c r="V71" s="275">
        <v>0</v>
      </c>
    </row>
    <row r="72" spans="1:22" ht="15.75" x14ac:dyDescent="0.2">
      <c r="A72" s="276" t="s">
        <v>116</v>
      </c>
      <c r="B72" s="276"/>
      <c r="C72" s="276"/>
      <c r="D72" s="277" t="s">
        <v>1415</v>
      </c>
      <c r="E72" s="278"/>
      <c r="F72" s="279"/>
      <c r="G72" s="279"/>
      <c r="H72" s="279"/>
      <c r="I72" s="279"/>
      <c r="J72" s="279">
        <f>N72</f>
        <v>15726.869999999999</v>
      </c>
      <c r="K72" s="279"/>
      <c r="L72" s="279"/>
      <c r="M72" s="279"/>
      <c r="N72" s="280">
        <f>SUM(N73:N74)</f>
        <v>15726.869999999999</v>
      </c>
      <c r="O72" s="325" t="e">
        <f t="shared" si="7"/>
        <v>#DIV/0!</v>
      </c>
      <c r="P72" s="319">
        <f t="shared" si="10"/>
        <v>0</v>
      </c>
      <c r="Q72" s="322"/>
      <c r="R72" s="322"/>
      <c r="S72" s="323" t="s">
        <v>1880</v>
      </c>
      <c r="T72" s="271">
        <v>0</v>
      </c>
      <c r="U72" s="324"/>
      <c r="V72" s="279"/>
    </row>
    <row r="73" spans="1:22" ht="25.5" x14ac:dyDescent="0.2">
      <c r="A73" s="272" t="s">
        <v>118</v>
      </c>
      <c r="B73" s="272">
        <v>87519</v>
      </c>
      <c r="C73" s="272" t="s">
        <v>1324</v>
      </c>
      <c r="D73" s="273" t="s">
        <v>1416</v>
      </c>
      <c r="E73" s="274" t="s">
        <v>14</v>
      </c>
      <c r="F73" s="275">
        <v>259.22000000000003</v>
      </c>
      <c r="G73" s="275">
        <v>0</v>
      </c>
      <c r="H73" s="275">
        <v>0</v>
      </c>
      <c r="I73" s="275">
        <v>0</v>
      </c>
      <c r="J73" s="268">
        <f>ROUND(T73*$T$12,2)</f>
        <v>56.29</v>
      </c>
      <c r="K73" s="268">
        <f>G73*J73</f>
        <v>0</v>
      </c>
      <c r="L73" s="268">
        <f>K73</f>
        <v>0</v>
      </c>
      <c r="M73" s="268">
        <f>K73-L73</f>
        <v>0</v>
      </c>
      <c r="N73" s="269">
        <f>ROUND(F73*J73,2)</f>
        <v>14591.49</v>
      </c>
      <c r="O73" s="325">
        <f t="shared" si="7"/>
        <v>0</v>
      </c>
      <c r="P73" s="319">
        <f t="shared" si="10"/>
        <v>14591.493800000002</v>
      </c>
      <c r="Q73" s="322"/>
      <c r="R73" s="322"/>
      <c r="S73" s="323" t="s">
        <v>1881</v>
      </c>
      <c r="T73" s="271">
        <v>68.349999999999994</v>
      </c>
      <c r="U73" s="324"/>
      <c r="V73" s="275">
        <v>0</v>
      </c>
    </row>
    <row r="74" spans="1:22" ht="25.5" x14ac:dyDescent="0.2">
      <c r="A74" s="272" t="s">
        <v>123</v>
      </c>
      <c r="B74" s="272" t="s">
        <v>1417</v>
      </c>
      <c r="C74" s="272" t="s">
        <v>1324</v>
      </c>
      <c r="D74" s="273" t="s">
        <v>1418</v>
      </c>
      <c r="E74" s="274" t="s">
        <v>81</v>
      </c>
      <c r="F74" s="275">
        <v>69.400000000000006</v>
      </c>
      <c r="G74" s="275">
        <v>0</v>
      </c>
      <c r="H74" s="275">
        <v>0</v>
      </c>
      <c r="I74" s="275">
        <v>0</v>
      </c>
      <c r="J74" s="268">
        <f>ROUND(T74*$T$12,2)</f>
        <v>16.36</v>
      </c>
      <c r="K74" s="268">
        <f>G74*J74</f>
        <v>0</v>
      </c>
      <c r="L74" s="268">
        <f>K74</f>
        <v>0</v>
      </c>
      <c r="M74" s="268">
        <f>K74-L74</f>
        <v>0</v>
      </c>
      <c r="N74" s="269">
        <f>ROUND(F74*J74,2)</f>
        <v>1135.3800000000001</v>
      </c>
      <c r="O74" s="325">
        <f t="shared" si="7"/>
        <v>0</v>
      </c>
      <c r="P74" s="319">
        <f t="shared" si="10"/>
        <v>1135.384</v>
      </c>
      <c r="Q74" s="322"/>
      <c r="R74" s="322"/>
      <c r="S74" s="323" t="s">
        <v>1882</v>
      </c>
      <c r="T74" s="271">
        <v>19.87</v>
      </c>
      <c r="U74" s="324"/>
      <c r="V74" s="275">
        <v>0</v>
      </c>
    </row>
    <row r="75" spans="1:22" ht="15.75" x14ac:dyDescent="0.2">
      <c r="A75" s="276" t="s">
        <v>1419</v>
      </c>
      <c r="B75" s="276"/>
      <c r="C75" s="276"/>
      <c r="D75" s="277" t="s">
        <v>1420</v>
      </c>
      <c r="E75" s="278"/>
      <c r="F75" s="279"/>
      <c r="G75" s="279"/>
      <c r="H75" s="279"/>
      <c r="I75" s="279"/>
      <c r="J75" s="279">
        <f>N75</f>
        <v>8501.27</v>
      </c>
      <c r="K75" s="279"/>
      <c r="L75" s="279"/>
      <c r="M75" s="279"/>
      <c r="N75" s="280">
        <f>SUM(N76)</f>
        <v>8501.27</v>
      </c>
      <c r="O75" s="325" t="e">
        <f t="shared" si="7"/>
        <v>#DIV/0!</v>
      </c>
      <c r="P75" s="319"/>
      <c r="Q75" s="322"/>
      <c r="R75" s="322"/>
      <c r="S75" s="323" t="s">
        <v>1883</v>
      </c>
      <c r="T75" s="271">
        <v>0</v>
      </c>
      <c r="U75" s="324"/>
      <c r="V75" s="279"/>
    </row>
    <row r="76" spans="1:22" ht="25.5" x14ac:dyDescent="0.2">
      <c r="A76" s="272" t="s">
        <v>1421</v>
      </c>
      <c r="B76" s="272" t="s">
        <v>1422</v>
      </c>
      <c r="C76" s="272" t="s">
        <v>1324</v>
      </c>
      <c r="D76" s="273" t="s">
        <v>1423</v>
      </c>
      <c r="E76" s="274" t="s">
        <v>14</v>
      </c>
      <c r="F76" s="275">
        <v>148.08000000000001</v>
      </c>
      <c r="G76" s="275">
        <v>0</v>
      </c>
      <c r="H76" s="275">
        <v>0</v>
      </c>
      <c r="I76" s="275">
        <v>0</v>
      </c>
      <c r="J76" s="268">
        <f>ROUND(T76*$T$12,2)</f>
        <v>57.41</v>
      </c>
      <c r="K76" s="268">
        <f>G76*J76</f>
        <v>0</v>
      </c>
      <c r="L76" s="268">
        <f>K76</f>
        <v>0</v>
      </c>
      <c r="M76" s="268">
        <f>K76-L76</f>
        <v>0</v>
      </c>
      <c r="N76" s="269">
        <f>ROUND(F76*J76,2)</f>
        <v>8501.27</v>
      </c>
      <c r="O76" s="325">
        <f t="shared" si="7"/>
        <v>0</v>
      </c>
      <c r="P76" s="319">
        <f t="shared" si="10"/>
        <v>8501.2728000000006</v>
      </c>
      <c r="Q76" s="322"/>
      <c r="R76" s="322"/>
      <c r="S76" s="323" t="s">
        <v>1884</v>
      </c>
      <c r="T76" s="271">
        <v>69.709999999999994</v>
      </c>
      <c r="U76" s="324"/>
      <c r="V76" s="275">
        <v>0</v>
      </c>
    </row>
    <row r="77" spans="1:22" ht="15.75" x14ac:dyDescent="0.2">
      <c r="A77" s="258">
        <v>6</v>
      </c>
      <c r="B77" s="258"/>
      <c r="C77" s="258"/>
      <c r="D77" s="259" t="s">
        <v>97</v>
      </c>
      <c r="E77" s="260"/>
      <c r="F77" s="261"/>
      <c r="G77" s="261"/>
      <c r="H77" s="261"/>
      <c r="I77" s="261"/>
      <c r="J77" s="261">
        <f>N77</f>
        <v>10373.979999999998</v>
      </c>
      <c r="K77" s="261"/>
      <c r="L77" s="261"/>
      <c r="M77" s="261"/>
      <c r="N77" s="262">
        <f>N78+N83+N87+N90</f>
        <v>10373.979999999998</v>
      </c>
      <c r="O77" s="325" t="e">
        <f t="shared" si="7"/>
        <v>#DIV/0!</v>
      </c>
      <c r="P77" s="319"/>
      <c r="Q77" s="322"/>
      <c r="R77" s="322"/>
      <c r="S77" s="323" t="s">
        <v>1885</v>
      </c>
      <c r="T77" s="271">
        <v>0</v>
      </c>
      <c r="U77" s="324"/>
      <c r="V77" s="261"/>
    </row>
    <row r="78" spans="1:22" ht="15.75" x14ac:dyDescent="0.2">
      <c r="A78" s="276" t="s">
        <v>186</v>
      </c>
      <c r="B78" s="276"/>
      <c r="C78" s="276"/>
      <c r="D78" s="277" t="s">
        <v>1424</v>
      </c>
      <c r="E78" s="278"/>
      <c r="F78" s="279"/>
      <c r="G78" s="279"/>
      <c r="H78" s="279"/>
      <c r="I78" s="279"/>
      <c r="J78" s="279">
        <f>N78</f>
        <v>7440.7899999999991</v>
      </c>
      <c r="K78" s="279"/>
      <c r="L78" s="279"/>
      <c r="M78" s="279"/>
      <c r="N78" s="280">
        <f>SUM(N79:N82)</f>
        <v>7440.7899999999991</v>
      </c>
      <c r="O78" s="325" t="e">
        <f t="shared" si="7"/>
        <v>#DIV/0!</v>
      </c>
      <c r="P78" s="319"/>
      <c r="Q78" s="322"/>
      <c r="R78" s="322"/>
      <c r="S78" s="323" t="s">
        <v>1886</v>
      </c>
      <c r="T78" s="271">
        <v>0</v>
      </c>
      <c r="U78" s="324"/>
      <c r="V78" s="279"/>
    </row>
    <row r="79" spans="1:22" ht="25.5" x14ac:dyDescent="0.2">
      <c r="A79" s="272" t="s">
        <v>1425</v>
      </c>
      <c r="B79" s="272">
        <v>90843</v>
      </c>
      <c r="C79" s="272" t="s">
        <v>1324</v>
      </c>
      <c r="D79" s="273" t="s">
        <v>1426</v>
      </c>
      <c r="E79" s="274" t="s">
        <v>102</v>
      </c>
      <c r="F79" s="275">
        <v>2</v>
      </c>
      <c r="G79" s="275">
        <v>0</v>
      </c>
      <c r="H79" s="275">
        <v>0</v>
      </c>
      <c r="I79" s="275">
        <v>0</v>
      </c>
      <c r="J79" s="268">
        <f>ROUND(T79*$T$12,2)</f>
        <v>688.65</v>
      </c>
      <c r="K79" s="268">
        <f>G79*J79</f>
        <v>0</v>
      </c>
      <c r="L79" s="268">
        <f>K79</f>
        <v>0</v>
      </c>
      <c r="M79" s="268">
        <f>K79-L79</f>
        <v>0</v>
      </c>
      <c r="N79" s="269">
        <f>ROUND(F79*J79,2)</f>
        <v>1377.3</v>
      </c>
      <c r="O79" s="325">
        <f t="shared" si="7"/>
        <v>0</v>
      </c>
      <c r="P79" s="319">
        <f t="shared" si="10"/>
        <v>1377.3</v>
      </c>
      <c r="Q79" s="322"/>
      <c r="R79" s="322"/>
      <c r="S79" s="323" t="s">
        <v>1887</v>
      </c>
      <c r="T79" s="271">
        <v>836.16</v>
      </c>
      <c r="U79" s="324"/>
      <c r="V79" s="275">
        <v>0</v>
      </c>
    </row>
    <row r="80" spans="1:22" ht="25.5" x14ac:dyDescent="0.2">
      <c r="A80" s="272" t="s">
        <v>1427</v>
      </c>
      <c r="B80" s="272">
        <v>90844</v>
      </c>
      <c r="C80" s="272" t="s">
        <v>1324</v>
      </c>
      <c r="D80" s="273" t="s">
        <v>1428</v>
      </c>
      <c r="E80" s="274" t="s">
        <v>102</v>
      </c>
      <c r="F80" s="275">
        <v>1</v>
      </c>
      <c r="G80" s="275">
        <v>0</v>
      </c>
      <c r="H80" s="275">
        <v>0</v>
      </c>
      <c r="I80" s="275">
        <v>0</v>
      </c>
      <c r="J80" s="268">
        <f>ROUND(T80*$T$12,2)</f>
        <v>926.13</v>
      </c>
      <c r="K80" s="268">
        <f>G80*J80</f>
        <v>0</v>
      </c>
      <c r="L80" s="268">
        <f>K80</f>
        <v>0</v>
      </c>
      <c r="M80" s="268">
        <f>K80-L80</f>
        <v>0</v>
      </c>
      <c r="N80" s="269">
        <f>ROUND(F80*J80,2)</f>
        <v>926.13</v>
      </c>
      <c r="O80" s="325">
        <f t="shared" ref="O80:O143" si="13">L80/P80</f>
        <v>0</v>
      </c>
      <c r="P80" s="319">
        <f t="shared" si="10"/>
        <v>926.13</v>
      </c>
      <c r="Q80" s="322"/>
      <c r="R80" s="322"/>
      <c r="S80" s="323" t="s">
        <v>1888</v>
      </c>
      <c r="T80" s="271">
        <v>1124.5</v>
      </c>
      <c r="U80" s="324"/>
      <c r="V80" s="275">
        <v>0</v>
      </c>
    </row>
    <row r="81" spans="1:22" ht="25.5" x14ac:dyDescent="0.2">
      <c r="A81" s="272" t="s">
        <v>1429</v>
      </c>
      <c r="B81" s="272" t="s">
        <v>1430</v>
      </c>
      <c r="C81" s="272" t="s">
        <v>1324</v>
      </c>
      <c r="D81" s="273" t="s">
        <v>1431</v>
      </c>
      <c r="E81" s="274" t="s">
        <v>102</v>
      </c>
      <c r="F81" s="275">
        <v>4</v>
      </c>
      <c r="G81" s="275">
        <v>0</v>
      </c>
      <c r="H81" s="275">
        <v>0</v>
      </c>
      <c r="I81" s="275">
        <v>0</v>
      </c>
      <c r="J81" s="268">
        <f>ROUND(T81*$T$12,2)</f>
        <v>825.22</v>
      </c>
      <c r="K81" s="268">
        <f>G81*J81</f>
        <v>0</v>
      </c>
      <c r="L81" s="268">
        <f>K81</f>
        <v>0</v>
      </c>
      <c r="M81" s="268">
        <f>K81-L81</f>
        <v>0</v>
      </c>
      <c r="N81" s="269">
        <f>ROUND(F81*J81,2)</f>
        <v>3300.88</v>
      </c>
      <c r="O81" s="325">
        <f t="shared" si="13"/>
        <v>0</v>
      </c>
      <c r="P81" s="319">
        <f t="shared" si="10"/>
        <v>3300.88</v>
      </c>
      <c r="Q81" s="322"/>
      <c r="R81" s="322"/>
      <c r="S81" s="323" t="s">
        <v>1889</v>
      </c>
      <c r="T81" s="271">
        <v>1001.98</v>
      </c>
      <c r="U81" s="324"/>
      <c r="V81" s="275">
        <v>0</v>
      </c>
    </row>
    <row r="82" spans="1:22" ht="25.5" x14ac:dyDescent="0.2">
      <c r="A82" s="272" t="s">
        <v>1432</v>
      </c>
      <c r="B82" s="272" t="s">
        <v>1433</v>
      </c>
      <c r="C82" s="272" t="s">
        <v>1324</v>
      </c>
      <c r="D82" s="273" t="s">
        <v>1434</v>
      </c>
      <c r="E82" s="274" t="s">
        <v>102</v>
      </c>
      <c r="F82" s="275">
        <v>2</v>
      </c>
      <c r="G82" s="275">
        <v>0</v>
      </c>
      <c r="H82" s="275">
        <v>0</v>
      </c>
      <c r="I82" s="275">
        <v>0</v>
      </c>
      <c r="J82" s="268">
        <f>ROUND(T82*$T$12,2)</f>
        <v>918.24</v>
      </c>
      <c r="K82" s="268">
        <f>G82*J82</f>
        <v>0</v>
      </c>
      <c r="L82" s="268">
        <f>K82</f>
        <v>0</v>
      </c>
      <c r="M82" s="268">
        <f>K82-L82</f>
        <v>0</v>
      </c>
      <c r="N82" s="269">
        <f>ROUND(F82*J82,2)</f>
        <v>1836.48</v>
      </c>
      <c r="O82" s="325">
        <f t="shared" si="13"/>
        <v>0</v>
      </c>
      <c r="P82" s="319">
        <f t="shared" si="10"/>
        <v>1836.48</v>
      </c>
      <c r="Q82" s="322"/>
      <c r="R82" s="322"/>
      <c r="S82" s="323" t="s">
        <v>1890</v>
      </c>
      <c r="T82" s="271">
        <v>1114.92</v>
      </c>
      <c r="U82" s="324"/>
      <c r="V82" s="275">
        <v>0</v>
      </c>
    </row>
    <row r="83" spans="1:22" ht="15.75" x14ac:dyDescent="0.2">
      <c r="A83" s="276" t="s">
        <v>188</v>
      </c>
      <c r="B83" s="276"/>
      <c r="C83" s="276"/>
      <c r="D83" s="277" t="s">
        <v>1435</v>
      </c>
      <c r="E83" s="278"/>
      <c r="F83" s="279"/>
      <c r="G83" s="279"/>
      <c r="H83" s="279"/>
      <c r="I83" s="279"/>
      <c r="J83" s="279">
        <f>N83</f>
        <v>773.29</v>
      </c>
      <c r="K83" s="279"/>
      <c r="L83" s="279"/>
      <c r="M83" s="279"/>
      <c r="N83" s="280">
        <f>SUM(N84:N86)</f>
        <v>773.29</v>
      </c>
      <c r="O83" s="325" t="e">
        <f t="shared" si="13"/>
        <v>#DIV/0!</v>
      </c>
      <c r="P83" s="319">
        <f t="shared" si="10"/>
        <v>0</v>
      </c>
      <c r="Q83" s="322"/>
      <c r="R83" s="322"/>
      <c r="S83" s="323" t="s">
        <v>1891</v>
      </c>
      <c r="T83" s="271">
        <v>0</v>
      </c>
      <c r="U83" s="324"/>
      <c r="V83" s="279"/>
    </row>
    <row r="84" spans="1:22" ht="25.5" x14ac:dyDescent="0.2">
      <c r="A84" s="272" t="s">
        <v>1436</v>
      </c>
      <c r="B84" s="272"/>
      <c r="C84" s="272" t="s">
        <v>1339</v>
      </c>
      <c r="D84" s="273" t="s">
        <v>1437</v>
      </c>
      <c r="E84" s="274" t="s">
        <v>81</v>
      </c>
      <c r="F84" s="275">
        <v>11.6</v>
      </c>
      <c r="G84" s="275">
        <v>0</v>
      </c>
      <c r="H84" s="275">
        <v>0</v>
      </c>
      <c r="I84" s="275">
        <v>0</v>
      </c>
      <c r="J84" s="268">
        <f>ROUND(T84*$T$12,2)</f>
        <v>48.24</v>
      </c>
      <c r="K84" s="268">
        <f>G84*J84</f>
        <v>0</v>
      </c>
      <c r="L84" s="268">
        <f>K84</f>
        <v>0</v>
      </c>
      <c r="M84" s="268">
        <f>K84-L84</f>
        <v>0</v>
      </c>
      <c r="N84" s="269">
        <f>ROUND(F84*J84,2)</f>
        <v>559.58000000000004</v>
      </c>
      <c r="O84" s="325">
        <f t="shared" si="13"/>
        <v>0</v>
      </c>
      <c r="P84" s="319">
        <f t="shared" si="10"/>
        <v>559.58400000000006</v>
      </c>
      <c r="Q84" s="322"/>
      <c r="R84" s="322"/>
      <c r="S84" s="323" t="s">
        <v>1892</v>
      </c>
      <c r="T84" s="271">
        <v>58.57</v>
      </c>
      <c r="U84" s="324"/>
      <c r="V84" s="275">
        <v>0</v>
      </c>
    </row>
    <row r="85" spans="1:22" ht="25.5" x14ac:dyDescent="0.2">
      <c r="A85" s="272" t="s">
        <v>1438</v>
      </c>
      <c r="B85" s="272"/>
      <c r="C85" s="272" t="s">
        <v>1339</v>
      </c>
      <c r="D85" s="273" t="s">
        <v>1439</v>
      </c>
      <c r="E85" s="274" t="s">
        <v>14</v>
      </c>
      <c r="F85" s="275">
        <v>4.3</v>
      </c>
      <c r="G85" s="275">
        <v>0</v>
      </c>
      <c r="H85" s="275">
        <v>0</v>
      </c>
      <c r="I85" s="275">
        <v>0</v>
      </c>
      <c r="J85" s="268">
        <f>ROUND(T85*$T$12,2)</f>
        <v>5.44</v>
      </c>
      <c r="K85" s="268">
        <f>G85*J85</f>
        <v>0</v>
      </c>
      <c r="L85" s="268">
        <f>K85</f>
        <v>0</v>
      </c>
      <c r="M85" s="268">
        <f>K85-L85</f>
        <v>0</v>
      </c>
      <c r="N85" s="269">
        <f>ROUND(F85*J85,2)</f>
        <v>23.39</v>
      </c>
      <c r="O85" s="325">
        <f t="shared" si="13"/>
        <v>0</v>
      </c>
      <c r="P85" s="319">
        <f t="shared" si="10"/>
        <v>23.391999999999999</v>
      </c>
      <c r="Q85" s="322"/>
      <c r="R85" s="322"/>
      <c r="S85" s="323" t="s">
        <v>1893</v>
      </c>
      <c r="T85" s="271">
        <v>6.61</v>
      </c>
      <c r="U85" s="324"/>
      <c r="V85" s="275">
        <v>0</v>
      </c>
    </row>
    <row r="86" spans="1:22" ht="15.75" x14ac:dyDescent="0.2">
      <c r="A86" s="272" t="s">
        <v>1440</v>
      </c>
      <c r="B86" s="272" t="s">
        <v>1441</v>
      </c>
      <c r="C86" s="272" t="s">
        <v>1324</v>
      </c>
      <c r="D86" s="273" t="s">
        <v>1442</v>
      </c>
      <c r="E86" s="274" t="s">
        <v>102</v>
      </c>
      <c r="F86" s="275">
        <v>6</v>
      </c>
      <c r="G86" s="275">
        <v>0</v>
      </c>
      <c r="H86" s="275">
        <v>0</v>
      </c>
      <c r="I86" s="275">
        <v>0</v>
      </c>
      <c r="J86" s="268">
        <f>ROUND(T86*$T$12,2)</f>
        <v>31.72</v>
      </c>
      <c r="K86" s="268">
        <f>G86*J86</f>
        <v>0</v>
      </c>
      <c r="L86" s="268">
        <f>K86</f>
        <v>0</v>
      </c>
      <c r="M86" s="268">
        <f>K86-L86</f>
        <v>0</v>
      </c>
      <c r="N86" s="269">
        <f>ROUND(F86*J86,2)</f>
        <v>190.32</v>
      </c>
      <c r="O86" s="325">
        <f t="shared" si="13"/>
        <v>0</v>
      </c>
      <c r="P86" s="319">
        <f t="shared" si="10"/>
        <v>190.32</v>
      </c>
      <c r="Q86" s="322"/>
      <c r="R86" s="322"/>
      <c r="S86" s="323" t="s">
        <v>1894</v>
      </c>
      <c r="T86" s="271">
        <v>38.520000000000003</v>
      </c>
      <c r="U86" s="324"/>
      <c r="V86" s="275">
        <v>0</v>
      </c>
    </row>
    <row r="87" spans="1:22" ht="15.75" x14ac:dyDescent="0.2">
      <c r="A87" s="276" t="s">
        <v>1443</v>
      </c>
      <c r="B87" s="276"/>
      <c r="C87" s="276"/>
      <c r="D87" s="277" t="s">
        <v>1444</v>
      </c>
      <c r="E87" s="278"/>
      <c r="F87" s="279"/>
      <c r="G87" s="279"/>
      <c r="H87" s="279"/>
      <c r="I87" s="279"/>
      <c r="J87" s="279">
        <f>N87</f>
        <v>331.68</v>
      </c>
      <c r="K87" s="279"/>
      <c r="L87" s="279"/>
      <c r="M87" s="279"/>
      <c r="N87" s="280">
        <f>SUM(N88:N89)</f>
        <v>331.68</v>
      </c>
      <c r="O87" s="325" t="e">
        <f t="shared" si="13"/>
        <v>#DIV/0!</v>
      </c>
      <c r="P87" s="319"/>
      <c r="Q87" s="322"/>
      <c r="R87" s="322"/>
      <c r="S87" s="323" t="s">
        <v>1895</v>
      </c>
      <c r="T87" s="271">
        <v>0</v>
      </c>
      <c r="U87" s="324"/>
      <c r="V87" s="279"/>
    </row>
    <row r="88" spans="1:22" ht="15.75" x14ac:dyDescent="0.2">
      <c r="A88" s="282" t="s">
        <v>1445</v>
      </c>
      <c r="B88" s="282">
        <v>68052</v>
      </c>
      <c r="C88" s="282" t="s">
        <v>1324</v>
      </c>
      <c r="D88" s="283" t="s">
        <v>1446</v>
      </c>
      <c r="E88" s="284" t="s">
        <v>14</v>
      </c>
      <c r="F88" s="285">
        <v>10.8</v>
      </c>
      <c r="G88" s="285">
        <v>0</v>
      </c>
      <c r="H88" s="285">
        <v>0</v>
      </c>
      <c r="I88" s="285">
        <v>0</v>
      </c>
      <c r="J88" s="268">
        <f>ROUND(T88*$T$12,2)</f>
        <v>0</v>
      </c>
      <c r="K88" s="268">
        <f>G88*J88</f>
        <v>0</v>
      </c>
      <c r="L88" s="268">
        <f>K88</f>
        <v>0</v>
      </c>
      <c r="M88" s="268">
        <f>K88-L88</f>
        <v>0</v>
      </c>
      <c r="N88" s="269">
        <f>ROUND(F88*J88,2)</f>
        <v>0</v>
      </c>
      <c r="O88" s="325" t="e">
        <f t="shared" si="13"/>
        <v>#DIV/0!</v>
      </c>
      <c r="P88" s="319"/>
      <c r="Q88" s="322"/>
      <c r="R88" s="322"/>
      <c r="S88" s="323" t="s">
        <v>1896</v>
      </c>
      <c r="T88" s="271">
        <v>0</v>
      </c>
      <c r="U88" s="324"/>
      <c r="V88" s="285">
        <v>0</v>
      </c>
    </row>
    <row r="89" spans="1:22" ht="25.5" x14ac:dyDescent="0.2">
      <c r="A89" s="272" t="s">
        <v>1447</v>
      </c>
      <c r="B89" s="272">
        <v>85010</v>
      </c>
      <c r="C89" s="272" t="s">
        <v>1324</v>
      </c>
      <c r="D89" s="273" t="s">
        <v>1448</v>
      </c>
      <c r="E89" s="274" t="s">
        <v>14</v>
      </c>
      <c r="F89" s="275">
        <v>2.08</v>
      </c>
      <c r="G89" s="275">
        <v>0</v>
      </c>
      <c r="H89" s="275">
        <v>0</v>
      </c>
      <c r="I89" s="275">
        <v>0</v>
      </c>
      <c r="J89" s="268">
        <f>ROUND(T89*$T$12,2)</f>
        <v>159.46</v>
      </c>
      <c r="K89" s="268">
        <f>G89*J89</f>
        <v>0</v>
      </c>
      <c r="L89" s="268">
        <f>K89</f>
        <v>0</v>
      </c>
      <c r="M89" s="268">
        <f>K89-L89</f>
        <v>0</v>
      </c>
      <c r="N89" s="269">
        <f>ROUND(F89*J89,2)</f>
        <v>331.68</v>
      </c>
      <c r="O89" s="325">
        <f t="shared" si="13"/>
        <v>0</v>
      </c>
      <c r="P89" s="319">
        <f t="shared" si="10"/>
        <v>331.67680000000001</v>
      </c>
      <c r="Q89" s="322"/>
      <c r="R89" s="322"/>
      <c r="S89" s="323" t="s">
        <v>1897</v>
      </c>
      <c r="T89" s="271">
        <v>193.61</v>
      </c>
      <c r="U89" s="324"/>
      <c r="V89" s="275">
        <v>0</v>
      </c>
    </row>
    <row r="90" spans="1:22" ht="15.75" x14ac:dyDescent="0.2">
      <c r="A90" s="276" t="s">
        <v>1449</v>
      </c>
      <c r="B90" s="276"/>
      <c r="C90" s="276"/>
      <c r="D90" s="277" t="s">
        <v>184</v>
      </c>
      <c r="E90" s="278"/>
      <c r="F90" s="279"/>
      <c r="G90" s="279"/>
      <c r="H90" s="279"/>
      <c r="I90" s="279"/>
      <c r="J90" s="279">
        <f>N90</f>
        <v>1828.22</v>
      </c>
      <c r="K90" s="279"/>
      <c r="L90" s="279"/>
      <c r="M90" s="279"/>
      <c r="N90" s="280">
        <f>SUM(N91)</f>
        <v>1828.22</v>
      </c>
      <c r="O90" s="325" t="e">
        <f t="shared" si="13"/>
        <v>#DIV/0!</v>
      </c>
      <c r="P90" s="319"/>
      <c r="Q90" s="322"/>
      <c r="R90" s="322"/>
      <c r="S90" s="323" t="s">
        <v>1898</v>
      </c>
      <c r="T90" s="271">
        <v>0</v>
      </c>
      <c r="U90" s="324"/>
      <c r="V90" s="279"/>
    </row>
    <row r="91" spans="1:22" ht="25.5" x14ac:dyDescent="0.2">
      <c r="A91" s="272" t="s">
        <v>1450</v>
      </c>
      <c r="B91" s="272" t="s">
        <v>1451</v>
      </c>
      <c r="C91" s="272" t="s">
        <v>1324</v>
      </c>
      <c r="D91" s="273" t="s">
        <v>1452</v>
      </c>
      <c r="E91" s="274" t="s">
        <v>14</v>
      </c>
      <c r="F91" s="275">
        <v>4.32</v>
      </c>
      <c r="G91" s="275">
        <v>0</v>
      </c>
      <c r="H91" s="275">
        <v>0</v>
      </c>
      <c r="I91" s="275">
        <v>0</v>
      </c>
      <c r="J91" s="268">
        <f>ROUND(T91*$T$12,2)</f>
        <v>423.2</v>
      </c>
      <c r="K91" s="268">
        <f>G91*J91</f>
        <v>0</v>
      </c>
      <c r="L91" s="268">
        <f>K91</f>
        <v>0</v>
      </c>
      <c r="M91" s="268">
        <f>K91-L91</f>
        <v>0</v>
      </c>
      <c r="N91" s="269">
        <f>ROUND(F91*J91,2)</f>
        <v>1828.22</v>
      </c>
      <c r="O91" s="325">
        <f t="shared" si="13"/>
        <v>0</v>
      </c>
      <c r="P91" s="319">
        <f t="shared" ref="P91:P154" si="14">F91*J91</f>
        <v>1828.2240000000002</v>
      </c>
      <c r="Q91" s="322"/>
      <c r="R91" s="322"/>
      <c r="S91" s="323" t="s">
        <v>1899</v>
      </c>
      <c r="T91" s="271">
        <v>513.85</v>
      </c>
      <c r="U91" s="324"/>
      <c r="V91" s="275">
        <v>0</v>
      </c>
    </row>
    <row r="92" spans="1:22" ht="15.75" x14ac:dyDescent="0.2">
      <c r="A92" s="258">
        <v>7</v>
      </c>
      <c r="B92" s="258"/>
      <c r="C92" s="258"/>
      <c r="D92" s="259" t="s">
        <v>1453</v>
      </c>
      <c r="E92" s="260"/>
      <c r="F92" s="261"/>
      <c r="G92" s="261"/>
      <c r="H92" s="261"/>
      <c r="I92" s="261"/>
      <c r="J92" s="261">
        <f>N92</f>
        <v>173274.06</v>
      </c>
      <c r="K92" s="261"/>
      <c r="L92" s="261"/>
      <c r="M92" s="261"/>
      <c r="N92" s="262">
        <f>SUM(N93:N94)</f>
        <v>173274.06</v>
      </c>
      <c r="O92" s="325" t="e">
        <f t="shared" si="13"/>
        <v>#DIV/0!</v>
      </c>
      <c r="P92" s="319"/>
      <c r="Q92" s="322"/>
      <c r="R92" s="322"/>
      <c r="S92" s="323" t="s">
        <v>1900</v>
      </c>
      <c r="T92" s="271">
        <v>0</v>
      </c>
      <c r="U92" s="324"/>
      <c r="V92" s="261"/>
    </row>
    <row r="93" spans="1:22" ht="25.5" x14ac:dyDescent="0.2">
      <c r="A93" s="272" t="s">
        <v>193</v>
      </c>
      <c r="B93" s="272" t="s">
        <v>1454</v>
      </c>
      <c r="C93" s="272" t="s">
        <v>1324</v>
      </c>
      <c r="D93" s="273" t="s">
        <v>1455</v>
      </c>
      <c r="E93" s="274" t="s">
        <v>14</v>
      </c>
      <c r="F93" s="275">
        <v>1030.4000000000001</v>
      </c>
      <c r="G93" s="275">
        <v>0</v>
      </c>
      <c r="H93" s="275">
        <v>0</v>
      </c>
      <c r="I93" s="275">
        <v>0</v>
      </c>
      <c r="J93" s="268">
        <f>ROUND(T93*$T$12,2)</f>
        <v>51.14</v>
      </c>
      <c r="K93" s="268">
        <f>G93*J93</f>
        <v>0</v>
      </c>
      <c r="L93" s="268">
        <f>K93</f>
        <v>0</v>
      </c>
      <c r="M93" s="268">
        <f>K93-L93</f>
        <v>0</v>
      </c>
      <c r="N93" s="269">
        <f>ROUND(F93*J93,2)</f>
        <v>52694.66</v>
      </c>
      <c r="O93" s="325">
        <f t="shared" si="13"/>
        <v>0</v>
      </c>
      <c r="P93" s="319">
        <f t="shared" si="14"/>
        <v>52694.656000000003</v>
      </c>
      <c r="Q93" s="322"/>
      <c r="R93" s="322"/>
      <c r="S93" s="323" t="s">
        <v>1901</v>
      </c>
      <c r="T93" s="271">
        <v>62.1</v>
      </c>
      <c r="U93" s="324"/>
      <c r="V93" s="275">
        <v>0</v>
      </c>
    </row>
    <row r="94" spans="1:22" ht="15.75" x14ac:dyDescent="0.2">
      <c r="A94" s="272" t="s">
        <v>195</v>
      </c>
      <c r="B94" s="272">
        <v>72112</v>
      </c>
      <c r="C94" s="272" t="s">
        <v>1324</v>
      </c>
      <c r="D94" s="273" t="s">
        <v>1456</v>
      </c>
      <c r="E94" s="274" t="s">
        <v>14</v>
      </c>
      <c r="F94" s="275">
        <v>980.4</v>
      </c>
      <c r="G94" s="275">
        <v>0</v>
      </c>
      <c r="H94" s="275">
        <v>0</v>
      </c>
      <c r="I94" s="275">
        <v>0</v>
      </c>
      <c r="J94" s="268">
        <f>ROUND(T94*$T$12,2)</f>
        <v>122.99</v>
      </c>
      <c r="K94" s="268">
        <f>G94*J94</f>
        <v>0</v>
      </c>
      <c r="L94" s="268">
        <f>K94</f>
        <v>0</v>
      </c>
      <c r="M94" s="268">
        <f>K94-L94</f>
        <v>0</v>
      </c>
      <c r="N94" s="269">
        <f>ROUND(F94*J94,2)</f>
        <v>120579.4</v>
      </c>
      <c r="O94" s="325">
        <f t="shared" si="13"/>
        <v>0</v>
      </c>
      <c r="P94" s="319">
        <f t="shared" si="14"/>
        <v>120579.39599999999</v>
      </c>
      <c r="Q94" s="322"/>
      <c r="R94" s="322"/>
      <c r="S94" s="323" t="s">
        <v>1902</v>
      </c>
      <c r="T94" s="271">
        <v>149.33000000000001</v>
      </c>
      <c r="U94" s="324"/>
      <c r="V94" s="275">
        <v>0</v>
      </c>
    </row>
    <row r="95" spans="1:22" ht="15.75" x14ac:dyDescent="0.2">
      <c r="A95" s="258">
        <v>8</v>
      </c>
      <c r="B95" s="258"/>
      <c r="C95" s="258"/>
      <c r="D95" s="259" t="s">
        <v>208</v>
      </c>
      <c r="E95" s="260"/>
      <c r="F95" s="261"/>
      <c r="G95" s="261"/>
      <c r="H95" s="261"/>
      <c r="I95" s="261"/>
      <c r="J95" s="261">
        <f>N95</f>
        <v>5634.27</v>
      </c>
      <c r="K95" s="261"/>
      <c r="L95" s="261"/>
      <c r="M95" s="261"/>
      <c r="N95" s="262">
        <f>SUM(N96:N97)</f>
        <v>5634.27</v>
      </c>
      <c r="O95" s="325" t="e">
        <f t="shared" si="13"/>
        <v>#DIV/0!</v>
      </c>
      <c r="P95" s="319"/>
      <c r="Q95" s="322"/>
      <c r="R95" s="322"/>
      <c r="S95" s="323" t="s">
        <v>1903</v>
      </c>
      <c r="T95" s="271">
        <v>0</v>
      </c>
      <c r="U95" s="324"/>
      <c r="V95" s="261"/>
    </row>
    <row r="96" spans="1:22" ht="15.75" x14ac:dyDescent="0.2">
      <c r="A96" s="272" t="s">
        <v>210</v>
      </c>
      <c r="B96" s="272" t="s">
        <v>1457</v>
      </c>
      <c r="C96" s="272" t="s">
        <v>1324</v>
      </c>
      <c r="D96" s="273" t="s">
        <v>1458</v>
      </c>
      <c r="E96" s="274" t="s">
        <v>14</v>
      </c>
      <c r="F96" s="275">
        <v>265.61</v>
      </c>
      <c r="G96" s="275">
        <v>0</v>
      </c>
      <c r="H96" s="275">
        <v>0</v>
      </c>
      <c r="I96" s="275">
        <v>0</v>
      </c>
      <c r="J96" s="268">
        <f>ROUND(T96*$T$12,2)</f>
        <v>8.5</v>
      </c>
      <c r="K96" s="268">
        <f>G96*J96</f>
        <v>0</v>
      </c>
      <c r="L96" s="268">
        <f>K96</f>
        <v>0</v>
      </c>
      <c r="M96" s="268">
        <f>K96-L96</f>
        <v>0</v>
      </c>
      <c r="N96" s="269">
        <f>ROUND(F96*J96,2)</f>
        <v>2257.69</v>
      </c>
      <c r="O96" s="325">
        <f t="shared" si="13"/>
        <v>0</v>
      </c>
      <c r="P96" s="319">
        <f t="shared" si="14"/>
        <v>2257.6849999999999</v>
      </c>
      <c r="Q96" s="322"/>
      <c r="R96" s="322"/>
      <c r="S96" s="323" t="s">
        <v>1904</v>
      </c>
      <c r="T96" s="271">
        <v>10.32</v>
      </c>
      <c r="U96" s="324"/>
      <c r="V96" s="275">
        <v>0</v>
      </c>
    </row>
    <row r="97" spans="1:22" ht="25.5" x14ac:dyDescent="0.2">
      <c r="A97" s="272" t="s">
        <v>213</v>
      </c>
      <c r="B97" s="272">
        <v>68053</v>
      </c>
      <c r="C97" s="272" t="s">
        <v>1324</v>
      </c>
      <c r="D97" s="273" t="s">
        <v>1459</v>
      </c>
      <c r="E97" s="274" t="s">
        <v>14</v>
      </c>
      <c r="F97" s="275">
        <v>676.67</v>
      </c>
      <c r="G97" s="275">
        <v>0</v>
      </c>
      <c r="H97" s="275">
        <v>0</v>
      </c>
      <c r="I97" s="275">
        <v>0</v>
      </c>
      <c r="J97" s="268">
        <f>ROUND(T97*$T$12,2)</f>
        <v>4.99</v>
      </c>
      <c r="K97" s="268">
        <f>G97*J97</f>
        <v>0</v>
      </c>
      <c r="L97" s="268">
        <f>K97</f>
        <v>0</v>
      </c>
      <c r="M97" s="268">
        <f>K97-L97</f>
        <v>0</v>
      </c>
      <c r="N97" s="269">
        <f>ROUND(F97*J97,2)</f>
        <v>3376.58</v>
      </c>
      <c r="O97" s="325">
        <f t="shared" si="13"/>
        <v>0</v>
      </c>
      <c r="P97" s="319">
        <f t="shared" si="14"/>
        <v>3376.5832999999998</v>
      </c>
      <c r="Q97" s="322"/>
      <c r="R97" s="322"/>
      <c r="S97" s="323" t="s">
        <v>1905</v>
      </c>
      <c r="T97" s="271">
        <v>6.06</v>
      </c>
      <c r="U97" s="324"/>
      <c r="V97" s="275">
        <v>0</v>
      </c>
    </row>
    <row r="98" spans="1:22" ht="15.75" x14ac:dyDescent="0.2">
      <c r="A98" s="258">
        <v>9</v>
      </c>
      <c r="B98" s="258"/>
      <c r="C98" s="258"/>
      <c r="D98" s="259" t="s">
        <v>1460</v>
      </c>
      <c r="E98" s="260"/>
      <c r="F98" s="261"/>
      <c r="G98" s="261"/>
      <c r="H98" s="261"/>
      <c r="I98" s="261"/>
      <c r="J98" s="261">
        <f>N98</f>
        <v>51794.2</v>
      </c>
      <c r="K98" s="261"/>
      <c r="L98" s="261"/>
      <c r="M98" s="261"/>
      <c r="N98" s="262">
        <f>SUM(N99:N108)</f>
        <v>51794.2</v>
      </c>
      <c r="O98" s="325" t="e">
        <f t="shared" si="13"/>
        <v>#DIV/0!</v>
      </c>
      <c r="P98" s="319"/>
      <c r="Q98" s="322"/>
      <c r="R98" s="322"/>
      <c r="S98" s="323" t="s">
        <v>1906</v>
      </c>
      <c r="T98" s="271">
        <v>0</v>
      </c>
      <c r="U98" s="324"/>
      <c r="V98" s="261"/>
    </row>
    <row r="99" spans="1:22" ht="15.75" x14ac:dyDescent="0.2">
      <c r="A99" s="272" t="s">
        <v>223</v>
      </c>
      <c r="B99" s="272">
        <v>87905</v>
      </c>
      <c r="C99" s="272" t="s">
        <v>1324</v>
      </c>
      <c r="D99" s="273" t="s">
        <v>1461</v>
      </c>
      <c r="E99" s="274" t="s">
        <v>14</v>
      </c>
      <c r="F99" s="275">
        <v>803.09</v>
      </c>
      <c r="G99" s="275">
        <v>0</v>
      </c>
      <c r="H99" s="275">
        <v>0</v>
      </c>
      <c r="I99" s="275">
        <v>0</v>
      </c>
      <c r="J99" s="268">
        <f t="shared" ref="J99:J107" si="15">ROUND(T99*$T$12,2)</f>
        <v>6.11</v>
      </c>
      <c r="K99" s="268">
        <f t="shared" ref="K99:K108" si="16">G99*J99</f>
        <v>0</v>
      </c>
      <c r="L99" s="268">
        <f t="shared" ref="L99:L108" si="17">K99</f>
        <v>0</v>
      </c>
      <c r="M99" s="268">
        <f t="shared" ref="M99:M108" si="18">K99-L99</f>
        <v>0</v>
      </c>
      <c r="N99" s="269">
        <f t="shared" ref="N99:N108" si="19">ROUND(F99*J99,2)</f>
        <v>4906.88</v>
      </c>
      <c r="O99" s="325">
        <f t="shared" si="13"/>
        <v>0</v>
      </c>
      <c r="P99" s="319">
        <f t="shared" si="14"/>
        <v>4906.8799000000008</v>
      </c>
      <c r="Q99" s="322"/>
      <c r="R99" s="322"/>
      <c r="S99" s="323" t="s">
        <v>1907</v>
      </c>
      <c r="T99" s="271">
        <v>7.42</v>
      </c>
      <c r="U99" s="324"/>
      <c r="V99" s="275">
        <v>0</v>
      </c>
    </row>
    <row r="100" spans="1:22" ht="15.75" x14ac:dyDescent="0.2">
      <c r="A100" s="272" t="s">
        <v>239</v>
      </c>
      <c r="B100" s="272">
        <v>87882</v>
      </c>
      <c r="C100" s="272" t="s">
        <v>1324</v>
      </c>
      <c r="D100" s="273" t="s">
        <v>1462</v>
      </c>
      <c r="E100" s="274" t="s">
        <v>14</v>
      </c>
      <c r="F100" s="275">
        <v>84.33</v>
      </c>
      <c r="G100" s="275">
        <v>0</v>
      </c>
      <c r="H100" s="275">
        <v>0</v>
      </c>
      <c r="I100" s="275">
        <v>0</v>
      </c>
      <c r="J100" s="268">
        <f t="shared" si="15"/>
        <v>4.03</v>
      </c>
      <c r="K100" s="268">
        <f t="shared" si="16"/>
        <v>0</v>
      </c>
      <c r="L100" s="268">
        <f t="shared" si="17"/>
        <v>0</v>
      </c>
      <c r="M100" s="268">
        <f t="shared" si="18"/>
        <v>0</v>
      </c>
      <c r="N100" s="269">
        <f t="shared" si="19"/>
        <v>339.85</v>
      </c>
      <c r="O100" s="325">
        <f t="shared" si="13"/>
        <v>0</v>
      </c>
      <c r="P100" s="319">
        <f t="shared" si="14"/>
        <v>339.84989999999999</v>
      </c>
      <c r="Q100" s="322"/>
      <c r="R100" s="322"/>
      <c r="S100" s="323" t="s">
        <v>1908</v>
      </c>
      <c r="T100" s="271">
        <v>4.8899999999999997</v>
      </c>
      <c r="U100" s="324"/>
      <c r="V100" s="275">
        <v>0</v>
      </c>
    </row>
    <row r="101" spans="1:22" ht="15.75" x14ac:dyDescent="0.2">
      <c r="A101" s="272" t="s">
        <v>1463</v>
      </c>
      <c r="B101" s="272">
        <v>87531</v>
      </c>
      <c r="C101" s="272" t="s">
        <v>1324</v>
      </c>
      <c r="D101" s="273" t="s">
        <v>1464</v>
      </c>
      <c r="E101" s="274" t="s">
        <v>14</v>
      </c>
      <c r="F101" s="275">
        <v>743.93</v>
      </c>
      <c r="G101" s="275">
        <v>0</v>
      </c>
      <c r="H101" s="275">
        <v>0</v>
      </c>
      <c r="I101" s="275">
        <v>0</v>
      </c>
      <c r="J101" s="268">
        <f t="shared" si="15"/>
        <v>26.27</v>
      </c>
      <c r="K101" s="268">
        <f t="shared" si="16"/>
        <v>0</v>
      </c>
      <c r="L101" s="268">
        <f t="shared" si="17"/>
        <v>0</v>
      </c>
      <c r="M101" s="268">
        <f t="shared" si="18"/>
        <v>0</v>
      </c>
      <c r="N101" s="269">
        <f t="shared" si="19"/>
        <v>19543.04</v>
      </c>
      <c r="O101" s="325">
        <f t="shared" si="13"/>
        <v>0</v>
      </c>
      <c r="P101" s="319">
        <f t="shared" si="14"/>
        <v>19543.041099999999</v>
      </c>
      <c r="Q101" s="322"/>
      <c r="R101" s="322"/>
      <c r="S101" s="323" t="s">
        <v>1909</v>
      </c>
      <c r="T101" s="271">
        <v>31.9</v>
      </c>
      <c r="U101" s="324"/>
      <c r="V101" s="275">
        <v>0</v>
      </c>
    </row>
    <row r="102" spans="1:22" ht="15.75" x14ac:dyDescent="0.2">
      <c r="A102" s="272" t="s">
        <v>1465</v>
      </c>
      <c r="B102" s="272" t="s">
        <v>1466</v>
      </c>
      <c r="C102" s="272" t="s">
        <v>1324</v>
      </c>
      <c r="D102" s="273" t="s">
        <v>1467</v>
      </c>
      <c r="E102" s="274" t="s">
        <v>14</v>
      </c>
      <c r="F102" s="275">
        <v>445.04</v>
      </c>
      <c r="G102" s="275">
        <v>0</v>
      </c>
      <c r="H102" s="275">
        <v>0</v>
      </c>
      <c r="I102" s="275">
        <v>0</v>
      </c>
      <c r="J102" s="268">
        <f t="shared" si="15"/>
        <v>12.12</v>
      </c>
      <c r="K102" s="268">
        <f t="shared" si="16"/>
        <v>0</v>
      </c>
      <c r="L102" s="268">
        <f t="shared" si="17"/>
        <v>0</v>
      </c>
      <c r="M102" s="268">
        <f t="shared" si="18"/>
        <v>0</v>
      </c>
      <c r="N102" s="269">
        <f t="shared" si="19"/>
        <v>5393.88</v>
      </c>
      <c r="O102" s="325">
        <f t="shared" si="13"/>
        <v>0</v>
      </c>
      <c r="P102" s="319">
        <f t="shared" si="14"/>
        <v>5393.8847999999998</v>
      </c>
      <c r="Q102" s="322"/>
      <c r="R102" s="322"/>
      <c r="S102" s="323" t="s">
        <v>1910</v>
      </c>
      <c r="T102" s="271">
        <v>14.71</v>
      </c>
      <c r="U102" s="324"/>
      <c r="V102" s="275">
        <v>0</v>
      </c>
    </row>
    <row r="103" spans="1:22" ht="15.75" x14ac:dyDescent="0.2">
      <c r="A103" s="272" t="s">
        <v>1468</v>
      </c>
      <c r="B103" s="272" t="s">
        <v>1466</v>
      </c>
      <c r="C103" s="272" t="s">
        <v>1324</v>
      </c>
      <c r="D103" s="273" t="s">
        <v>1469</v>
      </c>
      <c r="E103" s="274" t="s">
        <v>14</v>
      </c>
      <c r="F103" s="275">
        <v>84.33</v>
      </c>
      <c r="G103" s="275">
        <v>0</v>
      </c>
      <c r="H103" s="275">
        <v>0</v>
      </c>
      <c r="I103" s="275">
        <v>0</v>
      </c>
      <c r="J103" s="268">
        <f t="shared" si="15"/>
        <v>14.08</v>
      </c>
      <c r="K103" s="268">
        <f t="shared" si="16"/>
        <v>0</v>
      </c>
      <c r="L103" s="268">
        <f t="shared" si="17"/>
        <v>0</v>
      </c>
      <c r="M103" s="268">
        <f t="shared" si="18"/>
        <v>0</v>
      </c>
      <c r="N103" s="269">
        <f t="shared" si="19"/>
        <v>1187.3699999999999</v>
      </c>
      <c r="O103" s="325">
        <f t="shared" si="13"/>
        <v>0</v>
      </c>
      <c r="P103" s="319">
        <f t="shared" si="14"/>
        <v>1187.3663999999999</v>
      </c>
      <c r="Q103" s="322"/>
      <c r="R103" s="322"/>
      <c r="S103" s="323" t="s">
        <v>1911</v>
      </c>
      <c r="T103" s="271">
        <v>17.09</v>
      </c>
      <c r="U103" s="324"/>
      <c r="V103" s="275">
        <v>0</v>
      </c>
    </row>
    <row r="104" spans="1:22" ht="15.75" x14ac:dyDescent="0.2">
      <c r="A104" s="272" t="s">
        <v>1470</v>
      </c>
      <c r="B104" s="272">
        <v>87905</v>
      </c>
      <c r="C104" s="272" t="s">
        <v>1324</v>
      </c>
      <c r="D104" s="273" t="s">
        <v>1471</v>
      </c>
      <c r="E104" s="274" t="s">
        <v>14</v>
      </c>
      <c r="F104" s="275">
        <v>140.33000000000001</v>
      </c>
      <c r="G104" s="275">
        <v>0</v>
      </c>
      <c r="H104" s="275">
        <v>0</v>
      </c>
      <c r="I104" s="275">
        <v>0</v>
      </c>
      <c r="J104" s="268">
        <f t="shared" si="15"/>
        <v>6.11</v>
      </c>
      <c r="K104" s="268">
        <f t="shared" si="16"/>
        <v>0</v>
      </c>
      <c r="L104" s="268">
        <f t="shared" si="17"/>
        <v>0</v>
      </c>
      <c r="M104" s="268">
        <f t="shared" si="18"/>
        <v>0</v>
      </c>
      <c r="N104" s="269">
        <f t="shared" si="19"/>
        <v>857.42</v>
      </c>
      <c r="O104" s="325">
        <f t="shared" si="13"/>
        <v>0</v>
      </c>
      <c r="P104" s="319">
        <f t="shared" si="14"/>
        <v>857.41630000000009</v>
      </c>
      <c r="Q104" s="322"/>
      <c r="R104" s="322"/>
      <c r="S104" s="323" t="s">
        <v>1912</v>
      </c>
      <c r="T104" s="271">
        <v>7.42</v>
      </c>
      <c r="U104" s="324"/>
      <c r="V104" s="275">
        <v>0</v>
      </c>
    </row>
    <row r="105" spans="1:22" ht="15.75" x14ac:dyDescent="0.2">
      <c r="A105" s="272" t="s">
        <v>1472</v>
      </c>
      <c r="B105" s="272">
        <v>87531</v>
      </c>
      <c r="C105" s="272" t="s">
        <v>1324</v>
      </c>
      <c r="D105" s="273" t="s">
        <v>1473</v>
      </c>
      <c r="E105" s="274" t="s">
        <v>14</v>
      </c>
      <c r="F105" s="275">
        <v>140.33000000000001</v>
      </c>
      <c r="G105" s="275">
        <v>0</v>
      </c>
      <c r="H105" s="275">
        <v>0</v>
      </c>
      <c r="I105" s="275">
        <v>0</v>
      </c>
      <c r="J105" s="268">
        <f t="shared" si="15"/>
        <v>26.27</v>
      </c>
      <c r="K105" s="268">
        <f t="shared" si="16"/>
        <v>0</v>
      </c>
      <c r="L105" s="268">
        <f t="shared" si="17"/>
        <v>0</v>
      </c>
      <c r="M105" s="268">
        <f t="shared" si="18"/>
        <v>0</v>
      </c>
      <c r="N105" s="269">
        <f t="shared" si="19"/>
        <v>3686.47</v>
      </c>
      <c r="O105" s="325">
        <f t="shared" si="13"/>
        <v>0</v>
      </c>
      <c r="P105" s="319">
        <f t="shared" si="14"/>
        <v>3686.4691000000003</v>
      </c>
      <c r="Q105" s="322"/>
      <c r="R105" s="322"/>
      <c r="S105" s="323" t="s">
        <v>1913</v>
      </c>
      <c r="T105" s="271">
        <v>31.9</v>
      </c>
      <c r="U105" s="324"/>
      <c r="V105" s="275">
        <v>0</v>
      </c>
    </row>
    <row r="106" spans="1:22" ht="25.5" x14ac:dyDescent="0.2">
      <c r="A106" s="272" t="s">
        <v>1474</v>
      </c>
      <c r="B106" s="272" t="s">
        <v>1466</v>
      </c>
      <c r="C106" s="272" t="s">
        <v>1324</v>
      </c>
      <c r="D106" s="273" t="s">
        <v>1475</v>
      </c>
      <c r="E106" s="274" t="s">
        <v>14</v>
      </c>
      <c r="F106" s="275">
        <v>140.33000000000001</v>
      </c>
      <c r="G106" s="275">
        <v>0</v>
      </c>
      <c r="H106" s="275">
        <v>0</v>
      </c>
      <c r="I106" s="275">
        <v>0</v>
      </c>
      <c r="J106" s="268">
        <f t="shared" si="15"/>
        <v>16.23</v>
      </c>
      <c r="K106" s="268">
        <f t="shared" si="16"/>
        <v>0</v>
      </c>
      <c r="L106" s="268">
        <f t="shared" si="17"/>
        <v>0</v>
      </c>
      <c r="M106" s="268">
        <f t="shared" si="18"/>
        <v>0</v>
      </c>
      <c r="N106" s="269">
        <f t="shared" si="19"/>
        <v>2277.56</v>
      </c>
      <c r="O106" s="325">
        <f t="shared" si="13"/>
        <v>0</v>
      </c>
      <c r="P106" s="319">
        <f t="shared" si="14"/>
        <v>2277.5559000000003</v>
      </c>
      <c r="Q106" s="322"/>
      <c r="R106" s="322"/>
      <c r="S106" s="323" t="s">
        <v>1914</v>
      </c>
      <c r="T106" s="271">
        <v>19.71</v>
      </c>
      <c r="U106" s="324"/>
      <c r="V106" s="275">
        <v>0</v>
      </c>
    </row>
    <row r="107" spans="1:22" ht="25.5" x14ac:dyDescent="0.2">
      <c r="A107" s="272" t="s">
        <v>1476</v>
      </c>
      <c r="B107" s="272">
        <v>87272</v>
      </c>
      <c r="C107" s="272" t="s">
        <v>1324</v>
      </c>
      <c r="D107" s="273" t="s">
        <v>1477</v>
      </c>
      <c r="E107" s="274" t="s">
        <v>14</v>
      </c>
      <c r="F107" s="275">
        <v>210.5</v>
      </c>
      <c r="G107" s="275">
        <v>0</v>
      </c>
      <c r="H107" s="275">
        <v>0</v>
      </c>
      <c r="I107" s="275">
        <v>0</v>
      </c>
      <c r="J107" s="268">
        <f t="shared" si="15"/>
        <v>45.67</v>
      </c>
      <c r="K107" s="268">
        <f t="shared" si="16"/>
        <v>0</v>
      </c>
      <c r="L107" s="268">
        <f t="shared" si="17"/>
        <v>0</v>
      </c>
      <c r="M107" s="268">
        <f t="shared" si="18"/>
        <v>0</v>
      </c>
      <c r="N107" s="269">
        <f t="shared" si="19"/>
        <v>9613.5400000000009</v>
      </c>
      <c r="O107" s="325">
        <f t="shared" si="13"/>
        <v>0</v>
      </c>
      <c r="P107" s="319">
        <f t="shared" si="14"/>
        <v>9613.5349999999999</v>
      </c>
      <c r="Q107" s="322"/>
      <c r="R107" s="322"/>
      <c r="S107" s="323" t="s">
        <v>1915</v>
      </c>
      <c r="T107" s="271">
        <v>55.45</v>
      </c>
      <c r="U107" s="324"/>
      <c r="V107" s="275">
        <v>0</v>
      </c>
    </row>
    <row r="108" spans="1:22" ht="25.5" x14ac:dyDescent="0.2">
      <c r="A108" s="272" t="s">
        <v>1478</v>
      </c>
      <c r="B108" s="272">
        <v>87267</v>
      </c>
      <c r="C108" s="272" t="s">
        <v>1324</v>
      </c>
      <c r="D108" s="273" t="s">
        <v>1479</v>
      </c>
      <c r="E108" s="274" t="s">
        <v>14</v>
      </c>
      <c r="F108" s="275">
        <v>85.51</v>
      </c>
      <c r="G108" s="275">
        <v>0</v>
      </c>
      <c r="H108" s="275">
        <v>0</v>
      </c>
      <c r="I108" s="275">
        <v>0</v>
      </c>
      <c r="J108" s="268">
        <v>46.64</v>
      </c>
      <c r="K108" s="268">
        <f t="shared" si="16"/>
        <v>0</v>
      </c>
      <c r="L108" s="268">
        <f t="shared" si="17"/>
        <v>0</v>
      </c>
      <c r="M108" s="268">
        <f t="shared" si="18"/>
        <v>0</v>
      </c>
      <c r="N108" s="269">
        <f t="shared" si="19"/>
        <v>3988.19</v>
      </c>
      <c r="O108" s="325">
        <f t="shared" si="13"/>
        <v>0</v>
      </c>
      <c r="P108" s="319">
        <f t="shared" si="14"/>
        <v>3988.1864000000005</v>
      </c>
      <c r="Q108" s="322"/>
      <c r="R108" s="322"/>
      <c r="S108" s="323" t="s">
        <v>1916</v>
      </c>
      <c r="T108" s="271">
        <v>466.2</v>
      </c>
      <c r="U108" s="324"/>
      <c r="V108" s="275">
        <v>0</v>
      </c>
    </row>
    <row r="109" spans="1:22" ht="15.75" x14ac:dyDescent="0.2">
      <c r="A109" s="258">
        <v>10</v>
      </c>
      <c r="B109" s="258"/>
      <c r="C109" s="258"/>
      <c r="D109" s="259" t="s">
        <v>1480</v>
      </c>
      <c r="E109" s="260"/>
      <c r="F109" s="261"/>
      <c r="G109" s="261"/>
      <c r="H109" s="261"/>
      <c r="I109" s="261"/>
      <c r="J109" s="261">
        <f>N109</f>
        <v>60566.09</v>
      </c>
      <c r="K109" s="261"/>
      <c r="L109" s="261"/>
      <c r="M109" s="261"/>
      <c r="N109" s="262">
        <f>+N110+N116</f>
        <v>60566.09</v>
      </c>
      <c r="O109" s="325" t="e">
        <f t="shared" si="13"/>
        <v>#DIV/0!</v>
      </c>
      <c r="P109" s="319"/>
      <c r="Q109" s="322"/>
      <c r="R109" s="322"/>
      <c r="S109" s="323" t="s">
        <v>1917</v>
      </c>
      <c r="T109" s="271">
        <v>0</v>
      </c>
      <c r="U109" s="324"/>
      <c r="V109" s="261"/>
    </row>
    <row r="110" spans="1:22" ht="15.75" x14ac:dyDescent="0.2">
      <c r="A110" s="276" t="s">
        <v>254</v>
      </c>
      <c r="B110" s="276"/>
      <c r="C110" s="276"/>
      <c r="D110" s="277" t="s">
        <v>1481</v>
      </c>
      <c r="E110" s="278"/>
      <c r="F110" s="279"/>
      <c r="G110" s="279"/>
      <c r="H110" s="279"/>
      <c r="I110" s="279"/>
      <c r="J110" s="279">
        <f>N110</f>
        <v>54520.32</v>
      </c>
      <c r="K110" s="279"/>
      <c r="L110" s="279"/>
      <c r="M110" s="279"/>
      <c r="N110" s="280">
        <f>SUM(N111:N115)</f>
        <v>54520.32</v>
      </c>
      <c r="O110" s="325" t="e">
        <f t="shared" si="13"/>
        <v>#DIV/0!</v>
      </c>
      <c r="P110" s="319"/>
      <c r="Q110" s="322"/>
      <c r="R110" s="322"/>
      <c r="S110" s="323" t="s">
        <v>1918</v>
      </c>
      <c r="T110" s="271">
        <v>0</v>
      </c>
      <c r="U110" s="324"/>
      <c r="V110" s="279"/>
    </row>
    <row r="111" spans="1:22" ht="15.75" x14ac:dyDescent="0.2">
      <c r="A111" s="272" t="s">
        <v>1482</v>
      </c>
      <c r="B111" s="272"/>
      <c r="C111" s="272" t="s">
        <v>1339</v>
      </c>
      <c r="D111" s="273" t="s">
        <v>1483</v>
      </c>
      <c r="E111" s="274" t="s">
        <v>14</v>
      </c>
      <c r="F111" s="275">
        <v>64.91</v>
      </c>
      <c r="G111" s="275">
        <v>0</v>
      </c>
      <c r="H111" s="275">
        <v>0</v>
      </c>
      <c r="I111" s="275">
        <v>0</v>
      </c>
      <c r="J111" s="268">
        <f>ROUND(T111*$T$12,2)</f>
        <v>30.94</v>
      </c>
      <c r="K111" s="268">
        <f>G111*J111</f>
        <v>0</v>
      </c>
      <c r="L111" s="268">
        <f>K111</f>
        <v>0</v>
      </c>
      <c r="M111" s="268">
        <f>K111-L111</f>
        <v>0</v>
      </c>
      <c r="N111" s="269">
        <f>ROUND(F111*J111,2)</f>
        <v>2008.32</v>
      </c>
      <c r="O111" s="325">
        <f t="shared" si="13"/>
        <v>0</v>
      </c>
      <c r="P111" s="319">
        <f t="shared" si="14"/>
        <v>2008.3154</v>
      </c>
      <c r="Q111" s="322"/>
      <c r="R111" s="322"/>
      <c r="S111" s="323" t="s">
        <v>1919</v>
      </c>
      <c r="T111" s="271">
        <v>37.57</v>
      </c>
      <c r="U111" s="324"/>
      <c r="V111" s="275">
        <v>0</v>
      </c>
    </row>
    <row r="112" spans="1:22" ht="15.75" x14ac:dyDescent="0.2">
      <c r="A112" s="272" t="s">
        <v>1484</v>
      </c>
      <c r="B112" s="272">
        <v>87630</v>
      </c>
      <c r="C112" s="272" t="s">
        <v>1324</v>
      </c>
      <c r="D112" s="273" t="s">
        <v>1485</v>
      </c>
      <c r="E112" s="274" t="s">
        <v>14</v>
      </c>
      <c r="F112" s="275">
        <v>64.91</v>
      </c>
      <c r="G112" s="275">
        <v>0</v>
      </c>
      <c r="H112" s="275">
        <v>0</v>
      </c>
      <c r="I112" s="275">
        <v>0</v>
      </c>
      <c r="J112" s="268">
        <f>ROUND(T112*$T$12,2)</f>
        <v>30.71</v>
      </c>
      <c r="K112" s="268">
        <f>G112*J112</f>
        <v>0</v>
      </c>
      <c r="L112" s="268">
        <f>K112</f>
        <v>0</v>
      </c>
      <c r="M112" s="268">
        <f>K112-L112</f>
        <v>0</v>
      </c>
      <c r="N112" s="269">
        <f>ROUND(F112*J112,2)</f>
        <v>1993.39</v>
      </c>
      <c r="O112" s="325">
        <f t="shared" si="13"/>
        <v>0</v>
      </c>
      <c r="P112" s="319">
        <f t="shared" si="14"/>
        <v>1993.3860999999999</v>
      </c>
      <c r="Q112" s="322"/>
      <c r="R112" s="322"/>
      <c r="S112" s="323" t="s">
        <v>1920</v>
      </c>
      <c r="T112" s="271">
        <v>37.29</v>
      </c>
      <c r="U112" s="324"/>
      <c r="V112" s="275">
        <v>0</v>
      </c>
    </row>
    <row r="113" spans="1:22" ht="25.5" x14ac:dyDescent="0.2">
      <c r="A113" s="272" t="s">
        <v>1486</v>
      </c>
      <c r="B113" s="272">
        <v>72136</v>
      </c>
      <c r="C113" s="272" t="s">
        <v>1324</v>
      </c>
      <c r="D113" s="273" t="s">
        <v>1487</v>
      </c>
      <c r="E113" s="274" t="s">
        <v>14</v>
      </c>
      <c r="F113" s="275">
        <v>676.67</v>
      </c>
      <c r="G113" s="275">
        <v>0</v>
      </c>
      <c r="H113" s="275">
        <v>0</v>
      </c>
      <c r="I113" s="275">
        <v>0</v>
      </c>
      <c r="J113" s="268">
        <f>ROUND(T113*$T$12,2)</f>
        <v>71.489999999999995</v>
      </c>
      <c r="K113" s="268">
        <f>G113*J113</f>
        <v>0</v>
      </c>
      <c r="L113" s="268">
        <f>K113</f>
        <v>0</v>
      </c>
      <c r="M113" s="268">
        <f>K113-L113</f>
        <v>0</v>
      </c>
      <c r="N113" s="269">
        <f>ROUND(F113*J113,2)</f>
        <v>48375.14</v>
      </c>
      <c r="O113" s="325">
        <f t="shared" si="13"/>
        <v>0</v>
      </c>
      <c r="P113" s="319">
        <f t="shared" si="14"/>
        <v>48375.138299999991</v>
      </c>
      <c r="Q113" s="322"/>
      <c r="R113" s="322"/>
      <c r="S113" s="323" t="s">
        <v>1921</v>
      </c>
      <c r="T113" s="271">
        <v>86.8</v>
      </c>
      <c r="U113" s="324"/>
      <c r="V113" s="275">
        <v>0</v>
      </c>
    </row>
    <row r="114" spans="1:22" ht="25.5" x14ac:dyDescent="0.2">
      <c r="A114" s="272" t="s">
        <v>1488</v>
      </c>
      <c r="B114" s="272">
        <v>87251</v>
      </c>
      <c r="C114" s="272" t="s">
        <v>1324</v>
      </c>
      <c r="D114" s="273" t="s">
        <v>1489</v>
      </c>
      <c r="E114" s="274" t="s">
        <v>14</v>
      </c>
      <c r="F114" s="275">
        <v>64.91</v>
      </c>
      <c r="G114" s="275">
        <v>0</v>
      </c>
      <c r="H114" s="275">
        <v>0</v>
      </c>
      <c r="I114" s="275">
        <v>0</v>
      </c>
      <c r="J114" s="268">
        <f>ROUND(T114*$T$12,2)</f>
        <v>31.13</v>
      </c>
      <c r="K114" s="268">
        <f>G114*J114</f>
        <v>0</v>
      </c>
      <c r="L114" s="268">
        <f>K114</f>
        <v>0</v>
      </c>
      <c r="M114" s="268">
        <f>K114-L114</f>
        <v>0</v>
      </c>
      <c r="N114" s="269">
        <f>ROUND(F114*J114,2)</f>
        <v>2020.65</v>
      </c>
      <c r="O114" s="325">
        <f t="shared" si="13"/>
        <v>0</v>
      </c>
      <c r="P114" s="319">
        <f t="shared" si="14"/>
        <v>2020.6482999999998</v>
      </c>
      <c r="Q114" s="322"/>
      <c r="R114" s="322"/>
      <c r="S114" s="323" t="s">
        <v>1922</v>
      </c>
      <c r="T114" s="271">
        <v>37.799999999999997</v>
      </c>
      <c r="U114" s="324"/>
      <c r="V114" s="275">
        <v>0</v>
      </c>
    </row>
    <row r="115" spans="1:22" ht="15.75" x14ac:dyDescent="0.2">
      <c r="A115" s="272" t="s">
        <v>1490</v>
      </c>
      <c r="B115" s="272"/>
      <c r="C115" s="272" t="s">
        <v>1339</v>
      </c>
      <c r="D115" s="273" t="s">
        <v>1491</v>
      </c>
      <c r="E115" s="274" t="s">
        <v>81</v>
      </c>
      <c r="F115" s="275">
        <v>2.7</v>
      </c>
      <c r="G115" s="275">
        <v>0</v>
      </c>
      <c r="H115" s="275">
        <v>0</v>
      </c>
      <c r="I115" s="275">
        <v>0</v>
      </c>
      <c r="J115" s="268">
        <f>ROUND(T115*$T$12,2)</f>
        <v>45.49</v>
      </c>
      <c r="K115" s="268">
        <f>G115*J115</f>
        <v>0</v>
      </c>
      <c r="L115" s="268">
        <f>K115</f>
        <v>0</v>
      </c>
      <c r="M115" s="268">
        <f>K115-L115</f>
        <v>0</v>
      </c>
      <c r="N115" s="269">
        <f>ROUND(F115*J115,2)</f>
        <v>122.82</v>
      </c>
      <c r="O115" s="325">
        <f t="shared" si="13"/>
        <v>0</v>
      </c>
      <c r="P115" s="319">
        <f t="shared" si="14"/>
        <v>122.82300000000001</v>
      </c>
      <c r="Q115" s="322"/>
      <c r="R115" s="322"/>
      <c r="S115" s="323" t="s">
        <v>1923</v>
      </c>
      <c r="T115" s="271">
        <v>55.23</v>
      </c>
      <c r="U115" s="324"/>
      <c r="V115" s="275">
        <v>0</v>
      </c>
    </row>
    <row r="116" spans="1:22" ht="15.75" x14ac:dyDescent="0.2">
      <c r="A116" s="276" t="s">
        <v>256</v>
      </c>
      <c r="B116" s="276"/>
      <c r="C116" s="276"/>
      <c r="D116" s="277" t="s">
        <v>1256</v>
      </c>
      <c r="E116" s="278"/>
      <c r="F116" s="279"/>
      <c r="G116" s="279"/>
      <c r="H116" s="279"/>
      <c r="I116" s="279"/>
      <c r="J116" s="279">
        <f>N116</f>
        <v>6045.77</v>
      </c>
      <c r="K116" s="279"/>
      <c r="L116" s="279"/>
      <c r="M116" s="279"/>
      <c r="N116" s="280">
        <f>SUM(N117:N119)</f>
        <v>6045.77</v>
      </c>
      <c r="O116" s="325" t="e">
        <f t="shared" si="13"/>
        <v>#DIV/0!</v>
      </c>
      <c r="P116" s="319"/>
      <c r="Q116" s="322"/>
      <c r="R116" s="322"/>
      <c r="S116" s="323" t="s">
        <v>1924</v>
      </c>
      <c r="T116" s="271">
        <v>0</v>
      </c>
      <c r="U116" s="324"/>
      <c r="V116" s="279"/>
    </row>
    <row r="117" spans="1:22" ht="15.75" x14ac:dyDescent="0.2">
      <c r="A117" s="272" t="s">
        <v>1492</v>
      </c>
      <c r="B117" s="272">
        <v>85181</v>
      </c>
      <c r="C117" s="272" t="s">
        <v>1324</v>
      </c>
      <c r="D117" s="273" t="s">
        <v>1493</v>
      </c>
      <c r="E117" s="274" t="s">
        <v>14</v>
      </c>
      <c r="F117" s="275">
        <v>9.7899999999999991</v>
      </c>
      <c r="G117" s="275">
        <v>0</v>
      </c>
      <c r="H117" s="275">
        <v>0</v>
      </c>
      <c r="I117" s="275">
        <v>0</v>
      </c>
      <c r="J117" s="268">
        <f>ROUND(T117*$T$12,2)</f>
        <v>523.70000000000005</v>
      </c>
      <c r="K117" s="268">
        <f>G117*J117</f>
        <v>0</v>
      </c>
      <c r="L117" s="268">
        <f>K117</f>
        <v>0</v>
      </c>
      <c r="M117" s="268">
        <f>K117-L117</f>
        <v>0</v>
      </c>
      <c r="N117" s="269">
        <f>ROUND(F117*J117,2)</f>
        <v>5127.0200000000004</v>
      </c>
      <c r="O117" s="325">
        <f t="shared" si="13"/>
        <v>0</v>
      </c>
      <c r="P117" s="319">
        <f t="shared" si="14"/>
        <v>5127.0230000000001</v>
      </c>
      <c r="Q117" s="322"/>
      <c r="R117" s="322"/>
      <c r="S117" s="323" t="s">
        <v>1925</v>
      </c>
      <c r="T117" s="271">
        <v>635.87</v>
      </c>
      <c r="U117" s="324"/>
      <c r="V117" s="275">
        <v>0</v>
      </c>
    </row>
    <row r="118" spans="1:22" ht="15.75" x14ac:dyDescent="0.2">
      <c r="A118" s="272" t="s">
        <v>1494</v>
      </c>
      <c r="B118" s="272">
        <v>5652</v>
      </c>
      <c r="C118" s="272" t="s">
        <v>1324</v>
      </c>
      <c r="D118" s="273" t="s">
        <v>1495</v>
      </c>
      <c r="E118" s="274" t="s">
        <v>48</v>
      </c>
      <c r="F118" s="275">
        <v>1.82</v>
      </c>
      <c r="G118" s="275">
        <v>0</v>
      </c>
      <c r="H118" s="275">
        <v>0</v>
      </c>
      <c r="I118" s="275">
        <v>0</v>
      </c>
      <c r="J118" s="268">
        <f>ROUND(T118*$T$12,2)</f>
        <v>276.27</v>
      </c>
      <c r="K118" s="268">
        <f>G118*J118</f>
        <v>0</v>
      </c>
      <c r="L118" s="268">
        <f>K118</f>
        <v>0</v>
      </c>
      <c r="M118" s="268">
        <f>K118-L118</f>
        <v>0</v>
      </c>
      <c r="N118" s="269">
        <f>ROUND(F118*J118,2)</f>
        <v>502.81</v>
      </c>
      <c r="O118" s="325">
        <f t="shared" si="13"/>
        <v>0</v>
      </c>
      <c r="P118" s="319">
        <f t="shared" si="14"/>
        <v>502.81139999999999</v>
      </c>
      <c r="Q118" s="322"/>
      <c r="R118" s="322"/>
      <c r="S118" s="323" t="s">
        <v>1926</v>
      </c>
      <c r="T118" s="271">
        <v>335.45</v>
      </c>
      <c r="U118" s="324"/>
      <c r="V118" s="275">
        <v>0</v>
      </c>
    </row>
    <row r="119" spans="1:22" ht="25.5" x14ac:dyDescent="0.2">
      <c r="A119" s="272" t="s">
        <v>1496</v>
      </c>
      <c r="B119" s="272"/>
      <c r="C119" s="272" t="s">
        <v>1339</v>
      </c>
      <c r="D119" s="273" t="s">
        <v>1497</v>
      </c>
      <c r="E119" s="274" t="s">
        <v>14</v>
      </c>
      <c r="F119" s="275">
        <v>5.85</v>
      </c>
      <c r="G119" s="275">
        <v>0</v>
      </c>
      <c r="H119" s="275">
        <v>0</v>
      </c>
      <c r="I119" s="275">
        <v>0</v>
      </c>
      <c r="J119" s="268">
        <f>ROUND(T119*$T$12,2)</f>
        <v>71.099999999999994</v>
      </c>
      <c r="K119" s="268">
        <f>G119*J119</f>
        <v>0</v>
      </c>
      <c r="L119" s="268">
        <f>K119</f>
        <v>0</v>
      </c>
      <c r="M119" s="268">
        <f>K119-L119</f>
        <v>0</v>
      </c>
      <c r="N119" s="269">
        <f>ROUND(F119*J119,2)</f>
        <v>415.94</v>
      </c>
      <c r="O119" s="325">
        <f t="shared" si="13"/>
        <v>0</v>
      </c>
      <c r="P119" s="319">
        <f t="shared" si="14"/>
        <v>415.93499999999995</v>
      </c>
      <c r="Q119" s="322"/>
      <c r="R119" s="322"/>
      <c r="S119" s="323" t="s">
        <v>1927</v>
      </c>
      <c r="T119" s="271">
        <v>86.33</v>
      </c>
      <c r="U119" s="324"/>
      <c r="V119" s="275">
        <v>0</v>
      </c>
    </row>
    <row r="120" spans="1:22" ht="15.75" x14ac:dyDescent="0.2">
      <c r="A120" s="258">
        <v>11</v>
      </c>
      <c r="B120" s="258"/>
      <c r="C120" s="258"/>
      <c r="D120" s="259" t="s">
        <v>1498</v>
      </c>
      <c r="E120" s="260"/>
      <c r="F120" s="261"/>
      <c r="G120" s="261"/>
      <c r="H120" s="261"/>
      <c r="I120" s="261"/>
      <c r="J120" s="261">
        <f>N120</f>
        <v>62088.5</v>
      </c>
      <c r="K120" s="261"/>
      <c r="L120" s="261"/>
      <c r="M120" s="261"/>
      <c r="N120" s="262">
        <f>SUM(N121:N128)</f>
        <v>62088.5</v>
      </c>
      <c r="O120" s="325" t="e">
        <f t="shared" si="13"/>
        <v>#DIV/0!</v>
      </c>
      <c r="P120" s="319"/>
      <c r="Q120" s="322"/>
      <c r="R120" s="322"/>
      <c r="S120" s="323" t="s">
        <v>1928</v>
      </c>
      <c r="T120" s="271">
        <v>0</v>
      </c>
      <c r="U120" s="324"/>
      <c r="V120" s="261"/>
    </row>
    <row r="121" spans="1:22" ht="15.75" x14ac:dyDescent="0.2">
      <c r="A121" s="272" t="s">
        <v>274</v>
      </c>
      <c r="B121" s="272"/>
      <c r="C121" s="272" t="s">
        <v>1339</v>
      </c>
      <c r="D121" s="273" t="s">
        <v>1499</v>
      </c>
      <c r="E121" s="274" t="s">
        <v>14</v>
      </c>
      <c r="F121" s="275">
        <v>529.37</v>
      </c>
      <c r="G121" s="275">
        <v>0</v>
      </c>
      <c r="H121" s="275">
        <v>0</v>
      </c>
      <c r="I121" s="275">
        <v>0</v>
      </c>
      <c r="J121" s="268">
        <f t="shared" ref="J121:J128" si="20">ROUND(T121*$T$12,2)</f>
        <v>7.03</v>
      </c>
      <c r="K121" s="268">
        <f t="shared" ref="K121:K128" si="21">G121*J121</f>
        <v>0</v>
      </c>
      <c r="L121" s="268">
        <f t="shared" ref="L121:L128" si="22">K121</f>
        <v>0</v>
      </c>
      <c r="M121" s="268">
        <f t="shared" ref="M121:M128" si="23">K121-L121</f>
        <v>0</v>
      </c>
      <c r="N121" s="269">
        <f t="shared" ref="N121:N128" si="24">ROUND(F121*J121,2)</f>
        <v>3721.47</v>
      </c>
      <c r="O121" s="325">
        <f t="shared" si="13"/>
        <v>0</v>
      </c>
      <c r="P121" s="319">
        <f t="shared" si="14"/>
        <v>3721.4711000000002</v>
      </c>
      <c r="Q121" s="322"/>
      <c r="R121" s="322"/>
      <c r="S121" s="323" t="s">
        <v>1929</v>
      </c>
      <c r="T121" s="271">
        <v>8.5299999999999994</v>
      </c>
      <c r="U121" s="324"/>
      <c r="V121" s="275">
        <v>0</v>
      </c>
    </row>
    <row r="122" spans="1:22" ht="15.75" x14ac:dyDescent="0.2">
      <c r="A122" s="272" t="s">
        <v>276</v>
      </c>
      <c r="B122" s="272">
        <v>88489</v>
      </c>
      <c r="C122" s="272" t="s">
        <v>1324</v>
      </c>
      <c r="D122" s="273" t="s">
        <v>1500</v>
      </c>
      <c r="E122" s="274" t="s">
        <v>14</v>
      </c>
      <c r="F122" s="275">
        <v>445.04</v>
      </c>
      <c r="G122" s="275">
        <v>0</v>
      </c>
      <c r="H122" s="275">
        <v>0</v>
      </c>
      <c r="I122" s="275">
        <v>0</v>
      </c>
      <c r="J122" s="268">
        <f t="shared" si="20"/>
        <v>9.48</v>
      </c>
      <c r="K122" s="268">
        <f t="shared" si="21"/>
        <v>0</v>
      </c>
      <c r="L122" s="268">
        <f t="shared" si="22"/>
        <v>0</v>
      </c>
      <c r="M122" s="268">
        <f t="shared" si="23"/>
        <v>0</v>
      </c>
      <c r="N122" s="269">
        <f t="shared" si="24"/>
        <v>4218.9799999999996</v>
      </c>
      <c r="O122" s="325">
        <f t="shared" si="13"/>
        <v>0</v>
      </c>
      <c r="P122" s="319">
        <f t="shared" si="14"/>
        <v>4218.9792000000007</v>
      </c>
      <c r="Q122" s="322"/>
      <c r="R122" s="322"/>
      <c r="S122" s="323" t="s">
        <v>1930</v>
      </c>
      <c r="T122" s="271">
        <v>11.51</v>
      </c>
      <c r="U122" s="324"/>
      <c r="V122" s="275">
        <v>0</v>
      </c>
    </row>
    <row r="123" spans="1:22" ht="15.75" x14ac:dyDescent="0.2">
      <c r="A123" s="272" t="s">
        <v>278</v>
      </c>
      <c r="B123" s="272">
        <v>88486</v>
      </c>
      <c r="C123" s="272" t="s">
        <v>1324</v>
      </c>
      <c r="D123" s="273" t="s">
        <v>1501</v>
      </c>
      <c r="E123" s="274" t="s">
        <v>14</v>
      </c>
      <c r="F123" s="275">
        <v>84.33</v>
      </c>
      <c r="G123" s="275">
        <v>0</v>
      </c>
      <c r="H123" s="275">
        <v>0</v>
      </c>
      <c r="I123" s="275">
        <v>0</v>
      </c>
      <c r="J123" s="268">
        <f t="shared" si="20"/>
        <v>8.2899999999999991</v>
      </c>
      <c r="K123" s="268">
        <f t="shared" si="21"/>
        <v>0</v>
      </c>
      <c r="L123" s="268">
        <f t="shared" si="22"/>
        <v>0</v>
      </c>
      <c r="M123" s="268">
        <f t="shared" si="23"/>
        <v>0</v>
      </c>
      <c r="N123" s="269">
        <f t="shared" si="24"/>
        <v>699.1</v>
      </c>
      <c r="O123" s="325">
        <f t="shared" si="13"/>
        <v>0</v>
      </c>
      <c r="P123" s="319">
        <f t="shared" si="14"/>
        <v>699.09569999999997</v>
      </c>
      <c r="Q123" s="322"/>
      <c r="R123" s="322"/>
      <c r="S123" s="323" t="s">
        <v>1931</v>
      </c>
      <c r="T123" s="271">
        <v>10.06</v>
      </c>
      <c r="U123" s="324"/>
      <c r="V123" s="275">
        <v>0</v>
      </c>
    </row>
    <row r="124" spans="1:22" ht="15.75" x14ac:dyDescent="0.2">
      <c r="A124" s="272" t="s">
        <v>281</v>
      </c>
      <c r="B124" s="272">
        <v>72815</v>
      </c>
      <c r="C124" s="272" t="s">
        <v>1324</v>
      </c>
      <c r="D124" s="273" t="s">
        <v>1502</v>
      </c>
      <c r="E124" s="274" t="s">
        <v>14</v>
      </c>
      <c r="F124" s="275">
        <v>483.8</v>
      </c>
      <c r="G124" s="275">
        <v>0</v>
      </c>
      <c r="H124" s="275">
        <v>0</v>
      </c>
      <c r="I124" s="275">
        <v>0</v>
      </c>
      <c r="J124" s="268">
        <f t="shared" si="20"/>
        <v>43.08</v>
      </c>
      <c r="K124" s="268">
        <f t="shared" si="21"/>
        <v>0</v>
      </c>
      <c r="L124" s="268">
        <f t="shared" si="22"/>
        <v>0</v>
      </c>
      <c r="M124" s="268">
        <f t="shared" si="23"/>
        <v>0</v>
      </c>
      <c r="N124" s="269">
        <f t="shared" si="24"/>
        <v>20842.099999999999</v>
      </c>
      <c r="O124" s="325">
        <f t="shared" si="13"/>
        <v>0</v>
      </c>
      <c r="P124" s="319">
        <f t="shared" si="14"/>
        <v>20842.103999999999</v>
      </c>
      <c r="Q124" s="322"/>
      <c r="R124" s="322"/>
      <c r="S124" s="323" t="s">
        <v>1932</v>
      </c>
      <c r="T124" s="271">
        <v>52.31</v>
      </c>
      <c r="U124" s="324"/>
      <c r="V124" s="275">
        <v>0</v>
      </c>
    </row>
    <row r="125" spans="1:22" ht="15.75" x14ac:dyDescent="0.2">
      <c r="A125" s="272" t="s">
        <v>1503</v>
      </c>
      <c r="B125" s="272">
        <v>41595</v>
      </c>
      <c r="C125" s="272" t="s">
        <v>1324</v>
      </c>
      <c r="D125" s="273" t="s">
        <v>1504</v>
      </c>
      <c r="E125" s="274" t="s">
        <v>81</v>
      </c>
      <c r="F125" s="275">
        <v>275.60000000000002</v>
      </c>
      <c r="G125" s="275">
        <v>0</v>
      </c>
      <c r="H125" s="275">
        <v>0</v>
      </c>
      <c r="I125" s="275">
        <v>0</v>
      </c>
      <c r="J125" s="268">
        <f t="shared" si="20"/>
        <v>8.86</v>
      </c>
      <c r="K125" s="268">
        <f t="shared" si="21"/>
        <v>0</v>
      </c>
      <c r="L125" s="268">
        <f t="shared" si="22"/>
        <v>0</v>
      </c>
      <c r="M125" s="268">
        <f t="shared" si="23"/>
        <v>0</v>
      </c>
      <c r="N125" s="269">
        <f t="shared" si="24"/>
        <v>2441.8200000000002</v>
      </c>
      <c r="O125" s="325">
        <f t="shared" si="13"/>
        <v>0</v>
      </c>
      <c r="P125" s="319">
        <f t="shared" si="14"/>
        <v>2441.8160000000003</v>
      </c>
      <c r="Q125" s="322"/>
      <c r="R125" s="322"/>
      <c r="S125" s="323" t="s">
        <v>1933</v>
      </c>
      <c r="T125" s="271">
        <v>10.76</v>
      </c>
      <c r="U125" s="324"/>
      <c r="V125" s="275">
        <v>0</v>
      </c>
    </row>
    <row r="126" spans="1:22" ht="15.75" x14ac:dyDescent="0.2">
      <c r="A126" s="272" t="s">
        <v>1505</v>
      </c>
      <c r="B126" s="272" t="s">
        <v>1506</v>
      </c>
      <c r="C126" s="272" t="s">
        <v>1324</v>
      </c>
      <c r="D126" s="273" t="s">
        <v>1507</v>
      </c>
      <c r="E126" s="274" t="s">
        <v>14</v>
      </c>
      <c r="F126" s="275">
        <v>366.82</v>
      </c>
      <c r="G126" s="275">
        <v>0</v>
      </c>
      <c r="H126" s="275">
        <v>0</v>
      </c>
      <c r="I126" s="275">
        <v>0</v>
      </c>
      <c r="J126" s="268">
        <f t="shared" si="20"/>
        <v>7.25</v>
      </c>
      <c r="K126" s="268">
        <f t="shared" si="21"/>
        <v>0</v>
      </c>
      <c r="L126" s="268">
        <f t="shared" si="22"/>
        <v>0</v>
      </c>
      <c r="M126" s="268">
        <f t="shared" si="23"/>
        <v>0</v>
      </c>
      <c r="N126" s="269">
        <f t="shared" si="24"/>
        <v>2659.45</v>
      </c>
      <c r="O126" s="325">
        <f t="shared" si="13"/>
        <v>0</v>
      </c>
      <c r="P126" s="319">
        <f t="shared" si="14"/>
        <v>2659.4450000000002</v>
      </c>
      <c r="Q126" s="322"/>
      <c r="R126" s="322"/>
      <c r="S126" s="323" t="s">
        <v>1934</v>
      </c>
      <c r="T126" s="271">
        <v>8.8000000000000007</v>
      </c>
      <c r="U126" s="324"/>
      <c r="V126" s="275">
        <v>0</v>
      </c>
    </row>
    <row r="127" spans="1:22" ht="15.75" x14ac:dyDescent="0.2">
      <c r="A127" s="272" t="s">
        <v>1508</v>
      </c>
      <c r="B127" s="272" t="s">
        <v>1509</v>
      </c>
      <c r="C127" s="272" t="s">
        <v>1324</v>
      </c>
      <c r="D127" s="273" t="s">
        <v>1510</v>
      </c>
      <c r="E127" s="274" t="s">
        <v>14</v>
      </c>
      <c r="F127" s="275">
        <v>567.82000000000005</v>
      </c>
      <c r="G127" s="275">
        <v>0</v>
      </c>
      <c r="H127" s="275">
        <v>0</v>
      </c>
      <c r="I127" s="275">
        <v>0</v>
      </c>
      <c r="J127" s="268">
        <f t="shared" si="20"/>
        <v>21.62</v>
      </c>
      <c r="K127" s="268">
        <f t="shared" si="21"/>
        <v>0</v>
      </c>
      <c r="L127" s="268">
        <f t="shared" si="22"/>
        <v>0</v>
      </c>
      <c r="M127" s="268">
        <f t="shared" si="23"/>
        <v>0</v>
      </c>
      <c r="N127" s="269">
        <f t="shared" si="24"/>
        <v>12276.27</v>
      </c>
      <c r="O127" s="325">
        <f t="shared" si="13"/>
        <v>0</v>
      </c>
      <c r="P127" s="319">
        <f t="shared" si="14"/>
        <v>12276.268400000001</v>
      </c>
      <c r="Q127" s="322"/>
      <c r="R127" s="322"/>
      <c r="S127" s="323" t="s">
        <v>1935</v>
      </c>
      <c r="T127" s="271">
        <v>26.25</v>
      </c>
      <c r="U127" s="324"/>
      <c r="V127" s="275">
        <v>0</v>
      </c>
    </row>
    <row r="128" spans="1:22" ht="15.75" x14ac:dyDescent="0.2">
      <c r="A128" s="272" t="s">
        <v>1511</v>
      </c>
      <c r="B128" s="272" t="s">
        <v>1512</v>
      </c>
      <c r="C128" s="272" t="s">
        <v>1324</v>
      </c>
      <c r="D128" s="273" t="s">
        <v>1513</v>
      </c>
      <c r="E128" s="274" t="s">
        <v>14</v>
      </c>
      <c r="F128" s="275">
        <v>1030.4000000000001</v>
      </c>
      <c r="G128" s="275">
        <v>0</v>
      </c>
      <c r="H128" s="275">
        <v>0</v>
      </c>
      <c r="I128" s="275">
        <v>0</v>
      </c>
      <c r="J128" s="268">
        <f t="shared" si="20"/>
        <v>14.78</v>
      </c>
      <c r="K128" s="268">
        <f t="shared" si="21"/>
        <v>0</v>
      </c>
      <c r="L128" s="268">
        <f t="shared" si="22"/>
        <v>0</v>
      </c>
      <c r="M128" s="268">
        <f t="shared" si="23"/>
        <v>0</v>
      </c>
      <c r="N128" s="269">
        <f t="shared" si="24"/>
        <v>15229.31</v>
      </c>
      <c r="O128" s="325">
        <f t="shared" si="13"/>
        <v>0</v>
      </c>
      <c r="P128" s="319">
        <f t="shared" si="14"/>
        <v>15229.312</v>
      </c>
      <c r="Q128" s="322"/>
      <c r="R128" s="322"/>
      <c r="S128" s="323" t="s">
        <v>1936</v>
      </c>
      <c r="T128" s="271">
        <v>17.940000000000001</v>
      </c>
      <c r="U128" s="324"/>
      <c r="V128" s="275">
        <v>0</v>
      </c>
    </row>
    <row r="129" spans="1:22" ht="15.75" x14ac:dyDescent="0.2">
      <c r="A129" s="258">
        <v>12</v>
      </c>
      <c r="B129" s="258"/>
      <c r="C129" s="258"/>
      <c r="D129" s="259" t="s">
        <v>1514</v>
      </c>
      <c r="E129" s="260"/>
      <c r="F129" s="261"/>
      <c r="G129" s="261"/>
      <c r="H129" s="261"/>
      <c r="I129" s="261"/>
      <c r="J129" s="261">
        <f>N129</f>
        <v>4556.04</v>
      </c>
      <c r="K129" s="261"/>
      <c r="L129" s="261"/>
      <c r="M129" s="261"/>
      <c r="N129" s="262">
        <f>N130+N152</f>
        <v>4556.04</v>
      </c>
      <c r="O129" s="325" t="e">
        <f t="shared" si="13"/>
        <v>#DIV/0!</v>
      </c>
      <c r="P129" s="319"/>
      <c r="Q129" s="322"/>
      <c r="R129" s="322"/>
      <c r="S129" s="323" t="s">
        <v>1937</v>
      </c>
      <c r="T129" s="271">
        <v>0</v>
      </c>
      <c r="U129" s="324"/>
      <c r="V129" s="261"/>
    </row>
    <row r="130" spans="1:22" ht="15.75" x14ac:dyDescent="0.2">
      <c r="A130" s="276" t="s">
        <v>1515</v>
      </c>
      <c r="B130" s="276"/>
      <c r="C130" s="276"/>
      <c r="D130" s="277" t="s">
        <v>1516</v>
      </c>
      <c r="E130" s="278"/>
      <c r="F130" s="279"/>
      <c r="G130" s="279"/>
      <c r="H130" s="279"/>
      <c r="I130" s="279"/>
      <c r="J130" s="279">
        <f>N130</f>
        <v>1719.64</v>
      </c>
      <c r="K130" s="279"/>
      <c r="L130" s="279"/>
      <c r="M130" s="279"/>
      <c r="N130" s="280">
        <f>SUM(N131:N151)</f>
        <v>1719.64</v>
      </c>
      <c r="O130" s="325" t="e">
        <f t="shared" si="13"/>
        <v>#DIV/0!</v>
      </c>
      <c r="P130" s="319"/>
      <c r="Q130" s="322"/>
      <c r="R130" s="322"/>
      <c r="S130" s="323" t="s">
        <v>1938</v>
      </c>
      <c r="T130" s="271">
        <v>0</v>
      </c>
      <c r="U130" s="324"/>
      <c r="V130" s="279"/>
    </row>
    <row r="131" spans="1:22" ht="15.75" x14ac:dyDescent="0.2">
      <c r="A131" s="272" t="s">
        <v>1517</v>
      </c>
      <c r="B131" s="272">
        <v>89401</v>
      </c>
      <c r="C131" s="272" t="s">
        <v>1324</v>
      </c>
      <c r="D131" s="273" t="s">
        <v>1518</v>
      </c>
      <c r="E131" s="274" t="s">
        <v>81</v>
      </c>
      <c r="F131" s="275">
        <v>12</v>
      </c>
      <c r="G131" s="275">
        <v>0</v>
      </c>
      <c r="H131" s="275">
        <v>0</v>
      </c>
      <c r="I131" s="275">
        <v>0</v>
      </c>
      <c r="J131" s="268">
        <f t="shared" ref="J131:J151" si="25">ROUND(T131*$T$12,2)</f>
        <v>5.29</v>
      </c>
      <c r="K131" s="268">
        <f t="shared" ref="K131:K151" si="26">G131*J131</f>
        <v>0</v>
      </c>
      <c r="L131" s="268">
        <f t="shared" ref="L131:L195" si="27">K131</f>
        <v>0</v>
      </c>
      <c r="M131" s="268">
        <f t="shared" ref="M131:M151" si="28">K131-L131</f>
        <v>0</v>
      </c>
      <c r="N131" s="269">
        <f t="shared" ref="N131:N151" si="29">ROUND(F131*J131,2)</f>
        <v>63.48</v>
      </c>
      <c r="O131" s="325">
        <f t="shared" si="13"/>
        <v>0</v>
      </c>
      <c r="P131" s="319">
        <f t="shared" si="14"/>
        <v>63.480000000000004</v>
      </c>
      <c r="Q131" s="322"/>
      <c r="R131" s="322"/>
      <c r="S131" s="323" t="s">
        <v>1939</v>
      </c>
      <c r="T131" s="271">
        <v>6.42</v>
      </c>
      <c r="U131" s="324"/>
      <c r="V131" s="275">
        <v>0</v>
      </c>
    </row>
    <row r="132" spans="1:22" ht="15.75" x14ac:dyDescent="0.2">
      <c r="A132" s="272" t="s">
        <v>1519</v>
      </c>
      <c r="B132" s="272">
        <v>89446</v>
      </c>
      <c r="C132" s="272" t="s">
        <v>1324</v>
      </c>
      <c r="D132" s="273" t="s">
        <v>1520</v>
      </c>
      <c r="E132" s="274" t="s">
        <v>81</v>
      </c>
      <c r="F132" s="275">
        <v>42</v>
      </c>
      <c r="G132" s="275">
        <v>0</v>
      </c>
      <c r="H132" s="275">
        <v>0</v>
      </c>
      <c r="I132" s="275">
        <v>0</v>
      </c>
      <c r="J132" s="268">
        <f t="shared" si="25"/>
        <v>3.19</v>
      </c>
      <c r="K132" s="268">
        <f t="shared" si="26"/>
        <v>0</v>
      </c>
      <c r="L132" s="268">
        <f t="shared" si="27"/>
        <v>0</v>
      </c>
      <c r="M132" s="268">
        <f t="shared" si="28"/>
        <v>0</v>
      </c>
      <c r="N132" s="269">
        <f t="shared" si="29"/>
        <v>133.97999999999999</v>
      </c>
      <c r="O132" s="325">
        <f t="shared" si="13"/>
        <v>0</v>
      </c>
      <c r="P132" s="319">
        <f t="shared" si="14"/>
        <v>133.97999999999999</v>
      </c>
      <c r="Q132" s="322"/>
      <c r="R132" s="322"/>
      <c r="S132" s="323" t="s">
        <v>1940</v>
      </c>
      <c r="T132" s="271">
        <v>3.87</v>
      </c>
      <c r="U132" s="324"/>
      <c r="V132" s="275">
        <v>0</v>
      </c>
    </row>
    <row r="133" spans="1:22" ht="15.75" x14ac:dyDescent="0.2">
      <c r="A133" s="272" t="s">
        <v>1521</v>
      </c>
      <c r="B133" s="272">
        <v>89447</v>
      </c>
      <c r="C133" s="272" t="s">
        <v>1324</v>
      </c>
      <c r="D133" s="273" t="s">
        <v>1522</v>
      </c>
      <c r="E133" s="274" t="s">
        <v>81</v>
      </c>
      <c r="F133" s="275">
        <v>28</v>
      </c>
      <c r="G133" s="275">
        <v>0</v>
      </c>
      <c r="H133" s="275">
        <v>0</v>
      </c>
      <c r="I133" s="275">
        <v>0</v>
      </c>
      <c r="J133" s="268">
        <f t="shared" si="25"/>
        <v>6.33</v>
      </c>
      <c r="K133" s="268">
        <f t="shared" si="26"/>
        <v>0</v>
      </c>
      <c r="L133" s="268">
        <f t="shared" si="27"/>
        <v>0</v>
      </c>
      <c r="M133" s="268">
        <f t="shared" si="28"/>
        <v>0</v>
      </c>
      <c r="N133" s="269">
        <f t="shared" si="29"/>
        <v>177.24</v>
      </c>
      <c r="O133" s="325">
        <f t="shared" si="13"/>
        <v>0</v>
      </c>
      <c r="P133" s="319">
        <f t="shared" si="14"/>
        <v>177.24</v>
      </c>
      <c r="Q133" s="322"/>
      <c r="R133" s="322"/>
      <c r="S133" s="323" t="s">
        <v>1941</v>
      </c>
      <c r="T133" s="271">
        <v>7.69</v>
      </c>
      <c r="U133" s="324"/>
      <c r="V133" s="275">
        <v>0</v>
      </c>
    </row>
    <row r="134" spans="1:22" ht="15.75" x14ac:dyDescent="0.2">
      <c r="A134" s="272" t="s">
        <v>1523</v>
      </c>
      <c r="B134" s="272">
        <v>89448</v>
      </c>
      <c r="C134" s="272" t="s">
        <v>1324</v>
      </c>
      <c r="D134" s="273" t="s">
        <v>1524</v>
      </c>
      <c r="E134" s="274" t="s">
        <v>81</v>
      </c>
      <c r="F134" s="275">
        <v>30</v>
      </c>
      <c r="G134" s="275">
        <v>0</v>
      </c>
      <c r="H134" s="275">
        <v>0</v>
      </c>
      <c r="I134" s="275">
        <v>0</v>
      </c>
      <c r="J134" s="268">
        <f t="shared" si="25"/>
        <v>10.15</v>
      </c>
      <c r="K134" s="268">
        <f t="shared" si="26"/>
        <v>0</v>
      </c>
      <c r="L134" s="268">
        <f t="shared" si="27"/>
        <v>0</v>
      </c>
      <c r="M134" s="268">
        <f t="shared" si="28"/>
        <v>0</v>
      </c>
      <c r="N134" s="269">
        <f t="shared" si="29"/>
        <v>304.5</v>
      </c>
      <c r="O134" s="325">
        <f t="shared" si="13"/>
        <v>0</v>
      </c>
      <c r="P134" s="319">
        <f t="shared" si="14"/>
        <v>304.5</v>
      </c>
      <c r="Q134" s="322"/>
      <c r="R134" s="322"/>
      <c r="S134" s="323" t="s">
        <v>1942</v>
      </c>
      <c r="T134" s="271">
        <v>12.32</v>
      </c>
      <c r="U134" s="324"/>
      <c r="V134" s="275">
        <v>0</v>
      </c>
    </row>
    <row r="135" spans="1:22" ht="15.75" x14ac:dyDescent="0.2">
      <c r="A135" s="272" t="s">
        <v>1525</v>
      </c>
      <c r="B135" s="272">
        <v>89449</v>
      </c>
      <c r="C135" s="272" t="s">
        <v>1324</v>
      </c>
      <c r="D135" s="273" t="s">
        <v>1526</v>
      </c>
      <c r="E135" s="274" t="s">
        <v>81</v>
      </c>
      <c r="F135" s="275">
        <v>36</v>
      </c>
      <c r="G135" s="275">
        <v>0</v>
      </c>
      <c r="H135" s="275">
        <v>0</v>
      </c>
      <c r="I135" s="275">
        <v>0</v>
      </c>
      <c r="J135" s="268">
        <f t="shared" si="25"/>
        <v>11.27</v>
      </c>
      <c r="K135" s="268">
        <f t="shared" si="26"/>
        <v>0</v>
      </c>
      <c r="L135" s="268">
        <f t="shared" si="27"/>
        <v>0</v>
      </c>
      <c r="M135" s="268">
        <f t="shared" si="28"/>
        <v>0</v>
      </c>
      <c r="N135" s="269">
        <f t="shared" si="29"/>
        <v>405.72</v>
      </c>
      <c r="O135" s="325">
        <f t="shared" si="13"/>
        <v>0</v>
      </c>
      <c r="P135" s="319">
        <f t="shared" si="14"/>
        <v>405.71999999999997</v>
      </c>
      <c r="Q135" s="322"/>
      <c r="R135" s="322"/>
      <c r="S135" s="323" t="s">
        <v>1943</v>
      </c>
      <c r="T135" s="271">
        <v>13.68</v>
      </c>
      <c r="U135" s="324"/>
      <c r="V135" s="275">
        <v>0</v>
      </c>
    </row>
    <row r="136" spans="1:22" ht="15.75" x14ac:dyDescent="0.2">
      <c r="A136" s="272" t="s">
        <v>1527</v>
      </c>
      <c r="B136" s="272">
        <v>89408</v>
      </c>
      <c r="C136" s="272" t="s">
        <v>1324</v>
      </c>
      <c r="D136" s="273" t="s">
        <v>1528</v>
      </c>
      <c r="E136" s="274" t="s">
        <v>102</v>
      </c>
      <c r="F136" s="275">
        <v>15</v>
      </c>
      <c r="G136" s="275">
        <v>0</v>
      </c>
      <c r="H136" s="275">
        <v>0</v>
      </c>
      <c r="I136" s="275">
        <v>0</v>
      </c>
      <c r="J136" s="268">
        <f t="shared" si="25"/>
        <v>4.28</v>
      </c>
      <c r="K136" s="268">
        <f t="shared" si="26"/>
        <v>0</v>
      </c>
      <c r="L136" s="268">
        <f t="shared" si="27"/>
        <v>0</v>
      </c>
      <c r="M136" s="268">
        <f t="shared" si="28"/>
        <v>0</v>
      </c>
      <c r="N136" s="269">
        <f t="shared" si="29"/>
        <v>64.2</v>
      </c>
      <c r="O136" s="325">
        <f t="shared" si="13"/>
        <v>0</v>
      </c>
      <c r="P136" s="319">
        <f t="shared" si="14"/>
        <v>64.2</v>
      </c>
      <c r="Q136" s="322"/>
      <c r="R136" s="322"/>
      <c r="S136" s="323" t="s">
        <v>1944</v>
      </c>
      <c r="T136" s="271">
        <v>5.2</v>
      </c>
      <c r="U136" s="324"/>
      <c r="V136" s="275">
        <v>0</v>
      </c>
    </row>
    <row r="137" spans="1:22" ht="15.75" x14ac:dyDescent="0.2">
      <c r="A137" s="272" t="s">
        <v>1529</v>
      </c>
      <c r="B137" s="272">
        <v>89492</v>
      </c>
      <c r="C137" s="272" t="s">
        <v>1324</v>
      </c>
      <c r="D137" s="273" t="s">
        <v>1530</v>
      </c>
      <c r="E137" s="274" t="s">
        <v>102</v>
      </c>
      <c r="F137" s="275">
        <v>8</v>
      </c>
      <c r="G137" s="275">
        <v>0</v>
      </c>
      <c r="H137" s="275">
        <v>0</v>
      </c>
      <c r="I137" s="275">
        <v>0</v>
      </c>
      <c r="J137" s="268">
        <f t="shared" si="25"/>
        <v>4.79</v>
      </c>
      <c r="K137" s="268">
        <f t="shared" si="26"/>
        <v>0</v>
      </c>
      <c r="L137" s="268">
        <f t="shared" si="27"/>
        <v>0</v>
      </c>
      <c r="M137" s="268">
        <f t="shared" si="28"/>
        <v>0</v>
      </c>
      <c r="N137" s="269">
        <f t="shared" si="29"/>
        <v>38.32</v>
      </c>
      <c r="O137" s="325">
        <f t="shared" si="13"/>
        <v>0</v>
      </c>
      <c r="P137" s="319">
        <f t="shared" si="14"/>
        <v>38.32</v>
      </c>
      <c r="Q137" s="322"/>
      <c r="R137" s="322"/>
      <c r="S137" s="323" t="s">
        <v>1945</v>
      </c>
      <c r="T137" s="271">
        <v>5.82</v>
      </c>
      <c r="U137" s="324"/>
      <c r="V137" s="275">
        <v>0</v>
      </c>
    </row>
    <row r="138" spans="1:22" ht="15.75" x14ac:dyDescent="0.2">
      <c r="A138" s="272" t="s">
        <v>1531</v>
      </c>
      <c r="B138" s="272">
        <v>89501</v>
      </c>
      <c r="C138" s="272" t="s">
        <v>1324</v>
      </c>
      <c r="D138" s="273" t="s">
        <v>1532</v>
      </c>
      <c r="E138" s="274" t="s">
        <v>102</v>
      </c>
      <c r="F138" s="275">
        <v>6</v>
      </c>
      <c r="G138" s="275">
        <v>0</v>
      </c>
      <c r="H138" s="275">
        <v>0</v>
      </c>
      <c r="I138" s="275">
        <v>0</v>
      </c>
      <c r="J138" s="268">
        <f t="shared" si="25"/>
        <v>9.3800000000000008</v>
      </c>
      <c r="K138" s="268">
        <f t="shared" si="26"/>
        <v>0</v>
      </c>
      <c r="L138" s="268">
        <f t="shared" si="27"/>
        <v>0</v>
      </c>
      <c r="M138" s="268">
        <f t="shared" si="28"/>
        <v>0</v>
      </c>
      <c r="N138" s="269">
        <f t="shared" si="29"/>
        <v>56.28</v>
      </c>
      <c r="O138" s="325">
        <f t="shared" si="13"/>
        <v>0</v>
      </c>
      <c r="P138" s="319">
        <f t="shared" si="14"/>
        <v>56.28</v>
      </c>
      <c r="Q138" s="322"/>
      <c r="R138" s="322"/>
      <c r="S138" s="323" t="s">
        <v>1946</v>
      </c>
      <c r="T138" s="271">
        <v>11.39</v>
      </c>
      <c r="U138" s="324"/>
      <c r="V138" s="275">
        <v>0</v>
      </c>
    </row>
    <row r="139" spans="1:22" ht="25.5" x14ac:dyDescent="0.2">
      <c r="A139" s="272" t="s">
        <v>1533</v>
      </c>
      <c r="B139" s="272">
        <v>90373</v>
      </c>
      <c r="C139" s="272" t="s">
        <v>1324</v>
      </c>
      <c r="D139" s="273" t="s">
        <v>1534</v>
      </c>
      <c r="E139" s="274" t="s">
        <v>102</v>
      </c>
      <c r="F139" s="275">
        <v>2</v>
      </c>
      <c r="G139" s="275">
        <v>0</v>
      </c>
      <c r="H139" s="275">
        <v>0</v>
      </c>
      <c r="I139" s="275">
        <v>0</v>
      </c>
      <c r="J139" s="268">
        <f t="shared" si="25"/>
        <v>10.06</v>
      </c>
      <c r="K139" s="268">
        <f t="shared" si="26"/>
        <v>0</v>
      </c>
      <c r="L139" s="268">
        <f t="shared" si="27"/>
        <v>0</v>
      </c>
      <c r="M139" s="268">
        <f t="shared" si="28"/>
        <v>0</v>
      </c>
      <c r="N139" s="269">
        <f t="shared" si="29"/>
        <v>20.12</v>
      </c>
      <c r="O139" s="325">
        <f t="shared" si="13"/>
        <v>0</v>
      </c>
      <c r="P139" s="319">
        <f t="shared" si="14"/>
        <v>20.12</v>
      </c>
      <c r="Q139" s="322"/>
      <c r="R139" s="322"/>
      <c r="S139" s="323" t="s">
        <v>1947</v>
      </c>
      <c r="T139" s="271">
        <v>12.22</v>
      </c>
      <c r="U139" s="324"/>
      <c r="V139" s="275">
        <v>0</v>
      </c>
    </row>
    <row r="140" spans="1:22" ht="15.75" x14ac:dyDescent="0.2">
      <c r="A140" s="272" t="s">
        <v>1535</v>
      </c>
      <c r="B140" s="272"/>
      <c r="C140" s="272" t="s">
        <v>1339</v>
      </c>
      <c r="D140" s="273" t="s">
        <v>1536</v>
      </c>
      <c r="E140" s="274" t="s">
        <v>102</v>
      </c>
      <c r="F140" s="275">
        <v>4</v>
      </c>
      <c r="G140" s="275">
        <v>0</v>
      </c>
      <c r="H140" s="275">
        <v>0</v>
      </c>
      <c r="I140" s="275">
        <v>0</v>
      </c>
      <c r="J140" s="268">
        <f t="shared" si="25"/>
        <v>0</v>
      </c>
      <c r="K140" s="268">
        <f t="shared" si="26"/>
        <v>0</v>
      </c>
      <c r="L140" s="268">
        <f t="shared" si="27"/>
        <v>0</v>
      </c>
      <c r="M140" s="268">
        <f t="shared" si="28"/>
        <v>0</v>
      </c>
      <c r="N140" s="269">
        <f t="shared" si="29"/>
        <v>0</v>
      </c>
      <c r="O140" s="325" t="e">
        <f t="shared" si="13"/>
        <v>#DIV/0!</v>
      </c>
      <c r="P140" s="319">
        <f t="shared" si="14"/>
        <v>0</v>
      </c>
      <c r="Q140" s="322"/>
      <c r="R140" s="322"/>
      <c r="S140" s="323" t="s">
        <v>1948</v>
      </c>
      <c r="T140" s="271">
        <v>0</v>
      </c>
      <c r="U140" s="324"/>
      <c r="V140" s="275">
        <v>0</v>
      </c>
    </row>
    <row r="141" spans="1:22" ht="25.5" x14ac:dyDescent="0.2">
      <c r="A141" s="272" t="s">
        <v>1537</v>
      </c>
      <c r="B141" s="272">
        <v>90373</v>
      </c>
      <c r="C141" s="272" t="s">
        <v>1324</v>
      </c>
      <c r="D141" s="273" t="s">
        <v>1538</v>
      </c>
      <c r="E141" s="274" t="s">
        <v>102</v>
      </c>
      <c r="F141" s="275">
        <v>16</v>
      </c>
      <c r="G141" s="275">
        <v>0</v>
      </c>
      <c r="H141" s="275">
        <v>0</v>
      </c>
      <c r="I141" s="275">
        <v>0</v>
      </c>
      <c r="J141" s="268">
        <f t="shared" si="25"/>
        <v>10.06</v>
      </c>
      <c r="K141" s="268">
        <f t="shared" si="26"/>
        <v>0</v>
      </c>
      <c r="L141" s="268">
        <f t="shared" si="27"/>
        <v>0</v>
      </c>
      <c r="M141" s="268">
        <f t="shared" si="28"/>
        <v>0</v>
      </c>
      <c r="N141" s="269">
        <f t="shared" si="29"/>
        <v>160.96</v>
      </c>
      <c r="O141" s="325">
        <f t="shared" si="13"/>
        <v>0</v>
      </c>
      <c r="P141" s="319">
        <f t="shared" si="14"/>
        <v>160.96</v>
      </c>
      <c r="Q141" s="322"/>
      <c r="R141" s="322"/>
      <c r="S141" s="323" t="s">
        <v>1949</v>
      </c>
      <c r="T141" s="271">
        <v>12.22</v>
      </c>
      <c r="U141" s="324"/>
      <c r="V141" s="275">
        <v>0</v>
      </c>
    </row>
    <row r="142" spans="1:22" ht="15.75" x14ac:dyDescent="0.2">
      <c r="A142" s="272" t="s">
        <v>1539</v>
      </c>
      <c r="B142" s="272">
        <v>89622</v>
      </c>
      <c r="C142" s="272" t="s">
        <v>1324</v>
      </c>
      <c r="D142" s="273" t="s">
        <v>1540</v>
      </c>
      <c r="E142" s="274" t="s">
        <v>102</v>
      </c>
      <c r="F142" s="275">
        <v>4</v>
      </c>
      <c r="G142" s="275">
        <v>0</v>
      </c>
      <c r="H142" s="275">
        <v>0</v>
      </c>
      <c r="I142" s="275">
        <v>0</v>
      </c>
      <c r="J142" s="268">
        <f t="shared" si="25"/>
        <v>9.23</v>
      </c>
      <c r="K142" s="268">
        <f t="shared" si="26"/>
        <v>0</v>
      </c>
      <c r="L142" s="268">
        <f t="shared" si="27"/>
        <v>0</v>
      </c>
      <c r="M142" s="268">
        <f t="shared" si="28"/>
        <v>0</v>
      </c>
      <c r="N142" s="269">
        <f t="shared" si="29"/>
        <v>36.92</v>
      </c>
      <c r="O142" s="325">
        <f t="shared" si="13"/>
        <v>0</v>
      </c>
      <c r="P142" s="319">
        <f t="shared" si="14"/>
        <v>36.92</v>
      </c>
      <c r="Q142" s="322"/>
      <c r="R142" s="322"/>
      <c r="S142" s="323" t="s">
        <v>1950</v>
      </c>
      <c r="T142" s="271">
        <v>11.21</v>
      </c>
      <c r="U142" s="324"/>
      <c r="V142" s="275">
        <v>0</v>
      </c>
    </row>
    <row r="143" spans="1:22" ht="15.75" x14ac:dyDescent="0.2">
      <c r="A143" s="272" t="s">
        <v>1541</v>
      </c>
      <c r="B143" s="272">
        <v>89626</v>
      </c>
      <c r="C143" s="272" t="s">
        <v>1324</v>
      </c>
      <c r="D143" s="273" t="s">
        <v>1542</v>
      </c>
      <c r="E143" s="274" t="s">
        <v>102</v>
      </c>
      <c r="F143" s="275">
        <v>2</v>
      </c>
      <c r="G143" s="275">
        <v>0</v>
      </c>
      <c r="H143" s="275">
        <v>0</v>
      </c>
      <c r="I143" s="275">
        <v>0</v>
      </c>
      <c r="J143" s="268">
        <f t="shared" si="25"/>
        <v>17.79</v>
      </c>
      <c r="K143" s="268">
        <f t="shared" si="26"/>
        <v>0</v>
      </c>
      <c r="L143" s="268">
        <f t="shared" si="27"/>
        <v>0</v>
      </c>
      <c r="M143" s="268">
        <f t="shared" si="28"/>
        <v>0</v>
      </c>
      <c r="N143" s="269">
        <f t="shared" si="29"/>
        <v>35.58</v>
      </c>
      <c r="O143" s="325">
        <f t="shared" si="13"/>
        <v>0</v>
      </c>
      <c r="P143" s="319">
        <f t="shared" si="14"/>
        <v>35.58</v>
      </c>
      <c r="Q143" s="322"/>
      <c r="R143" s="322"/>
      <c r="S143" s="323" t="s">
        <v>1951</v>
      </c>
      <c r="T143" s="271">
        <v>21.6</v>
      </c>
      <c r="U143" s="324"/>
      <c r="V143" s="275">
        <v>0</v>
      </c>
    </row>
    <row r="144" spans="1:22" ht="15.75" x14ac:dyDescent="0.2">
      <c r="A144" s="272" t="s">
        <v>1543</v>
      </c>
      <c r="B144" s="272">
        <v>89534</v>
      </c>
      <c r="C144" s="272" t="s">
        <v>1324</v>
      </c>
      <c r="D144" s="273" t="s">
        <v>1544</v>
      </c>
      <c r="E144" s="274" t="s">
        <v>102</v>
      </c>
      <c r="F144" s="275">
        <v>8</v>
      </c>
      <c r="G144" s="275">
        <v>0</v>
      </c>
      <c r="H144" s="275">
        <v>0</v>
      </c>
      <c r="I144" s="275">
        <v>0</v>
      </c>
      <c r="J144" s="268">
        <f t="shared" si="25"/>
        <v>2.9</v>
      </c>
      <c r="K144" s="268">
        <f t="shared" si="26"/>
        <v>0</v>
      </c>
      <c r="L144" s="268">
        <f t="shared" si="27"/>
        <v>0</v>
      </c>
      <c r="M144" s="268">
        <f t="shared" si="28"/>
        <v>0</v>
      </c>
      <c r="N144" s="269">
        <f t="shared" si="29"/>
        <v>23.2</v>
      </c>
      <c r="O144" s="325">
        <f t="shared" ref="O144:O207" si="30">L144/P144</f>
        <v>0</v>
      </c>
      <c r="P144" s="319">
        <f t="shared" si="14"/>
        <v>23.2</v>
      </c>
      <c r="Q144" s="322"/>
      <c r="R144" s="322"/>
      <c r="S144" s="323" t="s">
        <v>1952</v>
      </c>
      <c r="T144" s="271">
        <v>3.52</v>
      </c>
      <c r="U144" s="324"/>
      <c r="V144" s="275">
        <v>0</v>
      </c>
    </row>
    <row r="145" spans="1:22" ht="15.75" x14ac:dyDescent="0.2">
      <c r="A145" s="272" t="s">
        <v>1545</v>
      </c>
      <c r="B145" s="272">
        <v>89386</v>
      </c>
      <c r="C145" s="272" t="s">
        <v>1324</v>
      </c>
      <c r="D145" s="273" t="s">
        <v>1546</v>
      </c>
      <c r="E145" s="274" t="s">
        <v>102</v>
      </c>
      <c r="F145" s="275">
        <v>4</v>
      </c>
      <c r="G145" s="275">
        <v>0</v>
      </c>
      <c r="H145" s="275">
        <v>0</v>
      </c>
      <c r="I145" s="275">
        <v>0</v>
      </c>
      <c r="J145" s="268">
        <f t="shared" si="25"/>
        <v>6</v>
      </c>
      <c r="K145" s="268">
        <f t="shared" si="26"/>
        <v>0</v>
      </c>
      <c r="L145" s="268">
        <f t="shared" si="27"/>
        <v>0</v>
      </c>
      <c r="M145" s="268">
        <f t="shared" si="28"/>
        <v>0</v>
      </c>
      <c r="N145" s="269">
        <f t="shared" si="29"/>
        <v>24</v>
      </c>
      <c r="O145" s="325">
        <f t="shared" si="30"/>
        <v>0</v>
      </c>
      <c r="P145" s="319">
        <f t="shared" si="14"/>
        <v>24</v>
      </c>
      <c r="Q145" s="322"/>
      <c r="R145" s="322"/>
      <c r="S145" s="323" t="s">
        <v>1953</v>
      </c>
      <c r="T145" s="271">
        <v>7.29</v>
      </c>
      <c r="U145" s="324"/>
      <c r="V145" s="275">
        <v>0</v>
      </c>
    </row>
    <row r="146" spans="1:22" ht="15.75" x14ac:dyDescent="0.2">
      <c r="A146" s="272" t="s">
        <v>1547</v>
      </c>
      <c r="B146" s="272">
        <v>89433</v>
      </c>
      <c r="C146" s="272" t="s">
        <v>1324</v>
      </c>
      <c r="D146" s="273" t="s">
        <v>1548</v>
      </c>
      <c r="E146" s="274" t="s">
        <v>102</v>
      </c>
      <c r="F146" s="275">
        <v>4</v>
      </c>
      <c r="G146" s="275">
        <v>0</v>
      </c>
      <c r="H146" s="275">
        <v>0</v>
      </c>
      <c r="I146" s="275">
        <v>0</v>
      </c>
      <c r="J146" s="268">
        <f t="shared" si="25"/>
        <v>5.63</v>
      </c>
      <c r="K146" s="268">
        <f t="shared" si="26"/>
        <v>0</v>
      </c>
      <c r="L146" s="268">
        <f t="shared" si="27"/>
        <v>0</v>
      </c>
      <c r="M146" s="268">
        <f t="shared" si="28"/>
        <v>0</v>
      </c>
      <c r="N146" s="269">
        <f t="shared" si="29"/>
        <v>22.52</v>
      </c>
      <c r="O146" s="325">
        <f t="shared" si="30"/>
        <v>0</v>
      </c>
      <c r="P146" s="319">
        <f t="shared" si="14"/>
        <v>22.52</v>
      </c>
      <c r="Q146" s="322"/>
      <c r="R146" s="322"/>
      <c r="S146" s="323" t="s">
        <v>1954</v>
      </c>
      <c r="T146" s="271">
        <v>6.84</v>
      </c>
      <c r="U146" s="324"/>
      <c r="V146" s="275">
        <v>0</v>
      </c>
    </row>
    <row r="147" spans="1:22" ht="15.75" x14ac:dyDescent="0.2">
      <c r="A147" s="272" t="s">
        <v>1549</v>
      </c>
      <c r="B147" s="272">
        <v>89605</v>
      </c>
      <c r="C147" s="272" t="s">
        <v>1324</v>
      </c>
      <c r="D147" s="273" t="s">
        <v>1550</v>
      </c>
      <c r="E147" s="274" t="s">
        <v>102</v>
      </c>
      <c r="F147" s="275">
        <v>2</v>
      </c>
      <c r="G147" s="275">
        <v>0</v>
      </c>
      <c r="H147" s="275">
        <v>0</v>
      </c>
      <c r="I147" s="275">
        <v>0</v>
      </c>
      <c r="J147" s="268">
        <f t="shared" si="25"/>
        <v>11.65</v>
      </c>
      <c r="K147" s="268">
        <f t="shared" si="26"/>
        <v>0</v>
      </c>
      <c r="L147" s="268">
        <f t="shared" si="27"/>
        <v>0</v>
      </c>
      <c r="M147" s="268">
        <f t="shared" si="28"/>
        <v>0</v>
      </c>
      <c r="N147" s="269">
        <f t="shared" si="29"/>
        <v>23.3</v>
      </c>
      <c r="O147" s="325">
        <f t="shared" si="30"/>
        <v>0</v>
      </c>
      <c r="P147" s="319">
        <f t="shared" si="14"/>
        <v>23.3</v>
      </c>
      <c r="Q147" s="322"/>
      <c r="R147" s="322"/>
      <c r="S147" s="323" t="s">
        <v>1955</v>
      </c>
      <c r="T147" s="271">
        <v>14.14</v>
      </c>
      <c r="U147" s="324"/>
      <c r="V147" s="275">
        <v>0</v>
      </c>
    </row>
    <row r="148" spans="1:22" ht="15.75" x14ac:dyDescent="0.2">
      <c r="A148" s="272" t="s">
        <v>1551</v>
      </c>
      <c r="B148" s="272">
        <v>90375</v>
      </c>
      <c r="C148" s="272" t="s">
        <v>1324</v>
      </c>
      <c r="D148" s="273" t="s">
        <v>1552</v>
      </c>
      <c r="E148" s="274" t="s">
        <v>102</v>
      </c>
      <c r="F148" s="275">
        <v>2</v>
      </c>
      <c r="G148" s="275">
        <v>0</v>
      </c>
      <c r="H148" s="275">
        <v>0</v>
      </c>
      <c r="I148" s="275">
        <v>0</v>
      </c>
      <c r="J148" s="268">
        <f t="shared" si="25"/>
        <v>6.61</v>
      </c>
      <c r="K148" s="268">
        <f t="shared" si="26"/>
        <v>0</v>
      </c>
      <c r="L148" s="268">
        <f t="shared" si="27"/>
        <v>0</v>
      </c>
      <c r="M148" s="268">
        <f t="shared" si="28"/>
        <v>0</v>
      </c>
      <c r="N148" s="269">
        <f t="shared" si="29"/>
        <v>13.22</v>
      </c>
      <c r="O148" s="325">
        <f t="shared" si="30"/>
        <v>0</v>
      </c>
      <c r="P148" s="319">
        <f t="shared" si="14"/>
        <v>13.22</v>
      </c>
      <c r="Q148" s="322"/>
      <c r="R148" s="322"/>
      <c r="S148" s="323" t="s">
        <v>1956</v>
      </c>
      <c r="T148" s="271">
        <v>8.02</v>
      </c>
      <c r="U148" s="324"/>
      <c r="V148" s="275">
        <v>0</v>
      </c>
    </row>
    <row r="149" spans="1:22" ht="15.75" x14ac:dyDescent="0.2">
      <c r="A149" s="272" t="s">
        <v>1553</v>
      </c>
      <c r="B149" s="272">
        <v>90375</v>
      </c>
      <c r="C149" s="272" t="s">
        <v>1324</v>
      </c>
      <c r="D149" s="273" t="s">
        <v>1554</v>
      </c>
      <c r="E149" s="274" t="s">
        <v>102</v>
      </c>
      <c r="F149" s="275">
        <v>4</v>
      </c>
      <c r="G149" s="275">
        <v>0</v>
      </c>
      <c r="H149" s="275">
        <v>0</v>
      </c>
      <c r="I149" s="275">
        <v>0</v>
      </c>
      <c r="J149" s="268">
        <f t="shared" si="25"/>
        <v>6.61</v>
      </c>
      <c r="K149" s="268">
        <f t="shared" si="26"/>
        <v>0</v>
      </c>
      <c r="L149" s="268">
        <f t="shared" si="27"/>
        <v>0</v>
      </c>
      <c r="M149" s="268">
        <f t="shared" si="28"/>
        <v>0</v>
      </c>
      <c r="N149" s="269">
        <f t="shared" si="29"/>
        <v>26.44</v>
      </c>
      <c r="O149" s="325">
        <f t="shared" si="30"/>
        <v>0</v>
      </c>
      <c r="P149" s="319">
        <f t="shared" si="14"/>
        <v>26.44</v>
      </c>
      <c r="Q149" s="322"/>
      <c r="R149" s="322"/>
      <c r="S149" s="323" t="s">
        <v>1957</v>
      </c>
      <c r="T149" s="271">
        <v>8.02</v>
      </c>
      <c r="U149" s="324"/>
      <c r="V149" s="275">
        <v>0</v>
      </c>
    </row>
    <row r="150" spans="1:22" ht="15.75" x14ac:dyDescent="0.2">
      <c r="A150" s="272" t="s">
        <v>1555</v>
      </c>
      <c r="B150" s="272">
        <v>89375</v>
      </c>
      <c r="C150" s="272" t="s">
        <v>1324</v>
      </c>
      <c r="D150" s="273" t="s">
        <v>1556</v>
      </c>
      <c r="E150" s="274" t="s">
        <v>102</v>
      </c>
      <c r="F150" s="275">
        <v>6</v>
      </c>
      <c r="G150" s="275">
        <v>0</v>
      </c>
      <c r="H150" s="275">
        <v>0</v>
      </c>
      <c r="I150" s="275">
        <v>0</v>
      </c>
      <c r="J150" s="268">
        <f t="shared" si="25"/>
        <v>7.45</v>
      </c>
      <c r="K150" s="268">
        <f t="shared" si="26"/>
        <v>0</v>
      </c>
      <c r="L150" s="268">
        <f t="shared" si="27"/>
        <v>0</v>
      </c>
      <c r="M150" s="268">
        <f t="shared" si="28"/>
        <v>0</v>
      </c>
      <c r="N150" s="269">
        <f t="shared" si="29"/>
        <v>44.7</v>
      </c>
      <c r="O150" s="325">
        <f t="shared" si="30"/>
        <v>0</v>
      </c>
      <c r="P150" s="319">
        <f t="shared" si="14"/>
        <v>44.7</v>
      </c>
      <c r="Q150" s="322"/>
      <c r="R150" s="322"/>
      <c r="S150" s="323" t="s">
        <v>1958</v>
      </c>
      <c r="T150" s="271">
        <v>9.0500000000000007</v>
      </c>
      <c r="U150" s="324"/>
      <c r="V150" s="275">
        <v>0</v>
      </c>
    </row>
    <row r="151" spans="1:22" ht="15.75" x14ac:dyDescent="0.2">
      <c r="A151" s="272" t="s">
        <v>1557</v>
      </c>
      <c r="B151" s="272">
        <v>89594</v>
      </c>
      <c r="C151" s="272" t="s">
        <v>1324</v>
      </c>
      <c r="D151" s="273" t="s">
        <v>1558</v>
      </c>
      <c r="E151" s="274" t="s">
        <v>102</v>
      </c>
      <c r="F151" s="275">
        <v>2</v>
      </c>
      <c r="G151" s="275">
        <v>0</v>
      </c>
      <c r="H151" s="275">
        <v>0</v>
      </c>
      <c r="I151" s="275">
        <v>0</v>
      </c>
      <c r="J151" s="268">
        <f t="shared" si="25"/>
        <v>22.48</v>
      </c>
      <c r="K151" s="268">
        <f t="shared" si="26"/>
        <v>0</v>
      </c>
      <c r="L151" s="268">
        <f t="shared" si="27"/>
        <v>0</v>
      </c>
      <c r="M151" s="268">
        <f t="shared" si="28"/>
        <v>0</v>
      </c>
      <c r="N151" s="269">
        <f t="shared" si="29"/>
        <v>44.96</v>
      </c>
      <c r="O151" s="325">
        <f t="shared" si="30"/>
        <v>0</v>
      </c>
      <c r="P151" s="319">
        <f t="shared" si="14"/>
        <v>44.96</v>
      </c>
      <c r="Q151" s="322"/>
      <c r="R151" s="322"/>
      <c r="S151" s="323" t="s">
        <v>1959</v>
      </c>
      <c r="T151" s="271">
        <v>27.3</v>
      </c>
      <c r="U151" s="324"/>
      <c r="V151" s="275">
        <v>0</v>
      </c>
    </row>
    <row r="152" spans="1:22" ht="15.75" x14ac:dyDescent="0.2">
      <c r="A152" s="276" t="s">
        <v>290</v>
      </c>
      <c r="B152" s="276"/>
      <c r="C152" s="276"/>
      <c r="D152" s="277" t="s">
        <v>1559</v>
      </c>
      <c r="E152" s="278"/>
      <c r="F152" s="279"/>
      <c r="G152" s="279"/>
      <c r="H152" s="279"/>
      <c r="I152" s="279"/>
      <c r="J152" s="279">
        <f>N152</f>
        <v>2836.4</v>
      </c>
      <c r="K152" s="279"/>
      <c r="L152" s="279"/>
      <c r="M152" s="279"/>
      <c r="N152" s="280">
        <f>SUM(N153:N167)</f>
        <v>2836.4</v>
      </c>
      <c r="O152" s="325" t="e">
        <f t="shared" si="30"/>
        <v>#DIV/0!</v>
      </c>
      <c r="P152" s="319"/>
      <c r="Q152" s="322"/>
      <c r="R152" s="322"/>
      <c r="S152" s="323" t="s">
        <v>1960</v>
      </c>
      <c r="T152" s="271">
        <v>0</v>
      </c>
      <c r="U152" s="324"/>
      <c r="V152" s="279"/>
    </row>
    <row r="153" spans="1:22" ht="15.75" x14ac:dyDescent="0.2">
      <c r="A153" s="272" t="s">
        <v>1560</v>
      </c>
      <c r="B153" s="272">
        <v>89353</v>
      </c>
      <c r="C153" s="272" t="s">
        <v>1324</v>
      </c>
      <c r="D153" s="273" t="s">
        <v>1561</v>
      </c>
      <c r="E153" s="274" t="s">
        <v>102</v>
      </c>
      <c r="F153" s="275">
        <v>1</v>
      </c>
      <c r="G153" s="275">
        <v>0</v>
      </c>
      <c r="H153" s="275">
        <v>0</v>
      </c>
      <c r="I153" s="275">
        <v>0</v>
      </c>
      <c r="J153" s="268">
        <f t="shared" ref="J153:J167" si="31">ROUND(T153*$T$12,2)</f>
        <v>30.67</v>
      </c>
      <c r="K153" s="268">
        <f t="shared" ref="K153:K167" si="32">G153*J153</f>
        <v>0</v>
      </c>
      <c r="L153" s="268">
        <f t="shared" si="27"/>
        <v>0</v>
      </c>
      <c r="M153" s="268">
        <f t="shared" ref="M153:M167" si="33">K153-L153</f>
        <v>0</v>
      </c>
      <c r="N153" s="269">
        <f t="shared" ref="N153:N167" si="34">ROUND(F153*J153,2)</f>
        <v>30.67</v>
      </c>
      <c r="O153" s="325">
        <f t="shared" si="30"/>
        <v>0</v>
      </c>
      <c r="P153" s="319">
        <f t="shared" si="14"/>
        <v>30.67</v>
      </c>
      <c r="Q153" s="322"/>
      <c r="R153" s="322"/>
      <c r="S153" s="323" t="s">
        <v>1961</v>
      </c>
      <c r="T153" s="271">
        <v>37.24</v>
      </c>
      <c r="U153" s="324"/>
      <c r="V153" s="275">
        <v>0</v>
      </c>
    </row>
    <row r="154" spans="1:22" ht="15.75" x14ac:dyDescent="0.2">
      <c r="A154" s="272" t="s">
        <v>1562</v>
      </c>
      <c r="B154" s="272" t="s">
        <v>1563</v>
      </c>
      <c r="C154" s="272" t="s">
        <v>1324</v>
      </c>
      <c r="D154" s="273" t="s">
        <v>1564</v>
      </c>
      <c r="E154" s="274" t="s">
        <v>102</v>
      </c>
      <c r="F154" s="275">
        <v>2</v>
      </c>
      <c r="G154" s="275">
        <v>0</v>
      </c>
      <c r="H154" s="275">
        <v>0</v>
      </c>
      <c r="I154" s="275">
        <v>0</v>
      </c>
      <c r="J154" s="268">
        <f t="shared" si="31"/>
        <v>86.64</v>
      </c>
      <c r="K154" s="268">
        <f t="shared" si="32"/>
        <v>0</v>
      </c>
      <c r="L154" s="268">
        <f t="shared" si="27"/>
        <v>0</v>
      </c>
      <c r="M154" s="268">
        <f t="shared" si="33"/>
        <v>0</v>
      </c>
      <c r="N154" s="269">
        <f t="shared" si="34"/>
        <v>173.28</v>
      </c>
      <c r="O154" s="325">
        <f t="shared" si="30"/>
        <v>0</v>
      </c>
      <c r="P154" s="319">
        <f t="shared" si="14"/>
        <v>173.28</v>
      </c>
      <c r="Q154" s="322"/>
      <c r="R154" s="322"/>
      <c r="S154" s="323" t="s">
        <v>1962</v>
      </c>
      <c r="T154" s="271">
        <v>105.2</v>
      </c>
      <c r="U154" s="324"/>
      <c r="V154" s="275">
        <v>0</v>
      </c>
    </row>
    <row r="155" spans="1:22" ht="15.75" x14ac:dyDescent="0.2">
      <c r="A155" s="272" t="s">
        <v>1565</v>
      </c>
      <c r="B155" s="272" t="s">
        <v>1566</v>
      </c>
      <c r="C155" s="272" t="s">
        <v>1324</v>
      </c>
      <c r="D155" s="273" t="s">
        <v>1567</v>
      </c>
      <c r="E155" s="274" t="s">
        <v>102</v>
      </c>
      <c r="F155" s="275">
        <v>2</v>
      </c>
      <c r="G155" s="275">
        <v>0</v>
      </c>
      <c r="H155" s="275">
        <v>0</v>
      </c>
      <c r="I155" s="275">
        <v>0</v>
      </c>
      <c r="J155" s="268">
        <f t="shared" si="31"/>
        <v>52.59</v>
      </c>
      <c r="K155" s="268">
        <f t="shared" si="32"/>
        <v>0</v>
      </c>
      <c r="L155" s="268">
        <f t="shared" si="27"/>
        <v>0</v>
      </c>
      <c r="M155" s="268">
        <f t="shared" si="33"/>
        <v>0</v>
      </c>
      <c r="N155" s="269">
        <f t="shared" si="34"/>
        <v>105.18</v>
      </c>
      <c r="O155" s="325">
        <f t="shared" si="30"/>
        <v>0</v>
      </c>
      <c r="P155" s="319">
        <f t="shared" ref="P155:P218" si="35">F155*J155</f>
        <v>105.18</v>
      </c>
      <c r="Q155" s="322"/>
      <c r="R155" s="322"/>
      <c r="S155" s="323" t="s">
        <v>1963</v>
      </c>
      <c r="T155" s="271">
        <v>63.86</v>
      </c>
      <c r="U155" s="324"/>
      <c r="V155" s="275">
        <v>0</v>
      </c>
    </row>
    <row r="156" spans="1:22" ht="15.75" x14ac:dyDescent="0.2">
      <c r="A156" s="272" t="s">
        <v>1568</v>
      </c>
      <c r="B156" s="272" t="s">
        <v>1569</v>
      </c>
      <c r="C156" s="272" t="s">
        <v>1324</v>
      </c>
      <c r="D156" s="273" t="s">
        <v>1570</v>
      </c>
      <c r="E156" s="274" t="s">
        <v>102</v>
      </c>
      <c r="F156" s="275">
        <v>2</v>
      </c>
      <c r="G156" s="275">
        <v>0</v>
      </c>
      <c r="H156" s="275">
        <v>0</v>
      </c>
      <c r="I156" s="275">
        <v>0</v>
      </c>
      <c r="J156" s="268">
        <f t="shared" si="31"/>
        <v>120.21</v>
      </c>
      <c r="K156" s="268">
        <f t="shared" si="32"/>
        <v>0</v>
      </c>
      <c r="L156" s="268">
        <f t="shared" si="27"/>
        <v>0</v>
      </c>
      <c r="M156" s="268">
        <f t="shared" si="33"/>
        <v>0</v>
      </c>
      <c r="N156" s="269">
        <f t="shared" si="34"/>
        <v>240.42</v>
      </c>
      <c r="O156" s="325">
        <f t="shared" si="30"/>
        <v>0</v>
      </c>
      <c r="P156" s="319">
        <f t="shared" si="35"/>
        <v>240.42</v>
      </c>
      <c r="Q156" s="322"/>
      <c r="R156" s="322"/>
      <c r="S156" s="323" t="s">
        <v>1964</v>
      </c>
      <c r="T156" s="271">
        <v>145.96</v>
      </c>
      <c r="U156" s="324"/>
      <c r="V156" s="275">
        <v>0</v>
      </c>
    </row>
    <row r="157" spans="1:22" ht="15.75" x14ac:dyDescent="0.2">
      <c r="A157" s="272" t="s">
        <v>1571</v>
      </c>
      <c r="B157" s="272" t="s">
        <v>1572</v>
      </c>
      <c r="C157" s="272" t="s">
        <v>1324</v>
      </c>
      <c r="D157" s="273" t="s">
        <v>1573</v>
      </c>
      <c r="E157" s="274" t="s">
        <v>102</v>
      </c>
      <c r="F157" s="275">
        <v>2</v>
      </c>
      <c r="G157" s="275">
        <v>0</v>
      </c>
      <c r="H157" s="275">
        <v>0</v>
      </c>
      <c r="I157" s="275">
        <v>0</v>
      </c>
      <c r="J157" s="268">
        <f t="shared" si="31"/>
        <v>67.349999999999994</v>
      </c>
      <c r="K157" s="268">
        <f t="shared" si="32"/>
        <v>0</v>
      </c>
      <c r="L157" s="268">
        <f t="shared" si="27"/>
        <v>0</v>
      </c>
      <c r="M157" s="268">
        <f t="shared" si="33"/>
        <v>0</v>
      </c>
      <c r="N157" s="269">
        <f t="shared" si="34"/>
        <v>134.69999999999999</v>
      </c>
      <c r="O157" s="325">
        <f t="shared" si="30"/>
        <v>0</v>
      </c>
      <c r="P157" s="319">
        <f t="shared" si="35"/>
        <v>134.69999999999999</v>
      </c>
      <c r="Q157" s="322"/>
      <c r="R157" s="322"/>
      <c r="S157" s="323" t="s">
        <v>1965</v>
      </c>
      <c r="T157" s="271">
        <v>81.78</v>
      </c>
      <c r="U157" s="324"/>
      <c r="V157" s="275">
        <v>0</v>
      </c>
    </row>
    <row r="158" spans="1:22" ht="15.75" x14ac:dyDescent="0.2">
      <c r="A158" s="272" t="s">
        <v>1574</v>
      </c>
      <c r="B158" s="272">
        <v>89987</v>
      </c>
      <c r="C158" s="272" t="s">
        <v>1324</v>
      </c>
      <c r="D158" s="273" t="s">
        <v>1575</v>
      </c>
      <c r="E158" s="274" t="s">
        <v>102</v>
      </c>
      <c r="F158" s="275">
        <v>2</v>
      </c>
      <c r="G158" s="275">
        <v>0</v>
      </c>
      <c r="H158" s="275">
        <v>0</v>
      </c>
      <c r="I158" s="275">
        <v>0</v>
      </c>
      <c r="J158" s="268">
        <f t="shared" si="31"/>
        <v>35.92</v>
      </c>
      <c r="K158" s="268">
        <f t="shared" si="32"/>
        <v>0</v>
      </c>
      <c r="L158" s="268">
        <f t="shared" si="27"/>
        <v>0</v>
      </c>
      <c r="M158" s="268">
        <f t="shared" si="33"/>
        <v>0</v>
      </c>
      <c r="N158" s="269">
        <f t="shared" si="34"/>
        <v>71.84</v>
      </c>
      <c r="O158" s="325">
        <f t="shared" si="30"/>
        <v>0</v>
      </c>
      <c r="P158" s="319">
        <f t="shared" si="35"/>
        <v>71.84</v>
      </c>
      <c r="Q158" s="322"/>
      <c r="R158" s="322"/>
      <c r="S158" s="323" t="s">
        <v>1966</v>
      </c>
      <c r="T158" s="271">
        <v>43.61</v>
      </c>
      <c r="U158" s="324"/>
      <c r="V158" s="275">
        <v>0</v>
      </c>
    </row>
    <row r="159" spans="1:22" ht="15.75" x14ac:dyDescent="0.2">
      <c r="A159" s="272" t="s">
        <v>1576</v>
      </c>
      <c r="B159" s="272">
        <v>89985</v>
      </c>
      <c r="C159" s="272" t="s">
        <v>1324</v>
      </c>
      <c r="D159" s="273" t="s">
        <v>1577</v>
      </c>
      <c r="E159" s="274" t="s">
        <v>102</v>
      </c>
      <c r="F159" s="275">
        <v>8</v>
      </c>
      <c r="G159" s="275">
        <v>0</v>
      </c>
      <c r="H159" s="275">
        <v>0</v>
      </c>
      <c r="I159" s="275">
        <v>0</v>
      </c>
      <c r="J159" s="268">
        <f t="shared" si="31"/>
        <v>64.02</v>
      </c>
      <c r="K159" s="268">
        <f t="shared" si="32"/>
        <v>0</v>
      </c>
      <c r="L159" s="268">
        <f t="shared" si="27"/>
        <v>0</v>
      </c>
      <c r="M159" s="268">
        <f t="shared" si="33"/>
        <v>0</v>
      </c>
      <c r="N159" s="269">
        <f t="shared" si="34"/>
        <v>512.16</v>
      </c>
      <c r="O159" s="325">
        <f t="shared" si="30"/>
        <v>0</v>
      </c>
      <c r="P159" s="319">
        <f t="shared" si="35"/>
        <v>512.16</v>
      </c>
      <c r="Q159" s="322"/>
      <c r="R159" s="322"/>
      <c r="S159" s="323" t="s">
        <v>1967</v>
      </c>
      <c r="T159" s="271">
        <v>77.73</v>
      </c>
      <c r="U159" s="324"/>
      <c r="V159" s="275">
        <v>0</v>
      </c>
    </row>
    <row r="160" spans="1:22" ht="15.75" x14ac:dyDescent="0.2">
      <c r="A160" s="272" t="s">
        <v>1578</v>
      </c>
      <c r="B160" s="272">
        <v>89538</v>
      </c>
      <c r="C160" s="272" t="s">
        <v>1324</v>
      </c>
      <c r="D160" s="273" t="s">
        <v>1579</v>
      </c>
      <c r="E160" s="274" t="s">
        <v>102</v>
      </c>
      <c r="F160" s="275">
        <v>12</v>
      </c>
      <c r="G160" s="275">
        <v>0</v>
      </c>
      <c r="H160" s="275">
        <v>0</v>
      </c>
      <c r="I160" s="275">
        <v>0</v>
      </c>
      <c r="J160" s="268">
        <f t="shared" si="31"/>
        <v>2.75</v>
      </c>
      <c r="K160" s="268">
        <f t="shared" si="32"/>
        <v>0</v>
      </c>
      <c r="L160" s="268">
        <f t="shared" si="27"/>
        <v>0</v>
      </c>
      <c r="M160" s="268">
        <f t="shared" si="33"/>
        <v>0</v>
      </c>
      <c r="N160" s="269">
        <f t="shared" si="34"/>
        <v>33</v>
      </c>
      <c r="O160" s="325">
        <f t="shared" si="30"/>
        <v>0</v>
      </c>
      <c r="P160" s="319">
        <f t="shared" si="35"/>
        <v>33</v>
      </c>
      <c r="Q160" s="322"/>
      <c r="R160" s="322"/>
      <c r="S160" s="323" t="s">
        <v>1968</v>
      </c>
      <c r="T160" s="271">
        <v>3.34</v>
      </c>
      <c r="U160" s="324"/>
      <c r="V160" s="275">
        <v>0</v>
      </c>
    </row>
    <row r="161" spans="1:22" ht="15.75" x14ac:dyDescent="0.2">
      <c r="A161" s="272" t="s">
        <v>1580</v>
      </c>
      <c r="B161" s="272">
        <v>89553</v>
      </c>
      <c r="C161" s="272" t="s">
        <v>1324</v>
      </c>
      <c r="D161" s="273" t="s">
        <v>1581</v>
      </c>
      <c r="E161" s="274" t="s">
        <v>102</v>
      </c>
      <c r="F161" s="275">
        <v>4</v>
      </c>
      <c r="G161" s="275">
        <v>0</v>
      </c>
      <c r="H161" s="275">
        <v>0</v>
      </c>
      <c r="I161" s="275">
        <v>0</v>
      </c>
      <c r="J161" s="268">
        <f t="shared" si="31"/>
        <v>4.01</v>
      </c>
      <c r="K161" s="268">
        <f t="shared" si="32"/>
        <v>0</v>
      </c>
      <c r="L161" s="268">
        <f t="shared" si="27"/>
        <v>0</v>
      </c>
      <c r="M161" s="268">
        <f t="shared" si="33"/>
        <v>0</v>
      </c>
      <c r="N161" s="269">
        <f t="shared" si="34"/>
        <v>16.04</v>
      </c>
      <c r="O161" s="325">
        <f t="shared" si="30"/>
        <v>0</v>
      </c>
      <c r="P161" s="319">
        <f t="shared" si="35"/>
        <v>16.04</v>
      </c>
      <c r="Q161" s="322"/>
      <c r="R161" s="322"/>
      <c r="S161" s="323" t="s">
        <v>1969</v>
      </c>
      <c r="T161" s="271">
        <v>4.87</v>
      </c>
      <c r="U161" s="324"/>
      <c r="V161" s="275">
        <v>0</v>
      </c>
    </row>
    <row r="162" spans="1:22" ht="15.75" x14ac:dyDescent="0.2">
      <c r="A162" s="272" t="s">
        <v>1582</v>
      </c>
      <c r="B162" s="272">
        <v>89570</v>
      </c>
      <c r="C162" s="272" t="s">
        <v>1324</v>
      </c>
      <c r="D162" s="273" t="s">
        <v>1583</v>
      </c>
      <c r="E162" s="274" t="s">
        <v>102</v>
      </c>
      <c r="F162" s="275">
        <v>4</v>
      </c>
      <c r="G162" s="275">
        <v>0</v>
      </c>
      <c r="H162" s="275">
        <v>0</v>
      </c>
      <c r="I162" s="275">
        <v>0</v>
      </c>
      <c r="J162" s="268">
        <f t="shared" si="31"/>
        <v>6.66</v>
      </c>
      <c r="K162" s="268">
        <f t="shared" si="32"/>
        <v>0</v>
      </c>
      <c r="L162" s="268">
        <f t="shared" si="27"/>
        <v>0</v>
      </c>
      <c r="M162" s="268">
        <f t="shared" si="33"/>
        <v>0</v>
      </c>
      <c r="N162" s="269">
        <f t="shared" si="34"/>
        <v>26.64</v>
      </c>
      <c r="O162" s="325">
        <f t="shared" si="30"/>
        <v>0</v>
      </c>
      <c r="P162" s="319">
        <f t="shared" si="35"/>
        <v>26.64</v>
      </c>
      <c r="Q162" s="322"/>
      <c r="R162" s="322"/>
      <c r="S162" s="323" t="s">
        <v>1970</v>
      </c>
      <c r="T162" s="271">
        <v>8.09</v>
      </c>
      <c r="U162" s="324"/>
      <c r="V162" s="275">
        <v>0</v>
      </c>
    </row>
    <row r="163" spans="1:22" ht="15.75" x14ac:dyDescent="0.2">
      <c r="A163" s="272" t="s">
        <v>1584</v>
      </c>
      <c r="B163" s="272">
        <v>89596</v>
      </c>
      <c r="C163" s="272" t="s">
        <v>1324</v>
      </c>
      <c r="D163" s="273" t="s">
        <v>1585</v>
      </c>
      <c r="E163" s="274" t="s">
        <v>102</v>
      </c>
      <c r="F163" s="275">
        <v>4</v>
      </c>
      <c r="G163" s="275">
        <v>0</v>
      </c>
      <c r="H163" s="275">
        <v>0</v>
      </c>
      <c r="I163" s="275">
        <v>0</v>
      </c>
      <c r="J163" s="268">
        <f t="shared" si="31"/>
        <v>7.49</v>
      </c>
      <c r="K163" s="268">
        <f t="shared" si="32"/>
        <v>0</v>
      </c>
      <c r="L163" s="268">
        <f t="shared" si="27"/>
        <v>0</v>
      </c>
      <c r="M163" s="268">
        <f t="shared" si="33"/>
        <v>0</v>
      </c>
      <c r="N163" s="269">
        <f t="shared" si="34"/>
        <v>29.96</v>
      </c>
      <c r="O163" s="325">
        <f t="shared" si="30"/>
        <v>0</v>
      </c>
      <c r="P163" s="319">
        <f t="shared" si="35"/>
        <v>29.96</v>
      </c>
      <c r="Q163" s="322"/>
      <c r="R163" s="322"/>
      <c r="S163" s="323" t="s">
        <v>1971</v>
      </c>
      <c r="T163" s="271">
        <v>9.1</v>
      </c>
      <c r="U163" s="324"/>
      <c r="V163" s="275">
        <v>0</v>
      </c>
    </row>
    <row r="164" spans="1:22" ht="15.75" x14ac:dyDescent="0.2">
      <c r="A164" s="272" t="s">
        <v>1586</v>
      </c>
      <c r="B164" s="272">
        <v>86884</v>
      </c>
      <c r="C164" s="272" t="s">
        <v>1324</v>
      </c>
      <c r="D164" s="273" t="s">
        <v>1587</v>
      </c>
      <c r="E164" s="274" t="s">
        <v>102</v>
      </c>
      <c r="F164" s="275">
        <v>10</v>
      </c>
      <c r="G164" s="275">
        <v>0</v>
      </c>
      <c r="H164" s="275">
        <v>0</v>
      </c>
      <c r="I164" s="275">
        <v>0</v>
      </c>
      <c r="J164" s="268">
        <f t="shared" si="31"/>
        <v>6.05</v>
      </c>
      <c r="K164" s="268">
        <f t="shared" si="32"/>
        <v>0</v>
      </c>
      <c r="L164" s="268">
        <f t="shared" si="27"/>
        <v>0</v>
      </c>
      <c r="M164" s="268">
        <f t="shared" si="33"/>
        <v>0</v>
      </c>
      <c r="N164" s="269">
        <f t="shared" si="34"/>
        <v>60.5</v>
      </c>
      <c r="O164" s="325">
        <f t="shared" si="30"/>
        <v>0</v>
      </c>
      <c r="P164" s="319">
        <f t="shared" si="35"/>
        <v>60.5</v>
      </c>
      <c r="Q164" s="322"/>
      <c r="R164" s="322"/>
      <c r="S164" s="323" t="s">
        <v>1972</v>
      </c>
      <c r="T164" s="271">
        <v>7.34</v>
      </c>
      <c r="U164" s="324"/>
      <c r="V164" s="275">
        <v>0</v>
      </c>
    </row>
    <row r="165" spans="1:22" ht="15.75" x14ac:dyDescent="0.2">
      <c r="A165" s="272" t="s">
        <v>1588</v>
      </c>
      <c r="B165" s="272">
        <v>72789</v>
      </c>
      <c r="C165" s="272" t="s">
        <v>1324</v>
      </c>
      <c r="D165" s="273" t="s">
        <v>1589</v>
      </c>
      <c r="E165" s="274" t="s">
        <v>102</v>
      </c>
      <c r="F165" s="275">
        <v>3</v>
      </c>
      <c r="G165" s="275">
        <v>0</v>
      </c>
      <c r="H165" s="275">
        <v>0</v>
      </c>
      <c r="I165" s="275">
        <v>0</v>
      </c>
      <c r="J165" s="268">
        <f t="shared" si="31"/>
        <v>16.59</v>
      </c>
      <c r="K165" s="268">
        <f t="shared" si="32"/>
        <v>0</v>
      </c>
      <c r="L165" s="268">
        <f t="shared" si="27"/>
        <v>0</v>
      </c>
      <c r="M165" s="268">
        <f t="shared" si="33"/>
        <v>0</v>
      </c>
      <c r="N165" s="269">
        <f t="shared" si="34"/>
        <v>49.77</v>
      </c>
      <c r="O165" s="325">
        <f t="shared" si="30"/>
        <v>0</v>
      </c>
      <c r="P165" s="319">
        <f t="shared" si="35"/>
        <v>49.769999999999996</v>
      </c>
      <c r="Q165" s="322"/>
      <c r="R165" s="322"/>
      <c r="S165" s="323" t="s">
        <v>1973</v>
      </c>
      <c r="T165" s="271">
        <v>20.14</v>
      </c>
      <c r="U165" s="324"/>
      <c r="V165" s="275">
        <v>0</v>
      </c>
    </row>
    <row r="166" spans="1:22" ht="15.75" x14ac:dyDescent="0.2">
      <c r="A166" s="272" t="s">
        <v>1590</v>
      </c>
      <c r="B166" s="272">
        <v>72792</v>
      </c>
      <c r="C166" s="272" t="s">
        <v>1324</v>
      </c>
      <c r="D166" s="273" t="s">
        <v>1591</v>
      </c>
      <c r="E166" s="274" t="s">
        <v>102</v>
      </c>
      <c r="F166" s="275">
        <v>2</v>
      </c>
      <c r="G166" s="275">
        <v>0</v>
      </c>
      <c r="H166" s="275">
        <v>0</v>
      </c>
      <c r="I166" s="275">
        <v>0</v>
      </c>
      <c r="J166" s="268">
        <f t="shared" si="31"/>
        <v>32.79</v>
      </c>
      <c r="K166" s="268">
        <f t="shared" si="32"/>
        <v>0</v>
      </c>
      <c r="L166" s="268">
        <f t="shared" si="27"/>
        <v>0</v>
      </c>
      <c r="M166" s="268">
        <f t="shared" si="33"/>
        <v>0</v>
      </c>
      <c r="N166" s="269">
        <f t="shared" si="34"/>
        <v>65.58</v>
      </c>
      <c r="O166" s="325">
        <f t="shared" si="30"/>
        <v>0</v>
      </c>
      <c r="P166" s="319">
        <f t="shared" si="35"/>
        <v>65.58</v>
      </c>
      <c r="Q166" s="322"/>
      <c r="R166" s="322"/>
      <c r="S166" s="323" t="s">
        <v>1974</v>
      </c>
      <c r="T166" s="271">
        <v>39.81</v>
      </c>
      <c r="U166" s="324"/>
      <c r="V166" s="275">
        <v>0</v>
      </c>
    </row>
    <row r="167" spans="1:22" ht="15.75" x14ac:dyDescent="0.2">
      <c r="A167" s="272" t="s">
        <v>1592</v>
      </c>
      <c r="B167" s="272"/>
      <c r="C167" s="272" t="s">
        <v>1339</v>
      </c>
      <c r="D167" s="273" t="s">
        <v>1593</v>
      </c>
      <c r="E167" s="274" t="s">
        <v>102</v>
      </c>
      <c r="F167" s="275">
        <v>1</v>
      </c>
      <c r="G167" s="275">
        <v>0</v>
      </c>
      <c r="H167" s="275">
        <v>0</v>
      </c>
      <c r="I167" s="275">
        <v>0</v>
      </c>
      <c r="J167" s="268">
        <f t="shared" si="31"/>
        <v>1286.6600000000001</v>
      </c>
      <c r="K167" s="268">
        <f t="shared" si="32"/>
        <v>0</v>
      </c>
      <c r="L167" s="268">
        <f t="shared" si="27"/>
        <v>0</v>
      </c>
      <c r="M167" s="268">
        <f t="shared" si="33"/>
        <v>0</v>
      </c>
      <c r="N167" s="269">
        <f t="shared" si="34"/>
        <v>1286.6600000000001</v>
      </c>
      <c r="O167" s="325">
        <f t="shared" si="30"/>
        <v>0</v>
      </c>
      <c r="P167" s="319">
        <f t="shared" si="35"/>
        <v>1286.6600000000001</v>
      </c>
      <c r="Q167" s="322"/>
      <c r="R167" s="322"/>
      <c r="S167" s="323" t="s">
        <v>1975</v>
      </c>
      <c r="T167" s="271">
        <v>1562.26</v>
      </c>
      <c r="U167" s="324"/>
      <c r="V167" s="275">
        <v>0</v>
      </c>
    </row>
    <row r="168" spans="1:22" ht="15.75" x14ac:dyDescent="0.2">
      <c r="A168" s="258">
        <v>13</v>
      </c>
      <c r="B168" s="258"/>
      <c r="C168" s="258"/>
      <c r="D168" s="259" t="s">
        <v>1594</v>
      </c>
      <c r="E168" s="260"/>
      <c r="F168" s="261"/>
      <c r="G168" s="261"/>
      <c r="H168" s="261"/>
      <c r="I168" s="261"/>
      <c r="J168" s="261">
        <f>N168</f>
        <v>16232.49</v>
      </c>
      <c r="K168" s="261"/>
      <c r="L168" s="261"/>
      <c r="M168" s="261"/>
      <c r="N168" s="262">
        <f>N169+N181</f>
        <v>16232.49</v>
      </c>
      <c r="O168" s="325" t="e">
        <f t="shared" si="30"/>
        <v>#DIV/0!</v>
      </c>
      <c r="P168" s="319"/>
      <c r="Q168" s="322"/>
      <c r="R168" s="322"/>
      <c r="S168" s="323" t="s">
        <v>1976</v>
      </c>
      <c r="T168" s="271">
        <v>0</v>
      </c>
      <c r="U168" s="324"/>
      <c r="V168" s="261"/>
    </row>
    <row r="169" spans="1:22" ht="15.75" x14ac:dyDescent="0.2">
      <c r="A169" s="276" t="s">
        <v>306</v>
      </c>
      <c r="B169" s="276"/>
      <c r="C169" s="276"/>
      <c r="D169" s="277" t="s">
        <v>1516</v>
      </c>
      <c r="E169" s="278"/>
      <c r="F169" s="279"/>
      <c r="G169" s="279"/>
      <c r="H169" s="279"/>
      <c r="I169" s="279"/>
      <c r="J169" s="279">
        <f>N169</f>
        <v>2433.5100000000002</v>
      </c>
      <c r="K169" s="279"/>
      <c r="L169" s="279"/>
      <c r="M169" s="279"/>
      <c r="N169" s="280">
        <f>SUM(N171:N180)</f>
        <v>2433.5100000000002</v>
      </c>
      <c r="O169" s="325" t="e">
        <f t="shared" si="30"/>
        <v>#DIV/0!</v>
      </c>
      <c r="P169" s="319"/>
      <c r="Q169" s="322"/>
      <c r="R169" s="322"/>
      <c r="S169" s="323" t="s">
        <v>1977</v>
      </c>
      <c r="T169" s="271">
        <v>0</v>
      </c>
      <c r="U169" s="324"/>
      <c r="V169" s="279"/>
    </row>
    <row r="170" spans="1:22" ht="15.75" x14ac:dyDescent="0.2">
      <c r="A170" s="272" t="s">
        <v>1595</v>
      </c>
      <c r="B170" s="272">
        <v>89711</v>
      </c>
      <c r="C170" s="272" t="s">
        <v>1324</v>
      </c>
      <c r="D170" s="273" t="s">
        <v>1596</v>
      </c>
      <c r="E170" s="274" t="s">
        <v>81</v>
      </c>
      <c r="F170" s="275">
        <v>47.5</v>
      </c>
      <c r="G170" s="275">
        <v>0</v>
      </c>
      <c r="H170" s="275">
        <v>0</v>
      </c>
      <c r="I170" s="275">
        <v>0</v>
      </c>
      <c r="J170" s="268">
        <f t="shared" ref="J170:J180" si="36">ROUND(T170*$T$12,2)</f>
        <v>13.04</v>
      </c>
      <c r="K170" s="268">
        <f t="shared" ref="K170:K180" si="37">G170*J170</f>
        <v>0</v>
      </c>
      <c r="L170" s="268">
        <f t="shared" si="27"/>
        <v>0</v>
      </c>
      <c r="M170" s="268">
        <f t="shared" ref="M170:M180" si="38">K170-L170</f>
        <v>0</v>
      </c>
      <c r="N170" s="269">
        <f t="shared" ref="N170:N180" si="39">ROUND(F170*J170,2)</f>
        <v>619.4</v>
      </c>
      <c r="O170" s="325">
        <f t="shared" si="30"/>
        <v>0</v>
      </c>
      <c r="P170" s="319">
        <f t="shared" si="35"/>
        <v>619.4</v>
      </c>
      <c r="Q170" s="322"/>
      <c r="R170" s="322"/>
      <c r="S170" s="323" t="s">
        <v>1978</v>
      </c>
      <c r="T170" s="271">
        <v>15.83</v>
      </c>
      <c r="U170" s="324"/>
      <c r="V170" s="275">
        <v>0</v>
      </c>
    </row>
    <row r="171" spans="1:22" ht="15.75" x14ac:dyDescent="0.2">
      <c r="A171" s="272" t="s">
        <v>1597</v>
      </c>
      <c r="B171" s="272">
        <v>89712</v>
      </c>
      <c r="C171" s="272" t="s">
        <v>1324</v>
      </c>
      <c r="D171" s="273" t="s">
        <v>1598</v>
      </c>
      <c r="E171" s="274" t="s">
        <v>81</v>
      </c>
      <c r="F171" s="275">
        <v>21.5</v>
      </c>
      <c r="G171" s="275">
        <v>0</v>
      </c>
      <c r="H171" s="275">
        <v>0</v>
      </c>
      <c r="I171" s="275">
        <v>0</v>
      </c>
      <c r="J171" s="268">
        <f t="shared" si="36"/>
        <v>18.98</v>
      </c>
      <c r="K171" s="268">
        <f t="shared" si="37"/>
        <v>0</v>
      </c>
      <c r="L171" s="268">
        <f t="shared" si="27"/>
        <v>0</v>
      </c>
      <c r="M171" s="268">
        <f t="shared" si="38"/>
        <v>0</v>
      </c>
      <c r="N171" s="269">
        <f t="shared" si="39"/>
        <v>408.07</v>
      </c>
      <c r="O171" s="325">
        <f t="shared" si="30"/>
        <v>0</v>
      </c>
      <c r="P171" s="319">
        <f t="shared" si="35"/>
        <v>408.07</v>
      </c>
      <c r="Q171" s="322"/>
      <c r="R171" s="322"/>
      <c r="S171" s="323" t="s">
        <v>1979</v>
      </c>
      <c r="T171" s="271">
        <v>23.04</v>
      </c>
      <c r="U171" s="324"/>
      <c r="V171" s="275">
        <v>0</v>
      </c>
    </row>
    <row r="172" spans="1:22" ht="15.75" x14ac:dyDescent="0.2">
      <c r="A172" s="272" t="s">
        <v>1599</v>
      </c>
      <c r="B172" s="272">
        <v>89714</v>
      </c>
      <c r="C172" s="272" t="s">
        <v>1324</v>
      </c>
      <c r="D172" s="273" t="s">
        <v>1600</v>
      </c>
      <c r="E172" s="274" t="s">
        <v>81</v>
      </c>
      <c r="F172" s="275">
        <v>36</v>
      </c>
      <c r="G172" s="275">
        <v>0</v>
      </c>
      <c r="H172" s="275">
        <v>0</v>
      </c>
      <c r="I172" s="275">
        <v>0</v>
      </c>
      <c r="J172" s="268">
        <f t="shared" si="36"/>
        <v>36.869999999999997</v>
      </c>
      <c r="K172" s="268">
        <f t="shared" si="37"/>
        <v>0</v>
      </c>
      <c r="L172" s="268">
        <f t="shared" si="27"/>
        <v>0</v>
      </c>
      <c r="M172" s="268">
        <f t="shared" si="38"/>
        <v>0</v>
      </c>
      <c r="N172" s="269">
        <f t="shared" si="39"/>
        <v>1327.32</v>
      </c>
      <c r="O172" s="325">
        <f t="shared" si="30"/>
        <v>0</v>
      </c>
      <c r="P172" s="319">
        <f t="shared" si="35"/>
        <v>1327.32</v>
      </c>
      <c r="Q172" s="322"/>
      <c r="R172" s="322"/>
      <c r="S172" s="323" t="s">
        <v>1980</v>
      </c>
      <c r="T172" s="271">
        <v>44.77</v>
      </c>
      <c r="U172" s="324"/>
      <c r="V172" s="275">
        <v>0</v>
      </c>
    </row>
    <row r="173" spans="1:22" ht="15.75" x14ac:dyDescent="0.2">
      <c r="A173" s="272" t="s">
        <v>1601</v>
      </c>
      <c r="B173" s="272">
        <v>89726</v>
      </c>
      <c r="C173" s="272" t="s">
        <v>1324</v>
      </c>
      <c r="D173" s="273" t="s">
        <v>1602</v>
      </c>
      <c r="E173" s="274" t="s">
        <v>102</v>
      </c>
      <c r="F173" s="275">
        <v>7</v>
      </c>
      <c r="G173" s="275">
        <v>0</v>
      </c>
      <c r="H173" s="275">
        <v>0</v>
      </c>
      <c r="I173" s="275">
        <v>0</v>
      </c>
      <c r="J173" s="268">
        <f t="shared" si="36"/>
        <v>6.33</v>
      </c>
      <c r="K173" s="268">
        <f t="shared" si="37"/>
        <v>0</v>
      </c>
      <c r="L173" s="268">
        <f t="shared" si="27"/>
        <v>0</v>
      </c>
      <c r="M173" s="268">
        <f t="shared" si="38"/>
        <v>0</v>
      </c>
      <c r="N173" s="269">
        <f t="shared" si="39"/>
        <v>44.31</v>
      </c>
      <c r="O173" s="325">
        <f t="shared" si="30"/>
        <v>0</v>
      </c>
      <c r="P173" s="319">
        <f t="shared" si="35"/>
        <v>44.31</v>
      </c>
      <c r="Q173" s="322"/>
      <c r="R173" s="322"/>
      <c r="S173" s="323" t="s">
        <v>1981</v>
      </c>
      <c r="T173" s="271">
        <v>7.68</v>
      </c>
      <c r="U173" s="324"/>
      <c r="V173" s="275">
        <v>0</v>
      </c>
    </row>
    <row r="174" spans="1:22" ht="15.75" x14ac:dyDescent="0.2">
      <c r="A174" s="272" t="s">
        <v>1603</v>
      </c>
      <c r="B174" s="272">
        <v>89744</v>
      </c>
      <c r="C174" s="272" t="s">
        <v>1324</v>
      </c>
      <c r="D174" s="273" t="s">
        <v>1604</v>
      </c>
      <c r="E174" s="274" t="s">
        <v>102</v>
      </c>
      <c r="F174" s="275">
        <v>6</v>
      </c>
      <c r="G174" s="275">
        <v>0</v>
      </c>
      <c r="H174" s="275">
        <v>0</v>
      </c>
      <c r="I174" s="275">
        <v>0</v>
      </c>
      <c r="J174" s="268">
        <f t="shared" si="36"/>
        <v>16.600000000000001</v>
      </c>
      <c r="K174" s="268">
        <f t="shared" si="37"/>
        <v>0</v>
      </c>
      <c r="L174" s="268">
        <f t="shared" si="27"/>
        <v>0</v>
      </c>
      <c r="M174" s="268">
        <f t="shared" si="38"/>
        <v>0</v>
      </c>
      <c r="N174" s="269">
        <f t="shared" si="39"/>
        <v>99.6</v>
      </c>
      <c r="O174" s="325">
        <f t="shared" si="30"/>
        <v>0</v>
      </c>
      <c r="P174" s="319">
        <f t="shared" si="35"/>
        <v>99.600000000000009</v>
      </c>
      <c r="Q174" s="322"/>
      <c r="R174" s="322"/>
      <c r="S174" s="323" t="s">
        <v>1982</v>
      </c>
      <c r="T174" s="271">
        <v>20.16</v>
      </c>
      <c r="U174" s="324"/>
      <c r="V174" s="275">
        <v>0</v>
      </c>
    </row>
    <row r="175" spans="1:22" ht="15.75" x14ac:dyDescent="0.2">
      <c r="A175" s="272" t="s">
        <v>1605</v>
      </c>
      <c r="B175" s="272">
        <v>89724</v>
      </c>
      <c r="C175" s="272" t="s">
        <v>1324</v>
      </c>
      <c r="D175" s="273" t="s">
        <v>1606</v>
      </c>
      <c r="E175" s="274" t="s">
        <v>102</v>
      </c>
      <c r="F175" s="275">
        <v>10</v>
      </c>
      <c r="G175" s="275">
        <v>0</v>
      </c>
      <c r="H175" s="275">
        <v>0</v>
      </c>
      <c r="I175" s="275">
        <v>0</v>
      </c>
      <c r="J175" s="268">
        <f t="shared" si="36"/>
        <v>5.6</v>
      </c>
      <c r="K175" s="268">
        <f t="shared" si="37"/>
        <v>0</v>
      </c>
      <c r="L175" s="268">
        <f t="shared" si="27"/>
        <v>0</v>
      </c>
      <c r="M175" s="268">
        <f t="shared" si="38"/>
        <v>0</v>
      </c>
      <c r="N175" s="269">
        <f t="shared" si="39"/>
        <v>56</v>
      </c>
      <c r="O175" s="325">
        <f t="shared" si="30"/>
        <v>0</v>
      </c>
      <c r="P175" s="319">
        <f t="shared" si="35"/>
        <v>56</v>
      </c>
      <c r="Q175" s="322"/>
      <c r="R175" s="322"/>
      <c r="S175" s="323" t="s">
        <v>1983</v>
      </c>
      <c r="T175" s="271">
        <v>6.8</v>
      </c>
      <c r="U175" s="324"/>
      <c r="V175" s="275">
        <v>0</v>
      </c>
    </row>
    <row r="176" spans="1:22" ht="15.75" x14ac:dyDescent="0.2">
      <c r="A176" s="272" t="s">
        <v>1607</v>
      </c>
      <c r="B176" s="272">
        <v>89827</v>
      </c>
      <c r="C176" s="272" t="s">
        <v>1324</v>
      </c>
      <c r="D176" s="273" t="s">
        <v>1608</v>
      </c>
      <c r="E176" s="274" t="s">
        <v>102</v>
      </c>
      <c r="F176" s="275">
        <v>6</v>
      </c>
      <c r="G176" s="275">
        <v>0</v>
      </c>
      <c r="H176" s="275">
        <v>0</v>
      </c>
      <c r="I176" s="275">
        <v>0</v>
      </c>
      <c r="J176" s="268">
        <f t="shared" si="36"/>
        <v>10.23</v>
      </c>
      <c r="K176" s="268">
        <f t="shared" si="37"/>
        <v>0</v>
      </c>
      <c r="L176" s="268">
        <f t="shared" si="27"/>
        <v>0</v>
      </c>
      <c r="M176" s="268">
        <f t="shared" si="38"/>
        <v>0</v>
      </c>
      <c r="N176" s="269">
        <f t="shared" si="39"/>
        <v>61.38</v>
      </c>
      <c r="O176" s="325">
        <f t="shared" si="30"/>
        <v>0</v>
      </c>
      <c r="P176" s="319">
        <f t="shared" si="35"/>
        <v>61.38</v>
      </c>
      <c r="Q176" s="322"/>
      <c r="R176" s="322"/>
      <c r="S176" s="323" t="s">
        <v>1984</v>
      </c>
      <c r="T176" s="271">
        <v>12.42</v>
      </c>
      <c r="U176" s="324"/>
      <c r="V176" s="275">
        <v>0</v>
      </c>
    </row>
    <row r="177" spans="1:22" ht="15.75" x14ac:dyDescent="0.2">
      <c r="A177" s="272" t="s">
        <v>1609</v>
      </c>
      <c r="B177" s="272">
        <v>89834</v>
      </c>
      <c r="C177" s="272" t="s">
        <v>1324</v>
      </c>
      <c r="D177" s="273" t="s">
        <v>1610</v>
      </c>
      <c r="E177" s="274" t="s">
        <v>102</v>
      </c>
      <c r="F177" s="275">
        <v>5</v>
      </c>
      <c r="G177" s="275">
        <v>0</v>
      </c>
      <c r="H177" s="275">
        <v>0</v>
      </c>
      <c r="I177" s="275">
        <v>0</v>
      </c>
      <c r="J177" s="268">
        <f t="shared" si="36"/>
        <v>25.46</v>
      </c>
      <c r="K177" s="268">
        <f t="shared" si="37"/>
        <v>0</v>
      </c>
      <c r="L177" s="268">
        <f t="shared" si="27"/>
        <v>0</v>
      </c>
      <c r="M177" s="268">
        <f t="shared" si="38"/>
        <v>0</v>
      </c>
      <c r="N177" s="269">
        <f t="shared" si="39"/>
        <v>127.3</v>
      </c>
      <c r="O177" s="325">
        <f t="shared" si="30"/>
        <v>0</v>
      </c>
      <c r="P177" s="319">
        <f t="shared" si="35"/>
        <v>127.30000000000001</v>
      </c>
      <c r="Q177" s="322"/>
      <c r="R177" s="322"/>
      <c r="S177" s="323" t="s">
        <v>1985</v>
      </c>
      <c r="T177" s="271">
        <v>30.91</v>
      </c>
      <c r="U177" s="324"/>
      <c r="V177" s="275">
        <v>0</v>
      </c>
    </row>
    <row r="178" spans="1:22" ht="15.75" x14ac:dyDescent="0.2">
      <c r="A178" s="272" t="s">
        <v>1611</v>
      </c>
      <c r="B178" s="272">
        <v>89797</v>
      </c>
      <c r="C178" s="272" t="s">
        <v>1324</v>
      </c>
      <c r="D178" s="273" t="s">
        <v>1612</v>
      </c>
      <c r="E178" s="274" t="s">
        <v>102</v>
      </c>
      <c r="F178" s="275">
        <v>5</v>
      </c>
      <c r="G178" s="275">
        <v>0</v>
      </c>
      <c r="H178" s="275">
        <v>0</v>
      </c>
      <c r="I178" s="275">
        <v>0</v>
      </c>
      <c r="J178" s="268">
        <f t="shared" si="36"/>
        <v>31.16</v>
      </c>
      <c r="K178" s="268">
        <f t="shared" si="37"/>
        <v>0</v>
      </c>
      <c r="L178" s="268">
        <f t="shared" si="27"/>
        <v>0</v>
      </c>
      <c r="M178" s="268">
        <f t="shared" si="38"/>
        <v>0</v>
      </c>
      <c r="N178" s="269">
        <f t="shared" si="39"/>
        <v>155.80000000000001</v>
      </c>
      <c r="O178" s="325">
        <f t="shared" si="30"/>
        <v>0</v>
      </c>
      <c r="P178" s="319">
        <f t="shared" si="35"/>
        <v>155.80000000000001</v>
      </c>
      <c r="Q178" s="322"/>
      <c r="R178" s="322"/>
      <c r="S178" s="323" t="s">
        <v>1986</v>
      </c>
      <c r="T178" s="271">
        <v>37.840000000000003</v>
      </c>
      <c r="U178" s="324"/>
      <c r="V178" s="275">
        <v>0</v>
      </c>
    </row>
    <row r="179" spans="1:22" ht="15.75" x14ac:dyDescent="0.2">
      <c r="A179" s="272" t="s">
        <v>1613</v>
      </c>
      <c r="B179" s="272">
        <v>89852</v>
      </c>
      <c r="C179" s="272" t="s">
        <v>1324</v>
      </c>
      <c r="D179" s="273" t="s">
        <v>1614</v>
      </c>
      <c r="E179" s="274" t="s">
        <v>102</v>
      </c>
      <c r="F179" s="275">
        <v>1</v>
      </c>
      <c r="G179" s="275">
        <v>0</v>
      </c>
      <c r="H179" s="275">
        <v>0</v>
      </c>
      <c r="I179" s="275">
        <v>0</v>
      </c>
      <c r="J179" s="268">
        <f t="shared" si="36"/>
        <v>27.17</v>
      </c>
      <c r="K179" s="268">
        <f t="shared" si="37"/>
        <v>0</v>
      </c>
      <c r="L179" s="268">
        <f t="shared" si="27"/>
        <v>0</v>
      </c>
      <c r="M179" s="268">
        <f t="shared" si="38"/>
        <v>0</v>
      </c>
      <c r="N179" s="269">
        <f t="shared" si="39"/>
        <v>27.17</v>
      </c>
      <c r="O179" s="325">
        <f t="shared" si="30"/>
        <v>0</v>
      </c>
      <c r="P179" s="319">
        <f t="shared" si="35"/>
        <v>27.17</v>
      </c>
      <c r="Q179" s="322"/>
      <c r="R179" s="322"/>
      <c r="S179" s="323" t="s">
        <v>1987</v>
      </c>
      <c r="T179" s="271">
        <v>32.99</v>
      </c>
      <c r="U179" s="324"/>
      <c r="V179" s="275">
        <v>0</v>
      </c>
    </row>
    <row r="180" spans="1:22" ht="15.75" x14ac:dyDescent="0.2">
      <c r="A180" s="272" t="s">
        <v>1615</v>
      </c>
      <c r="B180" s="272">
        <v>89728</v>
      </c>
      <c r="C180" s="272" t="s">
        <v>1324</v>
      </c>
      <c r="D180" s="273" t="s">
        <v>1616</v>
      </c>
      <c r="E180" s="274" t="s">
        <v>102</v>
      </c>
      <c r="F180" s="275">
        <v>16</v>
      </c>
      <c r="G180" s="275">
        <v>0</v>
      </c>
      <c r="H180" s="275">
        <v>0</v>
      </c>
      <c r="I180" s="275">
        <v>0</v>
      </c>
      <c r="J180" s="268">
        <f t="shared" si="36"/>
        <v>7.91</v>
      </c>
      <c r="K180" s="268">
        <f t="shared" si="37"/>
        <v>0</v>
      </c>
      <c r="L180" s="268">
        <f t="shared" si="27"/>
        <v>0</v>
      </c>
      <c r="M180" s="268">
        <f t="shared" si="38"/>
        <v>0</v>
      </c>
      <c r="N180" s="269">
        <f t="shared" si="39"/>
        <v>126.56</v>
      </c>
      <c r="O180" s="325">
        <f t="shared" si="30"/>
        <v>0</v>
      </c>
      <c r="P180" s="319">
        <f t="shared" si="35"/>
        <v>126.56</v>
      </c>
      <c r="Q180" s="322"/>
      <c r="R180" s="322"/>
      <c r="S180" s="323" t="s">
        <v>1988</v>
      </c>
      <c r="T180" s="271">
        <v>9.6</v>
      </c>
      <c r="U180" s="324"/>
      <c r="V180" s="275">
        <v>0</v>
      </c>
    </row>
    <row r="181" spans="1:22" ht="15.75" x14ac:dyDescent="0.2">
      <c r="A181" s="276" t="s">
        <v>309</v>
      </c>
      <c r="B181" s="276"/>
      <c r="C181" s="276"/>
      <c r="D181" s="277" t="s">
        <v>1617</v>
      </c>
      <c r="E181" s="278"/>
      <c r="F181" s="279"/>
      <c r="G181" s="279"/>
      <c r="H181" s="279"/>
      <c r="I181" s="279"/>
      <c r="J181" s="279">
        <f>N181</f>
        <v>13798.98</v>
      </c>
      <c r="K181" s="279"/>
      <c r="L181" s="279"/>
      <c r="M181" s="279"/>
      <c r="N181" s="280">
        <f>SUM(N182:N189)</f>
        <v>13798.98</v>
      </c>
      <c r="O181" s="325" t="e">
        <f t="shared" si="30"/>
        <v>#DIV/0!</v>
      </c>
      <c r="P181" s="319"/>
      <c r="Q181" s="322"/>
      <c r="R181" s="322"/>
      <c r="S181" s="323" t="s">
        <v>1989</v>
      </c>
      <c r="T181" s="271">
        <v>0</v>
      </c>
      <c r="U181" s="324"/>
      <c r="V181" s="279"/>
    </row>
    <row r="182" spans="1:22" ht="15.75" x14ac:dyDescent="0.2">
      <c r="A182" s="272" t="s">
        <v>1618</v>
      </c>
      <c r="B182" s="272"/>
      <c r="C182" s="272" t="s">
        <v>1339</v>
      </c>
      <c r="D182" s="273" t="s">
        <v>1619</v>
      </c>
      <c r="E182" s="274" t="s">
        <v>102</v>
      </c>
      <c r="F182" s="275">
        <v>6</v>
      </c>
      <c r="G182" s="275">
        <v>0</v>
      </c>
      <c r="H182" s="275">
        <v>0</v>
      </c>
      <c r="I182" s="275">
        <v>0</v>
      </c>
      <c r="J182" s="268">
        <f t="shared" ref="J182:J189" si="40">ROUND(T182*$T$12,2)</f>
        <v>46.81</v>
      </c>
      <c r="K182" s="268">
        <f t="shared" ref="K182:K189" si="41">G182*J182</f>
        <v>0</v>
      </c>
      <c r="L182" s="268">
        <f t="shared" si="27"/>
        <v>0</v>
      </c>
      <c r="M182" s="268">
        <f t="shared" ref="M182:M189" si="42">K182-L182</f>
        <v>0</v>
      </c>
      <c r="N182" s="269">
        <f t="shared" ref="N182:N189" si="43">ROUND(F182*J182,2)</f>
        <v>280.86</v>
      </c>
      <c r="O182" s="325">
        <f t="shared" si="30"/>
        <v>0</v>
      </c>
      <c r="P182" s="319">
        <f t="shared" si="35"/>
        <v>280.86</v>
      </c>
      <c r="Q182" s="322"/>
      <c r="R182" s="322"/>
      <c r="S182" s="323" t="s">
        <v>1990</v>
      </c>
      <c r="T182" s="271">
        <v>56.84</v>
      </c>
      <c r="U182" s="324"/>
      <c r="V182" s="275">
        <v>0</v>
      </c>
    </row>
    <row r="183" spans="1:22" ht="15.75" x14ac:dyDescent="0.2">
      <c r="A183" s="272" t="s">
        <v>1620</v>
      </c>
      <c r="B183" s="272" t="s">
        <v>1621</v>
      </c>
      <c r="C183" s="272" t="s">
        <v>1324</v>
      </c>
      <c r="D183" s="273" t="s">
        <v>1622</v>
      </c>
      <c r="E183" s="274" t="s">
        <v>102</v>
      </c>
      <c r="F183" s="275">
        <v>2</v>
      </c>
      <c r="G183" s="275">
        <v>0</v>
      </c>
      <c r="H183" s="275">
        <v>0</v>
      </c>
      <c r="I183" s="275">
        <v>0</v>
      </c>
      <c r="J183" s="268">
        <f t="shared" si="40"/>
        <v>367.21</v>
      </c>
      <c r="K183" s="268">
        <f t="shared" si="41"/>
        <v>0</v>
      </c>
      <c r="L183" s="268">
        <f t="shared" si="27"/>
        <v>0</v>
      </c>
      <c r="M183" s="268">
        <f t="shared" si="42"/>
        <v>0</v>
      </c>
      <c r="N183" s="269">
        <f t="shared" si="43"/>
        <v>734.42</v>
      </c>
      <c r="O183" s="325">
        <f t="shared" si="30"/>
        <v>0</v>
      </c>
      <c r="P183" s="319">
        <f t="shared" si="35"/>
        <v>734.42</v>
      </c>
      <c r="Q183" s="322"/>
      <c r="R183" s="322"/>
      <c r="S183" s="323" t="s">
        <v>1991</v>
      </c>
      <c r="T183" s="271">
        <v>445.87</v>
      </c>
      <c r="U183" s="324"/>
      <c r="V183" s="275">
        <v>0</v>
      </c>
    </row>
    <row r="184" spans="1:22" ht="15.75" x14ac:dyDescent="0.2">
      <c r="A184" s="272" t="s">
        <v>1623</v>
      </c>
      <c r="B184" s="272">
        <v>89710</v>
      </c>
      <c r="C184" s="272" t="s">
        <v>1324</v>
      </c>
      <c r="D184" s="273" t="s">
        <v>1624</v>
      </c>
      <c r="E184" s="274" t="s">
        <v>102</v>
      </c>
      <c r="F184" s="275">
        <v>6</v>
      </c>
      <c r="G184" s="275">
        <v>0</v>
      </c>
      <c r="H184" s="275">
        <v>0</v>
      </c>
      <c r="I184" s="275">
        <v>0</v>
      </c>
      <c r="J184" s="268">
        <f t="shared" si="40"/>
        <v>7.75</v>
      </c>
      <c r="K184" s="268">
        <f t="shared" si="41"/>
        <v>0</v>
      </c>
      <c r="L184" s="268">
        <f t="shared" si="27"/>
        <v>0</v>
      </c>
      <c r="M184" s="268">
        <f t="shared" si="42"/>
        <v>0</v>
      </c>
      <c r="N184" s="269">
        <f t="shared" si="43"/>
        <v>46.5</v>
      </c>
      <c r="O184" s="325">
        <f t="shared" si="30"/>
        <v>0</v>
      </c>
      <c r="P184" s="319">
        <f t="shared" si="35"/>
        <v>46.5</v>
      </c>
      <c r="Q184" s="322"/>
      <c r="R184" s="322"/>
      <c r="S184" s="323" t="s">
        <v>1992</v>
      </c>
      <c r="T184" s="271">
        <v>9.41</v>
      </c>
      <c r="U184" s="324"/>
      <c r="V184" s="275">
        <v>0</v>
      </c>
    </row>
    <row r="185" spans="1:22" ht="15.75" x14ac:dyDescent="0.2">
      <c r="A185" s="272" t="s">
        <v>1625</v>
      </c>
      <c r="B185" s="272">
        <v>89798</v>
      </c>
      <c r="C185" s="272" t="s">
        <v>1324</v>
      </c>
      <c r="D185" s="273" t="s">
        <v>1626</v>
      </c>
      <c r="E185" s="274" t="s">
        <v>81</v>
      </c>
      <c r="F185" s="275">
        <v>8</v>
      </c>
      <c r="G185" s="275">
        <v>0</v>
      </c>
      <c r="H185" s="275">
        <v>0</v>
      </c>
      <c r="I185" s="275">
        <v>0</v>
      </c>
      <c r="J185" s="268">
        <f t="shared" si="40"/>
        <v>6.93</v>
      </c>
      <c r="K185" s="268">
        <f t="shared" si="41"/>
        <v>0</v>
      </c>
      <c r="L185" s="268">
        <f t="shared" si="27"/>
        <v>0</v>
      </c>
      <c r="M185" s="268">
        <f t="shared" si="42"/>
        <v>0</v>
      </c>
      <c r="N185" s="269">
        <f t="shared" si="43"/>
        <v>55.44</v>
      </c>
      <c r="O185" s="325">
        <f t="shared" si="30"/>
        <v>0</v>
      </c>
      <c r="P185" s="319">
        <f t="shared" si="35"/>
        <v>55.44</v>
      </c>
      <c r="Q185" s="322"/>
      <c r="R185" s="322"/>
      <c r="S185" s="323" t="s">
        <v>1993</v>
      </c>
      <c r="T185" s="271">
        <v>8.42</v>
      </c>
      <c r="U185" s="324"/>
      <c r="V185" s="275">
        <v>0</v>
      </c>
    </row>
    <row r="186" spans="1:22" ht="15.75" x14ac:dyDescent="0.2">
      <c r="A186" s="272" t="s">
        <v>1627</v>
      </c>
      <c r="B186" s="272">
        <v>86882</v>
      </c>
      <c r="C186" s="272" t="s">
        <v>1324</v>
      </c>
      <c r="D186" s="273" t="s">
        <v>1628</v>
      </c>
      <c r="E186" s="274" t="s">
        <v>102</v>
      </c>
      <c r="F186" s="275">
        <v>8</v>
      </c>
      <c r="G186" s="275">
        <v>0</v>
      </c>
      <c r="H186" s="275">
        <v>0</v>
      </c>
      <c r="I186" s="275">
        <v>0</v>
      </c>
      <c r="J186" s="268">
        <f t="shared" si="40"/>
        <v>13.42</v>
      </c>
      <c r="K186" s="268">
        <f t="shared" si="41"/>
        <v>0</v>
      </c>
      <c r="L186" s="268">
        <f t="shared" si="27"/>
        <v>0</v>
      </c>
      <c r="M186" s="268">
        <f t="shared" si="42"/>
        <v>0</v>
      </c>
      <c r="N186" s="269">
        <f t="shared" si="43"/>
        <v>107.36</v>
      </c>
      <c r="O186" s="325">
        <f t="shared" si="30"/>
        <v>0</v>
      </c>
      <c r="P186" s="319">
        <f t="shared" si="35"/>
        <v>107.36</v>
      </c>
      <c r="Q186" s="322"/>
      <c r="R186" s="322"/>
      <c r="S186" s="323" t="s">
        <v>1994</v>
      </c>
      <c r="T186" s="271">
        <v>16.29</v>
      </c>
      <c r="U186" s="324"/>
      <c r="V186" s="275">
        <v>0</v>
      </c>
    </row>
    <row r="187" spans="1:22" ht="15.75" x14ac:dyDescent="0.2">
      <c r="A187" s="282" t="s">
        <v>1629</v>
      </c>
      <c r="B187" s="282" t="s">
        <v>1630</v>
      </c>
      <c r="C187" s="282" t="s">
        <v>1324</v>
      </c>
      <c r="D187" s="283" t="s">
        <v>1631</v>
      </c>
      <c r="E187" s="284" t="s">
        <v>102</v>
      </c>
      <c r="F187" s="285">
        <v>8</v>
      </c>
      <c r="G187" s="275">
        <v>0</v>
      </c>
      <c r="H187" s="275">
        <v>0</v>
      </c>
      <c r="I187" s="275">
        <v>0</v>
      </c>
      <c r="J187" s="268">
        <f t="shared" si="40"/>
        <v>57.87</v>
      </c>
      <c r="K187" s="268">
        <f t="shared" si="41"/>
        <v>0</v>
      </c>
      <c r="L187" s="268">
        <f t="shared" si="27"/>
        <v>0</v>
      </c>
      <c r="M187" s="268">
        <f t="shared" si="42"/>
        <v>0</v>
      </c>
      <c r="N187" s="269">
        <f t="shared" si="43"/>
        <v>462.96</v>
      </c>
      <c r="O187" s="325">
        <f t="shared" si="30"/>
        <v>0</v>
      </c>
      <c r="P187" s="319">
        <f t="shared" si="35"/>
        <v>462.96</v>
      </c>
      <c r="Q187" s="322"/>
      <c r="R187" s="322"/>
      <c r="S187" s="323" t="s">
        <v>1995</v>
      </c>
      <c r="T187" s="271">
        <v>70.27</v>
      </c>
      <c r="U187" s="324"/>
      <c r="V187" s="275">
        <v>0</v>
      </c>
    </row>
    <row r="188" spans="1:22" ht="15.75" x14ac:dyDescent="0.2">
      <c r="A188" s="282" t="s">
        <v>1632</v>
      </c>
      <c r="B188" s="282" t="s">
        <v>1633</v>
      </c>
      <c r="C188" s="282" t="s">
        <v>1324</v>
      </c>
      <c r="D188" s="283" t="s">
        <v>1634</v>
      </c>
      <c r="E188" s="284" t="s">
        <v>102</v>
      </c>
      <c r="F188" s="285">
        <v>1</v>
      </c>
      <c r="G188" s="275">
        <v>0</v>
      </c>
      <c r="H188" s="275">
        <v>0</v>
      </c>
      <c r="I188" s="275">
        <v>0</v>
      </c>
      <c r="J188" s="268">
        <f t="shared" si="40"/>
        <v>3019.34</v>
      </c>
      <c r="K188" s="268">
        <f t="shared" si="41"/>
        <v>0</v>
      </c>
      <c r="L188" s="268">
        <f t="shared" si="27"/>
        <v>0</v>
      </c>
      <c r="M188" s="268">
        <f t="shared" si="42"/>
        <v>0</v>
      </c>
      <c r="N188" s="269">
        <f t="shared" si="43"/>
        <v>3019.34</v>
      </c>
      <c r="O188" s="325">
        <f t="shared" si="30"/>
        <v>0</v>
      </c>
      <c r="P188" s="319">
        <f t="shared" si="35"/>
        <v>3019.34</v>
      </c>
      <c r="Q188" s="322"/>
      <c r="R188" s="322"/>
      <c r="S188" s="323"/>
      <c r="T188" s="271">
        <v>3666.08</v>
      </c>
      <c r="U188" s="217"/>
      <c r="V188" s="275">
        <v>0</v>
      </c>
    </row>
    <row r="189" spans="1:22" ht="15.75" x14ac:dyDescent="0.2">
      <c r="A189" s="282" t="s">
        <v>1635</v>
      </c>
      <c r="B189" s="282" t="s">
        <v>1636</v>
      </c>
      <c r="C189" s="282" t="s">
        <v>1324</v>
      </c>
      <c r="D189" s="283" t="s">
        <v>1637</v>
      </c>
      <c r="E189" s="284" t="s">
        <v>102</v>
      </c>
      <c r="F189" s="285">
        <v>1</v>
      </c>
      <c r="G189" s="275">
        <v>0</v>
      </c>
      <c r="H189" s="275">
        <v>0</v>
      </c>
      <c r="I189" s="275">
        <v>0</v>
      </c>
      <c r="J189" s="268">
        <f t="shared" si="40"/>
        <v>9092.1</v>
      </c>
      <c r="K189" s="268">
        <f t="shared" si="41"/>
        <v>0</v>
      </c>
      <c r="L189" s="268">
        <f t="shared" si="27"/>
        <v>0</v>
      </c>
      <c r="M189" s="268">
        <f t="shared" si="42"/>
        <v>0</v>
      </c>
      <c r="N189" s="269">
        <f t="shared" si="43"/>
        <v>9092.1</v>
      </c>
      <c r="O189" s="325">
        <f t="shared" si="30"/>
        <v>0</v>
      </c>
      <c r="P189" s="319">
        <f t="shared" si="35"/>
        <v>9092.1</v>
      </c>
      <c r="Q189" s="322"/>
      <c r="R189" s="322"/>
      <c r="S189" s="323"/>
      <c r="T189" s="271">
        <v>11039.6</v>
      </c>
      <c r="U189" s="217"/>
      <c r="V189" s="275">
        <v>0</v>
      </c>
    </row>
    <row r="190" spans="1:22" ht="15.75" x14ac:dyDescent="0.2">
      <c r="A190" s="286">
        <v>14</v>
      </c>
      <c r="B190" s="286"/>
      <c r="C190" s="286"/>
      <c r="D190" s="287" t="s">
        <v>656</v>
      </c>
      <c r="E190" s="288"/>
      <c r="F190" s="289"/>
      <c r="G190" s="261"/>
      <c r="H190" s="261"/>
      <c r="I190" s="261"/>
      <c r="J190" s="261">
        <f>N190</f>
        <v>11646.28</v>
      </c>
      <c r="K190" s="261"/>
      <c r="L190" s="261"/>
      <c r="M190" s="261"/>
      <c r="N190" s="262">
        <f>SUM(N191:N193)</f>
        <v>11646.28</v>
      </c>
      <c r="O190" s="325" t="e">
        <f t="shared" si="30"/>
        <v>#DIV/0!</v>
      </c>
      <c r="P190" s="319"/>
      <c r="Q190" s="322"/>
      <c r="R190" s="322"/>
      <c r="S190" s="323"/>
      <c r="T190" s="271">
        <v>0</v>
      </c>
      <c r="U190" s="217"/>
      <c r="V190" s="261"/>
    </row>
    <row r="191" spans="1:22" ht="15.75" x14ac:dyDescent="0.2">
      <c r="A191" s="282" t="s">
        <v>355</v>
      </c>
      <c r="B191" s="282">
        <v>83688</v>
      </c>
      <c r="C191" s="282" t="s">
        <v>1324</v>
      </c>
      <c r="D191" s="283" t="s">
        <v>1638</v>
      </c>
      <c r="E191" s="284" t="s">
        <v>81</v>
      </c>
      <c r="F191" s="285">
        <v>76.400000000000006</v>
      </c>
      <c r="G191" s="285">
        <v>0</v>
      </c>
      <c r="H191" s="285">
        <v>0</v>
      </c>
      <c r="I191" s="285">
        <v>0</v>
      </c>
      <c r="J191" s="268">
        <f>ROUND(T191*$T$12,2)</f>
        <v>141.97999999999999</v>
      </c>
      <c r="K191" s="268">
        <f>G191*J191</f>
        <v>0</v>
      </c>
      <c r="L191" s="268">
        <f t="shared" si="27"/>
        <v>0</v>
      </c>
      <c r="M191" s="268">
        <f>K191-L191</f>
        <v>0</v>
      </c>
      <c r="N191" s="269">
        <f>ROUND(F191*J191,2)</f>
        <v>10847.27</v>
      </c>
      <c r="O191" s="325">
        <f t="shared" si="30"/>
        <v>0</v>
      </c>
      <c r="P191" s="319">
        <f t="shared" si="35"/>
        <v>10847.272000000001</v>
      </c>
      <c r="Q191" s="322"/>
      <c r="R191" s="322"/>
      <c r="S191" s="323"/>
      <c r="T191" s="271">
        <v>172.39</v>
      </c>
      <c r="U191" s="217"/>
      <c r="V191" s="285">
        <v>0</v>
      </c>
    </row>
    <row r="192" spans="1:22" ht="15.75" x14ac:dyDescent="0.2">
      <c r="A192" s="282" t="s">
        <v>1639</v>
      </c>
      <c r="B192" s="282"/>
      <c r="C192" s="282" t="s">
        <v>1339</v>
      </c>
      <c r="D192" s="283" t="s">
        <v>1640</v>
      </c>
      <c r="E192" s="284" t="s">
        <v>102</v>
      </c>
      <c r="F192" s="285">
        <v>8</v>
      </c>
      <c r="G192" s="285">
        <v>0</v>
      </c>
      <c r="H192" s="285">
        <v>0</v>
      </c>
      <c r="I192" s="285">
        <v>0</v>
      </c>
      <c r="J192" s="268">
        <f>ROUND(T192*$T$12,2)</f>
        <v>76.84</v>
      </c>
      <c r="K192" s="268">
        <f>G192*J192</f>
        <v>0</v>
      </c>
      <c r="L192" s="268">
        <f t="shared" si="27"/>
        <v>0</v>
      </c>
      <c r="M192" s="268">
        <f>K192-L192</f>
        <v>0</v>
      </c>
      <c r="N192" s="269">
        <f>ROUND(F192*J192,2)</f>
        <v>614.72</v>
      </c>
      <c r="O192" s="325">
        <f t="shared" si="30"/>
        <v>0</v>
      </c>
      <c r="P192" s="319">
        <f t="shared" si="35"/>
        <v>614.72</v>
      </c>
      <c r="Q192" s="322"/>
      <c r="R192" s="322"/>
      <c r="S192" s="323"/>
      <c r="T192" s="271">
        <v>93.3</v>
      </c>
      <c r="U192" s="217"/>
      <c r="V192" s="285">
        <v>0</v>
      </c>
    </row>
    <row r="193" spans="1:22" ht="15.75" x14ac:dyDescent="0.2">
      <c r="A193" s="282" t="s">
        <v>1641</v>
      </c>
      <c r="B193" s="282">
        <v>88549</v>
      </c>
      <c r="C193" s="282" t="s">
        <v>1324</v>
      </c>
      <c r="D193" s="283" t="s">
        <v>1642</v>
      </c>
      <c r="E193" s="284" t="s">
        <v>48</v>
      </c>
      <c r="F193" s="285">
        <v>1.87</v>
      </c>
      <c r="G193" s="285">
        <v>0</v>
      </c>
      <c r="H193" s="285">
        <v>0</v>
      </c>
      <c r="I193" s="285">
        <v>0</v>
      </c>
      <c r="J193" s="268">
        <f>ROUND(T193*$T$12,2)</f>
        <v>98.55</v>
      </c>
      <c r="K193" s="268">
        <f>G193*J193</f>
        <v>0</v>
      </c>
      <c r="L193" s="268">
        <f t="shared" si="27"/>
        <v>0</v>
      </c>
      <c r="M193" s="268">
        <f>K193-L193</f>
        <v>0</v>
      </c>
      <c r="N193" s="269">
        <f>ROUND(F193*J193,2)</f>
        <v>184.29</v>
      </c>
      <c r="O193" s="325">
        <f t="shared" si="30"/>
        <v>0</v>
      </c>
      <c r="P193" s="319">
        <f t="shared" si="35"/>
        <v>184.2885</v>
      </c>
      <c r="Q193" s="322"/>
      <c r="R193" s="322"/>
      <c r="S193" s="323"/>
      <c r="T193" s="271">
        <v>119.66</v>
      </c>
      <c r="U193" s="217"/>
      <c r="V193" s="285">
        <v>0</v>
      </c>
    </row>
    <row r="194" spans="1:22" ht="15.75" x14ac:dyDescent="0.2">
      <c r="A194" s="286">
        <v>15</v>
      </c>
      <c r="B194" s="286"/>
      <c r="C194" s="286"/>
      <c r="D194" s="287" t="s">
        <v>1643</v>
      </c>
      <c r="E194" s="288"/>
      <c r="F194" s="289"/>
      <c r="G194" s="261"/>
      <c r="H194" s="261"/>
      <c r="I194" s="261"/>
      <c r="J194" s="261">
        <f>N194</f>
        <v>7636.1200000000017</v>
      </c>
      <c r="K194" s="261"/>
      <c r="L194" s="261"/>
      <c r="M194" s="261"/>
      <c r="N194" s="262">
        <f>SUM(N195:N207)</f>
        <v>7636.1200000000017</v>
      </c>
      <c r="O194" s="325" t="e">
        <f t="shared" si="30"/>
        <v>#DIV/0!</v>
      </c>
      <c r="P194" s="319"/>
      <c r="Q194" s="322"/>
      <c r="R194" s="322"/>
      <c r="S194" s="323"/>
      <c r="T194" s="271">
        <v>0</v>
      </c>
      <c r="U194" s="217"/>
      <c r="V194" s="261"/>
    </row>
    <row r="195" spans="1:22" ht="15.75" x14ac:dyDescent="0.2">
      <c r="A195" s="282" t="s">
        <v>494</v>
      </c>
      <c r="B195" s="282">
        <v>6021</v>
      </c>
      <c r="C195" s="282" t="s">
        <v>1324</v>
      </c>
      <c r="D195" s="283" t="s">
        <v>1644</v>
      </c>
      <c r="E195" s="284" t="s">
        <v>102</v>
      </c>
      <c r="F195" s="285">
        <v>6</v>
      </c>
      <c r="G195" s="285">
        <v>0</v>
      </c>
      <c r="H195" s="285">
        <v>0</v>
      </c>
      <c r="I195" s="285">
        <v>0</v>
      </c>
      <c r="J195" s="268">
        <f t="shared" ref="J195:J207" si="44">ROUND(T195*$T$12,2)</f>
        <v>330.33</v>
      </c>
      <c r="K195" s="268">
        <f t="shared" ref="K195:K207" si="45">G195*J195</f>
        <v>0</v>
      </c>
      <c r="L195" s="268">
        <f t="shared" si="27"/>
        <v>0</v>
      </c>
      <c r="M195" s="268">
        <f t="shared" ref="M195:M207" si="46">K195-L195</f>
        <v>0</v>
      </c>
      <c r="N195" s="269">
        <f t="shared" ref="N195:N207" si="47">ROUND(F195*J195,2)</f>
        <v>1981.98</v>
      </c>
      <c r="O195" s="325">
        <f t="shared" si="30"/>
        <v>0</v>
      </c>
      <c r="P195" s="319">
        <f t="shared" si="35"/>
        <v>1981.98</v>
      </c>
      <c r="Q195" s="322"/>
      <c r="R195" s="322"/>
      <c r="S195" s="323"/>
      <c r="T195" s="271">
        <v>401.09</v>
      </c>
      <c r="U195" s="217"/>
      <c r="V195" s="285">
        <v>0</v>
      </c>
    </row>
    <row r="196" spans="1:22" ht="25.5" x14ac:dyDescent="0.2">
      <c r="A196" s="282" t="s">
        <v>496</v>
      </c>
      <c r="B196" s="282">
        <v>40729</v>
      </c>
      <c r="C196" s="282" t="s">
        <v>1324</v>
      </c>
      <c r="D196" s="283" t="s">
        <v>1645</v>
      </c>
      <c r="E196" s="284" t="s">
        <v>102</v>
      </c>
      <c r="F196" s="285">
        <v>6</v>
      </c>
      <c r="G196" s="285">
        <v>0</v>
      </c>
      <c r="H196" s="285">
        <v>0</v>
      </c>
      <c r="I196" s="285">
        <v>0</v>
      </c>
      <c r="J196" s="268">
        <f t="shared" si="44"/>
        <v>204.63</v>
      </c>
      <c r="K196" s="268">
        <f t="shared" si="45"/>
        <v>0</v>
      </c>
      <c r="L196" s="268">
        <f t="shared" ref="L196:L207" si="48">K196</f>
        <v>0</v>
      </c>
      <c r="M196" s="268">
        <f t="shared" si="46"/>
        <v>0</v>
      </c>
      <c r="N196" s="269">
        <f t="shared" si="47"/>
        <v>1227.78</v>
      </c>
      <c r="O196" s="325">
        <f t="shared" si="30"/>
        <v>0</v>
      </c>
      <c r="P196" s="319">
        <f t="shared" si="35"/>
        <v>1227.78</v>
      </c>
      <c r="Q196" s="322"/>
      <c r="R196" s="322"/>
      <c r="S196" s="323"/>
      <c r="T196" s="271">
        <v>248.46</v>
      </c>
      <c r="U196" s="217"/>
      <c r="V196" s="285">
        <v>0</v>
      </c>
    </row>
    <row r="197" spans="1:22" ht="15.75" x14ac:dyDescent="0.2">
      <c r="A197" s="282" t="s">
        <v>498</v>
      </c>
      <c r="B197" s="282">
        <v>86901</v>
      </c>
      <c r="C197" s="282" t="s">
        <v>1324</v>
      </c>
      <c r="D197" s="283" t="s">
        <v>1646</v>
      </c>
      <c r="E197" s="284" t="s">
        <v>102</v>
      </c>
      <c r="F197" s="285">
        <v>6</v>
      </c>
      <c r="G197" s="285">
        <v>0</v>
      </c>
      <c r="H197" s="285">
        <v>0</v>
      </c>
      <c r="I197" s="285">
        <v>0</v>
      </c>
      <c r="J197" s="268">
        <f t="shared" si="44"/>
        <v>102.4</v>
      </c>
      <c r="K197" s="268">
        <f t="shared" si="45"/>
        <v>0</v>
      </c>
      <c r="L197" s="268">
        <f t="shared" si="48"/>
        <v>0</v>
      </c>
      <c r="M197" s="268">
        <f t="shared" si="46"/>
        <v>0</v>
      </c>
      <c r="N197" s="269">
        <f t="shared" si="47"/>
        <v>614.4</v>
      </c>
      <c r="O197" s="325">
        <f t="shared" si="30"/>
        <v>0</v>
      </c>
      <c r="P197" s="319">
        <f t="shared" si="35"/>
        <v>614.40000000000009</v>
      </c>
      <c r="Q197" s="322"/>
      <c r="R197" s="322"/>
      <c r="S197" s="323"/>
      <c r="T197" s="271">
        <v>124.33</v>
      </c>
      <c r="U197" s="217"/>
      <c r="V197" s="285">
        <v>0</v>
      </c>
    </row>
    <row r="198" spans="1:22" ht="25.5" x14ac:dyDescent="0.2">
      <c r="A198" s="282" t="s">
        <v>500</v>
      </c>
      <c r="B198" s="282">
        <v>86942</v>
      </c>
      <c r="C198" s="282" t="s">
        <v>1324</v>
      </c>
      <c r="D198" s="283" t="s">
        <v>1647</v>
      </c>
      <c r="E198" s="284" t="s">
        <v>102</v>
      </c>
      <c r="F198" s="285">
        <v>2</v>
      </c>
      <c r="G198" s="285">
        <v>0</v>
      </c>
      <c r="H198" s="285">
        <v>0</v>
      </c>
      <c r="I198" s="285">
        <v>0</v>
      </c>
      <c r="J198" s="268">
        <f t="shared" si="44"/>
        <v>160.06</v>
      </c>
      <c r="K198" s="268">
        <f t="shared" si="45"/>
        <v>0</v>
      </c>
      <c r="L198" s="268">
        <f t="shared" si="48"/>
        <v>0</v>
      </c>
      <c r="M198" s="268">
        <f t="shared" si="46"/>
        <v>0</v>
      </c>
      <c r="N198" s="269">
        <f t="shared" si="47"/>
        <v>320.12</v>
      </c>
      <c r="O198" s="325">
        <f t="shared" si="30"/>
        <v>0</v>
      </c>
      <c r="P198" s="319">
        <f t="shared" si="35"/>
        <v>320.12</v>
      </c>
      <c r="Q198" s="322"/>
      <c r="R198" s="322"/>
      <c r="S198" s="323"/>
      <c r="T198" s="271">
        <v>194.35</v>
      </c>
      <c r="U198" s="217"/>
      <c r="V198" s="285">
        <v>0</v>
      </c>
    </row>
    <row r="199" spans="1:22" ht="25.5" x14ac:dyDescent="0.2">
      <c r="A199" s="282" t="s">
        <v>502</v>
      </c>
      <c r="B199" s="282"/>
      <c r="C199" s="282" t="s">
        <v>1339</v>
      </c>
      <c r="D199" s="283" t="s">
        <v>1648</v>
      </c>
      <c r="E199" s="284" t="s">
        <v>102</v>
      </c>
      <c r="F199" s="285">
        <v>2</v>
      </c>
      <c r="G199" s="285">
        <v>0</v>
      </c>
      <c r="H199" s="285">
        <v>0</v>
      </c>
      <c r="I199" s="285">
        <v>0</v>
      </c>
      <c r="J199" s="268">
        <f t="shared" si="44"/>
        <v>223.26</v>
      </c>
      <c r="K199" s="268">
        <f t="shared" si="45"/>
        <v>0</v>
      </c>
      <c r="L199" s="268">
        <f t="shared" si="48"/>
        <v>0</v>
      </c>
      <c r="M199" s="268">
        <f t="shared" si="46"/>
        <v>0</v>
      </c>
      <c r="N199" s="269">
        <f t="shared" si="47"/>
        <v>446.52</v>
      </c>
      <c r="O199" s="325">
        <f t="shared" si="30"/>
        <v>0</v>
      </c>
      <c r="P199" s="319">
        <f t="shared" si="35"/>
        <v>446.52</v>
      </c>
      <c r="Q199" s="322"/>
      <c r="R199" s="322"/>
      <c r="S199" s="323"/>
      <c r="T199" s="271">
        <v>271.08</v>
      </c>
      <c r="U199" s="217"/>
      <c r="V199" s="285">
        <v>0</v>
      </c>
    </row>
    <row r="200" spans="1:22" ht="25.5" x14ac:dyDescent="0.2">
      <c r="A200" s="282" t="s">
        <v>504</v>
      </c>
      <c r="B200" s="282">
        <v>86906</v>
      </c>
      <c r="C200" s="282" t="s">
        <v>1324</v>
      </c>
      <c r="D200" s="283" t="s">
        <v>1649</v>
      </c>
      <c r="E200" s="284" t="s">
        <v>102</v>
      </c>
      <c r="F200" s="285">
        <v>8</v>
      </c>
      <c r="G200" s="285">
        <v>0</v>
      </c>
      <c r="H200" s="285">
        <v>0</v>
      </c>
      <c r="I200" s="285">
        <v>0</v>
      </c>
      <c r="J200" s="268">
        <f t="shared" si="44"/>
        <v>39.97</v>
      </c>
      <c r="K200" s="268">
        <f t="shared" si="45"/>
        <v>0</v>
      </c>
      <c r="L200" s="268">
        <f t="shared" si="48"/>
        <v>0</v>
      </c>
      <c r="M200" s="268">
        <f t="shared" si="46"/>
        <v>0</v>
      </c>
      <c r="N200" s="269">
        <f t="shared" si="47"/>
        <v>319.76</v>
      </c>
      <c r="O200" s="325">
        <f t="shared" si="30"/>
        <v>0</v>
      </c>
      <c r="P200" s="319">
        <f t="shared" si="35"/>
        <v>319.76</v>
      </c>
      <c r="Q200" s="322"/>
      <c r="R200" s="322"/>
      <c r="S200" s="323"/>
      <c r="T200" s="271">
        <v>48.53</v>
      </c>
      <c r="U200" s="217"/>
      <c r="V200" s="285">
        <v>0</v>
      </c>
    </row>
    <row r="201" spans="1:22" ht="15.75" x14ac:dyDescent="0.2">
      <c r="A201" s="282" t="s">
        <v>506</v>
      </c>
      <c r="B201" s="282">
        <v>86914</v>
      </c>
      <c r="C201" s="282" t="s">
        <v>1324</v>
      </c>
      <c r="D201" s="283" t="s">
        <v>1650</v>
      </c>
      <c r="E201" s="284" t="s">
        <v>102</v>
      </c>
      <c r="F201" s="285">
        <v>2</v>
      </c>
      <c r="G201" s="285">
        <v>0</v>
      </c>
      <c r="H201" s="285">
        <v>0</v>
      </c>
      <c r="I201" s="285">
        <v>0</v>
      </c>
      <c r="J201" s="268">
        <f t="shared" si="44"/>
        <v>31.02</v>
      </c>
      <c r="K201" s="268">
        <f t="shared" si="45"/>
        <v>0</v>
      </c>
      <c r="L201" s="268">
        <f t="shared" si="48"/>
        <v>0</v>
      </c>
      <c r="M201" s="268">
        <f t="shared" si="46"/>
        <v>0</v>
      </c>
      <c r="N201" s="269">
        <f t="shared" si="47"/>
        <v>62.04</v>
      </c>
      <c r="O201" s="325">
        <f t="shared" si="30"/>
        <v>0</v>
      </c>
      <c r="P201" s="319">
        <f t="shared" si="35"/>
        <v>62.04</v>
      </c>
      <c r="Q201" s="322"/>
      <c r="R201" s="322"/>
      <c r="S201" s="323"/>
      <c r="T201" s="271">
        <v>37.67</v>
      </c>
      <c r="U201" s="217"/>
      <c r="V201" s="285">
        <v>0</v>
      </c>
    </row>
    <row r="202" spans="1:22" ht="25.5" x14ac:dyDescent="0.2">
      <c r="A202" s="282" t="s">
        <v>508</v>
      </c>
      <c r="B202" s="282">
        <v>9535</v>
      </c>
      <c r="C202" s="282" t="s">
        <v>1324</v>
      </c>
      <c r="D202" s="283" t="s">
        <v>1651</v>
      </c>
      <c r="E202" s="284" t="s">
        <v>102</v>
      </c>
      <c r="F202" s="285">
        <v>6</v>
      </c>
      <c r="G202" s="285">
        <v>0</v>
      </c>
      <c r="H202" s="285">
        <v>0</v>
      </c>
      <c r="I202" s="285">
        <v>0</v>
      </c>
      <c r="J202" s="268">
        <f t="shared" si="44"/>
        <v>30.06</v>
      </c>
      <c r="K202" s="268">
        <f t="shared" si="45"/>
        <v>0</v>
      </c>
      <c r="L202" s="268">
        <f t="shared" si="48"/>
        <v>0</v>
      </c>
      <c r="M202" s="268">
        <f t="shared" si="46"/>
        <v>0</v>
      </c>
      <c r="N202" s="269">
        <f t="shared" si="47"/>
        <v>180.36</v>
      </c>
      <c r="O202" s="325">
        <f t="shared" si="30"/>
        <v>0</v>
      </c>
      <c r="P202" s="319">
        <f t="shared" si="35"/>
        <v>180.35999999999999</v>
      </c>
      <c r="Q202" s="322"/>
      <c r="R202" s="322"/>
      <c r="S202" s="323"/>
      <c r="T202" s="271">
        <v>36.5</v>
      </c>
      <c r="U202" s="217"/>
      <c r="V202" s="285">
        <v>0</v>
      </c>
    </row>
    <row r="203" spans="1:22" ht="25.5" x14ac:dyDescent="0.2">
      <c r="A203" s="282" t="s">
        <v>511</v>
      </c>
      <c r="B203" s="282"/>
      <c r="C203" s="282" t="s">
        <v>1339</v>
      </c>
      <c r="D203" s="283" t="s">
        <v>1652</v>
      </c>
      <c r="E203" s="284" t="s">
        <v>102</v>
      </c>
      <c r="F203" s="285">
        <v>6</v>
      </c>
      <c r="G203" s="285">
        <v>0</v>
      </c>
      <c r="H203" s="285">
        <v>0</v>
      </c>
      <c r="I203" s="285">
        <v>0</v>
      </c>
      <c r="J203" s="268">
        <f t="shared" si="44"/>
        <v>141.72</v>
      </c>
      <c r="K203" s="268">
        <f t="shared" si="45"/>
        <v>0</v>
      </c>
      <c r="L203" s="268">
        <f t="shared" si="48"/>
        <v>0</v>
      </c>
      <c r="M203" s="268">
        <f t="shared" si="46"/>
        <v>0</v>
      </c>
      <c r="N203" s="269">
        <f t="shared" si="47"/>
        <v>850.32</v>
      </c>
      <c r="O203" s="325">
        <f t="shared" si="30"/>
        <v>0</v>
      </c>
      <c r="P203" s="319">
        <f t="shared" si="35"/>
        <v>850.31999999999994</v>
      </c>
      <c r="Q203" s="322"/>
      <c r="R203" s="322"/>
      <c r="S203" s="323"/>
      <c r="T203" s="271">
        <v>172.08</v>
      </c>
      <c r="U203" s="217"/>
      <c r="V203" s="285">
        <v>0</v>
      </c>
    </row>
    <row r="204" spans="1:22" ht="15.75" x14ac:dyDescent="0.2">
      <c r="A204" s="282" t="s">
        <v>513</v>
      </c>
      <c r="B204" s="282"/>
      <c r="C204" s="282" t="s">
        <v>1339</v>
      </c>
      <c r="D204" s="283" t="s">
        <v>1653</v>
      </c>
      <c r="E204" s="284" t="s">
        <v>102</v>
      </c>
      <c r="F204" s="285">
        <v>4</v>
      </c>
      <c r="G204" s="285">
        <v>0</v>
      </c>
      <c r="H204" s="285">
        <v>0</v>
      </c>
      <c r="I204" s="285">
        <v>0</v>
      </c>
      <c r="J204" s="268">
        <f t="shared" si="44"/>
        <v>39.700000000000003</v>
      </c>
      <c r="K204" s="268">
        <f t="shared" si="45"/>
        <v>0</v>
      </c>
      <c r="L204" s="268">
        <f t="shared" si="48"/>
        <v>0</v>
      </c>
      <c r="M204" s="268">
        <f t="shared" si="46"/>
        <v>0</v>
      </c>
      <c r="N204" s="269">
        <f t="shared" si="47"/>
        <v>158.80000000000001</v>
      </c>
      <c r="O204" s="325">
        <f t="shared" si="30"/>
        <v>0</v>
      </c>
      <c r="P204" s="319">
        <f t="shared" si="35"/>
        <v>158.80000000000001</v>
      </c>
      <c r="Q204" s="322"/>
      <c r="R204" s="322"/>
      <c r="S204" s="323"/>
      <c r="T204" s="271">
        <v>48.2</v>
      </c>
      <c r="U204" s="217"/>
      <c r="V204" s="285">
        <v>0</v>
      </c>
    </row>
    <row r="205" spans="1:22" ht="15.75" x14ac:dyDescent="0.2">
      <c r="A205" s="282" t="s">
        <v>515</v>
      </c>
      <c r="B205" s="282"/>
      <c r="C205" s="282" t="s">
        <v>1339</v>
      </c>
      <c r="D205" s="283" t="s">
        <v>1654</v>
      </c>
      <c r="E205" s="284" t="s">
        <v>102</v>
      </c>
      <c r="F205" s="285">
        <v>4</v>
      </c>
      <c r="G205" s="285">
        <v>0</v>
      </c>
      <c r="H205" s="285">
        <v>0</v>
      </c>
      <c r="I205" s="285">
        <v>0</v>
      </c>
      <c r="J205" s="268">
        <f t="shared" si="44"/>
        <v>30.45</v>
      </c>
      <c r="K205" s="268">
        <f t="shared" si="45"/>
        <v>0</v>
      </c>
      <c r="L205" s="268">
        <f t="shared" si="48"/>
        <v>0</v>
      </c>
      <c r="M205" s="268">
        <f t="shared" si="46"/>
        <v>0</v>
      </c>
      <c r="N205" s="269">
        <f t="shared" si="47"/>
        <v>121.8</v>
      </c>
      <c r="O205" s="325">
        <f t="shared" si="30"/>
        <v>0</v>
      </c>
      <c r="P205" s="319">
        <f t="shared" si="35"/>
        <v>121.8</v>
      </c>
      <c r="Q205" s="322"/>
      <c r="R205" s="322"/>
      <c r="S205" s="323"/>
      <c r="T205" s="271">
        <v>36.97</v>
      </c>
      <c r="U205" s="217"/>
      <c r="V205" s="285">
        <v>0</v>
      </c>
    </row>
    <row r="206" spans="1:22" ht="25.5" x14ac:dyDescent="0.2">
      <c r="A206" s="282" t="s">
        <v>517</v>
      </c>
      <c r="B206" s="282"/>
      <c r="C206" s="282" t="s">
        <v>1339</v>
      </c>
      <c r="D206" s="283" t="s">
        <v>1655</v>
      </c>
      <c r="E206" s="284" t="s">
        <v>102</v>
      </c>
      <c r="F206" s="285">
        <v>6</v>
      </c>
      <c r="G206" s="285">
        <v>0</v>
      </c>
      <c r="H206" s="285">
        <v>0</v>
      </c>
      <c r="I206" s="285">
        <v>0</v>
      </c>
      <c r="J206" s="268">
        <f t="shared" si="44"/>
        <v>32.1</v>
      </c>
      <c r="K206" s="268">
        <f t="shared" si="45"/>
        <v>0</v>
      </c>
      <c r="L206" s="268">
        <f t="shared" si="48"/>
        <v>0</v>
      </c>
      <c r="M206" s="268">
        <f t="shared" si="46"/>
        <v>0</v>
      </c>
      <c r="N206" s="269">
        <f t="shared" si="47"/>
        <v>192.6</v>
      </c>
      <c r="O206" s="325">
        <f t="shared" si="30"/>
        <v>0</v>
      </c>
      <c r="P206" s="319">
        <f t="shared" si="35"/>
        <v>192.60000000000002</v>
      </c>
      <c r="Q206" s="322"/>
      <c r="R206" s="322"/>
      <c r="S206" s="323"/>
      <c r="T206" s="271">
        <v>38.979999999999997</v>
      </c>
      <c r="U206" s="217"/>
      <c r="V206" s="285">
        <v>0</v>
      </c>
    </row>
    <row r="207" spans="1:22" ht="15.75" x14ac:dyDescent="0.2">
      <c r="A207" s="282" t="s">
        <v>519</v>
      </c>
      <c r="B207" s="282"/>
      <c r="C207" s="282" t="s">
        <v>1339</v>
      </c>
      <c r="D207" s="283" t="s">
        <v>1656</v>
      </c>
      <c r="E207" s="284" t="s">
        <v>102</v>
      </c>
      <c r="F207" s="285">
        <v>2</v>
      </c>
      <c r="G207" s="285">
        <v>0</v>
      </c>
      <c r="H207" s="285">
        <v>0</v>
      </c>
      <c r="I207" s="285">
        <v>0</v>
      </c>
      <c r="J207" s="268">
        <f t="shared" si="44"/>
        <v>579.82000000000005</v>
      </c>
      <c r="K207" s="268">
        <f t="shared" si="45"/>
        <v>0</v>
      </c>
      <c r="L207" s="268">
        <f t="shared" si="48"/>
        <v>0</v>
      </c>
      <c r="M207" s="268">
        <f t="shared" si="46"/>
        <v>0</v>
      </c>
      <c r="N207" s="269">
        <f t="shared" si="47"/>
        <v>1159.6400000000001</v>
      </c>
      <c r="O207" s="325">
        <f t="shared" si="30"/>
        <v>0</v>
      </c>
      <c r="P207" s="319">
        <f t="shared" si="35"/>
        <v>1159.6400000000001</v>
      </c>
      <c r="Q207" s="322"/>
      <c r="R207" s="322"/>
      <c r="S207" s="323"/>
      <c r="T207" s="271">
        <v>704.01</v>
      </c>
      <c r="U207" s="217"/>
      <c r="V207" s="285">
        <v>0</v>
      </c>
    </row>
    <row r="208" spans="1:22" ht="15.75" x14ac:dyDescent="0.2">
      <c r="A208" s="286">
        <v>16</v>
      </c>
      <c r="B208" s="286"/>
      <c r="C208" s="286"/>
      <c r="D208" s="287" t="s">
        <v>1657</v>
      </c>
      <c r="E208" s="288"/>
      <c r="F208" s="289"/>
      <c r="G208" s="261"/>
      <c r="H208" s="261"/>
      <c r="I208" s="261"/>
      <c r="J208" s="261">
        <f>N208</f>
        <v>792.22</v>
      </c>
      <c r="K208" s="261"/>
      <c r="L208" s="261"/>
      <c r="M208" s="261"/>
      <c r="N208" s="262">
        <f>SUM(N209:N213)</f>
        <v>792.22</v>
      </c>
      <c r="O208" s="325" t="e">
        <f t="shared" ref="O208:O271" si="49">L208/P208</f>
        <v>#DIV/0!</v>
      </c>
      <c r="P208" s="319"/>
      <c r="Q208" s="322"/>
      <c r="R208" s="322"/>
      <c r="S208" s="323"/>
      <c r="T208" s="271">
        <v>0</v>
      </c>
      <c r="U208" s="217"/>
      <c r="V208" s="261"/>
    </row>
    <row r="209" spans="1:22" ht="15.75" x14ac:dyDescent="0.2">
      <c r="A209" s="282" t="s">
        <v>616</v>
      </c>
      <c r="B209" s="282"/>
      <c r="C209" s="282" t="s">
        <v>1339</v>
      </c>
      <c r="D209" s="283" t="s">
        <v>1658</v>
      </c>
      <c r="E209" s="284" t="s">
        <v>102</v>
      </c>
      <c r="F209" s="285">
        <v>2</v>
      </c>
      <c r="G209" s="285">
        <v>0</v>
      </c>
      <c r="H209" s="285">
        <v>0</v>
      </c>
      <c r="I209" s="285">
        <v>0</v>
      </c>
      <c r="J209" s="268">
        <f>ROUND(T209*$T$12,2)</f>
        <v>109.5</v>
      </c>
      <c r="K209" s="268">
        <f>G209*J209</f>
        <v>0</v>
      </c>
      <c r="L209" s="268">
        <f>K209</f>
        <v>0</v>
      </c>
      <c r="M209" s="268">
        <f>K209-L209</f>
        <v>0</v>
      </c>
      <c r="N209" s="269">
        <f>ROUND(F209*J209,2)</f>
        <v>219</v>
      </c>
      <c r="O209" s="325">
        <f t="shared" si="49"/>
        <v>0</v>
      </c>
      <c r="P209" s="319">
        <f t="shared" si="35"/>
        <v>219</v>
      </c>
      <c r="Q209" s="322"/>
      <c r="R209" s="322"/>
      <c r="S209" s="323"/>
      <c r="T209" s="271">
        <v>132.96</v>
      </c>
      <c r="U209" s="217"/>
      <c r="V209" s="285">
        <v>0</v>
      </c>
    </row>
    <row r="210" spans="1:22" ht="15.75" x14ac:dyDescent="0.2">
      <c r="A210" s="282" t="s">
        <v>618</v>
      </c>
      <c r="B210" s="282"/>
      <c r="C210" s="282" t="s">
        <v>1339</v>
      </c>
      <c r="D210" s="283" t="s">
        <v>1659</v>
      </c>
      <c r="E210" s="284" t="s">
        <v>102</v>
      </c>
      <c r="F210" s="285">
        <v>2</v>
      </c>
      <c r="G210" s="285">
        <v>0</v>
      </c>
      <c r="H210" s="285">
        <v>0</v>
      </c>
      <c r="I210" s="285">
        <v>0</v>
      </c>
      <c r="J210" s="268">
        <f>ROUND(T210*$T$12,2)</f>
        <v>227.16</v>
      </c>
      <c r="K210" s="268">
        <f>G210*J210</f>
        <v>0</v>
      </c>
      <c r="L210" s="268">
        <f>K210</f>
        <v>0</v>
      </c>
      <c r="M210" s="268">
        <f>K210-L210</f>
        <v>0</v>
      </c>
      <c r="N210" s="269">
        <f>ROUND(F210*J210,2)</f>
        <v>454.32</v>
      </c>
      <c r="O210" s="325">
        <f t="shared" si="49"/>
        <v>0</v>
      </c>
      <c r="P210" s="319">
        <f t="shared" si="35"/>
        <v>454.32</v>
      </c>
      <c r="Q210" s="322"/>
      <c r="R210" s="322"/>
      <c r="S210" s="323"/>
      <c r="T210" s="271">
        <v>275.82</v>
      </c>
      <c r="U210" s="217"/>
      <c r="V210" s="285">
        <v>0</v>
      </c>
    </row>
    <row r="211" spans="1:22" ht="15.75" x14ac:dyDescent="0.2">
      <c r="A211" s="282" t="s">
        <v>620</v>
      </c>
      <c r="B211" s="282"/>
      <c r="C211" s="282" t="s">
        <v>1339</v>
      </c>
      <c r="D211" s="283" t="s">
        <v>1660</v>
      </c>
      <c r="E211" s="284" t="s">
        <v>102</v>
      </c>
      <c r="F211" s="285">
        <v>2</v>
      </c>
      <c r="G211" s="285">
        <v>0</v>
      </c>
      <c r="H211" s="285">
        <v>0</v>
      </c>
      <c r="I211" s="285">
        <v>0</v>
      </c>
      <c r="J211" s="268">
        <f>ROUND(T211*$T$12,2)</f>
        <v>27.98</v>
      </c>
      <c r="K211" s="268">
        <f>G211*J211</f>
        <v>0</v>
      </c>
      <c r="L211" s="268">
        <f>K211</f>
        <v>0</v>
      </c>
      <c r="M211" s="268">
        <f>K211-L211</f>
        <v>0</v>
      </c>
      <c r="N211" s="269">
        <f>ROUND(F211*J211,2)</f>
        <v>55.96</v>
      </c>
      <c r="O211" s="325">
        <f t="shared" si="49"/>
        <v>0</v>
      </c>
      <c r="P211" s="319">
        <f t="shared" si="35"/>
        <v>55.96</v>
      </c>
      <c r="Q211" s="322"/>
      <c r="R211" s="322"/>
      <c r="S211" s="323"/>
      <c r="T211" s="271">
        <v>33.97</v>
      </c>
      <c r="U211" s="217"/>
      <c r="V211" s="285">
        <v>0</v>
      </c>
    </row>
    <row r="212" spans="1:22" ht="15.75" x14ac:dyDescent="0.2">
      <c r="A212" s="282" t="s">
        <v>1661</v>
      </c>
      <c r="B212" s="282"/>
      <c r="C212" s="282" t="s">
        <v>1339</v>
      </c>
      <c r="D212" s="283" t="s">
        <v>1662</v>
      </c>
      <c r="E212" s="284" t="s">
        <v>102</v>
      </c>
      <c r="F212" s="285">
        <v>2</v>
      </c>
      <c r="G212" s="285">
        <v>0</v>
      </c>
      <c r="H212" s="285">
        <v>0</v>
      </c>
      <c r="I212" s="285">
        <v>0</v>
      </c>
      <c r="J212" s="268">
        <f>ROUND(T212*$T$12,2)</f>
        <v>16.36</v>
      </c>
      <c r="K212" s="268">
        <f>G212*J212</f>
        <v>0</v>
      </c>
      <c r="L212" s="268">
        <f>K212</f>
        <v>0</v>
      </c>
      <c r="M212" s="268">
        <f>K212-L212</f>
        <v>0</v>
      </c>
      <c r="N212" s="269">
        <f>ROUND(F212*J212,2)</f>
        <v>32.72</v>
      </c>
      <c r="O212" s="325">
        <f t="shared" si="49"/>
        <v>0</v>
      </c>
      <c r="P212" s="319">
        <f t="shared" si="35"/>
        <v>32.72</v>
      </c>
      <c r="Q212" s="322"/>
      <c r="R212" s="322"/>
      <c r="S212" s="323"/>
      <c r="T212" s="271">
        <v>19.87</v>
      </c>
      <c r="U212" s="217"/>
      <c r="V212" s="285">
        <v>0</v>
      </c>
    </row>
    <row r="213" spans="1:22" ht="15.75" x14ac:dyDescent="0.2">
      <c r="A213" s="282" t="s">
        <v>1663</v>
      </c>
      <c r="B213" s="282"/>
      <c r="C213" s="282" t="s">
        <v>1339</v>
      </c>
      <c r="D213" s="283" t="s">
        <v>1664</v>
      </c>
      <c r="E213" s="284" t="s">
        <v>102</v>
      </c>
      <c r="F213" s="285">
        <v>2</v>
      </c>
      <c r="G213" s="285">
        <v>0</v>
      </c>
      <c r="H213" s="285">
        <v>0</v>
      </c>
      <c r="I213" s="285">
        <v>0</v>
      </c>
      <c r="J213" s="268">
        <f>ROUND(T213*$T$12,2)</f>
        <v>15.11</v>
      </c>
      <c r="K213" s="268">
        <f>G213*J213</f>
        <v>0</v>
      </c>
      <c r="L213" s="268">
        <f>K213</f>
        <v>0</v>
      </c>
      <c r="M213" s="268">
        <f>K213-L213</f>
        <v>0</v>
      </c>
      <c r="N213" s="269">
        <f>ROUND(F213*J213,2)</f>
        <v>30.22</v>
      </c>
      <c r="O213" s="325">
        <f t="shared" si="49"/>
        <v>0</v>
      </c>
      <c r="P213" s="319">
        <f t="shared" si="35"/>
        <v>30.22</v>
      </c>
      <c r="Q213" s="322"/>
      <c r="R213" s="322"/>
      <c r="S213" s="323"/>
      <c r="T213" s="271">
        <v>18.350000000000001</v>
      </c>
      <c r="U213" s="217"/>
      <c r="V213" s="285">
        <v>0</v>
      </c>
    </row>
    <row r="214" spans="1:22" ht="15.75" x14ac:dyDescent="0.2">
      <c r="A214" s="286">
        <v>17</v>
      </c>
      <c r="B214" s="286"/>
      <c r="C214" s="286"/>
      <c r="D214" s="287" t="s">
        <v>1665</v>
      </c>
      <c r="E214" s="288"/>
      <c r="F214" s="289"/>
      <c r="G214" s="261"/>
      <c r="H214" s="261"/>
      <c r="I214" s="261"/>
      <c r="J214" s="261">
        <f>N214</f>
        <v>20098.660000000003</v>
      </c>
      <c r="K214" s="261"/>
      <c r="L214" s="261"/>
      <c r="M214" s="261"/>
      <c r="N214" s="262">
        <f>N215+N225+N247+N252</f>
        <v>20098.660000000003</v>
      </c>
      <c r="O214" s="325" t="e">
        <f t="shared" si="49"/>
        <v>#DIV/0!</v>
      </c>
      <c r="P214" s="319"/>
      <c r="Q214" s="322"/>
      <c r="R214" s="322"/>
      <c r="S214" s="323"/>
      <c r="T214" s="271">
        <v>0</v>
      </c>
      <c r="U214" s="217"/>
      <c r="V214" s="261"/>
    </row>
    <row r="215" spans="1:22" ht="15.75" x14ac:dyDescent="0.2">
      <c r="A215" s="290" t="s">
        <v>625</v>
      </c>
      <c r="B215" s="290"/>
      <c r="C215" s="290"/>
      <c r="D215" s="291" t="s">
        <v>1666</v>
      </c>
      <c r="E215" s="292"/>
      <c r="F215" s="293"/>
      <c r="G215" s="279"/>
      <c r="H215" s="279"/>
      <c r="I215" s="279"/>
      <c r="J215" s="279">
        <f>N215</f>
        <v>1711.6100000000001</v>
      </c>
      <c r="K215" s="279"/>
      <c r="L215" s="279"/>
      <c r="M215" s="279"/>
      <c r="N215" s="280">
        <f>SUM(N216:N224)</f>
        <v>1711.6100000000001</v>
      </c>
      <c r="O215" s="325" t="e">
        <f t="shared" si="49"/>
        <v>#DIV/0!</v>
      </c>
      <c r="P215" s="319"/>
      <c r="Q215" s="322"/>
      <c r="R215" s="322"/>
      <c r="S215" s="323"/>
      <c r="T215" s="271">
        <v>0</v>
      </c>
      <c r="U215" s="217"/>
      <c r="V215" s="279"/>
    </row>
    <row r="216" spans="1:22" ht="15.75" x14ac:dyDescent="0.2">
      <c r="A216" s="282" t="s">
        <v>1667</v>
      </c>
      <c r="B216" s="282">
        <v>83463</v>
      </c>
      <c r="C216" s="282" t="s">
        <v>1324</v>
      </c>
      <c r="D216" s="283" t="s">
        <v>1668</v>
      </c>
      <c r="E216" s="284" t="s">
        <v>102</v>
      </c>
      <c r="F216" s="285">
        <v>1</v>
      </c>
      <c r="G216" s="285">
        <v>0</v>
      </c>
      <c r="H216" s="285">
        <v>0</v>
      </c>
      <c r="I216" s="285">
        <v>0</v>
      </c>
      <c r="J216" s="268">
        <f t="shared" ref="J216:J224" si="50">ROUND(T216*$T$12,2)</f>
        <v>211.62</v>
      </c>
      <c r="K216" s="268">
        <f t="shared" ref="K216:K224" si="51">G216*J216</f>
        <v>0</v>
      </c>
      <c r="L216" s="268">
        <f t="shared" ref="L216:L224" si="52">K216</f>
        <v>0</v>
      </c>
      <c r="M216" s="268">
        <f t="shared" ref="M216:M224" si="53">K216-L216</f>
        <v>0</v>
      </c>
      <c r="N216" s="269">
        <f t="shared" ref="N216:N224" si="54">ROUND(F216*J216,2)</f>
        <v>211.62</v>
      </c>
      <c r="O216" s="325">
        <f t="shared" si="49"/>
        <v>0</v>
      </c>
      <c r="P216" s="319">
        <f t="shared" si="35"/>
        <v>211.62</v>
      </c>
      <c r="Q216" s="322"/>
      <c r="R216" s="322"/>
      <c r="S216" s="323"/>
      <c r="T216" s="271">
        <v>256.95</v>
      </c>
      <c r="U216" s="217"/>
      <c r="V216" s="285">
        <v>0</v>
      </c>
    </row>
    <row r="217" spans="1:22" ht="15.75" x14ac:dyDescent="0.2">
      <c r="A217" s="282" t="s">
        <v>1669</v>
      </c>
      <c r="B217" s="282" t="s">
        <v>1670</v>
      </c>
      <c r="C217" s="282" t="s">
        <v>1324</v>
      </c>
      <c r="D217" s="283" t="s">
        <v>1671</v>
      </c>
      <c r="E217" s="284" t="s">
        <v>102</v>
      </c>
      <c r="F217" s="285">
        <v>1</v>
      </c>
      <c r="G217" s="285">
        <v>0</v>
      </c>
      <c r="H217" s="285">
        <v>0</v>
      </c>
      <c r="I217" s="285">
        <v>0</v>
      </c>
      <c r="J217" s="268">
        <f t="shared" si="50"/>
        <v>332.47</v>
      </c>
      <c r="K217" s="268">
        <f t="shared" si="51"/>
        <v>0</v>
      </c>
      <c r="L217" s="268">
        <f t="shared" si="52"/>
        <v>0</v>
      </c>
      <c r="M217" s="268">
        <f t="shared" si="53"/>
        <v>0</v>
      </c>
      <c r="N217" s="269">
        <f t="shared" si="54"/>
        <v>332.47</v>
      </c>
      <c r="O217" s="325">
        <f t="shared" si="49"/>
        <v>0</v>
      </c>
      <c r="P217" s="319">
        <f t="shared" si="35"/>
        <v>332.47</v>
      </c>
      <c r="Q217" s="322"/>
      <c r="R217" s="322"/>
      <c r="S217" s="323"/>
      <c r="T217" s="271">
        <v>403.69</v>
      </c>
      <c r="U217" s="217"/>
      <c r="V217" s="285">
        <v>0</v>
      </c>
    </row>
    <row r="218" spans="1:22" ht="15.75" x14ac:dyDescent="0.2">
      <c r="A218" s="282" t="s">
        <v>1672</v>
      </c>
      <c r="B218" s="282" t="s">
        <v>1673</v>
      </c>
      <c r="C218" s="282" t="s">
        <v>1343</v>
      </c>
      <c r="D218" s="283" t="s">
        <v>1674</v>
      </c>
      <c r="E218" s="284" t="s">
        <v>102</v>
      </c>
      <c r="F218" s="285">
        <v>1</v>
      </c>
      <c r="G218" s="285">
        <v>0</v>
      </c>
      <c r="H218" s="285">
        <v>0</v>
      </c>
      <c r="I218" s="285">
        <v>0</v>
      </c>
      <c r="J218" s="268">
        <f t="shared" si="50"/>
        <v>65.62</v>
      </c>
      <c r="K218" s="268">
        <f t="shared" si="51"/>
        <v>0</v>
      </c>
      <c r="L218" s="268">
        <f t="shared" si="52"/>
        <v>0</v>
      </c>
      <c r="M218" s="268">
        <f t="shared" si="53"/>
        <v>0</v>
      </c>
      <c r="N218" s="269">
        <f t="shared" si="54"/>
        <v>65.62</v>
      </c>
      <c r="O218" s="325">
        <f t="shared" si="49"/>
        <v>0</v>
      </c>
      <c r="P218" s="319">
        <f t="shared" si="35"/>
        <v>65.62</v>
      </c>
      <c r="Q218" s="322"/>
      <c r="R218" s="322"/>
      <c r="S218" s="323"/>
      <c r="T218" s="271">
        <v>79.67</v>
      </c>
      <c r="U218" s="217"/>
      <c r="V218" s="285">
        <v>0</v>
      </c>
    </row>
    <row r="219" spans="1:22" ht="15.75" x14ac:dyDescent="0.2">
      <c r="A219" s="282" t="s">
        <v>1675</v>
      </c>
      <c r="B219" s="282" t="s">
        <v>1676</v>
      </c>
      <c r="C219" s="282" t="s">
        <v>1324</v>
      </c>
      <c r="D219" s="283" t="s">
        <v>1677</v>
      </c>
      <c r="E219" s="284" t="s">
        <v>102</v>
      </c>
      <c r="F219" s="285">
        <v>7</v>
      </c>
      <c r="G219" s="285">
        <v>0</v>
      </c>
      <c r="H219" s="285">
        <v>0</v>
      </c>
      <c r="I219" s="285">
        <v>0</v>
      </c>
      <c r="J219" s="268">
        <f t="shared" si="50"/>
        <v>11.27</v>
      </c>
      <c r="K219" s="268">
        <f t="shared" si="51"/>
        <v>0</v>
      </c>
      <c r="L219" s="268">
        <f t="shared" si="52"/>
        <v>0</v>
      </c>
      <c r="M219" s="268">
        <f t="shared" si="53"/>
        <v>0</v>
      </c>
      <c r="N219" s="269">
        <f t="shared" si="54"/>
        <v>78.89</v>
      </c>
      <c r="O219" s="325">
        <f t="shared" si="49"/>
        <v>0</v>
      </c>
      <c r="P219" s="319">
        <f t="shared" ref="P219:P281" si="55">F219*J219</f>
        <v>78.89</v>
      </c>
      <c r="Q219" s="322"/>
      <c r="R219" s="322"/>
      <c r="S219" s="323"/>
      <c r="T219" s="271">
        <v>13.68</v>
      </c>
      <c r="U219" s="217"/>
      <c r="V219" s="285">
        <v>0</v>
      </c>
    </row>
    <row r="220" spans="1:22" ht="15.75" x14ac:dyDescent="0.2">
      <c r="A220" s="282" t="s">
        <v>1678</v>
      </c>
      <c r="B220" s="282" t="s">
        <v>1676</v>
      </c>
      <c r="C220" s="282" t="s">
        <v>1324</v>
      </c>
      <c r="D220" s="283" t="s">
        <v>1679</v>
      </c>
      <c r="E220" s="284" t="s">
        <v>102</v>
      </c>
      <c r="F220" s="285">
        <v>5</v>
      </c>
      <c r="G220" s="285">
        <v>0</v>
      </c>
      <c r="H220" s="285">
        <v>0</v>
      </c>
      <c r="I220" s="285">
        <v>0</v>
      </c>
      <c r="J220" s="268">
        <f t="shared" si="50"/>
        <v>11.27</v>
      </c>
      <c r="K220" s="268">
        <f t="shared" si="51"/>
        <v>0</v>
      </c>
      <c r="L220" s="268">
        <f t="shared" si="52"/>
        <v>0</v>
      </c>
      <c r="M220" s="268">
        <f t="shared" si="53"/>
        <v>0</v>
      </c>
      <c r="N220" s="269">
        <f t="shared" si="54"/>
        <v>56.35</v>
      </c>
      <c r="O220" s="325">
        <f t="shared" si="49"/>
        <v>0</v>
      </c>
      <c r="P220" s="319">
        <f t="shared" si="55"/>
        <v>56.349999999999994</v>
      </c>
      <c r="Q220" s="322"/>
      <c r="R220" s="322"/>
      <c r="S220" s="323"/>
      <c r="T220" s="271">
        <v>13.68</v>
      </c>
      <c r="U220" s="217"/>
      <c r="V220" s="285">
        <v>0</v>
      </c>
    </row>
    <row r="221" spans="1:22" ht="15.75" x14ac:dyDescent="0.2">
      <c r="A221" s="282" t="s">
        <v>1680</v>
      </c>
      <c r="B221" s="282" t="s">
        <v>1676</v>
      </c>
      <c r="C221" s="282" t="s">
        <v>1324</v>
      </c>
      <c r="D221" s="283" t="s">
        <v>1681</v>
      </c>
      <c r="E221" s="284" t="s">
        <v>102</v>
      </c>
      <c r="F221" s="285">
        <v>8</v>
      </c>
      <c r="G221" s="285">
        <v>0</v>
      </c>
      <c r="H221" s="285">
        <v>0</v>
      </c>
      <c r="I221" s="285">
        <v>0</v>
      </c>
      <c r="J221" s="268">
        <f t="shared" si="50"/>
        <v>11.27</v>
      </c>
      <c r="K221" s="268">
        <f t="shared" si="51"/>
        <v>0</v>
      </c>
      <c r="L221" s="268">
        <f t="shared" si="52"/>
        <v>0</v>
      </c>
      <c r="M221" s="268">
        <f t="shared" si="53"/>
        <v>0</v>
      </c>
      <c r="N221" s="269">
        <f t="shared" si="54"/>
        <v>90.16</v>
      </c>
      <c r="O221" s="325">
        <f t="shared" si="49"/>
        <v>0</v>
      </c>
      <c r="P221" s="319">
        <f t="shared" si="55"/>
        <v>90.16</v>
      </c>
      <c r="Q221" s="322"/>
      <c r="R221" s="322"/>
      <c r="S221" s="323"/>
      <c r="T221" s="271">
        <v>13.68</v>
      </c>
      <c r="U221" s="217"/>
      <c r="V221" s="285">
        <v>0</v>
      </c>
    </row>
    <row r="222" spans="1:22" ht="15.75" x14ac:dyDescent="0.2">
      <c r="A222" s="282" t="s">
        <v>1682</v>
      </c>
      <c r="B222" s="282" t="s">
        <v>1683</v>
      </c>
      <c r="C222" s="282" t="s">
        <v>1324</v>
      </c>
      <c r="D222" s="283" t="s">
        <v>1684</v>
      </c>
      <c r="E222" s="284" t="s">
        <v>102</v>
      </c>
      <c r="F222" s="285">
        <v>2</v>
      </c>
      <c r="G222" s="285">
        <v>0</v>
      </c>
      <c r="H222" s="285">
        <v>0</v>
      </c>
      <c r="I222" s="285">
        <v>0</v>
      </c>
      <c r="J222" s="268">
        <f t="shared" si="50"/>
        <v>97.76</v>
      </c>
      <c r="K222" s="268">
        <f t="shared" si="51"/>
        <v>0</v>
      </c>
      <c r="L222" s="268">
        <f t="shared" si="52"/>
        <v>0</v>
      </c>
      <c r="M222" s="268">
        <f t="shared" si="53"/>
        <v>0</v>
      </c>
      <c r="N222" s="269">
        <f t="shared" si="54"/>
        <v>195.52</v>
      </c>
      <c r="O222" s="325">
        <f t="shared" si="49"/>
        <v>0</v>
      </c>
      <c r="P222" s="319">
        <f t="shared" si="55"/>
        <v>195.52</v>
      </c>
      <c r="Q222" s="322"/>
      <c r="R222" s="322"/>
      <c r="S222" s="323"/>
      <c r="T222" s="271">
        <v>118.7</v>
      </c>
      <c r="U222" s="217"/>
      <c r="V222" s="285">
        <v>0</v>
      </c>
    </row>
    <row r="223" spans="1:22" ht="15.75" x14ac:dyDescent="0.2">
      <c r="A223" s="282" t="s">
        <v>1685</v>
      </c>
      <c r="B223" s="282" t="s">
        <v>1686</v>
      </c>
      <c r="C223" s="282" t="s">
        <v>1324</v>
      </c>
      <c r="D223" s="283" t="s">
        <v>1687</v>
      </c>
      <c r="E223" s="284" t="s">
        <v>102</v>
      </c>
      <c r="F223" s="285">
        <v>1</v>
      </c>
      <c r="G223" s="285">
        <v>0</v>
      </c>
      <c r="H223" s="285">
        <v>0</v>
      </c>
      <c r="I223" s="285">
        <v>0</v>
      </c>
      <c r="J223" s="268">
        <f t="shared" si="50"/>
        <v>276.94</v>
      </c>
      <c r="K223" s="268">
        <f t="shared" si="51"/>
        <v>0</v>
      </c>
      <c r="L223" s="268">
        <f t="shared" si="52"/>
        <v>0</v>
      </c>
      <c r="M223" s="268">
        <f t="shared" si="53"/>
        <v>0</v>
      </c>
      <c r="N223" s="269">
        <f t="shared" si="54"/>
        <v>276.94</v>
      </c>
      <c r="O223" s="325">
        <f t="shared" si="49"/>
        <v>0</v>
      </c>
      <c r="P223" s="319">
        <f t="shared" si="55"/>
        <v>276.94</v>
      </c>
      <c r="Q223" s="322"/>
      <c r="R223" s="322"/>
      <c r="S223" s="323"/>
      <c r="T223" s="271">
        <v>336.26</v>
      </c>
      <c r="U223" s="217"/>
      <c r="V223" s="285">
        <v>0</v>
      </c>
    </row>
    <row r="224" spans="1:22" ht="25.5" x14ac:dyDescent="0.2">
      <c r="A224" s="282" t="s">
        <v>1688</v>
      </c>
      <c r="B224" s="282"/>
      <c r="C224" s="282" t="s">
        <v>1339</v>
      </c>
      <c r="D224" s="283" t="s">
        <v>1689</v>
      </c>
      <c r="E224" s="284" t="s">
        <v>102</v>
      </c>
      <c r="F224" s="285">
        <v>4</v>
      </c>
      <c r="G224" s="285">
        <v>0</v>
      </c>
      <c r="H224" s="285">
        <v>0</v>
      </c>
      <c r="I224" s="285">
        <v>0</v>
      </c>
      <c r="J224" s="268">
        <f t="shared" si="50"/>
        <v>101.01</v>
      </c>
      <c r="K224" s="268">
        <f t="shared" si="51"/>
        <v>0</v>
      </c>
      <c r="L224" s="268">
        <f t="shared" si="52"/>
        <v>0</v>
      </c>
      <c r="M224" s="268">
        <f t="shared" si="53"/>
        <v>0</v>
      </c>
      <c r="N224" s="269">
        <f t="shared" si="54"/>
        <v>404.04</v>
      </c>
      <c r="O224" s="325">
        <f t="shared" si="49"/>
        <v>0</v>
      </c>
      <c r="P224" s="319">
        <f t="shared" si="55"/>
        <v>404.04</v>
      </c>
      <c r="Q224" s="322"/>
      <c r="R224" s="322"/>
      <c r="S224" s="323"/>
      <c r="T224" s="271">
        <v>122.65</v>
      </c>
      <c r="U224" s="217"/>
      <c r="V224" s="285">
        <v>0</v>
      </c>
    </row>
    <row r="225" spans="1:22" ht="15.75" x14ac:dyDescent="0.2">
      <c r="A225" s="290" t="s">
        <v>631</v>
      </c>
      <c r="B225" s="290"/>
      <c r="C225" s="290"/>
      <c r="D225" s="291" t="s">
        <v>1690</v>
      </c>
      <c r="E225" s="292"/>
      <c r="F225" s="293"/>
      <c r="G225" s="279"/>
      <c r="H225" s="279"/>
      <c r="I225" s="279"/>
      <c r="J225" s="279">
        <f>N225</f>
        <v>3741.5200000000004</v>
      </c>
      <c r="K225" s="279"/>
      <c r="L225" s="279"/>
      <c r="M225" s="279"/>
      <c r="N225" s="280">
        <f>SUM(N226:N246)</f>
        <v>3741.5200000000004</v>
      </c>
      <c r="O225" s="325" t="e">
        <f t="shared" si="49"/>
        <v>#DIV/0!</v>
      </c>
      <c r="P225" s="319"/>
      <c r="Q225" s="322"/>
      <c r="R225" s="322"/>
      <c r="S225" s="323"/>
      <c r="T225" s="271">
        <v>0</v>
      </c>
      <c r="U225" s="217"/>
      <c r="V225" s="279"/>
    </row>
    <row r="226" spans="1:22" ht="15.75" x14ac:dyDescent="0.2">
      <c r="A226" s="282" t="s">
        <v>1691</v>
      </c>
      <c r="B226" s="282">
        <v>91854</v>
      </c>
      <c r="C226" s="282" t="s">
        <v>1324</v>
      </c>
      <c r="D226" s="283" t="s">
        <v>1692</v>
      </c>
      <c r="E226" s="284" t="s">
        <v>81</v>
      </c>
      <c r="F226" s="285">
        <v>28</v>
      </c>
      <c r="G226" s="285">
        <v>0</v>
      </c>
      <c r="H226" s="285">
        <v>0</v>
      </c>
      <c r="I226" s="285">
        <v>0</v>
      </c>
      <c r="J226" s="268">
        <f t="shared" ref="J226:J246" si="56">ROUND(T226*$T$12,2)</f>
        <v>6.16</v>
      </c>
      <c r="K226" s="268">
        <f t="shared" ref="K226:K246" si="57">G226*J226</f>
        <v>0</v>
      </c>
      <c r="L226" s="268">
        <f t="shared" ref="L226:L246" si="58">K226</f>
        <v>0</v>
      </c>
      <c r="M226" s="268">
        <f t="shared" ref="M226:M246" si="59">K226-L226</f>
        <v>0</v>
      </c>
      <c r="N226" s="269">
        <f t="shared" ref="N226:N246" si="60">ROUND(F226*J226,2)</f>
        <v>172.48</v>
      </c>
      <c r="O226" s="325">
        <f t="shared" si="49"/>
        <v>0</v>
      </c>
      <c r="P226" s="319">
        <f t="shared" si="55"/>
        <v>172.48000000000002</v>
      </c>
      <c r="Q226" s="322"/>
      <c r="R226" s="322"/>
      <c r="S226" s="323"/>
      <c r="T226" s="271">
        <v>7.48</v>
      </c>
      <c r="U226" s="217"/>
      <c r="V226" s="285">
        <v>0</v>
      </c>
    </row>
    <row r="227" spans="1:22" ht="15.75" x14ac:dyDescent="0.2">
      <c r="A227" s="282" t="s">
        <v>1693</v>
      </c>
      <c r="B227" s="282">
        <v>91856</v>
      </c>
      <c r="C227" s="282" t="s">
        <v>1324</v>
      </c>
      <c r="D227" s="283" t="s">
        <v>1694</v>
      </c>
      <c r="E227" s="284" t="s">
        <v>81</v>
      </c>
      <c r="F227" s="285">
        <v>18</v>
      </c>
      <c r="G227" s="285">
        <v>0</v>
      </c>
      <c r="H227" s="285">
        <v>0</v>
      </c>
      <c r="I227" s="285">
        <v>0</v>
      </c>
      <c r="J227" s="268">
        <f t="shared" si="56"/>
        <v>7.73</v>
      </c>
      <c r="K227" s="268">
        <f t="shared" si="57"/>
        <v>0</v>
      </c>
      <c r="L227" s="268">
        <f t="shared" si="58"/>
        <v>0</v>
      </c>
      <c r="M227" s="268">
        <f t="shared" si="59"/>
        <v>0</v>
      </c>
      <c r="N227" s="269">
        <f t="shared" si="60"/>
        <v>139.13999999999999</v>
      </c>
      <c r="O227" s="325">
        <f t="shared" si="49"/>
        <v>0</v>
      </c>
      <c r="P227" s="319">
        <f t="shared" si="55"/>
        <v>139.14000000000001</v>
      </c>
      <c r="Q227" s="322"/>
      <c r="R227" s="322"/>
      <c r="S227" s="323"/>
      <c r="T227" s="271">
        <v>9.3800000000000008</v>
      </c>
      <c r="U227" s="217"/>
      <c r="V227" s="285">
        <v>0</v>
      </c>
    </row>
    <row r="228" spans="1:22" ht="15.75" x14ac:dyDescent="0.2">
      <c r="A228" s="282" t="s">
        <v>1695</v>
      </c>
      <c r="B228" s="282">
        <v>91873</v>
      </c>
      <c r="C228" s="282" t="s">
        <v>1324</v>
      </c>
      <c r="D228" s="283" t="s">
        <v>1696</v>
      </c>
      <c r="E228" s="284" t="s">
        <v>81</v>
      </c>
      <c r="F228" s="285">
        <v>18</v>
      </c>
      <c r="G228" s="285">
        <v>0</v>
      </c>
      <c r="H228" s="285">
        <v>0</v>
      </c>
      <c r="I228" s="285">
        <v>0</v>
      </c>
      <c r="J228" s="268">
        <f t="shared" si="56"/>
        <v>12.57</v>
      </c>
      <c r="K228" s="268">
        <f t="shared" si="57"/>
        <v>0</v>
      </c>
      <c r="L228" s="268">
        <f t="shared" si="58"/>
        <v>0</v>
      </c>
      <c r="M228" s="268">
        <f t="shared" si="59"/>
        <v>0</v>
      </c>
      <c r="N228" s="269">
        <f t="shared" si="60"/>
        <v>226.26</v>
      </c>
      <c r="O228" s="325">
        <f t="shared" si="49"/>
        <v>0</v>
      </c>
      <c r="P228" s="319">
        <f t="shared" si="55"/>
        <v>226.26</v>
      </c>
      <c r="Q228" s="322"/>
      <c r="R228" s="322"/>
      <c r="S228" s="323"/>
      <c r="T228" s="271">
        <v>15.26</v>
      </c>
      <c r="U228" s="217"/>
      <c r="V228" s="285">
        <v>0</v>
      </c>
    </row>
    <row r="229" spans="1:22" ht="15.75" x14ac:dyDescent="0.2">
      <c r="A229" s="282" t="s">
        <v>1697</v>
      </c>
      <c r="B229" s="282">
        <v>72308</v>
      </c>
      <c r="C229" s="282" t="s">
        <v>1324</v>
      </c>
      <c r="D229" s="283" t="s">
        <v>1698</v>
      </c>
      <c r="E229" s="284" t="s">
        <v>81</v>
      </c>
      <c r="F229" s="285">
        <v>82</v>
      </c>
      <c r="G229" s="285">
        <v>0</v>
      </c>
      <c r="H229" s="285">
        <v>0</v>
      </c>
      <c r="I229" s="285">
        <v>0</v>
      </c>
      <c r="J229" s="268">
        <f t="shared" si="56"/>
        <v>14.39</v>
      </c>
      <c r="K229" s="268">
        <f t="shared" si="57"/>
        <v>0</v>
      </c>
      <c r="L229" s="268">
        <f t="shared" si="58"/>
        <v>0</v>
      </c>
      <c r="M229" s="268">
        <f t="shared" si="59"/>
        <v>0</v>
      </c>
      <c r="N229" s="269">
        <f t="shared" si="60"/>
        <v>1179.98</v>
      </c>
      <c r="O229" s="325">
        <f t="shared" si="49"/>
        <v>0</v>
      </c>
      <c r="P229" s="319">
        <f t="shared" si="55"/>
        <v>1179.98</v>
      </c>
      <c r="Q229" s="322"/>
      <c r="R229" s="322"/>
      <c r="S229" s="323"/>
      <c r="T229" s="271">
        <v>17.47</v>
      </c>
      <c r="U229" s="217"/>
      <c r="V229" s="285">
        <v>0</v>
      </c>
    </row>
    <row r="230" spans="1:22" ht="15.75" x14ac:dyDescent="0.2">
      <c r="A230" s="282" t="s">
        <v>1699</v>
      </c>
      <c r="B230" s="282">
        <v>72309</v>
      </c>
      <c r="C230" s="282" t="s">
        <v>1324</v>
      </c>
      <c r="D230" s="283" t="s">
        <v>1700</v>
      </c>
      <c r="E230" s="284" t="s">
        <v>81</v>
      </c>
      <c r="F230" s="285">
        <v>13</v>
      </c>
      <c r="G230" s="285">
        <v>0</v>
      </c>
      <c r="H230" s="285">
        <v>0</v>
      </c>
      <c r="I230" s="285">
        <v>0</v>
      </c>
      <c r="J230" s="268">
        <f t="shared" si="56"/>
        <v>22.92</v>
      </c>
      <c r="K230" s="268">
        <f t="shared" si="57"/>
        <v>0</v>
      </c>
      <c r="L230" s="268">
        <f t="shared" si="58"/>
        <v>0</v>
      </c>
      <c r="M230" s="268">
        <f t="shared" si="59"/>
        <v>0</v>
      </c>
      <c r="N230" s="269">
        <f t="shared" si="60"/>
        <v>297.95999999999998</v>
      </c>
      <c r="O230" s="325">
        <f t="shared" si="49"/>
        <v>0</v>
      </c>
      <c r="P230" s="319">
        <f t="shared" si="55"/>
        <v>297.96000000000004</v>
      </c>
      <c r="Q230" s="322"/>
      <c r="R230" s="322"/>
      <c r="S230" s="323"/>
      <c r="T230" s="271">
        <v>27.83</v>
      </c>
      <c r="U230" s="217"/>
      <c r="V230" s="285">
        <v>0</v>
      </c>
    </row>
    <row r="231" spans="1:22" ht="15.75" x14ac:dyDescent="0.2">
      <c r="A231" s="282" t="s">
        <v>1701</v>
      </c>
      <c r="B231" s="282">
        <v>72310</v>
      </c>
      <c r="C231" s="282" t="s">
        <v>1324</v>
      </c>
      <c r="D231" s="283" t="s">
        <v>1702</v>
      </c>
      <c r="E231" s="284" t="s">
        <v>81</v>
      </c>
      <c r="F231" s="285">
        <v>30</v>
      </c>
      <c r="G231" s="285">
        <v>0</v>
      </c>
      <c r="H231" s="285">
        <v>0</v>
      </c>
      <c r="I231" s="285">
        <v>0</v>
      </c>
      <c r="J231" s="268">
        <f t="shared" si="56"/>
        <v>24.94</v>
      </c>
      <c r="K231" s="268">
        <f t="shared" si="57"/>
        <v>0</v>
      </c>
      <c r="L231" s="268">
        <f t="shared" si="58"/>
        <v>0</v>
      </c>
      <c r="M231" s="268">
        <f t="shared" si="59"/>
        <v>0</v>
      </c>
      <c r="N231" s="269">
        <f t="shared" si="60"/>
        <v>748.2</v>
      </c>
      <c r="O231" s="325">
        <f t="shared" si="49"/>
        <v>0</v>
      </c>
      <c r="P231" s="319">
        <f t="shared" si="55"/>
        <v>748.2</v>
      </c>
      <c r="Q231" s="322"/>
      <c r="R231" s="322"/>
      <c r="S231" s="323"/>
      <c r="T231" s="271">
        <v>30.28</v>
      </c>
      <c r="U231" s="217"/>
      <c r="V231" s="285">
        <v>0</v>
      </c>
    </row>
    <row r="232" spans="1:22" ht="15.75" x14ac:dyDescent="0.2">
      <c r="A232" s="282" t="s">
        <v>1703</v>
      </c>
      <c r="B232" s="282" t="s">
        <v>1704</v>
      </c>
      <c r="C232" s="282" t="s">
        <v>1324</v>
      </c>
      <c r="D232" s="283" t="s">
        <v>1705</v>
      </c>
      <c r="E232" s="284" t="s">
        <v>102</v>
      </c>
      <c r="F232" s="285">
        <v>5</v>
      </c>
      <c r="G232" s="285">
        <v>0</v>
      </c>
      <c r="H232" s="285">
        <v>0</v>
      </c>
      <c r="I232" s="285">
        <v>0</v>
      </c>
      <c r="J232" s="268">
        <f t="shared" si="56"/>
        <v>23.12</v>
      </c>
      <c r="K232" s="268">
        <f t="shared" si="57"/>
        <v>0</v>
      </c>
      <c r="L232" s="268">
        <f t="shared" si="58"/>
        <v>0</v>
      </c>
      <c r="M232" s="268">
        <f t="shared" si="59"/>
        <v>0</v>
      </c>
      <c r="N232" s="269">
        <f t="shared" si="60"/>
        <v>115.6</v>
      </c>
      <c r="O232" s="325">
        <f t="shared" si="49"/>
        <v>0</v>
      </c>
      <c r="P232" s="319">
        <f t="shared" si="55"/>
        <v>115.60000000000001</v>
      </c>
      <c r="Q232" s="322"/>
      <c r="R232" s="322"/>
      <c r="S232" s="323"/>
      <c r="T232" s="271">
        <v>28.07</v>
      </c>
      <c r="U232" s="217"/>
      <c r="V232" s="285">
        <v>0</v>
      </c>
    </row>
    <row r="233" spans="1:22" ht="15.75" x14ac:dyDescent="0.2">
      <c r="A233" s="282" t="s">
        <v>1706</v>
      </c>
      <c r="B233" s="282" t="s">
        <v>1707</v>
      </c>
      <c r="C233" s="282" t="s">
        <v>1324</v>
      </c>
      <c r="D233" s="283" t="s">
        <v>1708</v>
      </c>
      <c r="E233" s="284" t="s">
        <v>102</v>
      </c>
      <c r="F233" s="285">
        <v>5</v>
      </c>
      <c r="G233" s="285">
        <v>0</v>
      </c>
      <c r="H233" s="285">
        <v>0</v>
      </c>
      <c r="I233" s="285">
        <v>0</v>
      </c>
      <c r="J233" s="268">
        <f t="shared" si="56"/>
        <v>25.34</v>
      </c>
      <c r="K233" s="268">
        <f t="shared" si="57"/>
        <v>0</v>
      </c>
      <c r="L233" s="268">
        <f t="shared" si="58"/>
        <v>0</v>
      </c>
      <c r="M233" s="268">
        <f t="shared" si="59"/>
        <v>0</v>
      </c>
      <c r="N233" s="269">
        <f t="shared" si="60"/>
        <v>126.7</v>
      </c>
      <c r="O233" s="325">
        <f t="shared" si="49"/>
        <v>0</v>
      </c>
      <c r="P233" s="319">
        <f t="shared" si="55"/>
        <v>126.7</v>
      </c>
      <c r="Q233" s="322"/>
      <c r="R233" s="322"/>
      <c r="S233" s="323"/>
      <c r="T233" s="271">
        <v>30.77</v>
      </c>
      <c r="U233" s="217"/>
      <c r="V233" s="285">
        <v>0</v>
      </c>
    </row>
    <row r="234" spans="1:22" ht="15.75" x14ac:dyDescent="0.2">
      <c r="A234" s="282" t="s">
        <v>1709</v>
      </c>
      <c r="B234" s="282" t="s">
        <v>1704</v>
      </c>
      <c r="C234" s="282" t="s">
        <v>1324</v>
      </c>
      <c r="D234" s="283" t="s">
        <v>1710</v>
      </c>
      <c r="E234" s="284" t="s">
        <v>102</v>
      </c>
      <c r="F234" s="285">
        <v>4</v>
      </c>
      <c r="G234" s="285">
        <v>0</v>
      </c>
      <c r="H234" s="285">
        <v>0</v>
      </c>
      <c r="I234" s="285">
        <v>0</v>
      </c>
      <c r="J234" s="268">
        <f t="shared" si="56"/>
        <v>25.88</v>
      </c>
      <c r="K234" s="268">
        <f t="shared" si="57"/>
        <v>0</v>
      </c>
      <c r="L234" s="268">
        <f t="shared" si="58"/>
        <v>0</v>
      </c>
      <c r="M234" s="268">
        <f t="shared" si="59"/>
        <v>0</v>
      </c>
      <c r="N234" s="269">
        <f t="shared" si="60"/>
        <v>103.52</v>
      </c>
      <c r="O234" s="325">
        <f t="shared" si="49"/>
        <v>0</v>
      </c>
      <c r="P234" s="319">
        <f t="shared" si="55"/>
        <v>103.52</v>
      </c>
      <c r="Q234" s="322"/>
      <c r="R234" s="322"/>
      <c r="S234" s="323"/>
      <c r="T234" s="271">
        <v>31.42</v>
      </c>
      <c r="U234" s="217"/>
      <c r="V234" s="285">
        <v>0</v>
      </c>
    </row>
    <row r="235" spans="1:22" ht="15.75" x14ac:dyDescent="0.2">
      <c r="A235" s="282" t="s">
        <v>1711</v>
      </c>
      <c r="B235" s="282" t="s">
        <v>1712</v>
      </c>
      <c r="C235" s="282" t="s">
        <v>1324</v>
      </c>
      <c r="D235" s="283" t="s">
        <v>1713</v>
      </c>
      <c r="E235" s="284" t="s">
        <v>102</v>
      </c>
      <c r="F235" s="285">
        <v>1</v>
      </c>
      <c r="G235" s="285">
        <v>0</v>
      </c>
      <c r="H235" s="285">
        <v>0</v>
      </c>
      <c r="I235" s="285">
        <v>0</v>
      </c>
      <c r="J235" s="268">
        <f t="shared" si="56"/>
        <v>26.28</v>
      </c>
      <c r="K235" s="268">
        <f t="shared" si="57"/>
        <v>0</v>
      </c>
      <c r="L235" s="268">
        <f t="shared" si="58"/>
        <v>0</v>
      </c>
      <c r="M235" s="268">
        <f t="shared" si="59"/>
        <v>0</v>
      </c>
      <c r="N235" s="269">
        <f t="shared" si="60"/>
        <v>26.28</v>
      </c>
      <c r="O235" s="325">
        <f t="shared" si="49"/>
        <v>0</v>
      </c>
      <c r="P235" s="319">
        <f t="shared" si="55"/>
        <v>26.28</v>
      </c>
      <c r="Q235" s="322"/>
      <c r="R235" s="322"/>
      <c r="S235" s="323"/>
      <c r="T235" s="271">
        <v>31.91</v>
      </c>
      <c r="U235" s="217"/>
      <c r="V235" s="285">
        <v>0</v>
      </c>
    </row>
    <row r="236" spans="1:22" ht="15.75" x14ac:dyDescent="0.2">
      <c r="A236" s="282" t="s">
        <v>1714</v>
      </c>
      <c r="B236" s="282" t="s">
        <v>1715</v>
      </c>
      <c r="C236" s="282" t="s">
        <v>1343</v>
      </c>
      <c r="D236" s="283" t="s">
        <v>1716</v>
      </c>
      <c r="E236" s="284" t="s">
        <v>102</v>
      </c>
      <c r="F236" s="285">
        <v>50</v>
      </c>
      <c r="G236" s="285">
        <v>0</v>
      </c>
      <c r="H236" s="285">
        <v>0</v>
      </c>
      <c r="I236" s="285">
        <v>0</v>
      </c>
      <c r="J236" s="268">
        <f t="shared" si="56"/>
        <v>1.94</v>
      </c>
      <c r="K236" s="268">
        <f t="shared" si="57"/>
        <v>0</v>
      </c>
      <c r="L236" s="268">
        <f t="shared" si="58"/>
        <v>0</v>
      </c>
      <c r="M236" s="268">
        <f t="shared" si="59"/>
        <v>0</v>
      </c>
      <c r="N236" s="269">
        <f t="shared" si="60"/>
        <v>97</v>
      </c>
      <c r="O236" s="325">
        <f t="shared" si="49"/>
        <v>0</v>
      </c>
      <c r="P236" s="319">
        <f t="shared" si="55"/>
        <v>97</v>
      </c>
      <c r="Q236" s="322"/>
      <c r="R236" s="322"/>
      <c r="S236" s="323"/>
      <c r="T236" s="271">
        <v>2.35</v>
      </c>
      <c r="U236" s="217"/>
      <c r="V236" s="285">
        <v>0</v>
      </c>
    </row>
    <row r="237" spans="1:22" ht="15.75" x14ac:dyDescent="0.2">
      <c r="A237" s="282" t="s">
        <v>1717</v>
      </c>
      <c r="B237" s="282" t="s">
        <v>1715</v>
      </c>
      <c r="C237" s="282" t="s">
        <v>1343</v>
      </c>
      <c r="D237" s="283" t="s">
        <v>1718</v>
      </c>
      <c r="E237" s="284" t="s">
        <v>102</v>
      </c>
      <c r="F237" s="285">
        <v>4</v>
      </c>
      <c r="G237" s="285">
        <v>0</v>
      </c>
      <c r="H237" s="285">
        <v>0</v>
      </c>
      <c r="I237" s="285">
        <v>0</v>
      </c>
      <c r="J237" s="268">
        <f t="shared" si="56"/>
        <v>2.19</v>
      </c>
      <c r="K237" s="268">
        <f t="shared" si="57"/>
        <v>0</v>
      </c>
      <c r="L237" s="268">
        <f t="shared" si="58"/>
        <v>0</v>
      </c>
      <c r="M237" s="268">
        <f t="shared" si="59"/>
        <v>0</v>
      </c>
      <c r="N237" s="269">
        <f t="shared" si="60"/>
        <v>8.76</v>
      </c>
      <c r="O237" s="325">
        <f t="shared" si="49"/>
        <v>0</v>
      </c>
      <c r="P237" s="319">
        <f t="shared" si="55"/>
        <v>8.76</v>
      </c>
      <c r="Q237" s="322"/>
      <c r="R237" s="322"/>
      <c r="S237" s="323"/>
      <c r="T237" s="271">
        <v>2.66</v>
      </c>
      <c r="U237" s="217"/>
      <c r="V237" s="285">
        <v>0</v>
      </c>
    </row>
    <row r="238" spans="1:22" ht="15.75" x14ac:dyDescent="0.2">
      <c r="A238" s="282" t="s">
        <v>1719</v>
      </c>
      <c r="B238" s="282" t="s">
        <v>1715</v>
      </c>
      <c r="C238" s="282" t="s">
        <v>1343</v>
      </c>
      <c r="D238" s="283" t="s">
        <v>1720</v>
      </c>
      <c r="E238" s="284" t="s">
        <v>102</v>
      </c>
      <c r="F238" s="285">
        <v>4</v>
      </c>
      <c r="G238" s="285">
        <v>0</v>
      </c>
      <c r="H238" s="285">
        <v>0</v>
      </c>
      <c r="I238" s="285">
        <v>0</v>
      </c>
      <c r="J238" s="268">
        <f t="shared" si="56"/>
        <v>2.4</v>
      </c>
      <c r="K238" s="268">
        <f t="shared" si="57"/>
        <v>0</v>
      </c>
      <c r="L238" s="268">
        <f t="shared" si="58"/>
        <v>0</v>
      </c>
      <c r="M238" s="268">
        <f t="shared" si="59"/>
        <v>0</v>
      </c>
      <c r="N238" s="269">
        <f t="shared" si="60"/>
        <v>9.6</v>
      </c>
      <c r="O238" s="325">
        <f t="shared" si="49"/>
        <v>0</v>
      </c>
      <c r="P238" s="319">
        <f t="shared" si="55"/>
        <v>9.6</v>
      </c>
      <c r="Q238" s="322"/>
      <c r="R238" s="322"/>
      <c r="S238" s="323"/>
      <c r="T238" s="271">
        <v>2.92</v>
      </c>
      <c r="U238" s="217"/>
      <c r="V238" s="285">
        <v>0</v>
      </c>
    </row>
    <row r="239" spans="1:22" ht="15.75" x14ac:dyDescent="0.2">
      <c r="A239" s="282" t="s">
        <v>1721</v>
      </c>
      <c r="B239" s="282">
        <v>73542</v>
      </c>
      <c r="C239" s="282" t="s">
        <v>1324</v>
      </c>
      <c r="D239" s="283" t="s">
        <v>1722</v>
      </c>
      <c r="E239" s="284" t="s">
        <v>1723</v>
      </c>
      <c r="F239" s="285">
        <v>15</v>
      </c>
      <c r="G239" s="285">
        <v>0</v>
      </c>
      <c r="H239" s="285">
        <v>0</v>
      </c>
      <c r="I239" s="285">
        <v>0</v>
      </c>
      <c r="J239" s="268">
        <f t="shared" si="56"/>
        <v>0.73</v>
      </c>
      <c r="K239" s="268">
        <f t="shared" si="57"/>
        <v>0</v>
      </c>
      <c r="L239" s="268">
        <f t="shared" si="58"/>
        <v>0</v>
      </c>
      <c r="M239" s="268">
        <f t="shared" si="59"/>
        <v>0</v>
      </c>
      <c r="N239" s="269">
        <f t="shared" si="60"/>
        <v>10.95</v>
      </c>
      <c r="O239" s="325">
        <f t="shared" si="49"/>
        <v>0</v>
      </c>
      <c r="P239" s="319">
        <f t="shared" si="55"/>
        <v>10.95</v>
      </c>
      <c r="Q239" s="322"/>
      <c r="R239" s="322"/>
      <c r="S239" s="323"/>
      <c r="T239" s="271">
        <v>0.89</v>
      </c>
      <c r="U239" s="217"/>
      <c r="V239" s="285">
        <v>0</v>
      </c>
    </row>
    <row r="240" spans="1:22" ht="15.75" x14ac:dyDescent="0.2">
      <c r="A240" s="282" t="s">
        <v>1724</v>
      </c>
      <c r="B240" s="282">
        <v>84158</v>
      </c>
      <c r="C240" s="282" t="s">
        <v>1324</v>
      </c>
      <c r="D240" s="283" t="s">
        <v>1725</v>
      </c>
      <c r="E240" s="284" t="s">
        <v>1723</v>
      </c>
      <c r="F240" s="285">
        <v>2</v>
      </c>
      <c r="G240" s="285">
        <v>0</v>
      </c>
      <c r="H240" s="285">
        <v>0</v>
      </c>
      <c r="I240" s="285">
        <v>0</v>
      </c>
      <c r="J240" s="268">
        <f t="shared" si="56"/>
        <v>1.42</v>
      </c>
      <c r="K240" s="268">
        <f t="shared" si="57"/>
        <v>0</v>
      </c>
      <c r="L240" s="268">
        <f t="shared" si="58"/>
        <v>0</v>
      </c>
      <c r="M240" s="268">
        <f t="shared" si="59"/>
        <v>0</v>
      </c>
      <c r="N240" s="269">
        <f t="shared" si="60"/>
        <v>2.84</v>
      </c>
      <c r="O240" s="325">
        <f t="shared" si="49"/>
        <v>0</v>
      </c>
      <c r="P240" s="319">
        <f t="shared" si="55"/>
        <v>2.84</v>
      </c>
      <c r="Q240" s="322"/>
      <c r="R240" s="322"/>
      <c r="S240" s="323"/>
      <c r="T240" s="271">
        <v>1.73</v>
      </c>
      <c r="U240" s="217"/>
      <c r="V240" s="285">
        <v>0</v>
      </c>
    </row>
    <row r="241" spans="1:22" ht="15.75" x14ac:dyDescent="0.2">
      <c r="A241" s="282" t="s">
        <v>1726</v>
      </c>
      <c r="B241" s="282">
        <v>84159</v>
      </c>
      <c r="C241" s="282" t="s">
        <v>1324</v>
      </c>
      <c r="D241" s="283" t="s">
        <v>1727</v>
      </c>
      <c r="E241" s="284" t="s">
        <v>1723</v>
      </c>
      <c r="F241" s="285">
        <v>1</v>
      </c>
      <c r="G241" s="285">
        <v>0</v>
      </c>
      <c r="H241" s="285">
        <v>0</v>
      </c>
      <c r="I241" s="285">
        <v>0</v>
      </c>
      <c r="J241" s="268">
        <f t="shared" si="56"/>
        <v>3.16</v>
      </c>
      <c r="K241" s="268">
        <f t="shared" si="57"/>
        <v>0</v>
      </c>
      <c r="L241" s="268">
        <f t="shared" si="58"/>
        <v>0</v>
      </c>
      <c r="M241" s="268">
        <f t="shared" si="59"/>
        <v>0</v>
      </c>
      <c r="N241" s="269">
        <f t="shared" si="60"/>
        <v>3.16</v>
      </c>
      <c r="O241" s="325">
        <f t="shared" si="49"/>
        <v>0</v>
      </c>
      <c r="P241" s="319">
        <f t="shared" si="55"/>
        <v>3.16</v>
      </c>
      <c r="Q241" s="322"/>
      <c r="R241" s="322"/>
      <c r="S241" s="323"/>
      <c r="T241" s="271">
        <v>3.84</v>
      </c>
      <c r="U241" s="217"/>
      <c r="V241" s="285">
        <v>0</v>
      </c>
    </row>
    <row r="242" spans="1:22" ht="15.75" x14ac:dyDescent="0.2">
      <c r="A242" s="282" t="s">
        <v>1728</v>
      </c>
      <c r="B242" s="282">
        <v>92695</v>
      </c>
      <c r="C242" s="282" t="s">
        <v>1324</v>
      </c>
      <c r="D242" s="283" t="s">
        <v>1729</v>
      </c>
      <c r="E242" s="284" t="s">
        <v>102</v>
      </c>
      <c r="F242" s="285">
        <v>15</v>
      </c>
      <c r="G242" s="285">
        <v>0</v>
      </c>
      <c r="H242" s="285">
        <v>0</v>
      </c>
      <c r="I242" s="285">
        <v>0</v>
      </c>
      <c r="J242" s="268">
        <f t="shared" si="56"/>
        <v>14</v>
      </c>
      <c r="K242" s="268">
        <f t="shared" si="57"/>
        <v>0</v>
      </c>
      <c r="L242" s="268">
        <f t="shared" si="58"/>
        <v>0</v>
      </c>
      <c r="M242" s="268">
        <f t="shared" si="59"/>
        <v>0</v>
      </c>
      <c r="N242" s="269">
        <f t="shared" si="60"/>
        <v>210</v>
      </c>
      <c r="O242" s="325">
        <f t="shared" si="49"/>
        <v>0</v>
      </c>
      <c r="P242" s="319">
        <f t="shared" si="55"/>
        <v>210</v>
      </c>
      <c r="Q242" s="322"/>
      <c r="R242" s="322"/>
      <c r="S242" s="323"/>
      <c r="T242" s="271">
        <v>17</v>
      </c>
      <c r="U242" s="217"/>
      <c r="V242" s="285">
        <v>0</v>
      </c>
    </row>
    <row r="243" spans="1:22" ht="15.75" x14ac:dyDescent="0.2">
      <c r="A243" s="282" t="s">
        <v>1730</v>
      </c>
      <c r="B243" s="282">
        <v>92697</v>
      </c>
      <c r="C243" s="282" t="s">
        <v>1324</v>
      </c>
      <c r="D243" s="283" t="s">
        <v>1731</v>
      </c>
      <c r="E243" s="284" t="s">
        <v>102</v>
      </c>
      <c r="F243" s="285">
        <v>2</v>
      </c>
      <c r="G243" s="285">
        <v>0</v>
      </c>
      <c r="H243" s="285">
        <v>0</v>
      </c>
      <c r="I243" s="285">
        <v>0</v>
      </c>
      <c r="J243" s="268">
        <f t="shared" si="56"/>
        <v>22.66</v>
      </c>
      <c r="K243" s="268">
        <f t="shared" si="57"/>
        <v>0</v>
      </c>
      <c r="L243" s="268">
        <f t="shared" si="58"/>
        <v>0</v>
      </c>
      <c r="M243" s="268">
        <f t="shared" si="59"/>
        <v>0</v>
      </c>
      <c r="N243" s="269">
        <f t="shared" si="60"/>
        <v>45.32</v>
      </c>
      <c r="O243" s="325">
        <f t="shared" si="49"/>
        <v>0</v>
      </c>
      <c r="P243" s="319">
        <f t="shared" si="55"/>
        <v>45.32</v>
      </c>
      <c r="Q243" s="322"/>
      <c r="R243" s="322"/>
      <c r="S243" s="323"/>
      <c r="T243" s="271">
        <v>27.51</v>
      </c>
      <c r="U243" s="217"/>
      <c r="V243" s="285">
        <v>0</v>
      </c>
    </row>
    <row r="244" spans="1:22" ht="15.75" x14ac:dyDescent="0.2">
      <c r="A244" s="282" t="s">
        <v>1732</v>
      </c>
      <c r="B244" s="282">
        <v>92662</v>
      </c>
      <c r="C244" s="282" t="s">
        <v>1324</v>
      </c>
      <c r="D244" s="283" t="s">
        <v>1733</v>
      </c>
      <c r="E244" s="284" t="s">
        <v>102</v>
      </c>
      <c r="F244" s="285">
        <v>1</v>
      </c>
      <c r="G244" s="285">
        <v>0</v>
      </c>
      <c r="H244" s="285">
        <v>0</v>
      </c>
      <c r="I244" s="285">
        <v>0</v>
      </c>
      <c r="J244" s="268">
        <f t="shared" si="56"/>
        <v>22.38</v>
      </c>
      <c r="K244" s="268">
        <f t="shared" si="57"/>
        <v>0</v>
      </c>
      <c r="L244" s="268">
        <f t="shared" si="58"/>
        <v>0</v>
      </c>
      <c r="M244" s="268">
        <f t="shared" si="59"/>
        <v>0</v>
      </c>
      <c r="N244" s="269">
        <f t="shared" si="60"/>
        <v>22.38</v>
      </c>
      <c r="O244" s="325">
        <f t="shared" si="49"/>
        <v>0</v>
      </c>
      <c r="P244" s="319">
        <f t="shared" si="55"/>
        <v>22.38</v>
      </c>
      <c r="Q244" s="322"/>
      <c r="R244" s="322"/>
      <c r="S244" s="323"/>
      <c r="T244" s="271">
        <v>27.17</v>
      </c>
      <c r="U244" s="217"/>
      <c r="V244" s="285">
        <v>0</v>
      </c>
    </row>
    <row r="245" spans="1:22" ht="15.75" x14ac:dyDescent="0.2">
      <c r="A245" s="282" t="s">
        <v>1734</v>
      </c>
      <c r="B245" s="282">
        <v>92868</v>
      </c>
      <c r="C245" s="282" t="s">
        <v>1324</v>
      </c>
      <c r="D245" s="283" t="s">
        <v>1735</v>
      </c>
      <c r="E245" s="284" t="s">
        <v>102</v>
      </c>
      <c r="F245" s="285">
        <v>16</v>
      </c>
      <c r="G245" s="285">
        <v>0</v>
      </c>
      <c r="H245" s="285">
        <v>0</v>
      </c>
      <c r="I245" s="285">
        <v>0</v>
      </c>
      <c r="J245" s="268">
        <f t="shared" si="56"/>
        <v>9.5299999999999994</v>
      </c>
      <c r="K245" s="268">
        <f t="shared" si="57"/>
        <v>0</v>
      </c>
      <c r="L245" s="268">
        <f t="shared" si="58"/>
        <v>0</v>
      </c>
      <c r="M245" s="268">
        <f t="shared" si="59"/>
        <v>0</v>
      </c>
      <c r="N245" s="269">
        <f t="shared" si="60"/>
        <v>152.47999999999999</v>
      </c>
      <c r="O245" s="325">
        <f t="shared" si="49"/>
        <v>0</v>
      </c>
      <c r="P245" s="319">
        <f t="shared" si="55"/>
        <v>152.47999999999999</v>
      </c>
      <c r="Q245" s="322"/>
      <c r="R245" s="322"/>
      <c r="S245" s="323"/>
      <c r="T245" s="271">
        <v>11.57</v>
      </c>
      <c r="U245" s="217"/>
      <c r="V245" s="285">
        <v>0</v>
      </c>
    </row>
    <row r="246" spans="1:22" ht="25.5" x14ac:dyDescent="0.2">
      <c r="A246" s="282" t="s">
        <v>1736</v>
      </c>
      <c r="B246" s="282">
        <v>92865</v>
      </c>
      <c r="C246" s="282" t="s">
        <v>1324</v>
      </c>
      <c r="D246" s="283" t="s">
        <v>1737</v>
      </c>
      <c r="E246" s="284" t="s">
        <v>102</v>
      </c>
      <c r="F246" s="285">
        <v>7</v>
      </c>
      <c r="G246" s="285">
        <v>0</v>
      </c>
      <c r="H246" s="285">
        <v>0</v>
      </c>
      <c r="I246" s="285">
        <v>0</v>
      </c>
      <c r="J246" s="268">
        <f t="shared" si="56"/>
        <v>6.13</v>
      </c>
      <c r="K246" s="268">
        <f t="shared" si="57"/>
        <v>0</v>
      </c>
      <c r="L246" s="268">
        <f t="shared" si="58"/>
        <v>0</v>
      </c>
      <c r="M246" s="268">
        <f t="shared" si="59"/>
        <v>0</v>
      </c>
      <c r="N246" s="269">
        <f t="shared" si="60"/>
        <v>42.91</v>
      </c>
      <c r="O246" s="325">
        <f t="shared" si="49"/>
        <v>0</v>
      </c>
      <c r="P246" s="319">
        <f t="shared" si="55"/>
        <v>42.91</v>
      </c>
      <c r="Q246" s="322"/>
      <c r="R246" s="322"/>
      <c r="S246" s="323"/>
      <c r="T246" s="271">
        <v>7.44</v>
      </c>
      <c r="U246" s="217"/>
      <c r="V246" s="285">
        <v>0</v>
      </c>
    </row>
    <row r="247" spans="1:22" ht="15.75" x14ac:dyDescent="0.2">
      <c r="A247" s="290" t="s">
        <v>634</v>
      </c>
      <c r="B247" s="290"/>
      <c r="C247" s="290"/>
      <c r="D247" s="291" t="s">
        <v>1738</v>
      </c>
      <c r="E247" s="292"/>
      <c r="F247" s="293"/>
      <c r="G247" s="279"/>
      <c r="H247" s="279"/>
      <c r="I247" s="279"/>
      <c r="J247" s="279">
        <f>N247</f>
        <v>4345.79</v>
      </c>
      <c r="K247" s="279"/>
      <c r="L247" s="279"/>
      <c r="M247" s="279"/>
      <c r="N247" s="280">
        <f>SUM(N248:N251)</f>
        <v>4345.79</v>
      </c>
      <c r="O247" s="325" t="e">
        <f t="shared" si="49"/>
        <v>#DIV/0!</v>
      </c>
      <c r="P247" s="319">
        <f t="shared" si="55"/>
        <v>0</v>
      </c>
      <c r="Q247" s="322"/>
      <c r="R247" s="322"/>
      <c r="S247" s="323"/>
      <c r="T247" s="271">
        <v>0</v>
      </c>
      <c r="U247" s="217"/>
      <c r="V247" s="279"/>
    </row>
    <row r="248" spans="1:22" ht="15.75" x14ac:dyDescent="0.2">
      <c r="A248" s="282" t="s">
        <v>1739</v>
      </c>
      <c r="B248" s="282">
        <v>91926</v>
      </c>
      <c r="C248" s="282" t="s">
        <v>1324</v>
      </c>
      <c r="D248" s="283" t="s">
        <v>1740</v>
      </c>
      <c r="E248" s="284" t="s">
        <v>81</v>
      </c>
      <c r="F248" s="285">
        <v>190</v>
      </c>
      <c r="G248" s="285">
        <v>0</v>
      </c>
      <c r="H248" s="285">
        <v>0</v>
      </c>
      <c r="I248" s="285">
        <v>0</v>
      </c>
      <c r="J248" s="268">
        <f>ROUND(T248*$T$12,2)</f>
        <v>2.31</v>
      </c>
      <c r="K248" s="268">
        <f>G248*J248</f>
        <v>0</v>
      </c>
      <c r="L248" s="268">
        <f>K248</f>
        <v>0</v>
      </c>
      <c r="M248" s="268">
        <f>K248-L248</f>
        <v>0</v>
      </c>
      <c r="N248" s="269">
        <f>ROUND(F248*J248,2)</f>
        <v>438.9</v>
      </c>
      <c r="O248" s="325">
        <f t="shared" si="49"/>
        <v>0</v>
      </c>
      <c r="P248" s="319">
        <f t="shared" si="55"/>
        <v>438.90000000000003</v>
      </c>
      <c r="Q248" s="322"/>
      <c r="R248" s="322"/>
      <c r="S248" s="323"/>
      <c r="T248" s="271">
        <v>2.8</v>
      </c>
      <c r="U248" s="217"/>
      <c r="V248" s="285">
        <v>0</v>
      </c>
    </row>
    <row r="249" spans="1:22" ht="15.75" x14ac:dyDescent="0.2">
      <c r="A249" s="282" t="s">
        <v>1741</v>
      </c>
      <c r="B249" s="282">
        <v>91928</v>
      </c>
      <c r="C249" s="282" t="s">
        <v>1324</v>
      </c>
      <c r="D249" s="283" t="s">
        <v>1742</v>
      </c>
      <c r="E249" s="284" t="s">
        <v>81</v>
      </c>
      <c r="F249" s="285">
        <v>820</v>
      </c>
      <c r="G249" s="285">
        <v>0</v>
      </c>
      <c r="H249" s="285">
        <v>0</v>
      </c>
      <c r="I249" s="285">
        <v>0</v>
      </c>
      <c r="J249" s="268">
        <f>ROUND(T249*$T$12,2)</f>
        <v>3.64</v>
      </c>
      <c r="K249" s="268">
        <f>G249*J249</f>
        <v>0</v>
      </c>
      <c r="L249" s="268">
        <f>K249</f>
        <v>0</v>
      </c>
      <c r="M249" s="268">
        <f>K249-L249</f>
        <v>0</v>
      </c>
      <c r="N249" s="269">
        <f>ROUND(F249*J249,2)</f>
        <v>2984.8</v>
      </c>
      <c r="O249" s="325">
        <f t="shared" si="49"/>
        <v>0</v>
      </c>
      <c r="P249" s="319">
        <f t="shared" si="55"/>
        <v>2984.8</v>
      </c>
      <c r="Q249" s="322"/>
      <c r="R249" s="322"/>
      <c r="S249" s="323"/>
      <c r="T249" s="271">
        <v>4.42</v>
      </c>
      <c r="U249" s="217"/>
      <c r="V249" s="285">
        <v>0</v>
      </c>
    </row>
    <row r="250" spans="1:22" ht="15.75" x14ac:dyDescent="0.2">
      <c r="A250" s="282" t="s">
        <v>1743</v>
      </c>
      <c r="B250" s="282">
        <v>91934</v>
      </c>
      <c r="C250" s="282" t="s">
        <v>1324</v>
      </c>
      <c r="D250" s="283" t="s">
        <v>1744</v>
      </c>
      <c r="E250" s="284" t="s">
        <v>81</v>
      </c>
      <c r="F250" s="285">
        <v>14</v>
      </c>
      <c r="G250" s="285">
        <v>0</v>
      </c>
      <c r="H250" s="285">
        <v>0</v>
      </c>
      <c r="I250" s="285">
        <v>0</v>
      </c>
      <c r="J250" s="268">
        <f>ROUND(T250*$T$12,2)</f>
        <v>12.3</v>
      </c>
      <c r="K250" s="268">
        <f>G250*J250</f>
        <v>0</v>
      </c>
      <c r="L250" s="268">
        <f>K250</f>
        <v>0</v>
      </c>
      <c r="M250" s="268">
        <f>K250-L250</f>
        <v>0</v>
      </c>
      <c r="N250" s="269">
        <f>ROUND(F250*J250,2)</f>
        <v>172.2</v>
      </c>
      <c r="O250" s="325">
        <f t="shared" si="49"/>
        <v>0</v>
      </c>
      <c r="P250" s="319">
        <f t="shared" si="55"/>
        <v>172.20000000000002</v>
      </c>
      <c r="Q250" s="322"/>
      <c r="R250" s="322"/>
      <c r="S250" s="323"/>
      <c r="T250" s="271">
        <v>14.94</v>
      </c>
      <c r="U250" s="217"/>
      <c r="V250" s="285">
        <v>0</v>
      </c>
    </row>
    <row r="251" spans="1:22" ht="15.75" x14ac:dyDescent="0.2">
      <c r="A251" s="282" t="s">
        <v>1745</v>
      </c>
      <c r="B251" s="282">
        <v>92985</v>
      </c>
      <c r="C251" s="282" t="s">
        <v>1324</v>
      </c>
      <c r="D251" s="283" t="s">
        <v>1746</v>
      </c>
      <c r="E251" s="284" t="s">
        <v>81</v>
      </c>
      <c r="F251" s="285">
        <v>41</v>
      </c>
      <c r="G251" s="285">
        <v>0</v>
      </c>
      <c r="H251" s="285">
        <v>0</v>
      </c>
      <c r="I251" s="285">
        <v>0</v>
      </c>
      <c r="J251" s="268">
        <f>ROUND(T251*$T$12,2)</f>
        <v>18.29</v>
      </c>
      <c r="K251" s="268">
        <f>G251*J251</f>
        <v>0</v>
      </c>
      <c r="L251" s="268">
        <f>K251</f>
        <v>0</v>
      </c>
      <c r="M251" s="268">
        <f>K251-L251</f>
        <v>0</v>
      </c>
      <c r="N251" s="269">
        <f>ROUND(F251*J251,2)</f>
        <v>749.89</v>
      </c>
      <c r="O251" s="325">
        <f t="shared" si="49"/>
        <v>0</v>
      </c>
      <c r="P251" s="319">
        <f t="shared" si="55"/>
        <v>749.89</v>
      </c>
      <c r="Q251" s="322"/>
      <c r="R251" s="322"/>
      <c r="S251" s="323"/>
      <c r="T251" s="271">
        <v>22.21</v>
      </c>
      <c r="U251" s="217"/>
      <c r="V251" s="285">
        <v>0</v>
      </c>
    </row>
    <row r="252" spans="1:22" ht="15.75" x14ac:dyDescent="0.2">
      <c r="A252" s="290" t="s">
        <v>640</v>
      </c>
      <c r="B252" s="290"/>
      <c r="C252" s="290"/>
      <c r="D252" s="291" t="s">
        <v>1747</v>
      </c>
      <c r="E252" s="292"/>
      <c r="F252" s="293"/>
      <c r="G252" s="279"/>
      <c r="H252" s="279"/>
      <c r="I252" s="279"/>
      <c r="J252" s="279">
        <f>N252</f>
        <v>10299.74</v>
      </c>
      <c r="K252" s="279"/>
      <c r="L252" s="279"/>
      <c r="M252" s="279"/>
      <c r="N252" s="280">
        <f>SUM(N253:N258)</f>
        <v>10299.74</v>
      </c>
      <c r="O252" s="325" t="e">
        <f t="shared" si="49"/>
        <v>#DIV/0!</v>
      </c>
      <c r="P252" s="319"/>
      <c r="Q252" s="322"/>
      <c r="R252" s="322"/>
      <c r="S252" s="323"/>
      <c r="T252" s="271">
        <v>0</v>
      </c>
      <c r="U252" s="217"/>
      <c r="V252" s="279"/>
    </row>
    <row r="253" spans="1:22" ht="15.75" x14ac:dyDescent="0.2">
      <c r="A253" s="282" t="s">
        <v>1748</v>
      </c>
      <c r="B253" s="282">
        <v>92000</v>
      </c>
      <c r="C253" s="282" t="s">
        <v>1324</v>
      </c>
      <c r="D253" s="283" t="s">
        <v>1749</v>
      </c>
      <c r="E253" s="284" t="s">
        <v>102</v>
      </c>
      <c r="F253" s="285">
        <v>4</v>
      </c>
      <c r="G253" s="285">
        <v>0</v>
      </c>
      <c r="H253" s="285">
        <v>0</v>
      </c>
      <c r="I253" s="285">
        <v>0</v>
      </c>
      <c r="J253" s="268">
        <f t="shared" ref="J253:J258" si="61">ROUND(T253*$T$12,2)</f>
        <v>20.07</v>
      </c>
      <c r="K253" s="268">
        <f t="shared" ref="K253:K258" si="62">G253*J253</f>
        <v>0</v>
      </c>
      <c r="L253" s="268">
        <f t="shared" ref="L253:L258" si="63">K253</f>
        <v>0</v>
      </c>
      <c r="M253" s="268">
        <f t="shared" ref="M253:M258" si="64">K253-L253</f>
        <v>0</v>
      </c>
      <c r="N253" s="269">
        <f t="shared" ref="N253:N258" si="65">ROUND(F253*J253,2)</f>
        <v>80.28</v>
      </c>
      <c r="O253" s="325">
        <f t="shared" si="49"/>
        <v>0</v>
      </c>
      <c r="P253" s="319">
        <f t="shared" si="55"/>
        <v>80.28</v>
      </c>
      <c r="Q253" s="322"/>
      <c r="R253" s="322"/>
      <c r="S253" s="323"/>
      <c r="T253" s="271">
        <v>24.37</v>
      </c>
      <c r="U253" s="217"/>
      <c r="V253" s="285">
        <v>0</v>
      </c>
    </row>
    <row r="254" spans="1:22" ht="15.75" x14ac:dyDescent="0.2">
      <c r="A254" s="282" t="s">
        <v>1750</v>
      </c>
      <c r="B254" s="282">
        <v>92001</v>
      </c>
      <c r="C254" s="282" t="s">
        <v>1324</v>
      </c>
      <c r="D254" s="283" t="s">
        <v>1751</v>
      </c>
      <c r="E254" s="284" t="s">
        <v>102</v>
      </c>
      <c r="F254" s="285">
        <v>1</v>
      </c>
      <c r="G254" s="285">
        <v>0</v>
      </c>
      <c r="H254" s="285">
        <v>0</v>
      </c>
      <c r="I254" s="285">
        <v>0</v>
      </c>
      <c r="J254" s="268">
        <f t="shared" si="61"/>
        <v>21.83</v>
      </c>
      <c r="K254" s="268">
        <f t="shared" si="62"/>
        <v>0</v>
      </c>
      <c r="L254" s="268">
        <f t="shared" si="63"/>
        <v>0</v>
      </c>
      <c r="M254" s="268">
        <f t="shared" si="64"/>
        <v>0</v>
      </c>
      <c r="N254" s="269">
        <f t="shared" si="65"/>
        <v>21.83</v>
      </c>
      <c r="O254" s="325">
        <f t="shared" si="49"/>
        <v>0</v>
      </c>
      <c r="P254" s="319">
        <f t="shared" si="55"/>
        <v>21.83</v>
      </c>
      <c r="Q254" s="322"/>
      <c r="R254" s="322"/>
      <c r="S254" s="323"/>
      <c r="T254" s="271">
        <v>26.5</v>
      </c>
      <c r="U254" s="217"/>
      <c r="V254" s="285">
        <v>0</v>
      </c>
    </row>
    <row r="255" spans="1:22" ht="25.5" x14ac:dyDescent="0.2">
      <c r="A255" s="282" t="s">
        <v>1752</v>
      </c>
      <c r="B255" s="282">
        <v>91953</v>
      </c>
      <c r="C255" s="282" t="s">
        <v>1324</v>
      </c>
      <c r="D255" s="283" t="s">
        <v>1753</v>
      </c>
      <c r="E255" s="284" t="s">
        <v>102</v>
      </c>
      <c r="F255" s="285">
        <v>7</v>
      </c>
      <c r="G255" s="285">
        <v>0</v>
      </c>
      <c r="H255" s="285">
        <v>0</v>
      </c>
      <c r="I255" s="285">
        <v>0</v>
      </c>
      <c r="J255" s="268">
        <f t="shared" si="61"/>
        <v>18.98</v>
      </c>
      <c r="K255" s="268">
        <f t="shared" si="62"/>
        <v>0</v>
      </c>
      <c r="L255" s="268">
        <f t="shared" si="63"/>
        <v>0</v>
      </c>
      <c r="M255" s="268">
        <f t="shared" si="64"/>
        <v>0</v>
      </c>
      <c r="N255" s="269">
        <f t="shared" si="65"/>
        <v>132.86000000000001</v>
      </c>
      <c r="O255" s="325">
        <f t="shared" si="49"/>
        <v>0</v>
      </c>
      <c r="P255" s="319">
        <f t="shared" si="55"/>
        <v>132.86000000000001</v>
      </c>
      <c r="Q255" s="322"/>
      <c r="R255" s="322"/>
      <c r="S255" s="323"/>
      <c r="T255" s="271">
        <v>23.04</v>
      </c>
      <c r="U255" s="217"/>
      <c r="V255" s="285">
        <v>0</v>
      </c>
    </row>
    <row r="256" spans="1:22" ht="15.75" x14ac:dyDescent="0.2">
      <c r="A256" s="282" t="s">
        <v>1754</v>
      </c>
      <c r="B256" s="282" t="s">
        <v>1755</v>
      </c>
      <c r="C256" s="282" t="s">
        <v>1324</v>
      </c>
      <c r="D256" s="283" t="s">
        <v>1756</v>
      </c>
      <c r="E256" s="284" t="s">
        <v>102</v>
      </c>
      <c r="F256" s="285">
        <v>1</v>
      </c>
      <c r="G256" s="285">
        <v>0</v>
      </c>
      <c r="H256" s="285">
        <v>0</v>
      </c>
      <c r="I256" s="285">
        <v>0</v>
      </c>
      <c r="J256" s="268">
        <f t="shared" si="61"/>
        <v>133.31</v>
      </c>
      <c r="K256" s="268">
        <f t="shared" si="62"/>
        <v>0</v>
      </c>
      <c r="L256" s="268">
        <f t="shared" si="63"/>
        <v>0</v>
      </c>
      <c r="M256" s="268">
        <f t="shared" si="64"/>
        <v>0</v>
      </c>
      <c r="N256" s="269">
        <f t="shared" si="65"/>
        <v>133.31</v>
      </c>
      <c r="O256" s="325">
        <f t="shared" si="49"/>
        <v>0</v>
      </c>
      <c r="P256" s="319">
        <f t="shared" si="55"/>
        <v>133.31</v>
      </c>
      <c r="Q256" s="322"/>
      <c r="R256" s="322"/>
      <c r="S256" s="323"/>
      <c r="T256" s="271">
        <v>161.87</v>
      </c>
      <c r="U256" s="217"/>
      <c r="V256" s="285">
        <v>0</v>
      </c>
    </row>
    <row r="257" spans="1:22" ht="15.75" x14ac:dyDescent="0.2">
      <c r="A257" s="282" t="s">
        <v>1757</v>
      </c>
      <c r="B257" s="282" t="s">
        <v>1758</v>
      </c>
      <c r="C257" s="282" t="s">
        <v>1324</v>
      </c>
      <c r="D257" s="283" t="s">
        <v>1759</v>
      </c>
      <c r="E257" s="284" t="s">
        <v>102</v>
      </c>
      <c r="F257" s="285">
        <v>6</v>
      </c>
      <c r="G257" s="285">
        <v>0</v>
      </c>
      <c r="H257" s="285">
        <v>0</v>
      </c>
      <c r="I257" s="285">
        <v>0</v>
      </c>
      <c r="J257" s="268">
        <f t="shared" si="61"/>
        <v>156.31</v>
      </c>
      <c r="K257" s="268">
        <f t="shared" si="62"/>
        <v>0</v>
      </c>
      <c r="L257" s="268">
        <f t="shared" si="63"/>
        <v>0</v>
      </c>
      <c r="M257" s="268">
        <f t="shared" si="64"/>
        <v>0</v>
      </c>
      <c r="N257" s="269">
        <f t="shared" si="65"/>
        <v>937.86</v>
      </c>
      <c r="O257" s="325">
        <f t="shared" si="49"/>
        <v>0</v>
      </c>
      <c r="P257" s="319">
        <f t="shared" si="55"/>
        <v>937.86</v>
      </c>
      <c r="Q257" s="322"/>
      <c r="R257" s="322"/>
      <c r="S257" s="323"/>
      <c r="T257" s="271">
        <v>189.79</v>
      </c>
      <c r="U257" s="217"/>
      <c r="V257" s="285">
        <v>0</v>
      </c>
    </row>
    <row r="258" spans="1:22" ht="25.5" x14ac:dyDescent="0.2">
      <c r="A258" s="282" t="s">
        <v>1760</v>
      </c>
      <c r="B258" s="282"/>
      <c r="C258" s="282" t="s">
        <v>1339</v>
      </c>
      <c r="D258" s="283" t="s">
        <v>1761</v>
      </c>
      <c r="E258" s="284" t="s">
        <v>102</v>
      </c>
      <c r="F258" s="285">
        <v>20</v>
      </c>
      <c r="G258" s="285">
        <v>0</v>
      </c>
      <c r="H258" s="285">
        <v>0</v>
      </c>
      <c r="I258" s="285">
        <v>0</v>
      </c>
      <c r="J258" s="268">
        <f t="shared" si="61"/>
        <v>449.68</v>
      </c>
      <c r="K258" s="268">
        <f t="shared" si="62"/>
        <v>0</v>
      </c>
      <c r="L258" s="268">
        <f t="shared" si="63"/>
        <v>0</v>
      </c>
      <c r="M258" s="268">
        <f t="shared" si="64"/>
        <v>0</v>
      </c>
      <c r="N258" s="269">
        <f t="shared" si="65"/>
        <v>8993.6</v>
      </c>
      <c r="O258" s="325">
        <f t="shared" si="49"/>
        <v>0</v>
      </c>
      <c r="P258" s="319">
        <f t="shared" si="55"/>
        <v>8993.6</v>
      </c>
      <c r="Q258" s="322"/>
      <c r="R258" s="322"/>
      <c r="S258" s="323"/>
      <c r="T258" s="271">
        <v>546</v>
      </c>
      <c r="U258" s="217"/>
      <c r="V258" s="285">
        <v>0</v>
      </c>
    </row>
    <row r="259" spans="1:22" ht="15.75" x14ac:dyDescent="0.2">
      <c r="A259" s="286">
        <v>18</v>
      </c>
      <c r="B259" s="286"/>
      <c r="C259" s="286"/>
      <c r="D259" s="287" t="s">
        <v>1762</v>
      </c>
      <c r="E259" s="288"/>
      <c r="F259" s="289"/>
      <c r="G259" s="261"/>
      <c r="H259" s="261"/>
      <c r="I259" s="261"/>
      <c r="J259" s="261">
        <f>N259</f>
        <v>7237.1900000000014</v>
      </c>
      <c r="K259" s="261"/>
      <c r="L259" s="261"/>
      <c r="M259" s="261"/>
      <c r="N259" s="262">
        <f>SUM(N260:N267)</f>
        <v>7237.1900000000014</v>
      </c>
      <c r="O259" s="325" t="e">
        <f t="shared" si="49"/>
        <v>#DIV/0!</v>
      </c>
      <c r="P259" s="319">
        <f t="shared" si="55"/>
        <v>0</v>
      </c>
      <c r="Q259" s="322"/>
      <c r="R259" s="322"/>
      <c r="S259" s="323"/>
      <c r="T259" s="271">
        <v>0</v>
      </c>
      <c r="U259" s="217"/>
      <c r="V259" s="261"/>
    </row>
    <row r="260" spans="1:22" ht="25.5" x14ac:dyDescent="0.2">
      <c r="A260" s="282" t="s">
        <v>657</v>
      </c>
      <c r="B260" s="282"/>
      <c r="C260" s="282" t="s">
        <v>1339</v>
      </c>
      <c r="D260" s="283" t="s">
        <v>1763</v>
      </c>
      <c r="E260" s="284" t="s">
        <v>102</v>
      </c>
      <c r="F260" s="285">
        <v>7</v>
      </c>
      <c r="G260" s="285">
        <v>0</v>
      </c>
      <c r="H260" s="285">
        <v>0</v>
      </c>
      <c r="I260" s="285">
        <v>0</v>
      </c>
      <c r="J260" s="268">
        <f t="shared" ref="J260:J267" si="66">ROUND(T260*$T$12,2)</f>
        <v>205.82</v>
      </c>
      <c r="K260" s="268">
        <f t="shared" ref="K260:K267" si="67">G260*J260</f>
        <v>0</v>
      </c>
      <c r="L260" s="268">
        <f t="shared" ref="L260:L267" si="68">K260</f>
        <v>0</v>
      </c>
      <c r="M260" s="268">
        <f t="shared" ref="M260:M267" si="69">K260-L260</f>
        <v>0</v>
      </c>
      <c r="N260" s="269">
        <f t="shared" ref="N260:N267" si="70">ROUND(F260*J260,2)</f>
        <v>1440.74</v>
      </c>
      <c r="O260" s="325">
        <f t="shared" si="49"/>
        <v>0</v>
      </c>
      <c r="P260" s="319">
        <f t="shared" si="55"/>
        <v>1440.74</v>
      </c>
      <c r="Q260" s="322"/>
      <c r="R260" s="322"/>
      <c r="S260" s="323"/>
      <c r="T260" s="271">
        <v>249.91</v>
      </c>
      <c r="U260" s="217"/>
      <c r="V260" s="285">
        <v>0</v>
      </c>
    </row>
    <row r="261" spans="1:22" ht="15.75" x14ac:dyDescent="0.2">
      <c r="A261" s="282" t="s">
        <v>664</v>
      </c>
      <c r="B261" s="282"/>
      <c r="C261" s="282" t="s">
        <v>1339</v>
      </c>
      <c r="D261" s="283" t="s">
        <v>1764</v>
      </c>
      <c r="E261" s="284" t="s">
        <v>102</v>
      </c>
      <c r="F261" s="285">
        <v>1</v>
      </c>
      <c r="G261" s="285">
        <v>0</v>
      </c>
      <c r="H261" s="285">
        <v>0</v>
      </c>
      <c r="I261" s="285">
        <v>0</v>
      </c>
      <c r="J261" s="268">
        <f t="shared" si="66"/>
        <v>232.41</v>
      </c>
      <c r="K261" s="268">
        <f t="shared" si="67"/>
        <v>0</v>
      </c>
      <c r="L261" s="268">
        <f t="shared" si="68"/>
        <v>0</v>
      </c>
      <c r="M261" s="268">
        <f t="shared" si="69"/>
        <v>0</v>
      </c>
      <c r="N261" s="269">
        <f t="shared" si="70"/>
        <v>232.41</v>
      </c>
      <c r="O261" s="325">
        <f t="shared" si="49"/>
        <v>0</v>
      </c>
      <c r="P261" s="319">
        <f t="shared" si="55"/>
        <v>232.41</v>
      </c>
      <c r="Q261" s="322"/>
      <c r="R261" s="322"/>
      <c r="S261" s="323"/>
      <c r="T261" s="271">
        <v>282.19</v>
      </c>
      <c r="U261" s="217"/>
      <c r="V261" s="285">
        <v>0</v>
      </c>
    </row>
    <row r="262" spans="1:22" ht="15.75" x14ac:dyDescent="0.2">
      <c r="A262" s="282" t="s">
        <v>668</v>
      </c>
      <c r="B262" s="282">
        <v>72929</v>
      </c>
      <c r="C262" s="282" t="s">
        <v>1324</v>
      </c>
      <c r="D262" s="283" t="s">
        <v>1765</v>
      </c>
      <c r="E262" s="284" t="s">
        <v>81</v>
      </c>
      <c r="F262" s="285">
        <v>39.200000000000003</v>
      </c>
      <c r="G262" s="285">
        <v>0</v>
      </c>
      <c r="H262" s="285">
        <v>0</v>
      </c>
      <c r="I262" s="285">
        <v>0</v>
      </c>
      <c r="J262" s="268">
        <f t="shared" si="66"/>
        <v>22.1</v>
      </c>
      <c r="K262" s="268">
        <f t="shared" si="67"/>
        <v>0</v>
      </c>
      <c r="L262" s="268">
        <f t="shared" si="68"/>
        <v>0</v>
      </c>
      <c r="M262" s="268">
        <f t="shared" si="69"/>
        <v>0</v>
      </c>
      <c r="N262" s="269">
        <f t="shared" si="70"/>
        <v>866.32</v>
      </c>
      <c r="O262" s="325">
        <f t="shared" si="49"/>
        <v>0</v>
      </c>
      <c r="P262" s="319">
        <f t="shared" si="55"/>
        <v>866.32000000000016</v>
      </c>
      <c r="Q262" s="322"/>
      <c r="R262" s="322"/>
      <c r="S262" s="323"/>
      <c r="T262" s="271">
        <v>26.83</v>
      </c>
      <c r="U262" s="217"/>
      <c r="V262" s="285">
        <v>0</v>
      </c>
    </row>
    <row r="263" spans="1:22" ht="15.75" x14ac:dyDescent="0.2">
      <c r="A263" s="282" t="s">
        <v>671</v>
      </c>
      <c r="B263" s="282">
        <v>72930</v>
      </c>
      <c r="C263" s="282" t="s">
        <v>1324</v>
      </c>
      <c r="D263" s="283" t="s">
        <v>1766</v>
      </c>
      <c r="E263" s="284" t="s">
        <v>81</v>
      </c>
      <c r="F263" s="285">
        <v>126.32</v>
      </c>
      <c r="G263" s="285">
        <v>0</v>
      </c>
      <c r="H263" s="285">
        <v>0</v>
      </c>
      <c r="I263" s="285">
        <v>0</v>
      </c>
      <c r="J263" s="268">
        <f t="shared" si="66"/>
        <v>31.35</v>
      </c>
      <c r="K263" s="268">
        <f t="shared" si="67"/>
        <v>0</v>
      </c>
      <c r="L263" s="268">
        <f t="shared" si="68"/>
        <v>0</v>
      </c>
      <c r="M263" s="268">
        <f t="shared" si="69"/>
        <v>0</v>
      </c>
      <c r="N263" s="269">
        <f t="shared" si="70"/>
        <v>3960.13</v>
      </c>
      <c r="O263" s="325">
        <f t="shared" si="49"/>
        <v>0</v>
      </c>
      <c r="P263" s="319">
        <f t="shared" si="55"/>
        <v>3960.1320000000001</v>
      </c>
      <c r="Q263" s="322"/>
      <c r="R263" s="322"/>
      <c r="S263" s="323"/>
      <c r="T263" s="271">
        <v>38.07</v>
      </c>
      <c r="U263" s="217"/>
      <c r="V263" s="285">
        <v>0</v>
      </c>
    </row>
    <row r="264" spans="1:22" ht="15.75" x14ac:dyDescent="0.2">
      <c r="A264" s="282" t="s">
        <v>679</v>
      </c>
      <c r="B264" s="282">
        <v>93008</v>
      </c>
      <c r="C264" s="282" t="s">
        <v>1324</v>
      </c>
      <c r="D264" s="283" t="s">
        <v>1767</v>
      </c>
      <c r="E264" s="284" t="s">
        <v>81</v>
      </c>
      <c r="F264" s="285">
        <v>21</v>
      </c>
      <c r="G264" s="285">
        <v>0</v>
      </c>
      <c r="H264" s="285">
        <v>0</v>
      </c>
      <c r="I264" s="285">
        <v>0</v>
      </c>
      <c r="J264" s="268">
        <f t="shared" si="66"/>
        <v>9.83</v>
      </c>
      <c r="K264" s="268">
        <f t="shared" si="67"/>
        <v>0</v>
      </c>
      <c r="L264" s="268">
        <f t="shared" si="68"/>
        <v>0</v>
      </c>
      <c r="M264" s="268">
        <f t="shared" si="69"/>
        <v>0</v>
      </c>
      <c r="N264" s="269">
        <f t="shared" si="70"/>
        <v>206.43</v>
      </c>
      <c r="O264" s="325">
        <f t="shared" si="49"/>
        <v>0</v>
      </c>
      <c r="P264" s="319">
        <f t="shared" si="55"/>
        <v>206.43</v>
      </c>
      <c r="Q264" s="322"/>
      <c r="R264" s="322"/>
      <c r="S264" s="323"/>
      <c r="T264" s="271">
        <v>11.93</v>
      </c>
      <c r="U264" s="217"/>
      <c r="V264" s="285">
        <v>0</v>
      </c>
    </row>
    <row r="265" spans="1:22" ht="15.75" x14ac:dyDescent="0.2">
      <c r="A265" s="282" t="s">
        <v>1768</v>
      </c>
      <c r="B265" s="282"/>
      <c r="C265" s="282" t="s">
        <v>1769</v>
      </c>
      <c r="D265" s="283" t="s">
        <v>1770</v>
      </c>
      <c r="E265" s="284" t="s">
        <v>102</v>
      </c>
      <c r="F265" s="285">
        <v>7</v>
      </c>
      <c r="G265" s="285">
        <v>0</v>
      </c>
      <c r="H265" s="285">
        <v>0</v>
      </c>
      <c r="I265" s="285">
        <v>0</v>
      </c>
      <c r="J265" s="268">
        <f t="shared" si="66"/>
        <v>38.299999999999997</v>
      </c>
      <c r="K265" s="268">
        <f t="shared" si="67"/>
        <v>0</v>
      </c>
      <c r="L265" s="268">
        <f t="shared" si="68"/>
        <v>0</v>
      </c>
      <c r="M265" s="268">
        <f t="shared" si="69"/>
        <v>0</v>
      </c>
      <c r="N265" s="269">
        <f t="shared" si="70"/>
        <v>268.10000000000002</v>
      </c>
      <c r="O265" s="325">
        <f t="shared" si="49"/>
        <v>0</v>
      </c>
      <c r="P265" s="319">
        <f t="shared" si="55"/>
        <v>268.09999999999997</v>
      </c>
      <c r="Q265" s="322"/>
      <c r="R265" s="322"/>
      <c r="S265" s="323"/>
      <c r="T265" s="271">
        <v>46.5</v>
      </c>
      <c r="U265" s="217"/>
      <c r="V265" s="285">
        <v>0</v>
      </c>
    </row>
    <row r="266" spans="1:22" ht="15.75" x14ac:dyDescent="0.2">
      <c r="A266" s="282" t="s">
        <v>1771</v>
      </c>
      <c r="B266" s="282"/>
      <c r="C266" s="282" t="s">
        <v>1769</v>
      </c>
      <c r="D266" s="283" t="s">
        <v>1772</v>
      </c>
      <c r="E266" s="284" t="s">
        <v>102</v>
      </c>
      <c r="F266" s="285">
        <v>7</v>
      </c>
      <c r="G266" s="285">
        <v>0</v>
      </c>
      <c r="H266" s="285">
        <v>0</v>
      </c>
      <c r="I266" s="285">
        <v>0</v>
      </c>
      <c r="J266" s="268">
        <f t="shared" si="66"/>
        <v>24.49</v>
      </c>
      <c r="K266" s="268">
        <f t="shared" si="67"/>
        <v>0</v>
      </c>
      <c r="L266" s="268">
        <f t="shared" si="68"/>
        <v>0</v>
      </c>
      <c r="M266" s="268">
        <f t="shared" si="69"/>
        <v>0</v>
      </c>
      <c r="N266" s="269">
        <f t="shared" si="70"/>
        <v>171.43</v>
      </c>
      <c r="O266" s="325">
        <f t="shared" si="49"/>
        <v>0</v>
      </c>
      <c r="P266" s="319">
        <f t="shared" si="55"/>
        <v>171.42999999999998</v>
      </c>
      <c r="Q266" s="322"/>
      <c r="R266" s="322"/>
      <c r="S266" s="323"/>
      <c r="T266" s="271">
        <v>29.73</v>
      </c>
      <c r="U266" s="217"/>
      <c r="V266" s="285">
        <v>0</v>
      </c>
    </row>
    <row r="267" spans="1:22" ht="15.75" x14ac:dyDescent="0.2">
      <c r="A267" s="282" t="s">
        <v>1773</v>
      </c>
      <c r="B267" s="282">
        <v>72262</v>
      </c>
      <c r="C267" s="282" t="s">
        <v>1324</v>
      </c>
      <c r="D267" s="283" t="s">
        <v>1774</v>
      </c>
      <c r="E267" s="284" t="s">
        <v>102</v>
      </c>
      <c r="F267" s="285">
        <v>7</v>
      </c>
      <c r="G267" s="285">
        <v>0</v>
      </c>
      <c r="H267" s="285">
        <v>0</v>
      </c>
      <c r="I267" s="285">
        <v>0</v>
      </c>
      <c r="J267" s="268">
        <f t="shared" si="66"/>
        <v>13.09</v>
      </c>
      <c r="K267" s="268">
        <f t="shared" si="67"/>
        <v>0</v>
      </c>
      <c r="L267" s="268">
        <f t="shared" si="68"/>
        <v>0</v>
      </c>
      <c r="M267" s="268">
        <f t="shared" si="69"/>
        <v>0</v>
      </c>
      <c r="N267" s="269">
        <f t="shared" si="70"/>
        <v>91.63</v>
      </c>
      <c r="O267" s="325">
        <f t="shared" si="49"/>
        <v>0</v>
      </c>
      <c r="P267" s="319">
        <f t="shared" si="55"/>
        <v>91.63</v>
      </c>
      <c r="Q267" s="322"/>
      <c r="R267" s="322"/>
      <c r="S267" s="323"/>
      <c r="T267" s="271">
        <v>15.89</v>
      </c>
      <c r="U267" s="217"/>
      <c r="V267" s="285">
        <v>0</v>
      </c>
    </row>
    <row r="268" spans="1:22" ht="15.75" x14ac:dyDescent="0.2">
      <c r="A268" s="286">
        <v>19</v>
      </c>
      <c r="B268" s="286"/>
      <c r="C268" s="286"/>
      <c r="D268" s="287" t="s">
        <v>304</v>
      </c>
      <c r="E268" s="288"/>
      <c r="F268" s="289"/>
      <c r="G268" s="261"/>
      <c r="H268" s="261"/>
      <c r="I268" s="261"/>
      <c r="J268" s="261">
        <f>N268</f>
        <v>28168.979999999996</v>
      </c>
      <c r="K268" s="261"/>
      <c r="L268" s="261"/>
      <c r="M268" s="261"/>
      <c r="N268" s="262">
        <f>N269+N275</f>
        <v>28168.979999999996</v>
      </c>
      <c r="O268" s="325" t="e">
        <f t="shared" si="49"/>
        <v>#DIV/0!</v>
      </c>
      <c r="P268" s="319"/>
      <c r="Q268" s="322"/>
      <c r="R268" s="322"/>
      <c r="S268" s="323"/>
      <c r="T268" s="271">
        <v>0</v>
      </c>
      <c r="U268" s="217"/>
      <c r="V268" s="261"/>
    </row>
    <row r="269" spans="1:22" ht="15.75" x14ac:dyDescent="0.2">
      <c r="A269" s="290" t="s">
        <v>685</v>
      </c>
      <c r="B269" s="290"/>
      <c r="C269" s="290"/>
      <c r="D269" s="291" t="s">
        <v>1775</v>
      </c>
      <c r="E269" s="292"/>
      <c r="F269" s="293"/>
      <c r="G269" s="279"/>
      <c r="H269" s="279"/>
      <c r="I269" s="279"/>
      <c r="J269" s="279">
        <f>N269</f>
        <v>6263.99</v>
      </c>
      <c r="K269" s="279"/>
      <c r="L269" s="279"/>
      <c r="M269" s="279"/>
      <c r="N269" s="280">
        <f>SUM(N270:N274)</f>
        <v>6263.99</v>
      </c>
      <c r="O269" s="325" t="e">
        <f t="shared" si="49"/>
        <v>#DIV/0!</v>
      </c>
      <c r="P269" s="319"/>
      <c r="Q269" s="322"/>
      <c r="R269" s="322"/>
      <c r="S269" s="323"/>
      <c r="T269" s="271">
        <v>0</v>
      </c>
      <c r="U269" s="217"/>
      <c r="V269" s="279"/>
    </row>
    <row r="270" spans="1:22" ht="15.75" x14ac:dyDescent="0.2">
      <c r="A270" s="282" t="s">
        <v>1776</v>
      </c>
      <c r="B270" s="282"/>
      <c r="C270" s="282" t="s">
        <v>1339</v>
      </c>
      <c r="D270" s="283" t="s">
        <v>1777</v>
      </c>
      <c r="E270" s="284" t="s">
        <v>14</v>
      </c>
      <c r="F270" s="285">
        <v>2.5</v>
      </c>
      <c r="G270" s="285">
        <v>0</v>
      </c>
      <c r="H270" s="285">
        <v>0</v>
      </c>
      <c r="I270" s="285">
        <v>0</v>
      </c>
      <c r="J270" s="268">
        <f>ROUND(T270*$T$12,2)</f>
        <v>236.77</v>
      </c>
      <c r="K270" s="268">
        <f>G270*J270</f>
        <v>0</v>
      </c>
      <c r="L270" s="268">
        <f>K270</f>
        <v>0</v>
      </c>
      <c r="M270" s="268">
        <f>K270-L270</f>
        <v>0</v>
      </c>
      <c r="N270" s="269">
        <f>ROUND(F270*J270,2)</f>
        <v>591.92999999999995</v>
      </c>
      <c r="O270" s="325">
        <f t="shared" si="49"/>
        <v>0</v>
      </c>
      <c r="P270" s="319">
        <f t="shared" si="55"/>
        <v>591.92500000000007</v>
      </c>
      <c r="Q270" s="322"/>
      <c r="R270" s="322"/>
      <c r="S270" s="323"/>
      <c r="T270" s="271">
        <v>287.48</v>
      </c>
      <c r="U270" s="217"/>
      <c r="V270" s="285">
        <v>0</v>
      </c>
    </row>
    <row r="271" spans="1:22" ht="15.75" x14ac:dyDescent="0.2">
      <c r="A271" s="282" t="s">
        <v>1778</v>
      </c>
      <c r="B271" s="282"/>
      <c r="C271" s="282" t="s">
        <v>1339</v>
      </c>
      <c r="D271" s="283" t="s">
        <v>1779</v>
      </c>
      <c r="E271" s="284" t="s">
        <v>102</v>
      </c>
      <c r="F271" s="285">
        <v>1</v>
      </c>
      <c r="G271" s="285">
        <v>0</v>
      </c>
      <c r="H271" s="285">
        <v>0</v>
      </c>
      <c r="I271" s="285">
        <v>0</v>
      </c>
      <c r="J271" s="268">
        <f>ROUND(T271*$T$12,2)</f>
        <v>1103.49</v>
      </c>
      <c r="K271" s="268">
        <f>G271*J271</f>
        <v>0</v>
      </c>
      <c r="L271" s="268">
        <f>K271</f>
        <v>0</v>
      </c>
      <c r="M271" s="268">
        <f>K271-L271</f>
        <v>0</v>
      </c>
      <c r="N271" s="269">
        <f>ROUND(F271*J271,2)</f>
        <v>1103.49</v>
      </c>
      <c r="O271" s="325">
        <f t="shared" si="49"/>
        <v>0</v>
      </c>
      <c r="P271" s="319">
        <f t="shared" si="55"/>
        <v>1103.49</v>
      </c>
      <c r="Q271" s="322"/>
      <c r="R271" s="322"/>
      <c r="S271" s="323"/>
      <c r="T271" s="271">
        <v>1339.85</v>
      </c>
      <c r="U271" s="217"/>
      <c r="V271" s="285">
        <v>0</v>
      </c>
    </row>
    <row r="272" spans="1:22" ht="15.75" x14ac:dyDescent="0.2">
      <c r="A272" s="282" t="s">
        <v>1780</v>
      </c>
      <c r="B272" s="282"/>
      <c r="C272" s="282" t="s">
        <v>1339</v>
      </c>
      <c r="D272" s="283" t="s">
        <v>1781</v>
      </c>
      <c r="E272" s="284" t="s">
        <v>102</v>
      </c>
      <c r="F272" s="285">
        <v>1</v>
      </c>
      <c r="G272" s="285">
        <v>0</v>
      </c>
      <c r="H272" s="285">
        <v>0</v>
      </c>
      <c r="I272" s="285">
        <v>0</v>
      </c>
      <c r="J272" s="268">
        <f>ROUND(T272*$T$12,2)</f>
        <v>1841.38</v>
      </c>
      <c r="K272" s="268">
        <f>G272*J272</f>
        <v>0</v>
      </c>
      <c r="L272" s="268">
        <f>K272</f>
        <v>0</v>
      </c>
      <c r="M272" s="268">
        <f>K272-L272</f>
        <v>0</v>
      </c>
      <c r="N272" s="269">
        <f>ROUND(F272*J272,2)</f>
        <v>1841.38</v>
      </c>
      <c r="O272" s="325">
        <f t="shared" ref="O272:O283" si="71">L272/P272</f>
        <v>0</v>
      </c>
      <c r="P272" s="319">
        <f t="shared" si="55"/>
        <v>1841.38</v>
      </c>
      <c r="Q272" s="322"/>
      <c r="R272" s="322"/>
      <c r="S272" s="323"/>
      <c r="T272" s="271">
        <v>2235.8000000000002</v>
      </c>
      <c r="U272" s="217"/>
      <c r="V272" s="285">
        <v>0</v>
      </c>
    </row>
    <row r="273" spans="1:22" ht="15.75" x14ac:dyDescent="0.2">
      <c r="A273" s="282" t="s">
        <v>1782</v>
      </c>
      <c r="B273" s="282"/>
      <c r="C273" s="282" t="s">
        <v>1339</v>
      </c>
      <c r="D273" s="283" t="s">
        <v>1783</v>
      </c>
      <c r="E273" s="284" t="s">
        <v>102</v>
      </c>
      <c r="F273" s="285">
        <v>1</v>
      </c>
      <c r="G273" s="285">
        <v>0</v>
      </c>
      <c r="H273" s="285">
        <v>0</v>
      </c>
      <c r="I273" s="285">
        <v>0</v>
      </c>
      <c r="J273" s="268">
        <f>ROUND(T273*$T$12,2)</f>
        <v>777.91</v>
      </c>
      <c r="K273" s="268">
        <f>G273*J273</f>
        <v>0</v>
      </c>
      <c r="L273" s="268">
        <f>K273</f>
        <v>0</v>
      </c>
      <c r="M273" s="268">
        <f>K273-L273</f>
        <v>0</v>
      </c>
      <c r="N273" s="269">
        <f>ROUND(F273*J273,2)</f>
        <v>777.91</v>
      </c>
      <c r="O273" s="325">
        <f t="shared" si="71"/>
        <v>0</v>
      </c>
      <c r="P273" s="319">
        <f t="shared" si="55"/>
        <v>777.91</v>
      </c>
      <c r="Q273" s="322"/>
      <c r="R273" s="322"/>
      <c r="S273" s="323"/>
      <c r="T273" s="271">
        <v>944.54</v>
      </c>
      <c r="U273" s="217"/>
      <c r="V273" s="285">
        <v>0</v>
      </c>
    </row>
    <row r="274" spans="1:22" ht="15.75" x14ac:dyDescent="0.2">
      <c r="A274" s="282" t="s">
        <v>1784</v>
      </c>
      <c r="B274" s="282">
        <v>84862</v>
      </c>
      <c r="C274" s="282" t="s">
        <v>1324</v>
      </c>
      <c r="D274" s="283" t="s">
        <v>1785</v>
      </c>
      <c r="E274" s="284" t="s">
        <v>81</v>
      </c>
      <c r="F274" s="285">
        <v>9.6</v>
      </c>
      <c r="G274" s="285">
        <v>0</v>
      </c>
      <c r="H274" s="285">
        <v>0</v>
      </c>
      <c r="I274" s="285">
        <v>0</v>
      </c>
      <c r="J274" s="268">
        <f>ROUND(T274*$T$12,2)</f>
        <v>203.05</v>
      </c>
      <c r="K274" s="268">
        <f>G274*J274</f>
        <v>0</v>
      </c>
      <c r="L274" s="268">
        <f>K274</f>
        <v>0</v>
      </c>
      <c r="M274" s="268">
        <f>K274-L274</f>
        <v>0</v>
      </c>
      <c r="N274" s="269">
        <f>ROUND(F274*J274,2)</f>
        <v>1949.28</v>
      </c>
      <c r="O274" s="325">
        <f t="shared" si="71"/>
        <v>0</v>
      </c>
      <c r="P274" s="319">
        <f t="shared" si="55"/>
        <v>1949.28</v>
      </c>
      <c r="Q274" s="322"/>
      <c r="R274" s="322"/>
      <c r="S274" s="323"/>
      <c r="T274" s="271">
        <v>246.54</v>
      </c>
      <c r="U274" s="217"/>
      <c r="V274" s="285">
        <v>0</v>
      </c>
    </row>
    <row r="275" spans="1:22" ht="15.75" x14ac:dyDescent="0.2">
      <c r="A275" s="290" t="s">
        <v>691</v>
      </c>
      <c r="B275" s="290"/>
      <c r="C275" s="290"/>
      <c r="D275" s="291" t="s">
        <v>1786</v>
      </c>
      <c r="E275" s="292"/>
      <c r="F275" s="293"/>
      <c r="G275" s="279"/>
      <c r="H275" s="279"/>
      <c r="I275" s="279"/>
      <c r="J275" s="279">
        <f>N275</f>
        <v>21904.989999999998</v>
      </c>
      <c r="K275" s="279"/>
      <c r="L275" s="279"/>
      <c r="M275" s="279"/>
      <c r="N275" s="280">
        <f>SUM(N276:N277)</f>
        <v>21904.989999999998</v>
      </c>
      <c r="O275" s="325" t="e">
        <f t="shared" si="71"/>
        <v>#DIV/0!</v>
      </c>
      <c r="P275" s="319">
        <f t="shared" si="55"/>
        <v>0</v>
      </c>
      <c r="Q275" s="322"/>
      <c r="R275" s="322"/>
      <c r="S275" s="323"/>
      <c r="T275" s="271">
        <v>0</v>
      </c>
      <c r="U275" s="217"/>
      <c r="V275" s="279"/>
    </row>
    <row r="276" spans="1:22" ht="25.5" x14ac:dyDescent="0.2">
      <c r="A276" s="282" t="s">
        <v>1787</v>
      </c>
      <c r="B276" s="282" t="s">
        <v>1788</v>
      </c>
      <c r="C276" s="282" t="s">
        <v>1324</v>
      </c>
      <c r="D276" s="283" t="s">
        <v>1789</v>
      </c>
      <c r="E276" s="284" t="s">
        <v>14</v>
      </c>
      <c r="F276" s="285">
        <v>201</v>
      </c>
      <c r="G276" s="285">
        <v>0</v>
      </c>
      <c r="H276" s="285">
        <v>0</v>
      </c>
      <c r="I276" s="285">
        <v>0</v>
      </c>
      <c r="J276" s="268">
        <f>ROUND(T276*$T$12,2)</f>
        <v>103.67</v>
      </c>
      <c r="K276" s="268">
        <f>G276*J276</f>
        <v>0</v>
      </c>
      <c r="L276" s="268">
        <f>K276</f>
        <v>0</v>
      </c>
      <c r="M276" s="268">
        <f>K276-L276</f>
        <v>0</v>
      </c>
      <c r="N276" s="269">
        <f>ROUND(F276*J276,2)</f>
        <v>20837.669999999998</v>
      </c>
      <c r="O276" s="325">
        <f t="shared" si="71"/>
        <v>0</v>
      </c>
      <c r="P276" s="319">
        <f t="shared" si="55"/>
        <v>20837.670000000002</v>
      </c>
      <c r="Q276" s="322"/>
      <c r="R276" s="322"/>
      <c r="S276" s="323"/>
      <c r="T276" s="271">
        <v>125.87</v>
      </c>
      <c r="U276" s="217"/>
      <c r="V276" s="285">
        <v>0</v>
      </c>
    </row>
    <row r="277" spans="1:22" ht="15.75" x14ac:dyDescent="0.2">
      <c r="A277" s="282" t="s">
        <v>1790</v>
      </c>
      <c r="B277" s="282"/>
      <c r="C277" s="282" t="s">
        <v>1339</v>
      </c>
      <c r="D277" s="283" t="s">
        <v>1791</v>
      </c>
      <c r="E277" s="284" t="s">
        <v>102</v>
      </c>
      <c r="F277" s="285">
        <v>4</v>
      </c>
      <c r="G277" s="285">
        <v>0</v>
      </c>
      <c r="H277" s="285">
        <v>0</v>
      </c>
      <c r="I277" s="285">
        <v>0</v>
      </c>
      <c r="J277" s="268">
        <f>ROUND(T277*$T$12,2)</f>
        <v>266.83</v>
      </c>
      <c r="K277" s="268">
        <f>G277*J277</f>
        <v>0</v>
      </c>
      <c r="L277" s="268">
        <f>K277</f>
        <v>0</v>
      </c>
      <c r="M277" s="268">
        <f>K277-L277</f>
        <v>0</v>
      </c>
      <c r="N277" s="269">
        <f>ROUND(F277*J277,2)</f>
        <v>1067.32</v>
      </c>
      <c r="O277" s="325">
        <f t="shared" si="71"/>
        <v>0</v>
      </c>
      <c r="P277" s="319">
        <f t="shared" si="55"/>
        <v>1067.32</v>
      </c>
      <c r="Q277" s="322"/>
      <c r="R277" s="322"/>
      <c r="S277" s="323"/>
      <c r="T277" s="271">
        <v>323.99</v>
      </c>
      <c r="U277" s="217"/>
      <c r="V277" s="285">
        <v>0</v>
      </c>
    </row>
    <row r="278" spans="1:22" ht="15.75" x14ac:dyDescent="0.2">
      <c r="A278" s="286">
        <v>20</v>
      </c>
      <c r="B278" s="286"/>
      <c r="C278" s="286"/>
      <c r="D278" s="287" t="s">
        <v>1232</v>
      </c>
      <c r="E278" s="288"/>
      <c r="F278" s="289"/>
      <c r="G278" s="261"/>
      <c r="H278" s="261"/>
      <c r="I278" s="261"/>
      <c r="J278" s="261">
        <f>N278</f>
        <v>4777.13</v>
      </c>
      <c r="K278" s="261"/>
      <c r="L278" s="261"/>
      <c r="M278" s="261"/>
      <c r="N278" s="294">
        <f>SUM(N279:N283)</f>
        <v>4777.13</v>
      </c>
      <c r="O278" s="325" t="e">
        <f t="shared" si="71"/>
        <v>#DIV/0!</v>
      </c>
      <c r="P278" s="319"/>
      <c r="Q278" s="322"/>
      <c r="R278" s="322"/>
      <c r="S278" s="323"/>
      <c r="T278" s="271">
        <v>0</v>
      </c>
      <c r="U278" s="217"/>
      <c r="V278" s="261"/>
    </row>
    <row r="279" spans="1:22" ht="15.75" x14ac:dyDescent="0.2">
      <c r="A279" s="282" t="s">
        <v>719</v>
      </c>
      <c r="B279" s="282" t="s">
        <v>1792</v>
      </c>
      <c r="C279" s="282" t="s">
        <v>1324</v>
      </c>
      <c r="D279" s="283" t="s">
        <v>1793</v>
      </c>
      <c r="E279" s="284" t="s">
        <v>14</v>
      </c>
      <c r="F279" s="285">
        <v>296.01</v>
      </c>
      <c r="G279" s="285">
        <v>0</v>
      </c>
      <c r="H279" s="285">
        <v>0</v>
      </c>
      <c r="I279" s="285">
        <v>0</v>
      </c>
      <c r="J279" s="268">
        <f>ROUND(T279*$T$12,2)</f>
        <v>4.97</v>
      </c>
      <c r="K279" s="268">
        <f>G279*J279</f>
        <v>0</v>
      </c>
      <c r="L279" s="268">
        <f>K279</f>
        <v>0</v>
      </c>
      <c r="M279" s="268">
        <f>K279-L279</f>
        <v>0</v>
      </c>
      <c r="N279" s="269">
        <f>ROUND(F279*J279,2)</f>
        <v>1471.17</v>
      </c>
      <c r="O279" s="325">
        <f t="shared" si="71"/>
        <v>0</v>
      </c>
      <c r="P279" s="319">
        <f t="shared" si="55"/>
        <v>1471.1696999999999</v>
      </c>
      <c r="Q279" s="322"/>
      <c r="R279" s="322"/>
      <c r="S279" s="323"/>
      <c r="T279" s="271">
        <v>6.04</v>
      </c>
      <c r="U279" s="217"/>
      <c r="V279" s="285">
        <v>0</v>
      </c>
    </row>
    <row r="280" spans="1:22" ht="15.75" x14ac:dyDescent="0.2">
      <c r="A280" s="282" t="s">
        <v>726</v>
      </c>
      <c r="B280" s="282" t="s">
        <v>1794</v>
      </c>
      <c r="C280" s="282" t="s">
        <v>1324</v>
      </c>
      <c r="D280" s="283" t="s">
        <v>1795</v>
      </c>
      <c r="E280" s="284" t="s">
        <v>14</v>
      </c>
      <c r="F280" s="285">
        <v>21.9</v>
      </c>
      <c r="G280" s="285">
        <v>0</v>
      </c>
      <c r="H280" s="285">
        <v>0</v>
      </c>
      <c r="I280" s="285">
        <v>0</v>
      </c>
      <c r="J280" s="268">
        <f>ROUND(T280*$T$12,2)</f>
        <v>9.57</v>
      </c>
      <c r="K280" s="268">
        <f>G280*J280</f>
        <v>0</v>
      </c>
      <c r="L280" s="268">
        <f>K280</f>
        <v>0</v>
      </c>
      <c r="M280" s="268">
        <f>K280-L280</f>
        <v>0</v>
      </c>
      <c r="N280" s="269">
        <f>ROUND(F280*J280,2)</f>
        <v>209.58</v>
      </c>
      <c r="O280" s="325">
        <f t="shared" si="71"/>
        <v>0</v>
      </c>
      <c r="P280" s="319">
        <f t="shared" si="55"/>
        <v>209.583</v>
      </c>
      <c r="Q280" s="322"/>
      <c r="R280" s="322"/>
      <c r="S280" s="323"/>
      <c r="T280" s="271">
        <v>11.62</v>
      </c>
      <c r="U280" s="217"/>
      <c r="V280" s="285">
        <v>0</v>
      </c>
    </row>
    <row r="281" spans="1:22" ht="15.75" x14ac:dyDescent="0.2">
      <c r="A281" s="282" t="s">
        <v>730</v>
      </c>
      <c r="B281" s="282" t="s">
        <v>1796</v>
      </c>
      <c r="C281" s="282" t="s">
        <v>1324</v>
      </c>
      <c r="D281" s="283" t="s">
        <v>1797</v>
      </c>
      <c r="E281" s="284" t="s">
        <v>14</v>
      </c>
      <c r="F281" s="285">
        <v>64.91</v>
      </c>
      <c r="G281" s="285">
        <v>0</v>
      </c>
      <c r="H281" s="285">
        <v>0</v>
      </c>
      <c r="I281" s="285">
        <v>0</v>
      </c>
      <c r="J281" s="268">
        <f>ROUND(T281*$T$12,2)</f>
        <v>11.45</v>
      </c>
      <c r="K281" s="268">
        <f>G281*J281</f>
        <v>0</v>
      </c>
      <c r="L281" s="268">
        <f>K281</f>
        <v>0</v>
      </c>
      <c r="M281" s="268">
        <f>K281-L281</f>
        <v>0</v>
      </c>
      <c r="N281" s="269">
        <f>ROUND(F281*J281,2)</f>
        <v>743.22</v>
      </c>
      <c r="O281" s="325">
        <f t="shared" si="71"/>
        <v>0</v>
      </c>
      <c r="P281" s="319">
        <f t="shared" si="55"/>
        <v>743.21949999999993</v>
      </c>
      <c r="Q281" s="322"/>
      <c r="R281" s="322"/>
      <c r="S281" s="323"/>
      <c r="T281" s="271">
        <v>13.9</v>
      </c>
      <c r="U281" s="217"/>
      <c r="V281" s="285">
        <v>0</v>
      </c>
    </row>
    <row r="282" spans="1:22" ht="15.75" x14ac:dyDescent="0.2">
      <c r="A282" s="282" t="s">
        <v>739</v>
      </c>
      <c r="B282" s="282" t="s">
        <v>1798</v>
      </c>
      <c r="C282" s="282" t="s">
        <v>1324</v>
      </c>
      <c r="D282" s="283" t="s">
        <v>1799</v>
      </c>
      <c r="E282" s="284" t="s">
        <v>14</v>
      </c>
      <c r="F282" s="285">
        <v>676.67</v>
      </c>
      <c r="G282" s="285">
        <v>0</v>
      </c>
      <c r="H282" s="285">
        <v>0</v>
      </c>
      <c r="I282" s="285">
        <v>0</v>
      </c>
      <c r="J282" s="268">
        <f>ROUND(T282*$T$12,2)</f>
        <v>1.53</v>
      </c>
      <c r="K282" s="268">
        <f>G282*J282</f>
        <v>0</v>
      </c>
      <c r="L282" s="268">
        <f>K282</f>
        <v>0</v>
      </c>
      <c r="M282" s="268">
        <f>K282-L282</f>
        <v>0</v>
      </c>
      <c r="N282" s="269">
        <f>ROUND(F282*J282,2)</f>
        <v>1035.31</v>
      </c>
      <c r="O282" s="325">
        <f t="shared" si="71"/>
        <v>0</v>
      </c>
      <c r="P282" s="319">
        <f>F282*J282</f>
        <v>1035.3051</v>
      </c>
      <c r="Q282" s="322"/>
      <c r="R282" s="322"/>
      <c r="S282" s="323"/>
      <c r="T282" s="271">
        <v>1.86</v>
      </c>
      <c r="U282" s="217"/>
      <c r="V282" s="285">
        <v>0</v>
      </c>
    </row>
    <row r="283" spans="1:22" ht="15.75" x14ac:dyDescent="0.2">
      <c r="A283" s="282" t="s">
        <v>743</v>
      </c>
      <c r="B283" s="282">
        <v>84122</v>
      </c>
      <c r="C283" s="282" t="s">
        <v>1324</v>
      </c>
      <c r="D283" s="283" t="s">
        <v>1800</v>
      </c>
      <c r="E283" s="284" t="s">
        <v>102</v>
      </c>
      <c r="F283" s="285">
        <v>1</v>
      </c>
      <c r="G283" s="285">
        <v>0</v>
      </c>
      <c r="H283" s="285">
        <v>0</v>
      </c>
      <c r="I283" s="285">
        <v>0</v>
      </c>
      <c r="J283" s="268">
        <f>ROUND(T283*$T$12,2)</f>
        <v>1317.85</v>
      </c>
      <c r="K283" s="268">
        <f>G283*J283</f>
        <v>0</v>
      </c>
      <c r="L283" s="268">
        <f>K283</f>
        <v>0</v>
      </c>
      <c r="M283" s="268">
        <f>K283-L283</f>
        <v>0</v>
      </c>
      <c r="N283" s="269">
        <f>ROUND(F283*J283,2)</f>
        <v>1317.85</v>
      </c>
      <c r="O283" s="325">
        <f t="shared" si="71"/>
        <v>0</v>
      </c>
      <c r="P283" s="319">
        <f>F283*J283</f>
        <v>1317.85</v>
      </c>
      <c r="Q283" s="322"/>
      <c r="R283" s="322"/>
      <c r="S283" s="323"/>
      <c r="T283" s="271">
        <v>1600.13</v>
      </c>
      <c r="U283" s="217"/>
      <c r="V283" s="285">
        <v>0</v>
      </c>
    </row>
  </sheetData>
  <mergeCells count="7">
    <mergeCell ref="A10:N10"/>
    <mergeCell ref="C2:N2"/>
    <mergeCell ref="C3:N3"/>
    <mergeCell ref="A4:A6"/>
    <mergeCell ref="E6:F6"/>
    <mergeCell ref="B8:J8"/>
    <mergeCell ref="B9:N9"/>
  </mergeCells>
  <conditionalFormatting sqref="J45:N46 J51:N51 J57:N57 J62:N62 J67:N67 J69:N70 J72:N72 J75:N75 J77:N78 J83:N83 J87:N87 J90:N90 J92:N92 J95:N95 J98:N98 J109:N110 J116:N116 J120:N120 J129:N130 J152:N152 J168:N169 J181:N181 J190:N190 J194:N194 J208:N208 J214:N215 J225:N225 J247:N247 J252:N252 J259:N259 J268:N269 J275:N275 J278:N278 A16:G25 A45:I87 A26:N26 A32:N33 A14:N14 A40:H44 A39:N39 A89:I283 A27:G31 A34:H38">
    <cfRule type="expression" dxfId="949" priority="3">
      <formula>$D14&lt;&gt;0</formula>
    </cfRule>
    <cfRule type="expression" dxfId="948" priority="4">
      <formula>$P14=1</formula>
    </cfRule>
  </conditionalFormatting>
  <conditionalFormatting sqref="V14 V16:V87 V89:V283">
    <cfRule type="expression" dxfId="947" priority="1">
      <formula>$D14&lt;&gt;0</formula>
    </cfRule>
    <cfRule type="expression" dxfId="946" priority="2">
      <formula>$P14=1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283"/>
  <sheetViews>
    <sheetView zoomScale="70" zoomScaleNormal="70" workbookViewId="0">
      <selection activeCell="H14" sqref="H14:H283"/>
    </sheetView>
  </sheetViews>
  <sheetFormatPr defaultRowHeight="12.75" x14ac:dyDescent="0.2"/>
  <cols>
    <col min="1" max="1" width="11.5" customWidth="1"/>
    <col min="2" max="3" width="12.5" customWidth="1"/>
    <col min="4" max="4" width="76.33203125" customWidth="1"/>
    <col min="5" max="5" width="10.83203125" customWidth="1"/>
    <col min="6" max="6" width="21.83203125" customWidth="1"/>
    <col min="7" max="7" width="22.6640625" customWidth="1"/>
    <col min="8" max="8" width="18.1640625" customWidth="1"/>
    <col min="9" max="9" width="19.6640625" customWidth="1"/>
    <col min="10" max="10" width="16" customWidth="1"/>
    <col min="11" max="11" width="24" bestFit="1" customWidth="1"/>
    <col min="12" max="12" width="24" customWidth="1"/>
    <col min="13" max="13" width="22.6640625" customWidth="1"/>
    <col min="14" max="14" width="24.33203125" customWidth="1"/>
    <col min="15" max="15" width="12.5" customWidth="1"/>
    <col min="16" max="16" width="24" customWidth="1"/>
    <col min="17" max="20" width="0" hidden="1" customWidth="1"/>
  </cols>
  <sheetData>
    <row r="1" spans="1:21" ht="16.5" thickBot="1" x14ac:dyDescent="0.25">
      <c r="A1" s="221"/>
      <c r="B1" s="221"/>
      <c r="C1" s="296"/>
      <c r="D1" s="226"/>
      <c r="E1" s="296"/>
      <c r="F1" s="296"/>
      <c r="G1" s="226"/>
      <c r="H1" s="226"/>
      <c r="I1" s="226"/>
      <c r="J1" s="226"/>
      <c r="K1" s="226"/>
      <c r="L1" s="326"/>
      <c r="M1" s="326"/>
      <c r="N1" s="326"/>
      <c r="O1" s="297"/>
      <c r="P1" s="298"/>
      <c r="Q1" s="299"/>
      <c r="R1" s="299"/>
      <c r="S1" s="300"/>
      <c r="T1" s="217"/>
      <c r="U1" s="217"/>
    </row>
    <row r="2" spans="1:21" ht="20.25" x14ac:dyDescent="0.2">
      <c r="A2" s="218"/>
      <c r="B2" s="219"/>
      <c r="C2" s="848" t="s">
        <v>1808</v>
      </c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4"/>
      <c r="O2" s="297"/>
      <c r="P2" s="298"/>
      <c r="Q2" s="299"/>
      <c r="R2" s="299"/>
      <c r="S2" s="300"/>
      <c r="T2" s="217"/>
      <c r="U2" s="217"/>
    </row>
    <row r="3" spans="1:21" ht="20.25" x14ac:dyDescent="0.2">
      <c r="A3" s="220"/>
      <c r="B3" s="221"/>
      <c r="C3" s="849" t="s">
        <v>2001</v>
      </c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6"/>
      <c r="O3" s="297"/>
      <c r="P3" s="298"/>
      <c r="Q3" s="299"/>
      <c r="R3" s="299"/>
      <c r="S3" s="300"/>
      <c r="T3" s="217"/>
      <c r="U3" s="217"/>
    </row>
    <row r="4" spans="1:21" ht="15.75" x14ac:dyDescent="0.2">
      <c r="A4" s="837"/>
      <c r="B4" s="222"/>
      <c r="C4" s="853" t="s">
        <v>2002</v>
      </c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  <c r="O4" s="297"/>
      <c r="P4" s="298"/>
      <c r="Q4" s="302"/>
      <c r="R4" s="302"/>
      <c r="S4" s="303"/>
      <c r="T4" s="217"/>
      <c r="U4" s="217"/>
    </row>
    <row r="5" spans="1:21" ht="15.75" x14ac:dyDescent="0.2">
      <c r="A5" s="837"/>
      <c r="B5" s="222"/>
      <c r="C5" s="301"/>
      <c r="D5" s="229"/>
      <c r="E5" s="225"/>
      <c r="F5" s="225"/>
      <c r="G5" s="226"/>
      <c r="H5" s="226"/>
      <c r="I5" s="226"/>
      <c r="J5" s="226"/>
      <c r="K5" s="226"/>
      <c r="L5" s="326"/>
      <c r="M5" s="326"/>
      <c r="N5" s="327"/>
      <c r="O5" s="297"/>
      <c r="P5" s="298"/>
      <c r="Q5" s="304"/>
      <c r="R5" s="304"/>
      <c r="S5" s="303"/>
      <c r="T5" s="217"/>
      <c r="U5" s="217"/>
    </row>
    <row r="6" spans="1:21" ht="16.5" thickBot="1" x14ac:dyDescent="0.25">
      <c r="A6" s="838"/>
      <c r="B6" s="231"/>
      <c r="C6" s="305"/>
      <c r="D6" s="233"/>
      <c r="E6" s="839"/>
      <c r="F6" s="839"/>
      <c r="G6" s="839"/>
      <c r="H6" s="234"/>
      <c r="I6" s="234"/>
      <c r="J6" s="234"/>
      <c r="K6" s="235"/>
      <c r="L6" s="328"/>
      <c r="M6" s="328"/>
      <c r="N6" s="329"/>
      <c r="O6" s="297"/>
      <c r="P6" s="298"/>
      <c r="Q6" s="302"/>
      <c r="R6" s="302"/>
      <c r="S6" s="303"/>
      <c r="T6" s="217"/>
      <c r="U6" s="217"/>
    </row>
    <row r="7" spans="1:21" ht="16.5" thickBot="1" x14ac:dyDescent="0.25">
      <c r="A7" s="295"/>
      <c r="B7" s="222"/>
      <c r="C7" s="223"/>
      <c r="D7" s="330"/>
      <c r="E7" s="223"/>
      <c r="F7" s="223"/>
      <c r="G7" s="330"/>
      <c r="H7" s="330"/>
      <c r="I7" s="330"/>
      <c r="J7" s="330"/>
      <c r="K7" s="330"/>
      <c r="L7" s="331"/>
      <c r="M7" s="331"/>
      <c r="N7" s="332"/>
      <c r="O7" s="297"/>
      <c r="P7" s="306"/>
      <c r="Q7" s="307"/>
      <c r="R7" s="307"/>
      <c r="S7" s="308"/>
      <c r="T7" s="217"/>
      <c r="U7" s="217"/>
    </row>
    <row r="8" spans="1:21" ht="15.75" x14ac:dyDescent="0.2">
      <c r="A8" s="309" t="s">
        <v>1814</v>
      </c>
      <c r="B8" s="850" t="str">
        <f>[7]DADOS!C16</f>
        <v>PREFEITURA MUNICIPAL DE BARREIRAS</v>
      </c>
      <c r="C8" s="850"/>
      <c r="D8" s="850"/>
      <c r="E8" s="850"/>
      <c r="F8" s="850"/>
      <c r="G8" s="850"/>
      <c r="H8" s="850"/>
      <c r="I8" s="850"/>
      <c r="J8" s="850"/>
      <c r="K8" s="850"/>
      <c r="L8" s="333"/>
      <c r="M8" s="333"/>
      <c r="N8" s="334"/>
      <c r="O8" s="297"/>
      <c r="P8" s="306"/>
      <c r="Q8" s="307"/>
      <c r="R8" s="307"/>
      <c r="S8" s="308"/>
      <c r="T8" s="217"/>
      <c r="U8" s="217"/>
    </row>
    <row r="9" spans="1:21" ht="31.5" customHeight="1" x14ac:dyDescent="0.2">
      <c r="A9" s="312" t="s">
        <v>1815</v>
      </c>
      <c r="B9" s="851" t="str">
        <f>[7]DADOS!C17</f>
        <v>CONTRATAÇÃO DE EMPRESA PRESTADORA DE SERVIÇOS NO RAMO DA CONSTRUÇÃO CIVIL NA EXECUÇÃO DA OBRA DE CONSTRUÇÃO DE UMA QUADRA COBERTA POLIESPORTIVA , TIPO 1 PADRÃO FNDE NA ESCOLA MUNICIPAL PROFESSORA CLEONICE LOPES NA SEDE DESTE MUNICÍPIO</v>
      </c>
      <c r="C9" s="851"/>
      <c r="D9" s="851"/>
      <c r="E9" s="851"/>
      <c r="F9" s="851"/>
      <c r="G9" s="851"/>
      <c r="H9" s="851"/>
      <c r="I9" s="851"/>
      <c r="J9" s="851"/>
      <c r="K9" s="851"/>
      <c r="L9" s="851"/>
      <c r="M9" s="851"/>
      <c r="N9" s="852"/>
      <c r="O9" s="297"/>
      <c r="P9" s="313"/>
      <c r="Q9" s="314"/>
      <c r="R9" s="314"/>
      <c r="S9" s="315"/>
      <c r="T9" s="217"/>
      <c r="U9" s="217"/>
    </row>
    <row r="10" spans="1:21" ht="27" customHeight="1" thickBot="1" x14ac:dyDescent="0.25">
      <c r="A10" s="845" t="s">
        <v>1816</v>
      </c>
      <c r="B10" s="846"/>
      <c r="C10" s="846"/>
      <c r="D10" s="846"/>
      <c r="E10" s="846"/>
      <c r="F10" s="846"/>
      <c r="G10" s="846"/>
      <c r="H10" s="846"/>
      <c r="I10" s="846"/>
      <c r="J10" s="846"/>
      <c r="K10" s="846"/>
      <c r="L10" s="846"/>
      <c r="M10" s="846"/>
      <c r="N10" s="847"/>
      <c r="O10" s="297"/>
      <c r="P10" s="306"/>
      <c r="Q10" s="307"/>
      <c r="R10" s="307"/>
      <c r="S10" s="308"/>
      <c r="T10" s="217"/>
      <c r="U10" s="217"/>
    </row>
    <row r="11" spans="1:21" ht="15.75" x14ac:dyDescent="0.2">
      <c r="A11" s="295"/>
      <c r="B11" s="222"/>
      <c r="C11" s="223"/>
      <c r="D11" s="330"/>
      <c r="E11" s="223"/>
      <c r="F11" s="223"/>
      <c r="G11" s="330"/>
      <c r="H11" s="330"/>
      <c r="I11" s="330"/>
      <c r="J11" s="330"/>
      <c r="K11" s="330"/>
      <c r="L11" s="331"/>
      <c r="M11" s="331"/>
      <c r="N11" s="332"/>
      <c r="O11" s="297"/>
      <c r="P11" s="306"/>
      <c r="Q11" s="307"/>
      <c r="R11" s="307"/>
      <c r="S11" s="308"/>
      <c r="T11" s="217"/>
      <c r="U11" s="217"/>
    </row>
    <row r="12" spans="1:21" ht="25.5" x14ac:dyDescent="0.2">
      <c r="A12" s="335" t="s">
        <v>4</v>
      </c>
      <c r="B12" s="247" t="s">
        <v>1326</v>
      </c>
      <c r="C12" s="248" t="s">
        <v>1327</v>
      </c>
      <c r="D12" s="247" t="s">
        <v>5</v>
      </c>
      <c r="E12" s="247" t="s">
        <v>1817</v>
      </c>
      <c r="F12" s="248" t="s">
        <v>1820</v>
      </c>
      <c r="G12" s="248" t="s">
        <v>1999</v>
      </c>
      <c r="H12" s="247" t="s">
        <v>1818</v>
      </c>
      <c r="I12" s="247" t="s">
        <v>1819</v>
      </c>
      <c r="J12" s="247" t="s">
        <v>1295</v>
      </c>
      <c r="K12" s="248" t="s">
        <v>2000</v>
      </c>
      <c r="L12" s="336" t="s">
        <v>1818</v>
      </c>
      <c r="M12" s="336" t="s">
        <v>1819</v>
      </c>
      <c r="N12" s="337" t="s">
        <v>1295</v>
      </c>
      <c r="O12" s="297"/>
      <c r="P12" s="316"/>
      <c r="Q12" s="317"/>
      <c r="R12" s="317"/>
      <c r="S12" s="318"/>
      <c r="T12" s="251">
        <v>0.8235894900825953</v>
      </c>
      <c r="U12" s="217"/>
    </row>
    <row r="13" spans="1:21" ht="63.75" x14ac:dyDescent="0.2">
      <c r="A13" s="338"/>
      <c r="B13" s="252"/>
      <c r="C13" s="253"/>
      <c r="D13" s="254" t="str">
        <f>B9</f>
        <v>CONTRATAÇÃO DE EMPRESA PRESTADORA DE SERVIÇOS NO RAMO DA CONSTRUÇÃO CIVIL NA EXECUÇÃO DA OBRA DE CONSTRUÇÃO DE UMA QUADRA COBERTA POLIESPORTIVA , TIPO 1 PADRÃO FNDE NA ESCOLA MUNICIPAL PROFESSORA CLEONICE LOPES NA SEDE DESTE MUNICÍPIO</v>
      </c>
      <c r="E13" s="252"/>
      <c r="F13" s="256"/>
      <c r="G13" s="255"/>
      <c r="H13" s="255"/>
      <c r="I13" s="255"/>
      <c r="J13" s="255"/>
      <c r="K13" s="257">
        <f>K14+K26+K32+K45+K69+K77+K92+K95+K98+K109+K120+K129+K168+K190+K194+K208+K214+K259+K268+K278</f>
        <v>664297.16</v>
      </c>
      <c r="L13" s="339">
        <f>SUM(L14,L26,L32,L51,L46,L72)</f>
        <v>49742.076820000009</v>
      </c>
      <c r="M13" s="339">
        <f>SUM(M14,M26,M32,M45,M69)</f>
        <v>107914.04392</v>
      </c>
      <c r="N13" s="340">
        <f>K13-M13</f>
        <v>556383.11608000007</v>
      </c>
      <c r="O13" s="297"/>
      <c r="P13" s="319"/>
      <c r="Q13" s="317"/>
      <c r="R13" s="317"/>
      <c r="S13" s="318"/>
      <c r="T13" s="251"/>
      <c r="U13" s="217"/>
    </row>
    <row r="14" spans="1:21" ht="15.75" x14ac:dyDescent="0.2">
      <c r="A14" s="341">
        <v>1</v>
      </c>
      <c r="B14" s="258"/>
      <c r="C14" s="258"/>
      <c r="D14" s="259" t="s">
        <v>9</v>
      </c>
      <c r="E14" s="260"/>
      <c r="F14" s="261">
        <f>K14</f>
        <v>32660.889999999992</v>
      </c>
      <c r="G14" s="261">
        <f t="shared" ref="G14:M14" si="0">SUM(G15:G25)</f>
        <v>2411.4</v>
      </c>
      <c r="H14" s="261">
        <f t="shared" si="0"/>
        <v>0</v>
      </c>
      <c r="I14" s="261">
        <f t="shared" si="0"/>
        <v>0</v>
      </c>
      <c r="J14" s="261">
        <f t="shared" si="0"/>
        <v>2411.4</v>
      </c>
      <c r="K14" s="262">
        <f t="shared" si="0"/>
        <v>32660.889999999992</v>
      </c>
      <c r="L14" s="342">
        <f t="shared" si="0"/>
        <v>0</v>
      </c>
      <c r="M14" s="342">
        <f t="shared" si="0"/>
        <v>32660.892</v>
      </c>
      <c r="N14" s="343">
        <v>0</v>
      </c>
      <c r="O14" s="321"/>
      <c r="P14" s="319"/>
      <c r="Q14" s="322"/>
      <c r="R14" s="322"/>
      <c r="S14" s="323" t="s">
        <v>1822</v>
      </c>
      <c r="T14" s="264"/>
      <c r="U14" s="324"/>
    </row>
    <row r="15" spans="1:21" ht="15.75" x14ac:dyDescent="0.2">
      <c r="A15" s="108" t="s">
        <v>10</v>
      </c>
      <c r="B15" s="265" t="s">
        <v>1328</v>
      </c>
      <c r="C15" s="265" t="s">
        <v>1324</v>
      </c>
      <c r="D15" s="266" t="s">
        <v>1329</v>
      </c>
      <c r="E15" s="267" t="s">
        <v>14</v>
      </c>
      <c r="F15" s="268">
        <f t="shared" ref="F15:F25" si="1">ROUND(T15*$T$12,2)</f>
        <v>232.25</v>
      </c>
      <c r="G15" s="268">
        <v>10</v>
      </c>
      <c r="H15" s="268">
        <v>0</v>
      </c>
      <c r="I15" s="268">
        <f>V15+H15</f>
        <v>0</v>
      </c>
      <c r="J15" s="268">
        <f t="shared" ref="J15:J25" si="2">G15-I15</f>
        <v>10</v>
      </c>
      <c r="K15" s="269">
        <f t="shared" ref="K15:K25" si="3">ROUND(G15*F15,2)</f>
        <v>2322.5</v>
      </c>
      <c r="L15" s="344">
        <f t="shared" ref="L15:L25" si="4">H15*F15</f>
        <v>0</v>
      </c>
      <c r="M15" s="344">
        <f t="shared" ref="M15:M25" si="5">G15*F15</f>
        <v>2322.5</v>
      </c>
      <c r="N15" s="345">
        <f t="shared" ref="N15:N25" si="6">F15*G15-M15</f>
        <v>0</v>
      </c>
      <c r="O15" s="325">
        <f t="shared" ref="O15:O25" si="7">M15/P15</f>
        <v>1</v>
      </c>
      <c r="P15" s="319">
        <f t="shared" ref="P15:P25" si="8">G15*F15</f>
        <v>2322.5</v>
      </c>
      <c r="Q15" s="322"/>
      <c r="R15" s="322"/>
      <c r="S15" s="323" t="s">
        <v>1823</v>
      </c>
      <c r="T15" s="271">
        <v>282</v>
      </c>
      <c r="U15" s="324"/>
    </row>
    <row r="16" spans="1:21" ht="15.75" x14ac:dyDescent="0.2">
      <c r="A16" s="346" t="s">
        <v>1330</v>
      </c>
      <c r="B16" s="272" t="s">
        <v>1331</v>
      </c>
      <c r="C16" s="272" t="s">
        <v>1324</v>
      </c>
      <c r="D16" s="273" t="s">
        <v>1332</v>
      </c>
      <c r="E16" s="274" t="s">
        <v>14</v>
      </c>
      <c r="F16" s="268">
        <f t="shared" si="1"/>
        <v>39.78</v>
      </c>
      <c r="G16" s="275">
        <v>312.39999999999998</v>
      </c>
      <c r="H16" s="275">
        <v>0</v>
      </c>
      <c r="I16" s="268">
        <f>V16+H16+W16</f>
        <v>0</v>
      </c>
      <c r="J16" s="268">
        <f t="shared" si="2"/>
        <v>312.39999999999998</v>
      </c>
      <c r="K16" s="269">
        <f t="shared" si="3"/>
        <v>12427.27</v>
      </c>
      <c r="L16" s="344">
        <f t="shared" si="4"/>
        <v>0</v>
      </c>
      <c r="M16" s="344">
        <f t="shared" si="5"/>
        <v>12427.271999999999</v>
      </c>
      <c r="N16" s="345">
        <f t="shared" si="6"/>
        <v>0</v>
      </c>
      <c r="O16" s="325">
        <f t="shared" si="7"/>
        <v>1</v>
      </c>
      <c r="P16" s="319">
        <f t="shared" si="8"/>
        <v>12427.271999999999</v>
      </c>
      <c r="Q16" s="322"/>
      <c r="R16" s="322"/>
      <c r="S16" s="323" t="s">
        <v>1824</v>
      </c>
      <c r="T16" s="271">
        <v>48.3</v>
      </c>
      <c r="U16" s="324"/>
    </row>
    <row r="17" spans="1:21" ht="25.5" x14ac:dyDescent="0.2">
      <c r="A17" s="346" t="s">
        <v>1333</v>
      </c>
      <c r="B17" s="272">
        <v>9540</v>
      </c>
      <c r="C17" s="272" t="s">
        <v>1324</v>
      </c>
      <c r="D17" s="273" t="s">
        <v>1334</v>
      </c>
      <c r="E17" s="274" t="s">
        <v>102</v>
      </c>
      <c r="F17" s="268">
        <f t="shared" si="1"/>
        <v>783.05</v>
      </c>
      <c r="G17" s="275">
        <v>1</v>
      </c>
      <c r="H17" s="275">
        <v>0</v>
      </c>
      <c r="I17" s="268">
        <f>W17</f>
        <v>0</v>
      </c>
      <c r="J17" s="268">
        <f t="shared" si="2"/>
        <v>1</v>
      </c>
      <c r="K17" s="269">
        <f t="shared" si="3"/>
        <v>783.05</v>
      </c>
      <c r="L17" s="344">
        <f t="shared" si="4"/>
        <v>0</v>
      </c>
      <c r="M17" s="344">
        <f t="shared" si="5"/>
        <v>783.05</v>
      </c>
      <c r="N17" s="345">
        <f t="shared" si="6"/>
        <v>0</v>
      </c>
      <c r="O17" s="325">
        <f t="shared" si="7"/>
        <v>1</v>
      </c>
      <c r="P17" s="319">
        <f t="shared" si="8"/>
        <v>783.05</v>
      </c>
      <c r="Q17" s="322"/>
      <c r="R17" s="322"/>
      <c r="S17" s="323" t="s">
        <v>1825</v>
      </c>
      <c r="T17" s="271">
        <v>950.78</v>
      </c>
      <c r="U17" s="324"/>
    </row>
    <row r="18" spans="1:21" ht="15.75" x14ac:dyDescent="0.2">
      <c r="A18" s="346" t="s">
        <v>1335</v>
      </c>
      <c r="B18" s="272" t="s">
        <v>1336</v>
      </c>
      <c r="C18" s="272" t="s">
        <v>1324</v>
      </c>
      <c r="D18" s="273" t="s">
        <v>1337</v>
      </c>
      <c r="E18" s="274" t="s">
        <v>102</v>
      </c>
      <c r="F18" s="268">
        <f t="shared" si="1"/>
        <v>1344.39</v>
      </c>
      <c r="G18" s="275">
        <v>1</v>
      </c>
      <c r="H18" s="275">
        <v>0</v>
      </c>
      <c r="I18" s="268">
        <f>W18</f>
        <v>0</v>
      </c>
      <c r="J18" s="268">
        <f t="shared" si="2"/>
        <v>1</v>
      </c>
      <c r="K18" s="269">
        <f t="shared" si="3"/>
        <v>1344.39</v>
      </c>
      <c r="L18" s="344">
        <f t="shared" si="4"/>
        <v>0</v>
      </c>
      <c r="M18" s="344">
        <f t="shared" si="5"/>
        <v>1344.39</v>
      </c>
      <c r="N18" s="345">
        <f t="shared" si="6"/>
        <v>0</v>
      </c>
      <c r="O18" s="325">
        <f t="shared" si="7"/>
        <v>1</v>
      </c>
      <c r="P18" s="319">
        <f t="shared" si="8"/>
        <v>1344.39</v>
      </c>
      <c r="Q18" s="322"/>
      <c r="R18" s="322"/>
      <c r="S18" s="323" t="s">
        <v>1826</v>
      </c>
      <c r="T18" s="271">
        <v>1632.35</v>
      </c>
      <c r="U18" s="324"/>
    </row>
    <row r="19" spans="1:21" ht="15.75" x14ac:dyDescent="0.2">
      <c r="A19" s="346" t="s">
        <v>1338</v>
      </c>
      <c r="B19" s="272"/>
      <c r="C19" s="272" t="s">
        <v>1339</v>
      </c>
      <c r="D19" s="273" t="s">
        <v>1340</v>
      </c>
      <c r="E19" s="274" t="s">
        <v>102</v>
      </c>
      <c r="F19" s="268">
        <f t="shared" si="1"/>
        <v>823.61</v>
      </c>
      <c r="G19" s="275">
        <v>1</v>
      </c>
      <c r="H19" s="275">
        <v>0</v>
      </c>
      <c r="I19" s="268">
        <f>W19</f>
        <v>0</v>
      </c>
      <c r="J19" s="268">
        <f t="shared" si="2"/>
        <v>1</v>
      </c>
      <c r="K19" s="269">
        <f t="shared" si="3"/>
        <v>823.61</v>
      </c>
      <c r="L19" s="344">
        <f t="shared" si="4"/>
        <v>0</v>
      </c>
      <c r="M19" s="344">
        <f t="shared" si="5"/>
        <v>823.61</v>
      </c>
      <c r="N19" s="345">
        <f t="shared" si="6"/>
        <v>0</v>
      </c>
      <c r="O19" s="325">
        <f t="shared" si="7"/>
        <v>1</v>
      </c>
      <c r="P19" s="319">
        <f t="shared" si="8"/>
        <v>823.61</v>
      </c>
      <c r="Q19" s="322"/>
      <c r="R19" s="322"/>
      <c r="S19" s="323" t="s">
        <v>1827</v>
      </c>
      <c r="T19" s="271">
        <v>1000.03</v>
      </c>
      <c r="U19" s="324"/>
    </row>
    <row r="20" spans="1:21" ht="15.75" x14ac:dyDescent="0.2">
      <c r="A20" s="346" t="s">
        <v>1341</v>
      </c>
      <c r="B20" s="272" t="s">
        <v>1342</v>
      </c>
      <c r="C20" s="272" t="s">
        <v>1343</v>
      </c>
      <c r="D20" s="273" t="s">
        <v>1344</v>
      </c>
      <c r="E20" s="274" t="s">
        <v>102</v>
      </c>
      <c r="F20" s="268">
        <f t="shared" si="1"/>
        <v>174.71</v>
      </c>
      <c r="G20" s="275">
        <v>1</v>
      </c>
      <c r="H20" s="275">
        <v>0</v>
      </c>
      <c r="I20" s="268">
        <f>W20</f>
        <v>0</v>
      </c>
      <c r="J20" s="268">
        <f t="shared" si="2"/>
        <v>1</v>
      </c>
      <c r="K20" s="269">
        <f t="shared" si="3"/>
        <v>174.71</v>
      </c>
      <c r="L20" s="344">
        <f t="shared" si="4"/>
        <v>0</v>
      </c>
      <c r="M20" s="344">
        <f t="shared" si="5"/>
        <v>174.71</v>
      </c>
      <c r="N20" s="345">
        <f t="shared" si="6"/>
        <v>0</v>
      </c>
      <c r="O20" s="325">
        <f t="shared" si="7"/>
        <v>1</v>
      </c>
      <c r="P20" s="319">
        <f t="shared" si="8"/>
        <v>174.71</v>
      </c>
      <c r="Q20" s="322"/>
      <c r="R20" s="322"/>
      <c r="S20" s="323" t="s">
        <v>1828</v>
      </c>
      <c r="T20" s="271">
        <v>212.13</v>
      </c>
      <c r="U20" s="324"/>
    </row>
    <row r="21" spans="1:21" ht="25.5" x14ac:dyDescent="0.2">
      <c r="A21" s="346" t="s">
        <v>1345</v>
      </c>
      <c r="B21" s="272" t="s">
        <v>1346</v>
      </c>
      <c r="C21" s="272" t="s">
        <v>1324</v>
      </c>
      <c r="D21" s="273" t="s">
        <v>1347</v>
      </c>
      <c r="E21" s="274" t="s">
        <v>102</v>
      </c>
      <c r="F21" s="268">
        <f t="shared" si="1"/>
        <v>1343.12</v>
      </c>
      <c r="G21" s="275">
        <v>1</v>
      </c>
      <c r="H21" s="275">
        <v>0</v>
      </c>
      <c r="I21" s="268">
        <f>W21</f>
        <v>0</v>
      </c>
      <c r="J21" s="268">
        <f t="shared" si="2"/>
        <v>1</v>
      </c>
      <c r="K21" s="269">
        <f t="shared" si="3"/>
        <v>1343.12</v>
      </c>
      <c r="L21" s="344">
        <f t="shared" si="4"/>
        <v>0</v>
      </c>
      <c r="M21" s="344">
        <f t="shared" si="5"/>
        <v>1343.12</v>
      </c>
      <c r="N21" s="345">
        <f t="shared" si="6"/>
        <v>0</v>
      </c>
      <c r="O21" s="325">
        <f t="shared" si="7"/>
        <v>1</v>
      </c>
      <c r="P21" s="319">
        <f t="shared" si="8"/>
        <v>1343.12</v>
      </c>
      <c r="Q21" s="322"/>
      <c r="R21" s="322"/>
      <c r="S21" s="323" t="s">
        <v>1829</v>
      </c>
      <c r="T21" s="271">
        <v>1630.81</v>
      </c>
      <c r="U21" s="324"/>
    </row>
    <row r="22" spans="1:21" ht="15.75" x14ac:dyDescent="0.2">
      <c r="A22" s="346" t="s">
        <v>1348</v>
      </c>
      <c r="B22" s="272" t="s">
        <v>1349</v>
      </c>
      <c r="C22" s="272" t="s">
        <v>1324</v>
      </c>
      <c r="D22" s="273" t="s">
        <v>1350</v>
      </c>
      <c r="E22" s="274" t="s">
        <v>14</v>
      </c>
      <c r="F22" s="268">
        <f t="shared" si="1"/>
        <v>390.47</v>
      </c>
      <c r="G22" s="275">
        <v>20</v>
      </c>
      <c r="H22" s="275">
        <v>0</v>
      </c>
      <c r="I22" s="268">
        <f>V22+W22</f>
        <v>0</v>
      </c>
      <c r="J22" s="268">
        <f t="shared" si="2"/>
        <v>20</v>
      </c>
      <c r="K22" s="269">
        <f t="shared" si="3"/>
        <v>7809.4</v>
      </c>
      <c r="L22" s="344">
        <f t="shared" si="4"/>
        <v>0</v>
      </c>
      <c r="M22" s="344">
        <f t="shared" si="5"/>
        <v>7809.4000000000005</v>
      </c>
      <c r="N22" s="345">
        <f t="shared" si="6"/>
        <v>0</v>
      </c>
      <c r="O22" s="325">
        <f t="shared" si="7"/>
        <v>1</v>
      </c>
      <c r="P22" s="319">
        <f t="shared" si="8"/>
        <v>7809.4000000000005</v>
      </c>
      <c r="Q22" s="322"/>
      <c r="R22" s="322"/>
      <c r="S22" s="323" t="s">
        <v>1830</v>
      </c>
      <c r="T22" s="271">
        <v>474.11</v>
      </c>
      <c r="U22" s="324"/>
    </row>
    <row r="23" spans="1:21" ht="15.75" x14ac:dyDescent="0.2">
      <c r="A23" s="346" t="s">
        <v>1351</v>
      </c>
      <c r="B23" s="272" t="s">
        <v>1352</v>
      </c>
      <c r="C23" s="272" t="s">
        <v>1324</v>
      </c>
      <c r="D23" s="273" t="s">
        <v>1353</v>
      </c>
      <c r="E23" s="274" t="s">
        <v>14</v>
      </c>
      <c r="F23" s="268">
        <f t="shared" si="1"/>
        <v>4.0999999999999996</v>
      </c>
      <c r="G23" s="275">
        <v>785</v>
      </c>
      <c r="H23" s="275">
        <v>0</v>
      </c>
      <c r="I23" s="268">
        <f>V23+H23</f>
        <v>0</v>
      </c>
      <c r="J23" s="268">
        <f t="shared" si="2"/>
        <v>785</v>
      </c>
      <c r="K23" s="269">
        <f t="shared" si="3"/>
        <v>3218.5</v>
      </c>
      <c r="L23" s="344">
        <f t="shared" si="4"/>
        <v>0</v>
      </c>
      <c r="M23" s="344">
        <f t="shared" si="5"/>
        <v>3218.4999999999995</v>
      </c>
      <c r="N23" s="345">
        <f t="shared" si="6"/>
        <v>0</v>
      </c>
      <c r="O23" s="325">
        <f t="shared" si="7"/>
        <v>1</v>
      </c>
      <c r="P23" s="319">
        <f t="shared" si="8"/>
        <v>3218.4999999999995</v>
      </c>
      <c r="Q23" s="322"/>
      <c r="R23" s="322"/>
      <c r="S23" s="323" t="s">
        <v>1831</v>
      </c>
      <c r="T23" s="271">
        <v>4.9800000000000004</v>
      </c>
      <c r="U23" s="324"/>
    </row>
    <row r="24" spans="1:21" ht="15.75" x14ac:dyDescent="0.2">
      <c r="A24" s="346" t="s">
        <v>1354</v>
      </c>
      <c r="B24" s="272" t="s">
        <v>1355</v>
      </c>
      <c r="C24" s="272" t="s">
        <v>1343</v>
      </c>
      <c r="D24" s="273" t="s">
        <v>1356</v>
      </c>
      <c r="E24" s="274" t="s">
        <v>81</v>
      </c>
      <c r="F24" s="268">
        <f t="shared" si="1"/>
        <v>46.26</v>
      </c>
      <c r="G24" s="275">
        <v>49</v>
      </c>
      <c r="H24" s="275">
        <v>0</v>
      </c>
      <c r="I24" s="268">
        <f>V24+H24</f>
        <v>0</v>
      </c>
      <c r="J24" s="268">
        <f t="shared" si="2"/>
        <v>49</v>
      </c>
      <c r="K24" s="269">
        <f t="shared" si="3"/>
        <v>2266.7399999999998</v>
      </c>
      <c r="L24" s="344">
        <f t="shared" si="4"/>
        <v>0</v>
      </c>
      <c r="M24" s="344">
        <f t="shared" si="5"/>
        <v>2266.7399999999998</v>
      </c>
      <c r="N24" s="345">
        <f t="shared" si="6"/>
        <v>0</v>
      </c>
      <c r="O24" s="325">
        <f t="shared" si="7"/>
        <v>1</v>
      </c>
      <c r="P24" s="319">
        <f t="shared" si="8"/>
        <v>2266.7399999999998</v>
      </c>
      <c r="Q24" s="322"/>
      <c r="R24" s="322"/>
      <c r="S24" s="323" t="s">
        <v>1832</v>
      </c>
      <c r="T24" s="271">
        <v>56.17</v>
      </c>
      <c r="U24" s="324"/>
    </row>
    <row r="25" spans="1:21" ht="15.75" x14ac:dyDescent="0.2">
      <c r="A25" s="346" t="s">
        <v>1357</v>
      </c>
      <c r="B25" s="272">
        <v>72213</v>
      </c>
      <c r="C25" s="272" t="s">
        <v>1324</v>
      </c>
      <c r="D25" s="273" t="s">
        <v>1358</v>
      </c>
      <c r="E25" s="274" t="s">
        <v>14</v>
      </c>
      <c r="F25" s="268">
        <f t="shared" si="1"/>
        <v>0.12</v>
      </c>
      <c r="G25" s="275">
        <v>1230</v>
      </c>
      <c r="H25" s="275">
        <v>0</v>
      </c>
      <c r="I25" s="268">
        <f>V25+H25</f>
        <v>0</v>
      </c>
      <c r="J25" s="268">
        <f t="shared" si="2"/>
        <v>1230</v>
      </c>
      <c r="K25" s="269">
        <f t="shared" si="3"/>
        <v>147.6</v>
      </c>
      <c r="L25" s="344">
        <f t="shared" si="4"/>
        <v>0</v>
      </c>
      <c r="M25" s="344">
        <f t="shared" si="5"/>
        <v>147.6</v>
      </c>
      <c r="N25" s="345">
        <f t="shared" si="6"/>
        <v>0</v>
      </c>
      <c r="O25" s="325">
        <f t="shared" si="7"/>
        <v>1</v>
      </c>
      <c r="P25" s="319">
        <f t="shared" si="8"/>
        <v>147.6</v>
      </c>
      <c r="Q25" s="322"/>
      <c r="R25" s="322"/>
      <c r="S25" s="323" t="s">
        <v>1833</v>
      </c>
      <c r="T25" s="271">
        <v>0.14000000000000001</v>
      </c>
      <c r="U25" s="324"/>
    </row>
    <row r="26" spans="1:21" ht="15.75" x14ac:dyDescent="0.2">
      <c r="A26" s="341">
        <v>2</v>
      </c>
      <c r="B26" s="258"/>
      <c r="C26" s="258"/>
      <c r="D26" s="259" t="s">
        <v>1359</v>
      </c>
      <c r="E26" s="260"/>
      <c r="F26" s="261">
        <f>SUM(F27:F31)</f>
        <v>131.45000000000002</v>
      </c>
      <c r="G26" s="261">
        <f t="shared" ref="G26:M26" si="9">SUM(G27:G31)</f>
        <v>438.40999999999997</v>
      </c>
      <c r="H26" s="261">
        <f t="shared" si="9"/>
        <v>62.89</v>
      </c>
      <c r="I26" s="261">
        <f t="shared" si="9"/>
        <v>62.89</v>
      </c>
      <c r="J26" s="261">
        <f t="shared" si="9"/>
        <v>375.52</v>
      </c>
      <c r="K26" s="262">
        <f>SUM(K27:K31)</f>
        <v>11015.16</v>
      </c>
      <c r="L26" s="342">
        <f t="shared" si="9"/>
        <v>1293.6473000000001</v>
      </c>
      <c r="M26" s="342">
        <f t="shared" si="9"/>
        <v>10356.578100000001</v>
      </c>
      <c r="N26" s="343">
        <f>K26-M26</f>
        <v>658.58189999999922</v>
      </c>
      <c r="O26" s="325"/>
      <c r="P26" s="319"/>
      <c r="Q26" s="322"/>
      <c r="R26" s="322"/>
      <c r="S26" s="323" t="s">
        <v>1834</v>
      </c>
      <c r="T26" s="264"/>
      <c r="U26" s="324"/>
    </row>
    <row r="27" spans="1:21" ht="25.5" x14ac:dyDescent="0.2">
      <c r="A27" s="346" t="s">
        <v>27</v>
      </c>
      <c r="B27" s="272">
        <v>55835</v>
      </c>
      <c r="C27" s="272" t="s">
        <v>1324</v>
      </c>
      <c r="D27" s="273" t="s">
        <v>1360</v>
      </c>
      <c r="E27" s="274" t="s">
        <v>48</v>
      </c>
      <c r="F27" s="268">
        <f>ROUND(T27*$T$12,2)</f>
        <v>29.27</v>
      </c>
      <c r="G27" s="275">
        <v>154.94</v>
      </c>
      <c r="H27" s="275">
        <v>0</v>
      </c>
      <c r="I27" s="268">
        <f>V27+W27</f>
        <v>0</v>
      </c>
      <c r="J27" s="268">
        <f>G27-I27</f>
        <v>154.94</v>
      </c>
      <c r="K27" s="269">
        <f>ROUND(G27*F27,2)</f>
        <v>4535.09</v>
      </c>
      <c r="L27" s="344">
        <f>H27*F27</f>
        <v>0</v>
      </c>
      <c r="M27" s="344">
        <f>G27*F27</f>
        <v>4535.0937999999996</v>
      </c>
      <c r="N27" s="345">
        <f>F27*G27-M27</f>
        <v>0</v>
      </c>
      <c r="O27" s="325">
        <f t="shared" ref="O27:O44" si="10">M27/P27</f>
        <v>1</v>
      </c>
      <c r="P27" s="319">
        <f>G27*F27</f>
        <v>4535.0937999999996</v>
      </c>
      <c r="Q27" s="322"/>
      <c r="R27" s="322"/>
      <c r="S27" s="323" t="s">
        <v>1835</v>
      </c>
      <c r="T27" s="271">
        <v>35.54</v>
      </c>
      <c r="U27" s="324"/>
    </row>
    <row r="28" spans="1:21" ht="15.75" x14ac:dyDescent="0.2">
      <c r="A28" s="346" t="s">
        <v>1263</v>
      </c>
      <c r="B28" s="272">
        <v>79478</v>
      </c>
      <c r="C28" s="272" t="s">
        <v>1324</v>
      </c>
      <c r="D28" s="273" t="s">
        <v>1361</v>
      </c>
      <c r="E28" s="274" t="s">
        <v>48</v>
      </c>
      <c r="F28" s="268">
        <f>ROUND(T28*$T$12,2)</f>
        <v>46.94</v>
      </c>
      <c r="G28" s="275">
        <v>83.25</v>
      </c>
      <c r="H28" s="275">
        <v>0</v>
      </c>
      <c r="I28" s="268">
        <f>V28+W28</f>
        <v>0</v>
      </c>
      <c r="J28" s="268">
        <f>G28-I28</f>
        <v>83.25</v>
      </c>
      <c r="K28" s="269">
        <f>ROUND(G28*F28,2)</f>
        <v>3907.76</v>
      </c>
      <c r="L28" s="344">
        <f>H28*F28</f>
        <v>0</v>
      </c>
      <c r="M28" s="344">
        <f>G28*F28</f>
        <v>3907.7549999999997</v>
      </c>
      <c r="N28" s="345">
        <f>F28*G28-M28</f>
        <v>0</v>
      </c>
      <c r="O28" s="325">
        <f t="shared" si="10"/>
        <v>1</v>
      </c>
      <c r="P28" s="319">
        <f>G28*F28</f>
        <v>3907.7549999999997</v>
      </c>
      <c r="Q28" s="322"/>
      <c r="R28" s="322"/>
      <c r="S28" s="323" t="s">
        <v>1836</v>
      </c>
      <c r="T28" s="271">
        <v>57</v>
      </c>
      <c r="U28" s="324"/>
    </row>
    <row r="29" spans="1:21" ht="15.75" x14ac:dyDescent="0.2">
      <c r="A29" s="346" t="s">
        <v>1362</v>
      </c>
      <c r="B29" s="272">
        <v>79483</v>
      </c>
      <c r="C29" s="272" t="s">
        <v>1324</v>
      </c>
      <c r="D29" s="273" t="s">
        <v>1363</v>
      </c>
      <c r="E29" s="274" t="s">
        <v>14</v>
      </c>
      <c r="F29" s="268">
        <f>ROUND(T29*$T$12,2)</f>
        <v>5.4</v>
      </c>
      <c r="G29" s="275">
        <v>114.83</v>
      </c>
      <c r="H29" s="275">
        <v>0</v>
      </c>
      <c r="I29" s="268">
        <f>V29+W29</f>
        <v>0</v>
      </c>
      <c r="J29" s="268">
        <f>G29-I29</f>
        <v>114.83</v>
      </c>
      <c r="K29" s="269">
        <f>ROUND(G29*F29,2)</f>
        <v>620.08000000000004</v>
      </c>
      <c r="L29" s="344">
        <f>H29*F29</f>
        <v>0</v>
      </c>
      <c r="M29" s="344">
        <f>G29*F29</f>
        <v>620.08199999999999</v>
      </c>
      <c r="N29" s="345">
        <f>F29*G29-M29</f>
        <v>0</v>
      </c>
      <c r="O29" s="325">
        <f t="shared" si="10"/>
        <v>1</v>
      </c>
      <c r="P29" s="319">
        <f>G29*F29</f>
        <v>620.08199999999999</v>
      </c>
      <c r="Q29" s="322"/>
      <c r="R29" s="322"/>
      <c r="S29" s="323" t="s">
        <v>1837</v>
      </c>
      <c r="T29" s="271">
        <v>6.56</v>
      </c>
      <c r="U29" s="324"/>
    </row>
    <row r="30" spans="1:21" ht="15.75" x14ac:dyDescent="0.2">
      <c r="A30" s="346" t="s">
        <v>1364</v>
      </c>
      <c r="B30" s="272">
        <v>53527</v>
      </c>
      <c r="C30" s="272" t="s">
        <v>1324</v>
      </c>
      <c r="D30" s="273" t="s">
        <v>1365</v>
      </c>
      <c r="E30" s="274" t="s">
        <v>48</v>
      </c>
      <c r="F30" s="268">
        <f>ROUND(T30*$T$12,2)</f>
        <v>20.57</v>
      </c>
      <c r="G30" s="275">
        <v>62.89</v>
      </c>
      <c r="H30" s="275">
        <v>62.89</v>
      </c>
      <c r="I30" s="268">
        <f>V30+H30</f>
        <v>62.89</v>
      </c>
      <c r="J30" s="268">
        <f>G30-I30</f>
        <v>0</v>
      </c>
      <c r="K30" s="269">
        <f>ROUND(G30*F30,2)</f>
        <v>1293.6500000000001</v>
      </c>
      <c r="L30" s="347">
        <f>H30*F30</f>
        <v>1293.6473000000001</v>
      </c>
      <c r="M30" s="344">
        <f>G30*F30</f>
        <v>1293.6473000000001</v>
      </c>
      <c r="N30" s="345">
        <f>F30*G30-M30</f>
        <v>0</v>
      </c>
      <c r="O30" s="325">
        <f t="shared" si="10"/>
        <v>1</v>
      </c>
      <c r="P30" s="319">
        <f>G30*F30</f>
        <v>1293.6473000000001</v>
      </c>
      <c r="Q30" s="322"/>
      <c r="R30" s="322"/>
      <c r="S30" s="323" t="s">
        <v>1838</v>
      </c>
      <c r="T30" s="271">
        <v>24.97</v>
      </c>
      <c r="U30" s="324"/>
    </row>
    <row r="31" spans="1:21" ht="15.75" x14ac:dyDescent="0.2">
      <c r="A31" s="346" t="s">
        <v>1366</v>
      </c>
      <c r="B31" s="272">
        <v>55835</v>
      </c>
      <c r="C31" s="272" t="s">
        <v>1324</v>
      </c>
      <c r="D31" s="273" t="s">
        <v>1367</v>
      </c>
      <c r="E31" s="274" t="s">
        <v>48</v>
      </c>
      <c r="F31" s="268">
        <f>ROUND(T31*$T$12,2)</f>
        <v>29.27</v>
      </c>
      <c r="G31" s="275">
        <v>22.5</v>
      </c>
      <c r="H31" s="275">
        <v>0</v>
      </c>
      <c r="I31" s="268">
        <f>V31+H31</f>
        <v>0</v>
      </c>
      <c r="J31" s="268">
        <f>G31-I31</f>
        <v>22.5</v>
      </c>
      <c r="K31" s="269">
        <f>ROUND(G31*F31,2)</f>
        <v>658.58</v>
      </c>
      <c r="L31" s="344">
        <f>H31*F31</f>
        <v>0</v>
      </c>
      <c r="M31" s="344">
        <v>0</v>
      </c>
      <c r="N31" s="345">
        <f>F31*G31-M31</f>
        <v>658.57500000000005</v>
      </c>
      <c r="O31" s="325">
        <f t="shared" si="10"/>
        <v>0</v>
      </c>
      <c r="P31" s="319">
        <f>G31*F31</f>
        <v>658.57500000000005</v>
      </c>
      <c r="Q31" s="322"/>
      <c r="R31" s="322"/>
      <c r="S31" s="323" t="s">
        <v>1839</v>
      </c>
      <c r="T31" s="271">
        <v>35.54</v>
      </c>
      <c r="U31" s="324"/>
    </row>
    <row r="32" spans="1:21" ht="15.75" x14ac:dyDescent="0.2">
      <c r="A32" s="341">
        <v>3</v>
      </c>
      <c r="B32" s="258"/>
      <c r="C32" s="258"/>
      <c r="D32" s="259" t="s">
        <v>1368</v>
      </c>
      <c r="E32" s="260"/>
      <c r="F32" s="261">
        <f>K32</f>
        <v>35418.720000000001</v>
      </c>
      <c r="G32" s="261">
        <f>SUM(G33,G39)</f>
        <v>1911.17</v>
      </c>
      <c r="H32" s="261">
        <f>SUM(H33,H39)</f>
        <v>679.56999999999994</v>
      </c>
      <c r="I32" s="261">
        <f>SUM(I33,I39)</f>
        <v>679.56999999999994</v>
      </c>
      <c r="J32" s="261">
        <f>SUM(J33,J39)</f>
        <v>1231.6000000000001</v>
      </c>
      <c r="K32" s="262">
        <f>K33+K39</f>
        <v>35418.720000000001</v>
      </c>
      <c r="L32" s="342">
        <f>SUM(L33,L39)</f>
        <v>18970.572</v>
      </c>
      <c r="M32" s="342">
        <f>SUM(M33,M39)</f>
        <v>35418.7163</v>
      </c>
      <c r="N32" s="343">
        <f>SUM(N33,N39)</f>
        <v>0</v>
      </c>
      <c r="O32" s="325" t="e">
        <f t="shared" si="10"/>
        <v>#DIV/0!</v>
      </c>
      <c r="P32" s="319"/>
      <c r="Q32" s="322"/>
      <c r="R32" s="322"/>
      <c r="S32" s="323" t="s">
        <v>1840</v>
      </c>
      <c r="T32" s="264"/>
      <c r="U32" s="324"/>
    </row>
    <row r="33" spans="1:21" ht="15.75" x14ac:dyDescent="0.2">
      <c r="A33" s="348" t="s">
        <v>41</v>
      </c>
      <c r="B33" s="276"/>
      <c r="C33" s="276"/>
      <c r="D33" s="277" t="s">
        <v>1369</v>
      </c>
      <c r="E33" s="278"/>
      <c r="F33" s="279">
        <f>K33</f>
        <v>16448.150000000001</v>
      </c>
      <c r="G33" s="279">
        <f t="shared" ref="G33:M33" si="11">SUM(G34:G38)</f>
        <v>1231.6000000000001</v>
      </c>
      <c r="H33" s="279">
        <f t="shared" si="11"/>
        <v>0</v>
      </c>
      <c r="I33" s="279">
        <f t="shared" si="11"/>
        <v>0</v>
      </c>
      <c r="J33" s="279">
        <f t="shared" si="11"/>
        <v>1231.6000000000001</v>
      </c>
      <c r="K33" s="280">
        <f t="shared" si="11"/>
        <v>16448.150000000001</v>
      </c>
      <c r="L33" s="349">
        <f t="shared" si="11"/>
        <v>0</v>
      </c>
      <c r="M33" s="349">
        <f t="shared" si="11"/>
        <v>16448.1443</v>
      </c>
      <c r="N33" s="350">
        <v>0</v>
      </c>
      <c r="O33" s="325" t="e">
        <f t="shared" si="10"/>
        <v>#DIV/0!</v>
      </c>
      <c r="P33" s="319"/>
      <c r="Q33" s="322"/>
      <c r="R33" s="322"/>
      <c r="S33" s="323" t="s">
        <v>1841</v>
      </c>
      <c r="T33" s="281"/>
      <c r="U33" s="324"/>
    </row>
    <row r="34" spans="1:21" ht="15.75" x14ac:dyDescent="0.2">
      <c r="A34" s="346" t="s">
        <v>43</v>
      </c>
      <c r="B34" s="272">
        <v>83532</v>
      </c>
      <c r="C34" s="272" t="s">
        <v>1324</v>
      </c>
      <c r="D34" s="273" t="s">
        <v>1370</v>
      </c>
      <c r="E34" s="274" t="s">
        <v>48</v>
      </c>
      <c r="F34" s="268">
        <f>ROUND(T34*$T$12,2)</f>
        <v>19.86</v>
      </c>
      <c r="G34" s="275">
        <v>3.77</v>
      </c>
      <c r="H34" s="275">
        <v>0</v>
      </c>
      <c r="I34" s="275">
        <f>H34+W34</f>
        <v>0</v>
      </c>
      <c r="J34" s="268">
        <f>G34-I34</f>
        <v>3.77</v>
      </c>
      <c r="K34" s="269">
        <f>ROUND(G34*F34,2)</f>
        <v>74.87</v>
      </c>
      <c r="L34" s="344">
        <f>H34*F34</f>
        <v>0</v>
      </c>
      <c r="M34" s="344">
        <f>G34*F34</f>
        <v>74.872199999999992</v>
      </c>
      <c r="N34" s="345">
        <f>F34*G34-M34</f>
        <v>0</v>
      </c>
      <c r="O34" s="325">
        <f t="shared" si="10"/>
        <v>1</v>
      </c>
      <c r="P34" s="319">
        <f t="shared" ref="P34:P44" si="12">G34*F34</f>
        <v>74.872199999999992</v>
      </c>
      <c r="Q34" s="322"/>
      <c r="R34" s="322"/>
      <c r="S34" s="323" t="s">
        <v>1842</v>
      </c>
      <c r="T34" s="271">
        <v>24.12</v>
      </c>
      <c r="U34" s="324"/>
    </row>
    <row r="35" spans="1:21" ht="15.75" x14ac:dyDescent="0.2">
      <c r="A35" s="346" t="s">
        <v>45</v>
      </c>
      <c r="B35" s="272">
        <v>5970</v>
      </c>
      <c r="C35" s="272" t="s">
        <v>1324</v>
      </c>
      <c r="D35" s="273" t="s">
        <v>1371</v>
      </c>
      <c r="E35" s="274" t="s">
        <v>14</v>
      </c>
      <c r="F35" s="268">
        <f>ROUND(T35*$T$12,2)</f>
        <v>93.42</v>
      </c>
      <c r="G35" s="275">
        <v>63.02</v>
      </c>
      <c r="H35" s="275">
        <v>0</v>
      </c>
      <c r="I35" s="275">
        <f>W35+V35</f>
        <v>0</v>
      </c>
      <c r="J35" s="268">
        <f>G35-I35</f>
        <v>63.02</v>
      </c>
      <c r="K35" s="269">
        <f>ROUND(G35*F35,2)</f>
        <v>5887.33</v>
      </c>
      <c r="L35" s="344">
        <f>H35*F35</f>
        <v>0</v>
      </c>
      <c r="M35" s="344">
        <f>G35*F35</f>
        <v>5887.3284000000003</v>
      </c>
      <c r="N35" s="345">
        <f>F35*G35-M35</f>
        <v>0</v>
      </c>
      <c r="O35" s="325">
        <f t="shared" si="10"/>
        <v>1</v>
      </c>
      <c r="P35" s="319">
        <f t="shared" si="12"/>
        <v>5887.3284000000003</v>
      </c>
      <c r="Q35" s="322"/>
      <c r="R35" s="322"/>
      <c r="S35" s="323" t="s">
        <v>1843</v>
      </c>
      <c r="T35" s="271">
        <v>113.43</v>
      </c>
      <c r="U35" s="324"/>
    </row>
    <row r="36" spans="1:21" ht="25.5" x14ac:dyDescent="0.2">
      <c r="A36" s="346" t="s">
        <v>47</v>
      </c>
      <c r="B36" s="272">
        <v>92793</v>
      </c>
      <c r="C36" s="272" t="s">
        <v>1324</v>
      </c>
      <c r="D36" s="273" t="s">
        <v>1372</v>
      </c>
      <c r="E36" s="274" t="s">
        <v>35</v>
      </c>
      <c r="F36" s="268">
        <f>ROUND(T36*$T$12,2)</f>
        <v>4.6500000000000004</v>
      </c>
      <c r="G36" s="275">
        <v>1094.27</v>
      </c>
      <c r="H36" s="275">
        <v>0</v>
      </c>
      <c r="I36" s="275">
        <f>W36+V36</f>
        <v>0</v>
      </c>
      <c r="J36" s="268">
        <f>G36-I36</f>
        <v>1094.27</v>
      </c>
      <c r="K36" s="269">
        <f>ROUND(G36*F36,2)</f>
        <v>5088.3599999999997</v>
      </c>
      <c r="L36" s="344">
        <f>H36*F36</f>
        <v>0</v>
      </c>
      <c r="M36" s="344">
        <f>G36*F36</f>
        <v>5088.3555000000006</v>
      </c>
      <c r="N36" s="345">
        <f>F36*G36-M36</f>
        <v>0</v>
      </c>
      <c r="O36" s="325">
        <f t="shared" si="10"/>
        <v>1</v>
      </c>
      <c r="P36" s="319">
        <f t="shared" si="12"/>
        <v>5088.3555000000006</v>
      </c>
      <c r="Q36" s="322"/>
      <c r="R36" s="322"/>
      <c r="S36" s="323" t="s">
        <v>1844</v>
      </c>
      <c r="T36" s="271">
        <v>5.65</v>
      </c>
      <c r="U36" s="324"/>
    </row>
    <row r="37" spans="1:21" ht="25.5" x14ac:dyDescent="0.2">
      <c r="A37" s="346" t="s">
        <v>49</v>
      </c>
      <c r="B37" s="272">
        <v>92791</v>
      </c>
      <c r="C37" s="272" t="s">
        <v>1324</v>
      </c>
      <c r="D37" s="273" t="s">
        <v>1373</v>
      </c>
      <c r="E37" s="274" t="s">
        <v>35</v>
      </c>
      <c r="F37" s="268">
        <f>ROUND(T37*$T$12,2)</f>
        <v>6.11</v>
      </c>
      <c r="G37" s="275">
        <v>54.91</v>
      </c>
      <c r="H37" s="275">
        <v>0</v>
      </c>
      <c r="I37" s="275">
        <f>W37+V37</f>
        <v>0</v>
      </c>
      <c r="J37" s="268">
        <f>G37-I37</f>
        <v>54.91</v>
      </c>
      <c r="K37" s="269">
        <f>ROUND(G37*F37,2)</f>
        <v>335.5</v>
      </c>
      <c r="L37" s="344">
        <f>H37*F37</f>
        <v>0</v>
      </c>
      <c r="M37" s="344">
        <f>G37*F37</f>
        <v>335.50009999999997</v>
      </c>
      <c r="N37" s="345">
        <f>F37*G37-M37</f>
        <v>0</v>
      </c>
      <c r="O37" s="325">
        <f t="shared" si="10"/>
        <v>1</v>
      </c>
      <c r="P37" s="319">
        <f t="shared" si="12"/>
        <v>335.50009999999997</v>
      </c>
      <c r="Q37" s="322"/>
      <c r="R37" s="322"/>
      <c r="S37" s="323" t="s">
        <v>1845</v>
      </c>
      <c r="T37" s="271">
        <v>7.42</v>
      </c>
      <c r="U37" s="324"/>
    </row>
    <row r="38" spans="1:21" ht="15.75" x14ac:dyDescent="0.2">
      <c r="A38" s="346" t="s">
        <v>1374</v>
      </c>
      <c r="B38" s="272">
        <v>92720</v>
      </c>
      <c r="C38" s="272" t="s">
        <v>1324</v>
      </c>
      <c r="D38" s="273" t="s">
        <v>1375</v>
      </c>
      <c r="E38" s="274" t="s">
        <v>48</v>
      </c>
      <c r="F38" s="268">
        <f>ROUND(T38*$T$12,2)</f>
        <v>323.87</v>
      </c>
      <c r="G38" s="275">
        <v>15.63</v>
      </c>
      <c r="H38" s="275">
        <v>0</v>
      </c>
      <c r="I38" s="275">
        <f>W38+V38</f>
        <v>0</v>
      </c>
      <c r="J38" s="268">
        <f>G38-I38</f>
        <v>15.63</v>
      </c>
      <c r="K38" s="269">
        <f>ROUND(G38*F38,2)</f>
        <v>5062.09</v>
      </c>
      <c r="L38" s="344">
        <f>H38*F38</f>
        <v>0</v>
      </c>
      <c r="M38" s="344">
        <f>G38*F38</f>
        <v>5062.0880999999999</v>
      </c>
      <c r="N38" s="345">
        <f>F38*G38-M38</f>
        <v>0</v>
      </c>
      <c r="O38" s="325">
        <f t="shared" si="10"/>
        <v>1</v>
      </c>
      <c r="P38" s="319">
        <f t="shared" si="12"/>
        <v>5062.0880999999999</v>
      </c>
      <c r="Q38" s="322"/>
      <c r="R38" s="322"/>
      <c r="S38" s="323" t="s">
        <v>1846</v>
      </c>
      <c r="T38" s="271">
        <v>393.24</v>
      </c>
      <c r="U38" s="324"/>
    </row>
    <row r="39" spans="1:21" ht="15.75" x14ac:dyDescent="0.2">
      <c r="A39" s="348" t="s">
        <v>50</v>
      </c>
      <c r="B39" s="276"/>
      <c r="C39" s="276"/>
      <c r="D39" s="277" t="s">
        <v>1376</v>
      </c>
      <c r="E39" s="278"/>
      <c r="F39" s="279">
        <f>K39</f>
        <v>18970.57</v>
      </c>
      <c r="G39" s="279">
        <f t="shared" ref="G39:M39" si="13">SUM(G40:G44)</f>
        <v>679.56999999999994</v>
      </c>
      <c r="H39" s="279">
        <f t="shared" si="13"/>
        <v>679.56999999999994</v>
      </c>
      <c r="I39" s="279">
        <f t="shared" si="13"/>
        <v>679.56999999999994</v>
      </c>
      <c r="J39" s="279">
        <f t="shared" si="13"/>
        <v>0</v>
      </c>
      <c r="K39" s="280">
        <f t="shared" si="13"/>
        <v>18970.57</v>
      </c>
      <c r="L39" s="349">
        <f t="shared" si="13"/>
        <v>18970.572</v>
      </c>
      <c r="M39" s="349">
        <f t="shared" si="13"/>
        <v>18970.572</v>
      </c>
      <c r="N39" s="350">
        <v>0</v>
      </c>
      <c r="O39" s="325">
        <f t="shared" si="10"/>
        <v>1.4715189096435363E-3</v>
      </c>
      <c r="P39" s="319">
        <f t="shared" si="12"/>
        <v>12891830.254899999</v>
      </c>
      <c r="Q39" s="322"/>
      <c r="R39" s="322"/>
      <c r="S39" s="323" t="s">
        <v>1847</v>
      </c>
      <c r="T39" s="281"/>
      <c r="U39" s="324"/>
    </row>
    <row r="40" spans="1:21" ht="15.75" x14ac:dyDescent="0.2">
      <c r="A40" s="346" t="s">
        <v>52</v>
      </c>
      <c r="B40" s="272">
        <v>83532</v>
      </c>
      <c r="C40" s="272" t="s">
        <v>1324</v>
      </c>
      <c r="D40" s="273" t="s">
        <v>1370</v>
      </c>
      <c r="E40" s="274" t="s">
        <v>48</v>
      </c>
      <c r="F40" s="268">
        <f>ROUND(T40*$T$12,2)</f>
        <v>19.86</v>
      </c>
      <c r="G40" s="275">
        <v>2.58</v>
      </c>
      <c r="H40" s="275">
        <v>2.58</v>
      </c>
      <c r="I40" s="275">
        <f>H40</f>
        <v>2.58</v>
      </c>
      <c r="J40" s="268">
        <f>G40-I40</f>
        <v>0</v>
      </c>
      <c r="K40" s="269">
        <f>ROUND(G40*F40,2)</f>
        <v>51.24</v>
      </c>
      <c r="L40" s="347">
        <f>H40*F40</f>
        <v>51.238799999999998</v>
      </c>
      <c r="M40" s="344">
        <f>L40</f>
        <v>51.238799999999998</v>
      </c>
      <c r="N40" s="345">
        <f>L40-M40</f>
        <v>0</v>
      </c>
      <c r="O40" s="325">
        <f t="shared" si="10"/>
        <v>1</v>
      </c>
      <c r="P40" s="319">
        <f t="shared" si="12"/>
        <v>51.238799999999998</v>
      </c>
      <c r="Q40" s="322"/>
      <c r="R40" s="322"/>
      <c r="S40" s="323" t="s">
        <v>1848</v>
      </c>
      <c r="T40" s="271">
        <v>24.12</v>
      </c>
      <c r="U40" s="324"/>
    </row>
    <row r="41" spans="1:21" ht="15.75" x14ac:dyDescent="0.2">
      <c r="A41" s="346" t="s">
        <v>53</v>
      </c>
      <c r="B41" s="272">
        <v>5970</v>
      </c>
      <c r="C41" s="272" t="s">
        <v>1324</v>
      </c>
      <c r="D41" s="273" t="s">
        <v>1371</v>
      </c>
      <c r="E41" s="274" t="s">
        <v>14</v>
      </c>
      <c r="F41" s="268">
        <f>ROUND(T41*$T$12,2)</f>
        <v>93.42</v>
      </c>
      <c r="G41" s="275">
        <v>139.57</v>
      </c>
      <c r="H41" s="275">
        <v>139.57</v>
      </c>
      <c r="I41" s="275">
        <f>H41</f>
        <v>139.57</v>
      </c>
      <c r="J41" s="268">
        <f>G41-I41</f>
        <v>0</v>
      </c>
      <c r="K41" s="269">
        <f>ROUND(G41*F41,2)</f>
        <v>13038.63</v>
      </c>
      <c r="L41" s="347">
        <f>H41*F41</f>
        <v>13038.6294</v>
      </c>
      <c r="M41" s="344">
        <f>L41</f>
        <v>13038.6294</v>
      </c>
      <c r="N41" s="345">
        <f>L41-M41</f>
        <v>0</v>
      </c>
      <c r="O41" s="325">
        <f t="shared" si="10"/>
        <v>1</v>
      </c>
      <c r="P41" s="319">
        <f t="shared" si="12"/>
        <v>13038.6294</v>
      </c>
      <c r="Q41" s="322"/>
      <c r="R41" s="322"/>
      <c r="S41" s="323" t="s">
        <v>1849</v>
      </c>
      <c r="T41" s="271">
        <v>113.43</v>
      </c>
      <c r="U41" s="324"/>
    </row>
    <row r="42" spans="1:21" ht="25.5" x14ac:dyDescent="0.2">
      <c r="A42" s="346" t="s">
        <v>54</v>
      </c>
      <c r="B42" s="272">
        <v>92793</v>
      </c>
      <c r="C42" s="272" t="s">
        <v>1324</v>
      </c>
      <c r="D42" s="273" t="s">
        <v>1372</v>
      </c>
      <c r="E42" s="274" t="s">
        <v>35</v>
      </c>
      <c r="F42" s="268">
        <f>ROUND(T42*$T$12,2)</f>
        <v>4.6500000000000004</v>
      </c>
      <c r="G42" s="275">
        <v>389.64</v>
      </c>
      <c r="H42" s="275">
        <v>389.64</v>
      </c>
      <c r="I42" s="275">
        <f>H42</f>
        <v>389.64</v>
      </c>
      <c r="J42" s="268">
        <f>G42-I42</f>
        <v>0</v>
      </c>
      <c r="K42" s="269">
        <f>ROUND(G42*F42,2)</f>
        <v>1811.83</v>
      </c>
      <c r="L42" s="347">
        <f>H42*F42</f>
        <v>1811.826</v>
      </c>
      <c r="M42" s="344">
        <f>L42</f>
        <v>1811.826</v>
      </c>
      <c r="N42" s="345">
        <f>L42-M42</f>
        <v>0</v>
      </c>
      <c r="O42" s="325">
        <f t="shared" si="10"/>
        <v>1</v>
      </c>
      <c r="P42" s="319">
        <f t="shared" si="12"/>
        <v>1811.826</v>
      </c>
      <c r="Q42" s="322"/>
      <c r="R42" s="322"/>
      <c r="S42" s="323" t="s">
        <v>1850</v>
      </c>
      <c r="T42" s="271">
        <v>5.65</v>
      </c>
      <c r="U42" s="324"/>
    </row>
    <row r="43" spans="1:21" ht="25.5" x14ac:dyDescent="0.2">
      <c r="A43" s="346" t="s">
        <v>55</v>
      </c>
      <c r="B43" s="272">
        <v>92791</v>
      </c>
      <c r="C43" s="272" t="s">
        <v>1324</v>
      </c>
      <c r="D43" s="273" t="s">
        <v>1373</v>
      </c>
      <c r="E43" s="274" t="s">
        <v>35</v>
      </c>
      <c r="F43" s="268">
        <f>ROUND(T43*$T$12,2)</f>
        <v>5.91</v>
      </c>
      <c r="G43" s="275">
        <v>137.72999999999999</v>
      </c>
      <c r="H43" s="275">
        <v>137.72999999999999</v>
      </c>
      <c r="I43" s="275">
        <f>H43</f>
        <v>137.72999999999999</v>
      </c>
      <c r="J43" s="268">
        <f>G43-I43</f>
        <v>0</v>
      </c>
      <c r="K43" s="269">
        <f>ROUND(G43*F43,2)</f>
        <v>813.98</v>
      </c>
      <c r="L43" s="347">
        <f>H43*F43</f>
        <v>813.98429999999996</v>
      </c>
      <c r="M43" s="344">
        <f>L43</f>
        <v>813.98429999999996</v>
      </c>
      <c r="N43" s="345">
        <f>L43-M43</f>
        <v>0</v>
      </c>
      <c r="O43" s="325">
        <f t="shared" si="10"/>
        <v>1</v>
      </c>
      <c r="P43" s="319">
        <f t="shared" si="12"/>
        <v>813.98429999999996</v>
      </c>
      <c r="Q43" s="322"/>
      <c r="R43" s="322"/>
      <c r="S43" s="323" t="s">
        <v>1851</v>
      </c>
      <c r="T43" s="271">
        <v>7.17</v>
      </c>
      <c r="U43" s="324"/>
    </row>
    <row r="44" spans="1:21" ht="15.75" x14ac:dyDescent="0.2">
      <c r="A44" s="346" t="s">
        <v>1377</v>
      </c>
      <c r="B44" s="272">
        <v>92720</v>
      </c>
      <c r="C44" s="272" t="s">
        <v>1324</v>
      </c>
      <c r="D44" s="273" t="s">
        <v>1375</v>
      </c>
      <c r="E44" s="274" t="s">
        <v>48</v>
      </c>
      <c r="F44" s="268">
        <f>ROUND(T44*$T$12,2)</f>
        <v>323.87</v>
      </c>
      <c r="G44" s="275">
        <v>10.050000000000001</v>
      </c>
      <c r="H44" s="275">
        <v>10.050000000000001</v>
      </c>
      <c r="I44" s="275">
        <f>H44</f>
        <v>10.050000000000001</v>
      </c>
      <c r="J44" s="268">
        <f>G44-I44</f>
        <v>0</v>
      </c>
      <c r="K44" s="269">
        <f>ROUND(G44*F44,2)</f>
        <v>3254.89</v>
      </c>
      <c r="L44" s="347">
        <f>H44*F44</f>
        <v>3254.8935000000001</v>
      </c>
      <c r="M44" s="344">
        <f>L44</f>
        <v>3254.8935000000001</v>
      </c>
      <c r="N44" s="345">
        <f>L44-M44</f>
        <v>0</v>
      </c>
      <c r="O44" s="325">
        <f t="shared" si="10"/>
        <v>1</v>
      </c>
      <c r="P44" s="319">
        <f t="shared" si="12"/>
        <v>3254.8935000000001</v>
      </c>
      <c r="Q44" s="322"/>
      <c r="R44" s="322"/>
      <c r="S44" s="323" t="s">
        <v>1852</v>
      </c>
      <c r="T44" s="271">
        <v>393.24</v>
      </c>
      <c r="U44" s="324"/>
    </row>
    <row r="45" spans="1:21" ht="15.75" x14ac:dyDescent="0.2">
      <c r="A45" s="341">
        <v>4</v>
      </c>
      <c r="B45" s="258"/>
      <c r="C45" s="258"/>
      <c r="D45" s="259" t="s">
        <v>1378</v>
      </c>
      <c r="E45" s="260"/>
      <c r="F45" s="261">
        <f>K45</f>
        <v>88897.260000000009</v>
      </c>
      <c r="G45" s="261"/>
      <c r="H45" s="261"/>
      <c r="I45" s="261"/>
      <c r="J45" s="261"/>
      <c r="K45" s="262">
        <f>K46+K51+K57+K62+K67</f>
        <v>88897.260000000009</v>
      </c>
      <c r="L45" s="342">
        <f>SUM(L46,L51,L57,L62,L67)</f>
        <v>23641.26</v>
      </c>
      <c r="M45" s="342">
        <f>SUM(M46,M51,M57,M62,M67)</f>
        <v>23641.26</v>
      </c>
      <c r="N45" s="343">
        <f>SUM(N46,N51,N57,N62,N67)</f>
        <v>65255.998200000002</v>
      </c>
      <c r="O45" s="325"/>
      <c r="P45" s="319"/>
      <c r="Q45" s="322"/>
      <c r="R45" s="322"/>
      <c r="S45" s="323" t="s">
        <v>1853</v>
      </c>
      <c r="T45" s="264"/>
      <c r="U45" s="324"/>
    </row>
    <row r="46" spans="1:21" ht="15.75" x14ac:dyDescent="0.2">
      <c r="A46" s="348" t="s">
        <v>74</v>
      </c>
      <c r="B46" s="276"/>
      <c r="C46" s="276"/>
      <c r="D46" s="277" t="s">
        <v>1379</v>
      </c>
      <c r="E46" s="278"/>
      <c r="F46" s="279">
        <f>K46</f>
        <v>17368.48</v>
      </c>
      <c r="G46" s="279"/>
      <c r="H46" s="279"/>
      <c r="I46" s="279"/>
      <c r="J46" s="279"/>
      <c r="K46" s="280">
        <f>SUM(K47:K50)</f>
        <v>17368.48</v>
      </c>
      <c r="L46" s="349">
        <f>SUM(L47:L50)</f>
        <v>2116.3000000000002</v>
      </c>
      <c r="M46" s="349">
        <f>SUM(M47:M50)</f>
        <v>2116.3000000000002</v>
      </c>
      <c r="N46" s="350">
        <f>SUM(N47:N50)</f>
        <v>15252.1819</v>
      </c>
      <c r="O46" s="325"/>
      <c r="P46" s="319"/>
      <c r="Q46" s="322"/>
      <c r="R46" s="322"/>
      <c r="S46" s="323" t="s">
        <v>1854</v>
      </c>
      <c r="T46" s="281"/>
      <c r="U46" s="324"/>
    </row>
    <row r="47" spans="1:21" ht="25.5" x14ac:dyDescent="0.2">
      <c r="A47" s="346" t="s">
        <v>76</v>
      </c>
      <c r="B47" s="272">
        <v>92448</v>
      </c>
      <c r="C47" s="272" t="s">
        <v>1324</v>
      </c>
      <c r="D47" s="273" t="s">
        <v>1380</v>
      </c>
      <c r="E47" s="274" t="s">
        <v>14</v>
      </c>
      <c r="F47" s="268">
        <f>ROUND(T47*$T$12,2)</f>
        <v>93.42</v>
      </c>
      <c r="G47" s="275">
        <v>126.72</v>
      </c>
      <c r="H47" s="275">
        <v>0</v>
      </c>
      <c r="I47" s="275">
        <v>0</v>
      </c>
      <c r="J47" s="275">
        <v>0</v>
      </c>
      <c r="K47" s="269">
        <f>ROUND(G47*F47,2)</f>
        <v>11838.18</v>
      </c>
      <c r="L47" s="344">
        <f>H47*F47</f>
        <v>0</v>
      </c>
      <c r="M47" s="344">
        <f>L47</f>
        <v>0</v>
      </c>
      <c r="N47" s="345">
        <f>F47*G47-M47</f>
        <v>11838.1824</v>
      </c>
      <c r="O47" s="325">
        <f t="shared" ref="O47:O110" si="14">M47/P47</f>
        <v>0</v>
      </c>
      <c r="P47" s="319">
        <f>G47*F47</f>
        <v>11838.1824</v>
      </c>
      <c r="Q47" s="322"/>
      <c r="R47" s="322"/>
      <c r="S47" s="323" t="s">
        <v>1855</v>
      </c>
      <c r="T47" s="271">
        <v>113.43</v>
      </c>
      <c r="U47" s="324"/>
    </row>
    <row r="48" spans="1:21" ht="25.5" x14ac:dyDescent="0.2">
      <c r="A48" s="346" t="s">
        <v>79</v>
      </c>
      <c r="B48" s="272">
        <v>92793</v>
      </c>
      <c r="C48" s="272" t="s">
        <v>1324</v>
      </c>
      <c r="D48" s="273" t="s">
        <v>1372</v>
      </c>
      <c r="E48" s="274" t="s">
        <v>35</v>
      </c>
      <c r="F48" s="268">
        <f>ROUND(T48*$T$12,2)</f>
        <v>4.6500000000000004</v>
      </c>
      <c r="G48" s="275">
        <v>428.55</v>
      </c>
      <c r="H48" s="275">
        <v>350</v>
      </c>
      <c r="I48" s="275">
        <v>0</v>
      </c>
      <c r="J48" s="275">
        <v>0</v>
      </c>
      <c r="K48" s="269">
        <f>ROUND(G48*F48,2)</f>
        <v>1992.76</v>
      </c>
      <c r="L48" s="347">
        <f>H48*F48</f>
        <v>1627.5000000000002</v>
      </c>
      <c r="M48" s="344">
        <f t="shared" ref="M48:M69" si="15">L48</f>
        <v>1627.5000000000002</v>
      </c>
      <c r="N48" s="345">
        <f>F48*G48-M48</f>
        <v>365.25749999999994</v>
      </c>
      <c r="O48" s="325">
        <f t="shared" si="14"/>
        <v>0.81670750204176878</v>
      </c>
      <c r="P48" s="319">
        <f>G48*F48</f>
        <v>1992.7575000000002</v>
      </c>
      <c r="Q48" s="322"/>
      <c r="R48" s="322"/>
      <c r="S48" s="323" t="s">
        <v>1856</v>
      </c>
      <c r="T48" s="271">
        <v>5.65</v>
      </c>
      <c r="U48" s="324"/>
    </row>
    <row r="49" spans="1:21" ht="25.5" x14ac:dyDescent="0.2">
      <c r="A49" s="346" t="s">
        <v>83</v>
      </c>
      <c r="B49" s="272">
        <v>92791</v>
      </c>
      <c r="C49" s="272" t="s">
        <v>1324</v>
      </c>
      <c r="D49" s="273" t="s">
        <v>1373</v>
      </c>
      <c r="E49" s="274" t="s">
        <v>35</v>
      </c>
      <c r="F49" s="268">
        <f>ROUND(T49*$T$12,2)</f>
        <v>6.11</v>
      </c>
      <c r="G49" s="275">
        <v>127.36</v>
      </c>
      <c r="H49" s="275">
        <v>80</v>
      </c>
      <c r="I49" s="275">
        <v>0</v>
      </c>
      <c r="J49" s="275">
        <v>0</v>
      </c>
      <c r="K49" s="269">
        <f>ROUND(G49*F49,2)</f>
        <v>778.17</v>
      </c>
      <c r="L49" s="347">
        <f>H49*F49</f>
        <v>488.8</v>
      </c>
      <c r="M49" s="344">
        <f t="shared" si="15"/>
        <v>488.8</v>
      </c>
      <c r="N49" s="345">
        <f>F49*G49-M49</f>
        <v>289.36960000000005</v>
      </c>
      <c r="O49" s="325">
        <f t="shared" si="14"/>
        <v>0.62814070351758788</v>
      </c>
      <c r="P49" s="319">
        <f>G49*F49</f>
        <v>778.16960000000006</v>
      </c>
      <c r="Q49" s="322"/>
      <c r="R49" s="322"/>
      <c r="S49" s="323" t="s">
        <v>1857</v>
      </c>
      <c r="T49" s="271">
        <v>7.42</v>
      </c>
      <c r="U49" s="324"/>
    </row>
    <row r="50" spans="1:21" ht="15.75" x14ac:dyDescent="0.2">
      <c r="A50" s="346" t="s">
        <v>86</v>
      </c>
      <c r="B50" s="272">
        <v>92720</v>
      </c>
      <c r="C50" s="272" t="s">
        <v>1324</v>
      </c>
      <c r="D50" s="273" t="s">
        <v>1375</v>
      </c>
      <c r="E50" s="274" t="s">
        <v>48</v>
      </c>
      <c r="F50" s="268">
        <f>ROUND(T50*$T$12,2)</f>
        <v>323.87</v>
      </c>
      <c r="G50" s="275">
        <v>8.52</v>
      </c>
      <c r="H50" s="275">
        <v>0</v>
      </c>
      <c r="I50" s="275">
        <v>0</v>
      </c>
      <c r="J50" s="275">
        <v>0</v>
      </c>
      <c r="K50" s="269">
        <f>ROUND(G50*F50,2)</f>
        <v>2759.37</v>
      </c>
      <c r="L50" s="344">
        <f>H50*F50</f>
        <v>0</v>
      </c>
      <c r="M50" s="344">
        <f t="shared" si="15"/>
        <v>0</v>
      </c>
      <c r="N50" s="345">
        <f>F50*G50-M50</f>
        <v>2759.3723999999997</v>
      </c>
      <c r="O50" s="325">
        <f t="shared" si="14"/>
        <v>0</v>
      </c>
      <c r="P50" s="319">
        <f>G50*F50</f>
        <v>2759.3723999999997</v>
      </c>
      <c r="Q50" s="322"/>
      <c r="R50" s="322"/>
      <c r="S50" s="323" t="s">
        <v>1858</v>
      </c>
      <c r="T50" s="271">
        <v>393.24</v>
      </c>
      <c r="U50" s="324"/>
    </row>
    <row r="51" spans="1:21" ht="15.75" x14ac:dyDescent="0.2">
      <c r="A51" s="348" t="s">
        <v>1381</v>
      </c>
      <c r="B51" s="276"/>
      <c r="C51" s="276"/>
      <c r="D51" s="277" t="s">
        <v>1382</v>
      </c>
      <c r="E51" s="278"/>
      <c r="F51" s="279">
        <f>K51</f>
        <v>33356.590000000004</v>
      </c>
      <c r="G51" s="279"/>
      <c r="H51" s="279"/>
      <c r="I51" s="279"/>
      <c r="J51" s="279"/>
      <c r="K51" s="280">
        <f>SUM(K52:K56)</f>
        <v>33356.590000000004</v>
      </c>
      <c r="L51" s="349">
        <f>SUM(L52:L55)</f>
        <v>21524.959999999999</v>
      </c>
      <c r="M51" s="349">
        <f>SUM(M52:M56)</f>
        <v>21524.959999999999</v>
      </c>
      <c r="N51" s="350">
        <f>SUM(N52:N56)</f>
        <v>11831.63</v>
      </c>
      <c r="O51" s="325" t="e">
        <f t="shared" si="14"/>
        <v>#DIV/0!</v>
      </c>
      <c r="P51" s="319"/>
      <c r="Q51" s="322"/>
      <c r="R51" s="322"/>
      <c r="S51" s="323" t="s">
        <v>1859</v>
      </c>
      <c r="T51" s="271">
        <v>0</v>
      </c>
      <c r="U51" s="324"/>
    </row>
    <row r="52" spans="1:21" ht="15.75" x14ac:dyDescent="0.2">
      <c r="A52" s="346" t="s">
        <v>1383</v>
      </c>
      <c r="B52" s="272">
        <v>92510</v>
      </c>
      <c r="C52" s="272" t="s">
        <v>1324</v>
      </c>
      <c r="D52" s="273" t="s">
        <v>1384</v>
      </c>
      <c r="E52" s="274" t="s">
        <v>14</v>
      </c>
      <c r="F52" s="268">
        <f>ROUND(T52*$T$12,2)</f>
        <v>93.42</v>
      </c>
      <c r="G52" s="275">
        <v>155.72999999999999</v>
      </c>
      <c r="H52" s="275">
        <v>100</v>
      </c>
      <c r="I52" s="275">
        <v>0</v>
      </c>
      <c r="J52" s="275">
        <v>0</v>
      </c>
      <c r="K52" s="269">
        <f>ROUND(G52*F52,2)</f>
        <v>14548.3</v>
      </c>
      <c r="L52" s="347">
        <f>H52*F52</f>
        <v>9342</v>
      </c>
      <c r="M52" s="344">
        <f t="shared" si="15"/>
        <v>9342</v>
      </c>
      <c r="N52" s="345">
        <f>K52-M52</f>
        <v>5206.2999999999993</v>
      </c>
      <c r="O52" s="325">
        <f t="shared" si="14"/>
        <v>0.64213703204263795</v>
      </c>
      <c r="P52" s="319">
        <f>G52*F52</f>
        <v>14548.2966</v>
      </c>
      <c r="Q52" s="322"/>
      <c r="R52" s="322"/>
      <c r="S52" s="323" t="s">
        <v>1860</v>
      </c>
      <c r="T52" s="271">
        <v>113.43</v>
      </c>
      <c r="U52" s="324"/>
    </row>
    <row r="53" spans="1:21" ht="25.5" x14ac:dyDescent="0.2">
      <c r="A53" s="346" t="s">
        <v>1385</v>
      </c>
      <c r="B53" s="272">
        <v>92793</v>
      </c>
      <c r="C53" s="272" t="s">
        <v>1324</v>
      </c>
      <c r="D53" s="273" t="s">
        <v>1372</v>
      </c>
      <c r="E53" s="274" t="s">
        <v>35</v>
      </c>
      <c r="F53" s="268">
        <f>ROUND(T53*$T$12,2)</f>
        <v>4.6500000000000004</v>
      </c>
      <c r="G53" s="275">
        <v>1946.45</v>
      </c>
      <c r="H53" s="275">
        <v>1800</v>
      </c>
      <c r="I53" s="275">
        <v>0</v>
      </c>
      <c r="J53" s="275">
        <v>0</v>
      </c>
      <c r="K53" s="269">
        <f>ROUND(G53*F53,2)</f>
        <v>9050.99</v>
      </c>
      <c r="L53" s="347">
        <f>H53*F53</f>
        <v>8370</v>
      </c>
      <c r="M53" s="344">
        <f t="shared" si="15"/>
        <v>8370</v>
      </c>
      <c r="N53" s="345">
        <f>K53-M53</f>
        <v>680.98999999999978</v>
      </c>
      <c r="O53" s="325">
        <f t="shared" si="14"/>
        <v>0.92476046135271905</v>
      </c>
      <c r="P53" s="319">
        <f>G53*F53</f>
        <v>9050.9925000000003</v>
      </c>
      <c r="Q53" s="322"/>
      <c r="R53" s="322"/>
      <c r="S53" s="323" t="s">
        <v>1861</v>
      </c>
      <c r="T53" s="271">
        <v>5.65</v>
      </c>
      <c r="U53" s="324"/>
    </row>
    <row r="54" spans="1:21" ht="25.5" x14ac:dyDescent="0.2">
      <c r="A54" s="346" t="s">
        <v>1386</v>
      </c>
      <c r="B54" s="272">
        <v>92791</v>
      </c>
      <c r="C54" s="272" t="s">
        <v>1324</v>
      </c>
      <c r="D54" s="273" t="s">
        <v>1373</v>
      </c>
      <c r="E54" s="274" t="s">
        <v>35</v>
      </c>
      <c r="F54" s="268">
        <f>ROUND(T54*$T$12,2)</f>
        <v>6.11</v>
      </c>
      <c r="G54" s="275">
        <v>240.18</v>
      </c>
      <c r="H54" s="275">
        <v>200</v>
      </c>
      <c r="I54" s="275">
        <v>0</v>
      </c>
      <c r="J54" s="275">
        <v>0</v>
      </c>
      <c r="K54" s="269">
        <f>ROUND(G54*F54,2)</f>
        <v>1467.5</v>
      </c>
      <c r="L54" s="347">
        <f>H54*F54</f>
        <v>1222</v>
      </c>
      <c r="M54" s="344">
        <f t="shared" si="15"/>
        <v>1222</v>
      </c>
      <c r="N54" s="345">
        <f>K54-M54</f>
        <v>245.5</v>
      </c>
      <c r="O54" s="325">
        <f t="shared" si="14"/>
        <v>0.83270880173203432</v>
      </c>
      <c r="P54" s="319">
        <f>G54*F54</f>
        <v>1467.4998000000001</v>
      </c>
      <c r="Q54" s="322"/>
      <c r="R54" s="322"/>
      <c r="S54" s="323" t="s">
        <v>1862</v>
      </c>
      <c r="T54" s="271">
        <v>7.42</v>
      </c>
      <c r="U54" s="324"/>
    </row>
    <row r="55" spans="1:21" ht="15.75" x14ac:dyDescent="0.2">
      <c r="A55" s="346" t="s">
        <v>1387</v>
      </c>
      <c r="B55" s="272">
        <v>92720</v>
      </c>
      <c r="C55" s="272" t="s">
        <v>1324</v>
      </c>
      <c r="D55" s="273" t="s">
        <v>1375</v>
      </c>
      <c r="E55" s="274" t="s">
        <v>48</v>
      </c>
      <c r="F55" s="268">
        <f>ROUND(T55*$T$12,2)</f>
        <v>323.87</v>
      </c>
      <c r="G55" s="275">
        <v>10.71</v>
      </c>
      <c r="H55" s="275">
        <v>8</v>
      </c>
      <c r="I55" s="275">
        <v>0</v>
      </c>
      <c r="J55" s="275"/>
      <c r="K55" s="269">
        <f>ROUND(G55*F55,2)</f>
        <v>3468.65</v>
      </c>
      <c r="L55" s="347">
        <f>H55*F55</f>
        <v>2590.96</v>
      </c>
      <c r="M55" s="344">
        <f t="shared" si="15"/>
        <v>2590.96</v>
      </c>
      <c r="N55" s="345">
        <f>K55-M55</f>
        <v>877.69</v>
      </c>
      <c r="O55" s="325">
        <f t="shared" si="14"/>
        <v>0.74696545284780569</v>
      </c>
      <c r="P55" s="319">
        <f>G55*F55</f>
        <v>3468.6477000000004</v>
      </c>
      <c r="Q55" s="322"/>
      <c r="R55" s="322"/>
      <c r="S55" s="323" t="s">
        <v>1863</v>
      </c>
      <c r="T55" s="271">
        <v>393.24</v>
      </c>
      <c r="U55" s="324"/>
    </row>
    <row r="56" spans="1:21" ht="15.75" x14ac:dyDescent="0.2">
      <c r="A56" s="346" t="s">
        <v>1388</v>
      </c>
      <c r="B56" s="272" t="s">
        <v>1389</v>
      </c>
      <c r="C56" s="272" t="s">
        <v>1324</v>
      </c>
      <c r="D56" s="273" t="s">
        <v>1390</v>
      </c>
      <c r="E56" s="274" t="s">
        <v>14</v>
      </c>
      <c r="F56" s="268">
        <f>ROUND(T56*$T$12,2)</f>
        <v>57.17</v>
      </c>
      <c r="G56" s="275">
        <v>84.33</v>
      </c>
      <c r="H56" s="275">
        <v>0</v>
      </c>
      <c r="I56" s="275">
        <v>0</v>
      </c>
      <c r="J56" s="275">
        <v>0</v>
      </c>
      <c r="K56" s="269">
        <f>ROUND(G56*F56,2)</f>
        <v>4821.1499999999996</v>
      </c>
      <c r="L56" s="344">
        <f>H56*F56</f>
        <v>0</v>
      </c>
      <c r="M56" s="344">
        <f t="shared" si="15"/>
        <v>0</v>
      </c>
      <c r="N56" s="345">
        <f>K56-M56</f>
        <v>4821.1499999999996</v>
      </c>
      <c r="O56" s="325">
        <f t="shared" si="14"/>
        <v>0</v>
      </c>
      <c r="P56" s="319">
        <f>G56*F56</f>
        <v>4821.1460999999999</v>
      </c>
      <c r="Q56" s="322"/>
      <c r="R56" s="322"/>
      <c r="S56" s="323" t="s">
        <v>1864</v>
      </c>
      <c r="T56" s="271">
        <v>69.41</v>
      </c>
      <c r="U56" s="324"/>
    </row>
    <row r="57" spans="1:21" ht="15.75" x14ac:dyDescent="0.2">
      <c r="A57" s="348" t="s">
        <v>1391</v>
      </c>
      <c r="B57" s="276"/>
      <c r="C57" s="276"/>
      <c r="D57" s="277" t="s">
        <v>1392</v>
      </c>
      <c r="E57" s="278"/>
      <c r="F57" s="279">
        <f>K57</f>
        <v>13794.349999999999</v>
      </c>
      <c r="G57" s="279"/>
      <c r="H57" s="279"/>
      <c r="I57" s="279"/>
      <c r="J57" s="279"/>
      <c r="K57" s="280">
        <f>SUM(K58:K61)</f>
        <v>13794.349999999999</v>
      </c>
      <c r="L57" s="349"/>
      <c r="M57" s="349"/>
      <c r="N57" s="350">
        <f>SUM(N59:N61,N58)</f>
        <v>13794.355100000001</v>
      </c>
      <c r="O57" s="325" t="e">
        <f t="shared" si="14"/>
        <v>#DIV/0!</v>
      </c>
      <c r="P57" s="319"/>
      <c r="Q57" s="322"/>
      <c r="R57" s="322"/>
      <c r="S57" s="323" t="s">
        <v>1865</v>
      </c>
      <c r="T57" s="271">
        <v>0</v>
      </c>
      <c r="U57" s="324"/>
    </row>
    <row r="58" spans="1:21" ht="15.75" x14ac:dyDescent="0.2">
      <c r="A58" s="346" t="s">
        <v>1393</v>
      </c>
      <c r="B58" s="272">
        <v>92510</v>
      </c>
      <c r="C58" s="272" t="s">
        <v>1324</v>
      </c>
      <c r="D58" s="273" t="s">
        <v>1384</v>
      </c>
      <c r="E58" s="274" t="s">
        <v>14</v>
      </c>
      <c r="F58" s="268">
        <f>ROUND(T58*$T$12,2)</f>
        <v>93.42</v>
      </c>
      <c r="G58" s="275">
        <v>111.8</v>
      </c>
      <c r="H58" s="275">
        <v>0</v>
      </c>
      <c r="I58" s="275">
        <v>0</v>
      </c>
      <c r="J58" s="275">
        <v>0</v>
      </c>
      <c r="K58" s="269">
        <f>ROUND(G58*F58,2)</f>
        <v>10444.36</v>
      </c>
      <c r="L58" s="344">
        <f>H58*F58</f>
        <v>0</v>
      </c>
      <c r="M58" s="344">
        <f t="shared" si="15"/>
        <v>0</v>
      </c>
      <c r="N58" s="345">
        <f>F58*G58-M58</f>
        <v>10444.356</v>
      </c>
      <c r="O58" s="325">
        <f t="shared" si="14"/>
        <v>0</v>
      </c>
      <c r="P58" s="319">
        <f>G58*F58</f>
        <v>10444.356</v>
      </c>
      <c r="Q58" s="322"/>
      <c r="R58" s="322"/>
      <c r="S58" s="323" t="s">
        <v>1866</v>
      </c>
      <c r="T58" s="271">
        <v>113.43</v>
      </c>
      <c r="U58" s="324"/>
    </row>
    <row r="59" spans="1:21" ht="25.5" x14ac:dyDescent="0.2">
      <c r="A59" s="346" t="s">
        <v>1394</v>
      </c>
      <c r="B59" s="272">
        <v>92793</v>
      </c>
      <c r="C59" s="272" t="s">
        <v>1324</v>
      </c>
      <c r="D59" s="273" t="s">
        <v>1372</v>
      </c>
      <c r="E59" s="274" t="s">
        <v>35</v>
      </c>
      <c r="F59" s="268">
        <f>ROUND(T59*$T$12,2)</f>
        <v>4.6500000000000004</v>
      </c>
      <c r="G59" s="275">
        <v>135.38999999999999</v>
      </c>
      <c r="H59" s="275">
        <v>0</v>
      </c>
      <c r="I59" s="275">
        <v>0</v>
      </c>
      <c r="J59" s="275">
        <v>0</v>
      </c>
      <c r="K59" s="269">
        <f>ROUND(G59*F59,2)</f>
        <v>629.55999999999995</v>
      </c>
      <c r="L59" s="344">
        <f>H59*F59</f>
        <v>0</v>
      </c>
      <c r="M59" s="344">
        <f t="shared" si="15"/>
        <v>0</v>
      </c>
      <c r="N59" s="345">
        <f>F59*G59-M59</f>
        <v>629.56349999999998</v>
      </c>
      <c r="O59" s="325">
        <f t="shared" si="14"/>
        <v>0</v>
      </c>
      <c r="P59" s="319">
        <f>G59*F59</f>
        <v>629.56349999999998</v>
      </c>
      <c r="Q59" s="322"/>
      <c r="R59" s="322"/>
      <c r="S59" s="323" t="s">
        <v>1867</v>
      </c>
      <c r="T59" s="271">
        <v>5.65</v>
      </c>
      <c r="U59" s="324"/>
    </row>
    <row r="60" spans="1:21" ht="25.5" x14ac:dyDescent="0.2">
      <c r="A60" s="346" t="s">
        <v>1395</v>
      </c>
      <c r="B60" s="272">
        <v>92791</v>
      </c>
      <c r="C60" s="272" t="s">
        <v>1324</v>
      </c>
      <c r="D60" s="273" t="s">
        <v>1373</v>
      </c>
      <c r="E60" s="274" t="s">
        <v>35</v>
      </c>
      <c r="F60" s="268">
        <f>ROUND(T60*$T$12,2)</f>
        <v>6.11</v>
      </c>
      <c r="G60" s="275">
        <v>95.93</v>
      </c>
      <c r="H60" s="275">
        <v>0</v>
      </c>
      <c r="I60" s="275">
        <v>0</v>
      </c>
      <c r="J60" s="275">
        <v>0</v>
      </c>
      <c r="K60" s="269">
        <f>ROUND(G60*F60,2)</f>
        <v>586.13</v>
      </c>
      <c r="L60" s="344">
        <f>H60*F60</f>
        <v>0</v>
      </c>
      <c r="M60" s="344">
        <f t="shared" si="15"/>
        <v>0</v>
      </c>
      <c r="N60" s="345">
        <f>F60*G60-M60</f>
        <v>586.1323000000001</v>
      </c>
      <c r="O60" s="325">
        <f t="shared" si="14"/>
        <v>0</v>
      </c>
      <c r="P60" s="319">
        <f>G60*F60</f>
        <v>586.1323000000001</v>
      </c>
      <c r="Q60" s="322"/>
      <c r="R60" s="322"/>
      <c r="S60" s="323" t="s">
        <v>1868</v>
      </c>
      <c r="T60" s="271">
        <v>7.42</v>
      </c>
      <c r="U60" s="324"/>
    </row>
    <row r="61" spans="1:21" ht="15.75" x14ac:dyDescent="0.2">
      <c r="A61" s="346" t="s">
        <v>1396</v>
      </c>
      <c r="B61" s="272">
        <v>92720</v>
      </c>
      <c r="C61" s="272" t="s">
        <v>1324</v>
      </c>
      <c r="D61" s="273" t="s">
        <v>1375</v>
      </c>
      <c r="E61" s="274" t="s">
        <v>48</v>
      </c>
      <c r="F61" s="268">
        <f>ROUND(T61*$T$12,2)</f>
        <v>323.87</v>
      </c>
      <c r="G61" s="275">
        <v>6.59</v>
      </c>
      <c r="H61" s="275">
        <v>0</v>
      </c>
      <c r="I61" s="275">
        <v>0</v>
      </c>
      <c r="J61" s="275">
        <v>0</v>
      </c>
      <c r="K61" s="269">
        <f>ROUND(G61*F61,2)</f>
        <v>2134.3000000000002</v>
      </c>
      <c r="L61" s="344">
        <f>H61*F61</f>
        <v>0</v>
      </c>
      <c r="M61" s="344">
        <f t="shared" si="15"/>
        <v>0</v>
      </c>
      <c r="N61" s="345">
        <f>F61*G61-M61</f>
        <v>2134.3033</v>
      </c>
      <c r="O61" s="325">
        <f t="shared" si="14"/>
        <v>0</v>
      </c>
      <c r="P61" s="319">
        <f>G61*F61</f>
        <v>2134.3033</v>
      </c>
      <c r="Q61" s="322"/>
      <c r="R61" s="322"/>
      <c r="S61" s="323" t="s">
        <v>1869</v>
      </c>
      <c r="T61" s="271">
        <v>393.24</v>
      </c>
      <c r="U61" s="324"/>
    </row>
    <row r="62" spans="1:21" ht="15.75" x14ac:dyDescent="0.2">
      <c r="A62" s="348" t="s">
        <v>1397</v>
      </c>
      <c r="B62" s="276"/>
      <c r="C62" s="276"/>
      <c r="D62" s="277" t="s">
        <v>1398</v>
      </c>
      <c r="E62" s="278"/>
      <c r="F62" s="279">
        <f>K62</f>
        <v>23465.25</v>
      </c>
      <c r="G62" s="279"/>
      <c r="H62" s="279"/>
      <c r="I62" s="279"/>
      <c r="J62" s="279"/>
      <c r="K62" s="280">
        <f>SUM(K63:K66)</f>
        <v>23465.25</v>
      </c>
      <c r="L62" s="349"/>
      <c r="M62" s="349"/>
      <c r="N62" s="350">
        <f>SUM(N63:N66)</f>
        <v>23465.243200000001</v>
      </c>
      <c r="O62" s="325" t="e">
        <f t="shared" si="14"/>
        <v>#DIV/0!</v>
      </c>
      <c r="P62" s="319"/>
      <c r="Q62" s="322"/>
      <c r="R62" s="322"/>
      <c r="S62" s="323" t="s">
        <v>1870</v>
      </c>
      <c r="T62" s="271">
        <v>0</v>
      </c>
      <c r="U62" s="324"/>
    </row>
    <row r="63" spans="1:21" ht="15.75" x14ac:dyDescent="0.2">
      <c r="A63" s="346" t="s">
        <v>1399</v>
      </c>
      <c r="B63" s="272">
        <v>92422</v>
      </c>
      <c r="C63" s="272" t="s">
        <v>1324</v>
      </c>
      <c r="D63" s="273" t="s">
        <v>1384</v>
      </c>
      <c r="E63" s="274" t="s">
        <v>14</v>
      </c>
      <c r="F63" s="268">
        <f>ROUND(T63*$T$12,2)</f>
        <v>93.42</v>
      </c>
      <c r="G63" s="275">
        <v>10.8</v>
      </c>
      <c r="H63" s="275">
        <v>0</v>
      </c>
      <c r="I63" s="275">
        <v>0</v>
      </c>
      <c r="J63" s="275">
        <v>0</v>
      </c>
      <c r="K63" s="269">
        <f>ROUND(G63*F63,2)</f>
        <v>1008.94</v>
      </c>
      <c r="L63" s="344">
        <f>H63*F63</f>
        <v>0</v>
      </c>
      <c r="M63" s="344">
        <f t="shared" si="15"/>
        <v>0</v>
      </c>
      <c r="N63" s="345">
        <f>F63*G63-M63</f>
        <v>1008.936</v>
      </c>
      <c r="O63" s="325">
        <f t="shared" si="14"/>
        <v>0</v>
      </c>
      <c r="P63" s="319">
        <f>G63*F63</f>
        <v>1008.936</v>
      </c>
      <c r="Q63" s="322"/>
      <c r="R63" s="322"/>
      <c r="S63" s="323" t="s">
        <v>1871</v>
      </c>
      <c r="T63" s="271">
        <v>113.43</v>
      </c>
      <c r="U63" s="324"/>
    </row>
    <row r="64" spans="1:21" ht="15.75" x14ac:dyDescent="0.2">
      <c r="A64" s="346" t="s">
        <v>1400</v>
      </c>
      <c r="B64" s="272" t="s">
        <v>1401</v>
      </c>
      <c r="C64" s="272" t="s">
        <v>1324</v>
      </c>
      <c r="D64" s="273" t="s">
        <v>1402</v>
      </c>
      <c r="E64" s="274" t="s">
        <v>48</v>
      </c>
      <c r="F64" s="268">
        <f>ROUND(T64*$T$12,2)</f>
        <v>98.55</v>
      </c>
      <c r="G64" s="275">
        <v>33.83</v>
      </c>
      <c r="H64" s="275">
        <v>0</v>
      </c>
      <c r="I64" s="275">
        <v>0</v>
      </c>
      <c r="J64" s="275">
        <v>0</v>
      </c>
      <c r="K64" s="269">
        <f>ROUND(G64*F64,2)</f>
        <v>3333.95</v>
      </c>
      <c r="L64" s="344">
        <f>H64*F64</f>
        <v>0</v>
      </c>
      <c r="M64" s="344">
        <f t="shared" si="15"/>
        <v>0</v>
      </c>
      <c r="N64" s="345">
        <f>F64*G64-M64</f>
        <v>3333.9464999999996</v>
      </c>
      <c r="O64" s="325">
        <f t="shared" si="14"/>
        <v>0</v>
      </c>
      <c r="P64" s="319">
        <f>G64*F64</f>
        <v>3333.9464999999996</v>
      </c>
      <c r="Q64" s="322"/>
      <c r="R64" s="322"/>
      <c r="S64" s="323" t="s">
        <v>1872</v>
      </c>
      <c r="T64" s="271">
        <v>119.66</v>
      </c>
      <c r="U64" s="324"/>
    </row>
    <row r="65" spans="1:21" ht="15.75" x14ac:dyDescent="0.2">
      <c r="A65" s="346" t="s">
        <v>1403</v>
      </c>
      <c r="B65" s="272">
        <v>85662</v>
      </c>
      <c r="C65" s="272" t="s">
        <v>1324</v>
      </c>
      <c r="D65" s="273" t="s">
        <v>1404</v>
      </c>
      <c r="E65" s="274" t="s">
        <v>14</v>
      </c>
      <c r="F65" s="268">
        <f>ROUND(T65*$T$12,2)</f>
        <v>10.34</v>
      </c>
      <c r="G65" s="275">
        <v>1001.47</v>
      </c>
      <c r="H65" s="275">
        <v>0</v>
      </c>
      <c r="I65" s="275">
        <v>0</v>
      </c>
      <c r="J65" s="275">
        <v>0</v>
      </c>
      <c r="K65" s="269">
        <f>ROUND(G65*F65,2)</f>
        <v>10355.200000000001</v>
      </c>
      <c r="L65" s="344">
        <f>H65*F65</f>
        <v>0</v>
      </c>
      <c r="M65" s="344">
        <f t="shared" si="15"/>
        <v>0</v>
      </c>
      <c r="N65" s="345">
        <f>F65*G65-M65</f>
        <v>10355.1998</v>
      </c>
      <c r="O65" s="325">
        <f t="shared" si="14"/>
        <v>0</v>
      </c>
      <c r="P65" s="319">
        <f>G65*F65</f>
        <v>10355.1998</v>
      </c>
      <c r="Q65" s="322"/>
      <c r="R65" s="322"/>
      <c r="S65" s="323" t="s">
        <v>1873</v>
      </c>
      <c r="T65" s="271">
        <v>12.56</v>
      </c>
      <c r="U65" s="324"/>
    </row>
    <row r="66" spans="1:21" ht="15.75" x14ac:dyDescent="0.2">
      <c r="A66" s="346" t="s">
        <v>1405</v>
      </c>
      <c r="B66" s="272">
        <v>92720</v>
      </c>
      <c r="C66" s="272" t="s">
        <v>1324</v>
      </c>
      <c r="D66" s="273" t="s">
        <v>1375</v>
      </c>
      <c r="E66" s="274" t="s">
        <v>48</v>
      </c>
      <c r="F66" s="268">
        <f>ROUND(T66*$T$12,2)</f>
        <v>323.87</v>
      </c>
      <c r="G66" s="275">
        <v>27.07</v>
      </c>
      <c r="H66" s="275">
        <v>0</v>
      </c>
      <c r="I66" s="275">
        <v>0</v>
      </c>
      <c r="J66" s="275">
        <v>0</v>
      </c>
      <c r="K66" s="269">
        <f>ROUND(G66*F66,2)</f>
        <v>8767.16</v>
      </c>
      <c r="L66" s="344">
        <f>H66*F66</f>
        <v>0</v>
      </c>
      <c r="M66" s="344">
        <f t="shared" si="15"/>
        <v>0</v>
      </c>
      <c r="N66" s="345">
        <f>F66*G66-M66</f>
        <v>8767.1609000000008</v>
      </c>
      <c r="O66" s="325">
        <f t="shared" si="14"/>
        <v>0</v>
      </c>
      <c r="P66" s="319">
        <f>G66*F66</f>
        <v>8767.1609000000008</v>
      </c>
      <c r="Q66" s="322"/>
      <c r="R66" s="322"/>
      <c r="S66" s="323" t="s">
        <v>1874</v>
      </c>
      <c r="T66" s="271">
        <v>393.24</v>
      </c>
      <c r="U66" s="324"/>
    </row>
    <row r="67" spans="1:21" ht="15.75" x14ac:dyDescent="0.2">
      <c r="A67" s="348" t="s">
        <v>1406</v>
      </c>
      <c r="B67" s="276"/>
      <c r="C67" s="276"/>
      <c r="D67" s="277" t="s">
        <v>1407</v>
      </c>
      <c r="E67" s="278"/>
      <c r="F67" s="279">
        <f>K67</f>
        <v>912.59</v>
      </c>
      <c r="G67" s="279"/>
      <c r="H67" s="279"/>
      <c r="I67" s="279"/>
      <c r="J67" s="279"/>
      <c r="K67" s="280">
        <f>SUM(K68)</f>
        <v>912.59</v>
      </c>
      <c r="L67" s="349"/>
      <c r="M67" s="349"/>
      <c r="N67" s="350">
        <f>N68</f>
        <v>912.58799999999997</v>
      </c>
      <c r="O67" s="325" t="e">
        <f t="shared" si="14"/>
        <v>#DIV/0!</v>
      </c>
      <c r="P67" s="319"/>
      <c r="Q67" s="322"/>
      <c r="R67" s="322"/>
      <c r="S67" s="323" t="s">
        <v>1875</v>
      </c>
      <c r="T67" s="271">
        <v>0</v>
      </c>
      <c r="U67" s="324"/>
    </row>
    <row r="68" spans="1:21" ht="15.75" x14ac:dyDescent="0.2">
      <c r="A68" s="346" t="s">
        <v>1408</v>
      </c>
      <c r="B68" s="272" t="s">
        <v>1409</v>
      </c>
      <c r="C68" s="272" t="s">
        <v>1324</v>
      </c>
      <c r="D68" s="273" t="s">
        <v>1410</v>
      </c>
      <c r="E68" s="274" t="s">
        <v>81</v>
      </c>
      <c r="F68" s="268">
        <f>ROUND(T68*$T$12,2)</f>
        <v>26.92</v>
      </c>
      <c r="G68" s="275">
        <v>33.9</v>
      </c>
      <c r="H68" s="275">
        <v>0</v>
      </c>
      <c r="I68" s="275">
        <v>0</v>
      </c>
      <c r="J68" s="275">
        <v>0</v>
      </c>
      <c r="K68" s="269">
        <f>ROUND(G68*F68,2)</f>
        <v>912.59</v>
      </c>
      <c r="L68" s="344">
        <f>H68*F68</f>
        <v>0</v>
      </c>
      <c r="M68" s="344">
        <f t="shared" si="15"/>
        <v>0</v>
      </c>
      <c r="N68" s="345">
        <f>F68*G68-M68</f>
        <v>912.58799999999997</v>
      </c>
      <c r="O68" s="325">
        <f t="shared" si="14"/>
        <v>0</v>
      </c>
      <c r="P68" s="319">
        <f>G68*F68</f>
        <v>912.58799999999997</v>
      </c>
      <c r="Q68" s="322"/>
      <c r="R68" s="322"/>
      <c r="S68" s="323" t="s">
        <v>1876</v>
      </c>
      <c r="T68" s="271">
        <v>32.69</v>
      </c>
      <c r="U68" s="324"/>
    </row>
    <row r="69" spans="1:21" ht="15.75" x14ac:dyDescent="0.2">
      <c r="A69" s="341">
        <v>5</v>
      </c>
      <c r="B69" s="258"/>
      <c r="C69" s="258"/>
      <c r="D69" s="259" t="s">
        <v>1411</v>
      </c>
      <c r="E69" s="260"/>
      <c r="F69" s="261">
        <f>K69</f>
        <v>31428.92</v>
      </c>
      <c r="G69" s="261"/>
      <c r="H69" s="261"/>
      <c r="I69" s="261"/>
      <c r="J69" s="261"/>
      <c r="K69" s="262">
        <f>K70+K72+K75</f>
        <v>31428.92</v>
      </c>
      <c r="L69" s="342">
        <f>SUM(L70,L72,L75)</f>
        <v>5836.5975200000012</v>
      </c>
      <c r="M69" s="342">
        <f t="shared" si="15"/>
        <v>5836.5975200000012</v>
      </c>
      <c r="N69" s="343">
        <f>SUM(N70,N72,N75)</f>
        <v>25592.337080000005</v>
      </c>
      <c r="O69" s="325" t="e">
        <f t="shared" si="14"/>
        <v>#DIV/0!</v>
      </c>
      <c r="P69" s="319"/>
      <c r="Q69" s="322"/>
      <c r="R69" s="322"/>
      <c r="S69" s="323" t="s">
        <v>1877</v>
      </c>
      <c r="T69" s="271">
        <v>0</v>
      </c>
      <c r="U69" s="324"/>
    </row>
    <row r="70" spans="1:21" ht="15.75" x14ac:dyDescent="0.2">
      <c r="A70" s="348" t="s">
        <v>98</v>
      </c>
      <c r="B70" s="276"/>
      <c r="C70" s="276"/>
      <c r="D70" s="277" t="s">
        <v>1412</v>
      </c>
      <c r="E70" s="278"/>
      <c r="F70" s="279">
        <f>K70</f>
        <v>7200.78</v>
      </c>
      <c r="G70" s="279"/>
      <c r="H70" s="279"/>
      <c r="I70" s="279"/>
      <c r="J70" s="279"/>
      <c r="K70" s="280">
        <f>SUM(K71)</f>
        <v>7200.78</v>
      </c>
      <c r="L70" s="349"/>
      <c r="M70" s="349"/>
      <c r="N70" s="350">
        <f>N71</f>
        <v>7200.7840000000006</v>
      </c>
      <c r="O70" s="325" t="e">
        <f t="shared" si="14"/>
        <v>#DIV/0!</v>
      </c>
      <c r="P70" s="319"/>
      <c r="Q70" s="322"/>
      <c r="R70" s="322"/>
      <c r="S70" s="323" t="s">
        <v>1878</v>
      </c>
      <c r="T70" s="271">
        <v>0</v>
      </c>
      <c r="U70" s="324"/>
    </row>
    <row r="71" spans="1:21" ht="25.5" x14ac:dyDescent="0.2">
      <c r="A71" s="346" t="s">
        <v>100</v>
      </c>
      <c r="B71" s="272" t="s">
        <v>1413</v>
      </c>
      <c r="C71" s="272" t="s">
        <v>1324</v>
      </c>
      <c r="D71" s="273" t="s">
        <v>1414</v>
      </c>
      <c r="E71" s="274" t="s">
        <v>14</v>
      </c>
      <c r="F71" s="268">
        <f>ROUND(T71*$T$12,2)</f>
        <v>53.45</v>
      </c>
      <c r="G71" s="275">
        <v>134.72</v>
      </c>
      <c r="H71" s="275">
        <v>0</v>
      </c>
      <c r="I71" s="275">
        <v>0</v>
      </c>
      <c r="J71" s="275">
        <v>0</v>
      </c>
      <c r="K71" s="269">
        <f>ROUND(G71*F71,2)</f>
        <v>7200.78</v>
      </c>
      <c r="L71" s="344">
        <f>H71*F71</f>
        <v>0</v>
      </c>
      <c r="M71" s="344">
        <f>L71</f>
        <v>0</v>
      </c>
      <c r="N71" s="345">
        <f>F71*G71-M71</f>
        <v>7200.7840000000006</v>
      </c>
      <c r="O71" s="325">
        <f t="shared" si="14"/>
        <v>0</v>
      </c>
      <c r="P71" s="319">
        <f>G71*F71</f>
        <v>7200.7840000000006</v>
      </c>
      <c r="Q71" s="322"/>
      <c r="R71" s="322"/>
      <c r="S71" s="323" t="s">
        <v>1879</v>
      </c>
      <c r="T71" s="271">
        <v>64.900000000000006</v>
      </c>
      <c r="U71" s="324"/>
    </row>
    <row r="72" spans="1:21" ht="15.75" x14ac:dyDescent="0.2">
      <c r="A72" s="348" t="s">
        <v>116</v>
      </c>
      <c r="B72" s="276"/>
      <c r="C72" s="276"/>
      <c r="D72" s="277" t="s">
        <v>1415</v>
      </c>
      <c r="E72" s="278"/>
      <c r="F72" s="279">
        <f>K72</f>
        <v>15726.869999999999</v>
      </c>
      <c r="G72" s="279"/>
      <c r="H72" s="279"/>
      <c r="I72" s="279"/>
      <c r="J72" s="279"/>
      <c r="K72" s="280">
        <f>SUM(K73:K74)</f>
        <v>15726.869999999999</v>
      </c>
      <c r="L72" s="349">
        <f>SUM(L73)</f>
        <v>5836.5975200000012</v>
      </c>
      <c r="M72" s="349"/>
      <c r="N72" s="350">
        <f>N73+N74</f>
        <v>9890.2802800000009</v>
      </c>
      <c r="O72" s="325" t="e">
        <f t="shared" si="14"/>
        <v>#DIV/0!</v>
      </c>
      <c r="P72" s="319">
        <f>G72*F72</f>
        <v>0</v>
      </c>
      <c r="Q72" s="322"/>
      <c r="R72" s="322"/>
      <c r="S72" s="323" t="s">
        <v>1880</v>
      </c>
      <c r="T72" s="271">
        <v>0</v>
      </c>
      <c r="U72" s="324"/>
    </row>
    <row r="73" spans="1:21" ht="25.5" x14ac:dyDescent="0.2">
      <c r="A73" s="346" t="s">
        <v>118</v>
      </c>
      <c r="B73" s="272">
        <v>87519</v>
      </c>
      <c r="C73" s="272" t="s">
        <v>1324</v>
      </c>
      <c r="D73" s="273" t="s">
        <v>1416</v>
      </c>
      <c r="E73" s="274" t="s">
        <v>14</v>
      </c>
      <c r="F73" s="268">
        <f>ROUND(T73*$T$12,2)</f>
        <v>56.29</v>
      </c>
      <c r="G73" s="275">
        <v>259.22000000000003</v>
      </c>
      <c r="H73" s="275">
        <f>G73*0.4</f>
        <v>103.68800000000002</v>
      </c>
      <c r="I73" s="275">
        <v>0</v>
      </c>
      <c r="J73" s="275">
        <v>0</v>
      </c>
      <c r="K73" s="269">
        <f>ROUND(G73*F73,2)</f>
        <v>14591.49</v>
      </c>
      <c r="L73" s="344">
        <f>H73*F73</f>
        <v>5836.5975200000012</v>
      </c>
      <c r="M73" s="344">
        <f>L73</f>
        <v>5836.5975200000012</v>
      </c>
      <c r="N73" s="345">
        <f>F73*G73-M73</f>
        <v>8754.8962800000008</v>
      </c>
      <c r="O73" s="325">
        <f t="shared" si="14"/>
        <v>0.4</v>
      </c>
      <c r="P73" s="319">
        <f>G73*F73</f>
        <v>14591.493800000002</v>
      </c>
      <c r="Q73" s="322"/>
      <c r="R73" s="322"/>
      <c r="S73" s="323" t="s">
        <v>1881</v>
      </c>
      <c r="T73" s="271">
        <v>68.349999999999994</v>
      </c>
      <c r="U73" s="324"/>
    </row>
    <row r="74" spans="1:21" ht="38.25" x14ac:dyDescent="0.2">
      <c r="A74" s="346" t="s">
        <v>123</v>
      </c>
      <c r="B74" s="272" t="s">
        <v>1417</v>
      </c>
      <c r="C74" s="272" t="s">
        <v>1324</v>
      </c>
      <c r="D74" s="273" t="s">
        <v>1418</v>
      </c>
      <c r="E74" s="274" t="s">
        <v>81</v>
      </c>
      <c r="F74" s="268">
        <f>ROUND(T74*$T$12,2)</f>
        <v>16.36</v>
      </c>
      <c r="G74" s="275">
        <v>69.400000000000006</v>
      </c>
      <c r="H74" s="275">
        <v>0</v>
      </c>
      <c r="I74" s="275">
        <v>0</v>
      </c>
      <c r="J74" s="275">
        <v>0</v>
      </c>
      <c r="K74" s="269">
        <f>ROUND(G74*F74,2)</f>
        <v>1135.3800000000001</v>
      </c>
      <c r="L74" s="344">
        <f>H74*F74</f>
        <v>0</v>
      </c>
      <c r="M74" s="344">
        <f>L74</f>
        <v>0</v>
      </c>
      <c r="N74" s="345">
        <f>F74*G74-M74</f>
        <v>1135.384</v>
      </c>
      <c r="O74" s="325">
        <f t="shared" si="14"/>
        <v>0</v>
      </c>
      <c r="P74" s="319">
        <f>G74*F74</f>
        <v>1135.384</v>
      </c>
      <c r="Q74" s="322"/>
      <c r="R74" s="322"/>
      <c r="S74" s="323" t="s">
        <v>1882</v>
      </c>
      <c r="T74" s="271">
        <v>19.87</v>
      </c>
      <c r="U74" s="324"/>
    </row>
    <row r="75" spans="1:21" ht="15.75" x14ac:dyDescent="0.2">
      <c r="A75" s="348" t="s">
        <v>1419</v>
      </c>
      <c r="B75" s="276"/>
      <c r="C75" s="276"/>
      <c r="D75" s="277" t="s">
        <v>1420</v>
      </c>
      <c r="E75" s="278"/>
      <c r="F75" s="279">
        <f>K75</f>
        <v>8501.27</v>
      </c>
      <c r="G75" s="279"/>
      <c r="H75" s="279"/>
      <c r="I75" s="279"/>
      <c r="J75" s="279"/>
      <c r="K75" s="280">
        <f>SUM(K76)</f>
        <v>8501.27</v>
      </c>
      <c r="L75" s="349"/>
      <c r="M75" s="349"/>
      <c r="N75" s="350">
        <f>N76</f>
        <v>8501.2728000000006</v>
      </c>
      <c r="O75" s="325" t="e">
        <f t="shared" si="14"/>
        <v>#DIV/0!</v>
      </c>
      <c r="P75" s="319"/>
      <c r="Q75" s="322"/>
      <c r="R75" s="322"/>
      <c r="S75" s="323" t="s">
        <v>1883</v>
      </c>
      <c r="T75" s="271">
        <v>0</v>
      </c>
      <c r="U75" s="324"/>
    </row>
    <row r="76" spans="1:21" ht="25.5" x14ac:dyDescent="0.2">
      <c r="A76" s="346" t="s">
        <v>1421</v>
      </c>
      <c r="B76" s="272" t="s">
        <v>1422</v>
      </c>
      <c r="C76" s="272" t="s">
        <v>1324</v>
      </c>
      <c r="D76" s="273" t="s">
        <v>1423</v>
      </c>
      <c r="E76" s="274" t="s">
        <v>14</v>
      </c>
      <c r="F76" s="268">
        <f>ROUND(T76*$T$12,2)</f>
        <v>57.41</v>
      </c>
      <c r="G76" s="275">
        <v>148.08000000000001</v>
      </c>
      <c r="H76" s="275">
        <v>0</v>
      </c>
      <c r="I76" s="275">
        <v>0</v>
      </c>
      <c r="J76" s="275">
        <v>0</v>
      </c>
      <c r="K76" s="269">
        <f>ROUND(G76*F76,2)</f>
        <v>8501.27</v>
      </c>
      <c r="L76" s="344">
        <f>H76*F76</f>
        <v>0</v>
      </c>
      <c r="M76" s="344">
        <f>L76</f>
        <v>0</v>
      </c>
      <c r="N76" s="345">
        <f>F76*G76-M76</f>
        <v>8501.2728000000006</v>
      </c>
      <c r="O76" s="325">
        <f t="shared" si="14"/>
        <v>0</v>
      </c>
      <c r="P76" s="319">
        <f>G76*F76</f>
        <v>8501.2728000000006</v>
      </c>
      <c r="Q76" s="322"/>
      <c r="R76" s="322"/>
      <c r="S76" s="323" t="s">
        <v>1884</v>
      </c>
      <c r="T76" s="271">
        <v>69.709999999999994</v>
      </c>
      <c r="U76" s="324"/>
    </row>
    <row r="77" spans="1:21" ht="15.75" x14ac:dyDescent="0.2">
      <c r="A77" s="341">
        <v>6</v>
      </c>
      <c r="B77" s="258"/>
      <c r="C77" s="258"/>
      <c r="D77" s="259" t="s">
        <v>97</v>
      </c>
      <c r="E77" s="260"/>
      <c r="F77" s="261">
        <f>K77</f>
        <v>10373.979999999998</v>
      </c>
      <c r="G77" s="261"/>
      <c r="H77" s="261"/>
      <c r="I77" s="261"/>
      <c r="J77" s="261"/>
      <c r="K77" s="262">
        <f>K78+K83+K87+K90</f>
        <v>10373.979999999998</v>
      </c>
      <c r="L77" s="342"/>
      <c r="M77" s="342"/>
      <c r="N77" s="343">
        <f>SUM(N78,N83,N87,N90)</f>
        <v>10373.986799999999</v>
      </c>
      <c r="O77" s="325" t="e">
        <f t="shared" si="14"/>
        <v>#DIV/0!</v>
      </c>
      <c r="P77" s="319"/>
      <c r="Q77" s="322"/>
      <c r="R77" s="322"/>
      <c r="S77" s="323" t="s">
        <v>1885</v>
      </c>
      <c r="T77" s="271">
        <v>0</v>
      </c>
      <c r="U77" s="324"/>
    </row>
    <row r="78" spans="1:21" ht="15.75" x14ac:dyDescent="0.2">
      <c r="A78" s="348" t="s">
        <v>186</v>
      </c>
      <c r="B78" s="276"/>
      <c r="C78" s="276"/>
      <c r="D78" s="277" t="s">
        <v>1424</v>
      </c>
      <c r="E78" s="278"/>
      <c r="F78" s="279">
        <f>K78</f>
        <v>7440.7899999999991</v>
      </c>
      <c r="G78" s="279"/>
      <c r="H78" s="279"/>
      <c r="I78" s="279"/>
      <c r="J78" s="279"/>
      <c r="K78" s="280">
        <f>SUM(K79:K82)</f>
        <v>7440.7899999999991</v>
      </c>
      <c r="L78" s="349"/>
      <c r="M78" s="349"/>
      <c r="N78" s="350">
        <f>SUM(N79:N82)</f>
        <v>7440.7899999999991</v>
      </c>
      <c r="O78" s="325" t="e">
        <f t="shared" si="14"/>
        <v>#DIV/0!</v>
      </c>
      <c r="P78" s="319"/>
      <c r="Q78" s="322"/>
      <c r="R78" s="322"/>
      <c r="S78" s="323" t="s">
        <v>1886</v>
      </c>
      <c r="T78" s="271">
        <v>0</v>
      </c>
      <c r="U78" s="324"/>
    </row>
    <row r="79" spans="1:21" ht="25.5" x14ac:dyDescent="0.2">
      <c r="A79" s="346" t="s">
        <v>1425</v>
      </c>
      <c r="B79" s="272">
        <v>90843</v>
      </c>
      <c r="C79" s="272" t="s">
        <v>1324</v>
      </c>
      <c r="D79" s="273" t="s">
        <v>1426</v>
      </c>
      <c r="E79" s="274" t="s">
        <v>102</v>
      </c>
      <c r="F79" s="268">
        <f>ROUND(T79*$T$12,2)</f>
        <v>688.65</v>
      </c>
      <c r="G79" s="275">
        <v>2</v>
      </c>
      <c r="H79" s="275">
        <v>0</v>
      </c>
      <c r="I79" s="275">
        <v>0</v>
      </c>
      <c r="J79" s="275">
        <v>0</v>
      </c>
      <c r="K79" s="269">
        <f>ROUND(G79*F79,2)</f>
        <v>1377.3</v>
      </c>
      <c r="L79" s="344">
        <f>H79*F79</f>
        <v>0</v>
      </c>
      <c r="M79" s="344">
        <f>L79</f>
        <v>0</v>
      </c>
      <c r="N79" s="345">
        <f>F79*G79-M79</f>
        <v>1377.3</v>
      </c>
      <c r="O79" s="325">
        <f t="shared" si="14"/>
        <v>0</v>
      </c>
      <c r="P79" s="319">
        <f t="shared" ref="P79:P86" si="16">G79*F79</f>
        <v>1377.3</v>
      </c>
      <c r="Q79" s="322"/>
      <c r="R79" s="322"/>
      <c r="S79" s="323" t="s">
        <v>1887</v>
      </c>
      <c r="T79" s="271">
        <v>836.16</v>
      </c>
      <c r="U79" s="324"/>
    </row>
    <row r="80" spans="1:21" ht="25.5" x14ac:dyDescent="0.2">
      <c r="A80" s="346" t="s">
        <v>1427</v>
      </c>
      <c r="B80" s="272">
        <v>90844</v>
      </c>
      <c r="C80" s="272" t="s">
        <v>1324</v>
      </c>
      <c r="D80" s="273" t="s">
        <v>1428</v>
      </c>
      <c r="E80" s="274" t="s">
        <v>102</v>
      </c>
      <c r="F80" s="268">
        <f>ROUND(T80*$T$12,2)</f>
        <v>926.13</v>
      </c>
      <c r="G80" s="275">
        <v>1</v>
      </c>
      <c r="H80" s="275">
        <v>0</v>
      </c>
      <c r="I80" s="275">
        <v>0</v>
      </c>
      <c r="J80" s="275">
        <v>0</v>
      </c>
      <c r="K80" s="269">
        <f>ROUND(G80*F80,2)</f>
        <v>926.13</v>
      </c>
      <c r="L80" s="344">
        <f>H80*F80</f>
        <v>0</v>
      </c>
      <c r="M80" s="344">
        <f>L80</f>
        <v>0</v>
      </c>
      <c r="N80" s="345">
        <f>F80*G80-M80</f>
        <v>926.13</v>
      </c>
      <c r="O80" s="325">
        <f t="shared" si="14"/>
        <v>0</v>
      </c>
      <c r="P80" s="319">
        <f t="shared" si="16"/>
        <v>926.13</v>
      </c>
      <c r="Q80" s="322"/>
      <c r="R80" s="322"/>
      <c r="S80" s="323" t="s">
        <v>1888</v>
      </c>
      <c r="T80" s="271">
        <v>1124.5</v>
      </c>
      <c r="U80" s="324"/>
    </row>
    <row r="81" spans="1:21" ht="25.5" x14ac:dyDescent="0.2">
      <c r="A81" s="346" t="s">
        <v>1429</v>
      </c>
      <c r="B81" s="272" t="s">
        <v>1430</v>
      </c>
      <c r="C81" s="272" t="s">
        <v>1324</v>
      </c>
      <c r="D81" s="273" t="s">
        <v>1431</v>
      </c>
      <c r="E81" s="274" t="s">
        <v>102</v>
      </c>
      <c r="F81" s="268">
        <f>ROUND(T81*$T$12,2)</f>
        <v>825.22</v>
      </c>
      <c r="G81" s="275">
        <v>4</v>
      </c>
      <c r="H81" s="275">
        <v>0</v>
      </c>
      <c r="I81" s="275">
        <v>0</v>
      </c>
      <c r="J81" s="275">
        <v>0</v>
      </c>
      <c r="K81" s="269">
        <f>ROUND(G81*F81,2)</f>
        <v>3300.88</v>
      </c>
      <c r="L81" s="344">
        <f>H81*F81</f>
        <v>0</v>
      </c>
      <c r="M81" s="344">
        <f>L81</f>
        <v>0</v>
      </c>
      <c r="N81" s="345">
        <f>F81*G81-M81</f>
        <v>3300.88</v>
      </c>
      <c r="O81" s="325">
        <f t="shared" si="14"/>
        <v>0</v>
      </c>
      <c r="P81" s="319">
        <f t="shared" si="16"/>
        <v>3300.88</v>
      </c>
      <c r="Q81" s="322"/>
      <c r="R81" s="322"/>
      <c r="S81" s="323" t="s">
        <v>1889</v>
      </c>
      <c r="T81" s="271">
        <v>1001.98</v>
      </c>
      <c r="U81" s="324"/>
    </row>
    <row r="82" spans="1:21" ht="25.5" x14ac:dyDescent="0.2">
      <c r="A82" s="346" t="s">
        <v>1432</v>
      </c>
      <c r="B82" s="272" t="s">
        <v>1433</v>
      </c>
      <c r="C82" s="272" t="s">
        <v>1324</v>
      </c>
      <c r="D82" s="273" t="s">
        <v>1434</v>
      </c>
      <c r="E82" s="274" t="s">
        <v>102</v>
      </c>
      <c r="F82" s="268">
        <f>ROUND(T82*$T$12,2)</f>
        <v>918.24</v>
      </c>
      <c r="G82" s="275">
        <v>2</v>
      </c>
      <c r="H82" s="275">
        <v>0</v>
      </c>
      <c r="I82" s="275">
        <v>0</v>
      </c>
      <c r="J82" s="275">
        <v>0</v>
      </c>
      <c r="K82" s="269">
        <f>ROUND(G82*F82,2)</f>
        <v>1836.48</v>
      </c>
      <c r="L82" s="344">
        <f>H82*F82</f>
        <v>0</v>
      </c>
      <c r="M82" s="344">
        <f>L82</f>
        <v>0</v>
      </c>
      <c r="N82" s="345">
        <f>F82*G82-M82</f>
        <v>1836.48</v>
      </c>
      <c r="O82" s="325">
        <f t="shared" si="14"/>
        <v>0</v>
      </c>
      <c r="P82" s="319">
        <f t="shared" si="16"/>
        <v>1836.48</v>
      </c>
      <c r="Q82" s="322"/>
      <c r="R82" s="322"/>
      <c r="S82" s="323" t="s">
        <v>1890</v>
      </c>
      <c r="T82" s="271">
        <v>1114.92</v>
      </c>
      <c r="U82" s="324"/>
    </row>
    <row r="83" spans="1:21" ht="15.75" x14ac:dyDescent="0.2">
      <c r="A83" s="348" t="s">
        <v>188</v>
      </c>
      <c r="B83" s="276"/>
      <c r="C83" s="276"/>
      <c r="D83" s="277" t="s">
        <v>1435</v>
      </c>
      <c r="E83" s="278"/>
      <c r="F83" s="279">
        <f>K83</f>
        <v>773.29</v>
      </c>
      <c r="G83" s="279"/>
      <c r="H83" s="279"/>
      <c r="I83" s="279"/>
      <c r="J83" s="279"/>
      <c r="K83" s="280">
        <f>SUM(K84:K86)</f>
        <v>773.29</v>
      </c>
      <c r="L83" s="349"/>
      <c r="M83" s="349"/>
      <c r="N83" s="350">
        <f>SUM(N84:N86)</f>
        <v>773.29600000000005</v>
      </c>
      <c r="O83" s="325" t="e">
        <f t="shared" si="14"/>
        <v>#DIV/0!</v>
      </c>
      <c r="P83" s="319">
        <f t="shared" si="16"/>
        <v>0</v>
      </c>
      <c r="Q83" s="322"/>
      <c r="R83" s="322"/>
      <c r="S83" s="323" t="s">
        <v>1891</v>
      </c>
      <c r="T83" s="271">
        <v>0</v>
      </c>
      <c r="U83" s="324"/>
    </row>
    <row r="84" spans="1:21" ht="25.5" x14ac:dyDescent="0.2">
      <c r="A84" s="346" t="s">
        <v>1436</v>
      </c>
      <c r="B84" s="272"/>
      <c r="C84" s="272" t="s">
        <v>1339</v>
      </c>
      <c r="D84" s="273" t="s">
        <v>1437</v>
      </c>
      <c r="E84" s="274" t="s">
        <v>81</v>
      </c>
      <c r="F84" s="268">
        <f>ROUND(T84*$T$12,2)</f>
        <v>48.24</v>
      </c>
      <c r="G84" s="275">
        <v>11.6</v>
      </c>
      <c r="H84" s="275">
        <v>0</v>
      </c>
      <c r="I84" s="275">
        <v>0</v>
      </c>
      <c r="J84" s="275">
        <v>0</v>
      </c>
      <c r="K84" s="269">
        <f>ROUND(G84*F84,2)</f>
        <v>559.58000000000004</v>
      </c>
      <c r="L84" s="344">
        <f>H84*F84</f>
        <v>0</v>
      </c>
      <c r="M84" s="344">
        <f>L84</f>
        <v>0</v>
      </c>
      <c r="N84" s="345">
        <f>F84*G84-M84</f>
        <v>559.58400000000006</v>
      </c>
      <c r="O84" s="325">
        <f t="shared" si="14"/>
        <v>0</v>
      </c>
      <c r="P84" s="319">
        <f t="shared" si="16"/>
        <v>559.58400000000006</v>
      </c>
      <c r="Q84" s="322"/>
      <c r="R84" s="322"/>
      <c r="S84" s="323" t="s">
        <v>1892</v>
      </c>
      <c r="T84" s="271">
        <v>58.57</v>
      </c>
      <c r="U84" s="324"/>
    </row>
    <row r="85" spans="1:21" ht="25.5" x14ac:dyDescent="0.2">
      <c r="A85" s="346" t="s">
        <v>1438</v>
      </c>
      <c r="B85" s="272"/>
      <c r="C85" s="272" t="s">
        <v>1339</v>
      </c>
      <c r="D85" s="273" t="s">
        <v>1439</v>
      </c>
      <c r="E85" s="274" t="s">
        <v>14</v>
      </c>
      <c r="F85" s="268">
        <f>ROUND(T85*$T$12,2)</f>
        <v>5.44</v>
      </c>
      <c r="G85" s="275">
        <v>4.3</v>
      </c>
      <c r="H85" s="275">
        <v>0</v>
      </c>
      <c r="I85" s="275">
        <v>0</v>
      </c>
      <c r="J85" s="275">
        <v>0</v>
      </c>
      <c r="K85" s="269">
        <f>ROUND(G85*F85,2)</f>
        <v>23.39</v>
      </c>
      <c r="L85" s="344">
        <f>H85*F85</f>
        <v>0</v>
      </c>
      <c r="M85" s="344">
        <f>L85</f>
        <v>0</v>
      </c>
      <c r="N85" s="345">
        <f>F85*G85-M85</f>
        <v>23.391999999999999</v>
      </c>
      <c r="O85" s="325">
        <f t="shared" si="14"/>
        <v>0</v>
      </c>
      <c r="P85" s="319">
        <f t="shared" si="16"/>
        <v>23.391999999999999</v>
      </c>
      <c r="Q85" s="322"/>
      <c r="R85" s="322"/>
      <c r="S85" s="323" t="s">
        <v>1893</v>
      </c>
      <c r="T85" s="271">
        <v>6.61</v>
      </c>
      <c r="U85" s="324"/>
    </row>
    <row r="86" spans="1:21" ht="15.75" x14ac:dyDescent="0.2">
      <c r="A86" s="346" t="s">
        <v>1440</v>
      </c>
      <c r="B86" s="272" t="s">
        <v>1441</v>
      </c>
      <c r="C86" s="272" t="s">
        <v>1324</v>
      </c>
      <c r="D86" s="273" t="s">
        <v>1442</v>
      </c>
      <c r="E86" s="274" t="s">
        <v>102</v>
      </c>
      <c r="F86" s="268">
        <f>ROUND(T86*$T$12,2)</f>
        <v>31.72</v>
      </c>
      <c r="G86" s="275">
        <v>6</v>
      </c>
      <c r="H86" s="275">
        <v>0</v>
      </c>
      <c r="I86" s="275">
        <v>0</v>
      </c>
      <c r="J86" s="275">
        <v>0</v>
      </c>
      <c r="K86" s="269">
        <f>ROUND(G86*F86,2)</f>
        <v>190.32</v>
      </c>
      <c r="L86" s="344">
        <f>H86*F86</f>
        <v>0</v>
      </c>
      <c r="M86" s="344">
        <f>L86</f>
        <v>0</v>
      </c>
      <c r="N86" s="345">
        <f>F86*G86-M86</f>
        <v>190.32</v>
      </c>
      <c r="O86" s="325">
        <f t="shared" si="14"/>
        <v>0</v>
      </c>
      <c r="P86" s="319">
        <f t="shared" si="16"/>
        <v>190.32</v>
      </c>
      <c r="Q86" s="322"/>
      <c r="R86" s="322"/>
      <c r="S86" s="323" t="s">
        <v>1894</v>
      </c>
      <c r="T86" s="271">
        <v>38.520000000000003</v>
      </c>
      <c r="U86" s="324"/>
    </row>
    <row r="87" spans="1:21" ht="15.75" x14ac:dyDescent="0.2">
      <c r="A87" s="348" t="s">
        <v>1443</v>
      </c>
      <c r="B87" s="276"/>
      <c r="C87" s="276"/>
      <c r="D87" s="277" t="s">
        <v>1444</v>
      </c>
      <c r="E87" s="278"/>
      <c r="F87" s="279">
        <f>K87</f>
        <v>331.68</v>
      </c>
      <c r="G87" s="279"/>
      <c r="H87" s="279"/>
      <c r="I87" s="279"/>
      <c r="J87" s="279"/>
      <c r="K87" s="280">
        <f>SUM(K88:K89)</f>
        <v>331.68</v>
      </c>
      <c r="L87" s="349"/>
      <c r="M87" s="349"/>
      <c r="N87" s="350">
        <f>SUM(N89,N88)</f>
        <v>331.67680000000001</v>
      </c>
      <c r="O87" s="325" t="e">
        <f t="shared" si="14"/>
        <v>#DIV/0!</v>
      </c>
      <c r="P87" s="319"/>
      <c r="Q87" s="322"/>
      <c r="R87" s="322"/>
      <c r="S87" s="323" t="s">
        <v>1895</v>
      </c>
      <c r="T87" s="271">
        <v>0</v>
      </c>
      <c r="U87" s="324"/>
    </row>
    <row r="88" spans="1:21" ht="15.75" x14ac:dyDescent="0.2">
      <c r="A88" s="146" t="s">
        <v>1445</v>
      </c>
      <c r="B88" s="282">
        <v>68052</v>
      </c>
      <c r="C88" s="282" t="s">
        <v>1324</v>
      </c>
      <c r="D88" s="283" t="s">
        <v>1446</v>
      </c>
      <c r="E88" s="284" t="s">
        <v>14</v>
      </c>
      <c r="F88" s="268">
        <f>ROUND(T88*$T$12,2)</f>
        <v>0</v>
      </c>
      <c r="G88" s="285">
        <v>10.8</v>
      </c>
      <c r="H88" s="285">
        <v>0</v>
      </c>
      <c r="I88" s="285">
        <v>0</v>
      </c>
      <c r="J88" s="285">
        <v>0</v>
      </c>
      <c r="K88" s="269">
        <f>ROUND(G88*F88,2)</f>
        <v>0</v>
      </c>
      <c r="L88" s="344">
        <f>H88*F88</f>
        <v>0</v>
      </c>
      <c r="M88" s="344">
        <f>L88</f>
        <v>0</v>
      </c>
      <c r="N88" s="345">
        <f>F88*G88-M88</f>
        <v>0</v>
      </c>
      <c r="O88" s="325" t="e">
        <f t="shared" si="14"/>
        <v>#DIV/0!</v>
      </c>
      <c r="P88" s="319"/>
      <c r="Q88" s="322"/>
      <c r="R88" s="322"/>
      <c r="S88" s="323" t="s">
        <v>1896</v>
      </c>
      <c r="T88" s="271">
        <v>0</v>
      </c>
      <c r="U88" s="324"/>
    </row>
    <row r="89" spans="1:21" ht="25.5" x14ac:dyDescent="0.2">
      <c r="A89" s="346" t="s">
        <v>1447</v>
      </c>
      <c r="B89" s="272">
        <v>85010</v>
      </c>
      <c r="C89" s="272" t="s">
        <v>1324</v>
      </c>
      <c r="D89" s="273" t="s">
        <v>1448</v>
      </c>
      <c r="E89" s="274" t="s">
        <v>14</v>
      </c>
      <c r="F89" s="268">
        <f>ROUND(T89*$T$12,2)</f>
        <v>159.46</v>
      </c>
      <c r="G89" s="275">
        <v>2.08</v>
      </c>
      <c r="H89" s="275">
        <v>0</v>
      </c>
      <c r="I89" s="275">
        <v>0</v>
      </c>
      <c r="J89" s="275">
        <v>0</v>
      </c>
      <c r="K89" s="269">
        <f>ROUND(G89*F89,2)</f>
        <v>331.68</v>
      </c>
      <c r="L89" s="344">
        <f>H89*F89</f>
        <v>0</v>
      </c>
      <c r="M89" s="344">
        <f>L89</f>
        <v>0</v>
      </c>
      <c r="N89" s="345">
        <f>F89*G89-M89</f>
        <v>331.67680000000001</v>
      </c>
      <c r="O89" s="325">
        <f t="shared" si="14"/>
        <v>0</v>
      </c>
      <c r="P89" s="319">
        <f>G89*F89</f>
        <v>331.67680000000001</v>
      </c>
      <c r="Q89" s="322"/>
      <c r="R89" s="322"/>
      <c r="S89" s="323" t="s">
        <v>1897</v>
      </c>
      <c r="T89" s="271">
        <v>193.61</v>
      </c>
      <c r="U89" s="324"/>
    </row>
    <row r="90" spans="1:21" ht="15.75" x14ac:dyDescent="0.2">
      <c r="A90" s="348" t="s">
        <v>1449</v>
      </c>
      <c r="B90" s="276"/>
      <c r="C90" s="276"/>
      <c r="D90" s="277" t="s">
        <v>184</v>
      </c>
      <c r="E90" s="278"/>
      <c r="F90" s="279">
        <f>K90</f>
        <v>1828.22</v>
      </c>
      <c r="G90" s="279"/>
      <c r="H90" s="279"/>
      <c r="I90" s="279"/>
      <c r="J90" s="279"/>
      <c r="K90" s="280">
        <f>SUM(K91)</f>
        <v>1828.22</v>
      </c>
      <c r="L90" s="349"/>
      <c r="M90" s="349"/>
      <c r="N90" s="350">
        <f>N91</f>
        <v>1828.2240000000002</v>
      </c>
      <c r="O90" s="325" t="e">
        <f t="shared" si="14"/>
        <v>#DIV/0!</v>
      </c>
      <c r="P90" s="319"/>
      <c r="Q90" s="322"/>
      <c r="R90" s="322"/>
      <c r="S90" s="323" t="s">
        <v>1898</v>
      </c>
      <c r="T90" s="271">
        <v>0</v>
      </c>
      <c r="U90" s="324"/>
    </row>
    <row r="91" spans="1:21" ht="25.5" x14ac:dyDescent="0.2">
      <c r="A91" s="346" t="s">
        <v>1450</v>
      </c>
      <c r="B91" s="272" t="s">
        <v>1451</v>
      </c>
      <c r="C91" s="272" t="s">
        <v>1324</v>
      </c>
      <c r="D91" s="273" t="s">
        <v>1452</v>
      </c>
      <c r="E91" s="274" t="s">
        <v>14</v>
      </c>
      <c r="F91" s="268">
        <f>ROUND(T91*$T$12,2)</f>
        <v>423.2</v>
      </c>
      <c r="G91" s="275">
        <v>4.32</v>
      </c>
      <c r="H91" s="275">
        <v>0</v>
      </c>
      <c r="I91" s="275">
        <v>0</v>
      </c>
      <c r="J91" s="275">
        <v>0</v>
      </c>
      <c r="K91" s="269">
        <f>ROUND(G91*F91,2)</f>
        <v>1828.22</v>
      </c>
      <c r="L91" s="344">
        <f>H91*F91</f>
        <v>0</v>
      </c>
      <c r="M91" s="344">
        <f>L91</f>
        <v>0</v>
      </c>
      <c r="N91" s="345">
        <f>F91*G91-M91</f>
        <v>1828.2240000000002</v>
      </c>
      <c r="O91" s="325">
        <f t="shared" si="14"/>
        <v>0</v>
      </c>
      <c r="P91" s="319">
        <f>G91*F91</f>
        <v>1828.2240000000002</v>
      </c>
      <c r="Q91" s="322"/>
      <c r="R91" s="322"/>
      <c r="S91" s="323" t="s">
        <v>1899</v>
      </c>
      <c r="T91" s="271">
        <v>513.85</v>
      </c>
      <c r="U91" s="324"/>
    </row>
    <row r="92" spans="1:21" ht="15.75" x14ac:dyDescent="0.2">
      <c r="A92" s="341">
        <v>7</v>
      </c>
      <c r="B92" s="258"/>
      <c r="C92" s="258"/>
      <c r="D92" s="259" t="s">
        <v>1453</v>
      </c>
      <c r="E92" s="260"/>
      <c r="F92" s="261">
        <f>K92</f>
        <v>173274.06</v>
      </c>
      <c r="G92" s="261"/>
      <c r="H92" s="261"/>
      <c r="I92" s="261"/>
      <c r="J92" s="261"/>
      <c r="K92" s="262">
        <f>SUM(K93:K94)</f>
        <v>173274.06</v>
      </c>
      <c r="L92" s="342"/>
      <c r="M92" s="342"/>
      <c r="N92" s="343">
        <f>SUM(N93:N94)</f>
        <v>173274.052</v>
      </c>
      <c r="O92" s="325" t="e">
        <f t="shared" si="14"/>
        <v>#DIV/0!</v>
      </c>
      <c r="P92" s="319"/>
      <c r="Q92" s="322"/>
      <c r="R92" s="322"/>
      <c r="S92" s="323" t="s">
        <v>1900</v>
      </c>
      <c r="T92" s="271">
        <v>0</v>
      </c>
      <c r="U92" s="324"/>
    </row>
    <row r="93" spans="1:21" ht="25.5" x14ac:dyDescent="0.2">
      <c r="A93" s="346" t="s">
        <v>193</v>
      </c>
      <c r="B93" s="272" t="s">
        <v>1454</v>
      </c>
      <c r="C93" s="272" t="s">
        <v>1324</v>
      </c>
      <c r="D93" s="273" t="s">
        <v>1455</v>
      </c>
      <c r="E93" s="274" t="s">
        <v>14</v>
      </c>
      <c r="F93" s="268">
        <f>ROUND(T93*$T$12,2)</f>
        <v>51.14</v>
      </c>
      <c r="G93" s="275">
        <v>1030.4000000000001</v>
      </c>
      <c r="H93" s="275">
        <v>0</v>
      </c>
      <c r="I93" s="275">
        <v>0</v>
      </c>
      <c r="J93" s="275">
        <v>0</v>
      </c>
      <c r="K93" s="269">
        <f>ROUND(G93*F93,2)</f>
        <v>52694.66</v>
      </c>
      <c r="L93" s="344">
        <f>H93*F93</f>
        <v>0</v>
      </c>
      <c r="M93" s="344">
        <f>L93</f>
        <v>0</v>
      </c>
      <c r="N93" s="345">
        <f>F93*G93-M93</f>
        <v>52694.656000000003</v>
      </c>
      <c r="O93" s="325">
        <f t="shared" si="14"/>
        <v>0</v>
      </c>
      <c r="P93" s="319">
        <f>G93*F93</f>
        <v>52694.656000000003</v>
      </c>
      <c r="Q93" s="322"/>
      <c r="R93" s="322"/>
      <c r="S93" s="323" t="s">
        <v>1901</v>
      </c>
      <c r="T93" s="271">
        <v>62.1</v>
      </c>
      <c r="U93" s="324"/>
    </row>
    <row r="94" spans="1:21" ht="15.75" x14ac:dyDescent="0.2">
      <c r="A94" s="346" t="s">
        <v>195</v>
      </c>
      <c r="B94" s="272">
        <v>72112</v>
      </c>
      <c r="C94" s="272" t="s">
        <v>1324</v>
      </c>
      <c r="D94" s="273" t="s">
        <v>1456</v>
      </c>
      <c r="E94" s="274" t="s">
        <v>14</v>
      </c>
      <c r="F94" s="268">
        <f>ROUND(T94*$T$12,2)</f>
        <v>122.99</v>
      </c>
      <c r="G94" s="275">
        <v>980.4</v>
      </c>
      <c r="H94" s="275">
        <v>0</v>
      </c>
      <c r="I94" s="275">
        <v>0</v>
      </c>
      <c r="J94" s="275">
        <v>0</v>
      </c>
      <c r="K94" s="269">
        <f>ROUND(G94*F94,2)</f>
        <v>120579.4</v>
      </c>
      <c r="L94" s="344">
        <f>H94*F94</f>
        <v>0</v>
      </c>
      <c r="M94" s="344">
        <f>L94</f>
        <v>0</v>
      </c>
      <c r="N94" s="345">
        <f>F94*G94-M94</f>
        <v>120579.39599999999</v>
      </c>
      <c r="O94" s="325">
        <f t="shared" si="14"/>
        <v>0</v>
      </c>
      <c r="P94" s="319">
        <f>G94*F94</f>
        <v>120579.39599999999</v>
      </c>
      <c r="Q94" s="322"/>
      <c r="R94" s="322"/>
      <c r="S94" s="323" t="s">
        <v>1902</v>
      </c>
      <c r="T94" s="271">
        <v>149.33000000000001</v>
      </c>
      <c r="U94" s="324"/>
    </row>
    <row r="95" spans="1:21" ht="15.75" x14ac:dyDescent="0.2">
      <c r="A95" s="341">
        <v>8</v>
      </c>
      <c r="B95" s="258"/>
      <c r="C95" s="258"/>
      <c r="D95" s="259" t="s">
        <v>208</v>
      </c>
      <c r="E95" s="260"/>
      <c r="F95" s="261">
        <f>K95</f>
        <v>5634.27</v>
      </c>
      <c r="G95" s="261"/>
      <c r="H95" s="261"/>
      <c r="I95" s="261"/>
      <c r="J95" s="261"/>
      <c r="K95" s="262">
        <f>SUM(K96:K97)</f>
        <v>5634.27</v>
      </c>
      <c r="L95" s="342"/>
      <c r="M95" s="342"/>
      <c r="N95" s="343">
        <f>SUM(N96:N97)</f>
        <v>5634.2682999999997</v>
      </c>
      <c r="O95" s="325" t="e">
        <f t="shared" si="14"/>
        <v>#DIV/0!</v>
      </c>
      <c r="P95" s="319"/>
      <c r="Q95" s="322"/>
      <c r="R95" s="322"/>
      <c r="S95" s="323" t="s">
        <v>1903</v>
      </c>
      <c r="T95" s="271">
        <v>0</v>
      </c>
      <c r="U95" s="324"/>
    </row>
    <row r="96" spans="1:21" ht="15.75" x14ac:dyDescent="0.2">
      <c r="A96" s="346" t="s">
        <v>210</v>
      </c>
      <c r="B96" s="272" t="s">
        <v>1457</v>
      </c>
      <c r="C96" s="272" t="s">
        <v>1324</v>
      </c>
      <c r="D96" s="273" t="s">
        <v>1458</v>
      </c>
      <c r="E96" s="274" t="s">
        <v>14</v>
      </c>
      <c r="F96" s="268">
        <f>ROUND(T96*$T$12,2)</f>
        <v>8.5</v>
      </c>
      <c r="G96" s="275">
        <v>265.61</v>
      </c>
      <c r="H96" s="275">
        <v>0</v>
      </c>
      <c r="I96" s="275">
        <v>0</v>
      </c>
      <c r="J96" s="275">
        <v>0</v>
      </c>
      <c r="K96" s="269">
        <f>ROUND(G96*F96,2)</f>
        <v>2257.69</v>
      </c>
      <c r="L96" s="344">
        <f>H96*F96</f>
        <v>0</v>
      </c>
      <c r="M96" s="344">
        <f>L96</f>
        <v>0</v>
      </c>
      <c r="N96" s="345">
        <f>F96*G96-M96</f>
        <v>2257.6849999999999</v>
      </c>
      <c r="O96" s="325">
        <f t="shared" si="14"/>
        <v>0</v>
      </c>
      <c r="P96" s="319">
        <f>G96*F96</f>
        <v>2257.6849999999999</v>
      </c>
      <c r="Q96" s="322"/>
      <c r="R96" s="322"/>
      <c r="S96" s="323" t="s">
        <v>1904</v>
      </c>
      <c r="T96" s="271">
        <v>10.32</v>
      </c>
      <c r="U96" s="324"/>
    </row>
    <row r="97" spans="1:21" ht="25.5" x14ac:dyDescent="0.2">
      <c r="A97" s="346" t="s">
        <v>213</v>
      </c>
      <c r="B97" s="272">
        <v>68053</v>
      </c>
      <c r="C97" s="272" t="s">
        <v>1324</v>
      </c>
      <c r="D97" s="273" t="s">
        <v>1459</v>
      </c>
      <c r="E97" s="274" t="s">
        <v>14</v>
      </c>
      <c r="F97" s="268">
        <f>ROUND(T97*$T$12,2)</f>
        <v>4.99</v>
      </c>
      <c r="G97" s="275">
        <v>676.67</v>
      </c>
      <c r="H97" s="275">
        <v>0</v>
      </c>
      <c r="I97" s="275">
        <v>0</v>
      </c>
      <c r="J97" s="275">
        <v>0</v>
      </c>
      <c r="K97" s="269">
        <f>ROUND(G97*F97,2)</f>
        <v>3376.58</v>
      </c>
      <c r="L97" s="344">
        <f>H97*F97</f>
        <v>0</v>
      </c>
      <c r="M97" s="344">
        <f>L97</f>
        <v>0</v>
      </c>
      <c r="N97" s="345">
        <f>F97*G97-M97</f>
        <v>3376.5832999999998</v>
      </c>
      <c r="O97" s="325">
        <f t="shared" si="14"/>
        <v>0</v>
      </c>
      <c r="P97" s="319">
        <f>G97*F97</f>
        <v>3376.5832999999998</v>
      </c>
      <c r="Q97" s="322"/>
      <c r="R97" s="322"/>
      <c r="S97" s="323" t="s">
        <v>1905</v>
      </c>
      <c r="T97" s="271">
        <v>6.06</v>
      </c>
      <c r="U97" s="324"/>
    </row>
    <row r="98" spans="1:21" ht="15.75" x14ac:dyDescent="0.2">
      <c r="A98" s="341">
        <v>9</v>
      </c>
      <c r="B98" s="258"/>
      <c r="C98" s="258"/>
      <c r="D98" s="259" t="s">
        <v>1460</v>
      </c>
      <c r="E98" s="260"/>
      <c r="F98" s="261">
        <f>K98</f>
        <v>51794.2</v>
      </c>
      <c r="G98" s="261"/>
      <c r="H98" s="261"/>
      <c r="I98" s="261"/>
      <c r="J98" s="261"/>
      <c r="K98" s="262">
        <f>SUM(K99:K108)</f>
        <v>51794.2</v>
      </c>
      <c r="L98" s="342"/>
      <c r="M98" s="342"/>
      <c r="N98" s="343">
        <f>SUM(N99:N108)</f>
        <v>51794.184799999995</v>
      </c>
      <c r="O98" s="325" t="e">
        <f t="shared" si="14"/>
        <v>#DIV/0!</v>
      </c>
      <c r="P98" s="319"/>
      <c r="Q98" s="322"/>
      <c r="R98" s="322"/>
      <c r="S98" s="323" t="s">
        <v>1906</v>
      </c>
      <c r="T98" s="271">
        <v>0</v>
      </c>
      <c r="U98" s="324"/>
    </row>
    <row r="99" spans="1:21" ht="15.75" x14ac:dyDescent="0.2">
      <c r="A99" s="346" t="s">
        <v>223</v>
      </c>
      <c r="B99" s="272">
        <v>87905</v>
      </c>
      <c r="C99" s="272" t="s">
        <v>1324</v>
      </c>
      <c r="D99" s="273" t="s">
        <v>1461</v>
      </c>
      <c r="E99" s="274" t="s">
        <v>14</v>
      </c>
      <c r="F99" s="268">
        <f t="shared" ref="F99:F107" si="17">ROUND(T99*$T$12,2)</f>
        <v>6.11</v>
      </c>
      <c r="G99" s="275">
        <v>803.09</v>
      </c>
      <c r="H99" s="275">
        <v>0</v>
      </c>
      <c r="I99" s="275">
        <v>0</v>
      </c>
      <c r="J99" s="275">
        <v>0</v>
      </c>
      <c r="K99" s="269">
        <f t="shared" ref="K99:K108" si="18">ROUND(G99*F99,2)</f>
        <v>4906.88</v>
      </c>
      <c r="L99" s="344">
        <f t="shared" ref="L99:L108" si="19">H99*F99</f>
        <v>0</v>
      </c>
      <c r="M99" s="344">
        <f t="shared" ref="M99:M108" si="20">L99</f>
        <v>0</v>
      </c>
      <c r="N99" s="345">
        <f t="shared" ref="N99:N108" si="21">F99*G99-M99</f>
        <v>4906.8799000000008</v>
      </c>
      <c r="O99" s="325">
        <f t="shared" si="14"/>
        <v>0</v>
      </c>
      <c r="P99" s="319">
        <f t="shared" ref="P99:P108" si="22">G99*F99</f>
        <v>4906.8799000000008</v>
      </c>
      <c r="Q99" s="322"/>
      <c r="R99" s="322"/>
      <c r="S99" s="323" t="s">
        <v>1907</v>
      </c>
      <c r="T99" s="271">
        <v>7.42</v>
      </c>
      <c r="U99" s="324"/>
    </row>
    <row r="100" spans="1:21" ht="15.75" x14ac:dyDescent="0.2">
      <c r="A100" s="346" t="s">
        <v>239</v>
      </c>
      <c r="B100" s="272">
        <v>87882</v>
      </c>
      <c r="C100" s="272" t="s">
        <v>1324</v>
      </c>
      <c r="D100" s="273" t="s">
        <v>1462</v>
      </c>
      <c r="E100" s="274" t="s">
        <v>14</v>
      </c>
      <c r="F100" s="268">
        <f t="shared" si="17"/>
        <v>4.03</v>
      </c>
      <c r="G100" s="275">
        <v>84.33</v>
      </c>
      <c r="H100" s="275">
        <v>0</v>
      </c>
      <c r="I100" s="275">
        <v>0</v>
      </c>
      <c r="J100" s="275">
        <v>0</v>
      </c>
      <c r="K100" s="269">
        <f t="shared" si="18"/>
        <v>339.85</v>
      </c>
      <c r="L100" s="344">
        <f t="shared" si="19"/>
        <v>0</v>
      </c>
      <c r="M100" s="344">
        <f t="shared" si="20"/>
        <v>0</v>
      </c>
      <c r="N100" s="345">
        <f t="shared" si="21"/>
        <v>339.84989999999999</v>
      </c>
      <c r="O100" s="325">
        <f t="shared" si="14"/>
        <v>0</v>
      </c>
      <c r="P100" s="319">
        <f t="shared" si="22"/>
        <v>339.84989999999999</v>
      </c>
      <c r="Q100" s="322"/>
      <c r="R100" s="322"/>
      <c r="S100" s="323" t="s">
        <v>1908</v>
      </c>
      <c r="T100" s="271">
        <v>4.8899999999999997</v>
      </c>
      <c r="U100" s="324"/>
    </row>
    <row r="101" spans="1:21" ht="25.5" x14ac:dyDescent="0.2">
      <c r="A101" s="346" t="s">
        <v>1463</v>
      </c>
      <c r="B101" s="272">
        <v>87531</v>
      </c>
      <c r="C101" s="272" t="s">
        <v>1324</v>
      </c>
      <c r="D101" s="273" t="s">
        <v>1464</v>
      </c>
      <c r="E101" s="274" t="s">
        <v>14</v>
      </c>
      <c r="F101" s="268">
        <f t="shared" si="17"/>
        <v>26.27</v>
      </c>
      <c r="G101" s="275">
        <v>743.93</v>
      </c>
      <c r="H101" s="275">
        <v>0</v>
      </c>
      <c r="I101" s="275">
        <v>0</v>
      </c>
      <c r="J101" s="275">
        <v>0</v>
      </c>
      <c r="K101" s="269">
        <f t="shared" si="18"/>
        <v>19543.04</v>
      </c>
      <c r="L101" s="344">
        <f t="shared" si="19"/>
        <v>0</v>
      </c>
      <c r="M101" s="344">
        <f t="shared" si="20"/>
        <v>0</v>
      </c>
      <c r="N101" s="345">
        <f t="shared" si="21"/>
        <v>19543.041099999999</v>
      </c>
      <c r="O101" s="325">
        <f t="shared" si="14"/>
        <v>0</v>
      </c>
      <c r="P101" s="319">
        <f t="shared" si="22"/>
        <v>19543.041099999999</v>
      </c>
      <c r="Q101" s="322"/>
      <c r="R101" s="322"/>
      <c r="S101" s="323" t="s">
        <v>1909</v>
      </c>
      <c r="T101" s="271">
        <v>31.9</v>
      </c>
      <c r="U101" s="324"/>
    </row>
    <row r="102" spans="1:21" ht="15.75" x14ac:dyDescent="0.2">
      <c r="A102" s="346" t="s">
        <v>1465</v>
      </c>
      <c r="B102" s="272" t="s">
        <v>1466</v>
      </c>
      <c r="C102" s="272" t="s">
        <v>1324</v>
      </c>
      <c r="D102" s="273" t="s">
        <v>1467</v>
      </c>
      <c r="E102" s="274" t="s">
        <v>14</v>
      </c>
      <c r="F102" s="268">
        <f t="shared" si="17"/>
        <v>12.12</v>
      </c>
      <c r="G102" s="275">
        <v>445.04</v>
      </c>
      <c r="H102" s="275">
        <v>0</v>
      </c>
      <c r="I102" s="275">
        <v>0</v>
      </c>
      <c r="J102" s="275">
        <v>0</v>
      </c>
      <c r="K102" s="269">
        <f t="shared" si="18"/>
        <v>5393.88</v>
      </c>
      <c r="L102" s="344">
        <f t="shared" si="19"/>
        <v>0</v>
      </c>
      <c r="M102" s="344">
        <f t="shared" si="20"/>
        <v>0</v>
      </c>
      <c r="N102" s="345">
        <f t="shared" si="21"/>
        <v>5393.8847999999998</v>
      </c>
      <c r="O102" s="325">
        <f t="shared" si="14"/>
        <v>0</v>
      </c>
      <c r="P102" s="319">
        <f t="shared" si="22"/>
        <v>5393.8847999999998</v>
      </c>
      <c r="Q102" s="322"/>
      <c r="R102" s="322"/>
      <c r="S102" s="323" t="s">
        <v>1910</v>
      </c>
      <c r="T102" s="271">
        <v>14.71</v>
      </c>
      <c r="U102" s="324"/>
    </row>
    <row r="103" spans="1:21" ht="15.75" x14ac:dyDescent="0.2">
      <c r="A103" s="346" t="s">
        <v>1468</v>
      </c>
      <c r="B103" s="272" t="s">
        <v>1466</v>
      </c>
      <c r="C103" s="272" t="s">
        <v>1324</v>
      </c>
      <c r="D103" s="273" t="s">
        <v>1469</v>
      </c>
      <c r="E103" s="274" t="s">
        <v>14</v>
      </c>
      <c r="F103" s="268">
        <f t="shared" si="17"/>
        <v>14.08</v>
      </c>
      <c r="G103" s="275">
        <v>84.33</v>
      </c>
      <c r="H103" s="275">
        <v>0</v>
      </c>
      <c r="I103" s="275">
        <v>0</v>
      </c>
      <c r="J103" s="275">
        <v>0</v>
      </c>
      <c r="K103" s="269">
        <f t="shared" si="18"/>
        <v>1187.3699999999999</v>
      </c>
      <c r="L103" s="344">
        <f t="shared" si="19"/>
        <v>0</v>
      </c>
      <c r="M103" s="344">
        <f t="shared" si="20"/>
        <v>0</v>
      </c>
      <c r="N103" s="345">
        <f t="shared" si="21"/>
        <v>1187.3663999999999</v>
      </c>
      <c r="O103" s="325">
        <f t="shared" si="14"/>
        <v>0</v>
      </c>
      <c r="P103" s="319">
        <f t="shared" si="22"/>
        <v>1187.3663999999999</v>
      </c>
      <c r="Q103" s="322"/>
      <c r="R103" s="322"/>
      <c r="S103" s="323" t="s">
        <v>1911</v>
      </c>
      <c r="T103" s="271">
        <v>17.09</v>
      </c>
      <c r="U103" s="324"/>
    </row>
    <row r="104" spans="1:21" ht="15.75" x14ac:dyDescent="0.2">
      <c r="A104" s="346" t="s">
        <v>1470</v>
      </c>
      <c r="B104" s="272">
        <v>87905</v>
      </c>
      <c r="C104" s="272" t="s">
        <v>1324</v>
      </c>
      <c r="D104" s="273" t="s">
        <v>1471</v>
      </c>
      <c r="E104" s="274" t="s">
        <v>14</v>
      </c>
      <c r="F104" s="268">
        <f t="shared" si="17"/>
        <v>6.11</v>
      </c>
      <c r="G104" s="275">
        <v>140.33000000000001</v>
      </c>
      <c r="H104" s="275">
        <v>0</v>
      </c>
      <c r="I104" s="275">
        <v>0</v>
      </c>
      <c r="J104" s="275">
        <v>0</v>
      </c>
      <c r="K104" s="269">
        <f t="shared" si="18"/>
        <v>857.42</v>
      </c>
      <c r="L104" s="344">
        <f t="shared" si="19"/>
        <v>0</v>
      </c>
      <c r="M104" s="344">
        <f t="shared" si="20"/>
        <v>0</v>
      </c>
      <c r="N104" s="345">
        <f t="shared" si="21"/>
        <v>857.41630000000009</v>
      </c>
      <c r="O104" s="325">
        <f t="shared" si="14"/>
        <v>0</v>
      </c>
      <c r="P104" s="319">
        <f t="shared" si="22"/>
        <v>857.41630000000009</v>
      </c>
      <c r="Q104" s="322"/>
      <c r="R104" s="322"/>
      <c r="S104" s="323" t="s">
        <v>1912</v>
      </c>
      <c r="T104" s="271">
        <v>7.42</v>
      </c>
      <c r="U104" s="324"/>
    </row>
    <row r="105" spans="1:21" ht="15.75" x14ac:dyDescent="0.2">
      <c r="A105" s="346" t="s">
        <v>1472</v>
      </c>
      <c r="B105" s="272">
        <v>87531</v>
      </c>
      <c r="C105" s="272" t="s">
        <v>1324</v>
      </c>
      <c r="D105" s="273" t="s">
        <v>1473</v>
      </c>
      <c r="E105" s="274" t="s">
        <v>14</v>
      </c>
      <c r="F105" s="268">
        <f t="shared" si="17"/>
        <v>26.27</v>
      </c>
      <c r="G105" s="275">
        <v>140.33000000000001</v>
      </c>
      <c r="H105" s="275">
        <v>0</v>
      </c>
      <c r="I105" s="275">
        <v>0</v>
      </c>
      <c r="J105" s="275">
        <v>0</v>
      </c>
      <c r="K105" s="269">
        <f t="shared" si="18"/>
        <v>3686.47</v>
      </c>
      <c r="L105" s="344">
        <f t="shared" si="19"/>
        <v>0</v>
      </c>
      <c r="M105" s="344">
        <f t="shared" si="20"/>
        <v>0</v>
      </c>
      <c r="N105" s="345">
        <f t="shared" si="21"/>
        <v>3686.4691000000003</v>
      </c>
      <c r="O105" s="325">
        <f t="shared" si="14"/>
        <v>0</v>
      </c>
      <c r="P105" s="319">
        <f t="shared" si="22"/>
        <v>3686.4691000000003</v>
      </c>
      <c r="Q105" s="322"/>
      <c r="R105" s="322"/>
      <c r="S105" s="323" t="s">
        <v>1913</v>
      </c>
      <c r="T105" s="271">
        <v>31.9</v>
      </c>
      <c r="U105" s="324"/>
    </row>
    <row r="106" spans="1:21" ht="25.5" x14ac:dyDescent="0.2">
      <c r="A106" s="346" t="s">
        <v>1474</v>
      </c>
      <c r="B106" s="272" t="s">
        <v>1466</v>
      </c>
      <c r="C106" s="272" t="s">
        <v>1324</v>
      </c>
      <c r="D106" s="273" t="s">
        <v>1475</v>
      </c>
      <c r="E106" s="274" t="s">
        <v>14</v>
      </c>
      <c r="F106" s="268">
        <f t="shared" si="17"/>
        <v>16.23</v>
      </c>
      <c r="G106" s="275">
        <v>140.33000000000001</v>
      </c>
      <c r="H106" s="275">
        <v>0</v>
      </c>
      <c r="I106" s="275">
        <v>0</v>
      </c>
      <c r="J106" s="275">
        <v>0</v>
      </c>
      <c r="K106" s="269">
        <f t="shared" si="18"/>
        <v>2277.56</v>
      </c>
      <c r="L106" s="344">
        <f t="shared" si="19"/>
        <v>0</v>
      </c>
      <c r="M106" s="344">
        <f t="shared" si="20"/>
        <v>0</v>
      </c>
      <c r="N106" s="345">
        <f t="shared" si="21"/>
        <v>2277.5559000000003</v>
      </c>
      <c r="O106" s="325">
        <f t="shared" si="14"/>
        <v>0</v>
      </c>
      <c r="P106" s="319">
        <f t="shared" si="22"/>
        <v>2277.5559000000003</v>
      </c>
      <c r="Q106" s="322"/>
      <c r="R106" s="322"/>
      <c r="S106" s="323" t="s">
        <v>1914</v>
      </c>
      <c r="T106" s="271">
        <v>19.71</v>
      </c>
      <c r="U106" s="324"/>
    </row>
    <row r="107" spans="1:21" ht="25.5" x14ac:dyDescent="0.2">
      <c r="A107" s="346" t="s">
        <v>1476</v>
      </c>
      <c r="B107" s="272">
        <v>87272</v>
      </c>
      <c r="C107" s="272" t="s">
        <v>1324</v>
      </c>
      <c r="D107" s="273" t="s">
        <v>1477</v>
      </c>
      <c r="E107" s="274" t="s">
        <v>14</v>
      </c>
      <c r="F107" s="268">
        <f t="shared" si="17"/>
        <v>45.67</v>
      </c>
      <c r="G107" s="275">
        <v>210.5</v>
      </c>
      <c r="H107" s="275">
        <v>0</v>
      </c>
      <c r="I107" s="275">
        <v>0</v>
      </c>
      <c r="J107" s="275">
        <v>0</v>
      </c>
      <c r="K107" s="269">
        <f t="shared" si="18"/>
        <v>9613.5400000000009</v>
      </c>
      <c r="L107" s="344">
        <f t="shared" si="19"/>
        <v>0</v>
      </c>
      <c r="M107" s="344">
        <f t="shared" si="20"/>
        <v>0</v>
      </c>
      <c r="N107" s="345">
        <f t="shared" si="21"/>
        <v>9613.5349999999999</v>
      </c>
      <c r="O107" s="325">
        <f t="shared" si="14"/>
        <v>0</v>
      </c>
      <c r="P107" s="319">
        <f t="shared" si="22"/>
        <v>9613.5349999999999</v>
      </c>
      <c r="Q107" s="322"/>
      <c r="R107" s="322"/>
      <c r="S107" s="323" t="s">
        <v>1915</v>
      </c>
      <c r="T107" s="271">
        <v>55.45</v>
      </c>
      <c r="U107" s="324"/>
    </row>
    <row r="108" spans="1:21" ht="25.5" x14ac:dyDescent="0.2">
      <c r="A108" s="346" t="s">
        <v>1478</v>
      </c>
      <c r="B108" s="272">
        <v>87267</v>
      </c>
      <c r="C108" s="272" t="s">
        <v>1324</v>
      </c>
      <c r="D108" s="273" t="s">
        <v>1479</v>
      </c>
      <c r="E108" s="274" t="s">
        <v>14</v>
      </c>
      <c r="F108" s="268">
        <v>46.64</v>
      </c>
      <c r="G108" s="275">
        <v>85.51</v>
      </c>
      <c r="H108" s="275">
        <v>0</v>
      </c>
      <c r="I108" s="275">
        <v>0</v>
      </c>
      <c r="J108" s="275">
        <v>0</v>
      </c>
      <c r="K108" s="269">
        <f t="shared" si="18"/>
        <v>3988.19</v>
      </c>
      <c r="L108" s="344">
        <f t="shared" si="19"/>
        <v>0</v>
      </c>
      <c r="M108" s="344">
        <f t="shared" si="20"/>
        <v>0</v>
      </c>
      <c r="N108" s="345">
        <f t="shared" si="21"/>
        <v>3988.1864000000005</v>
      </c>
      <c r="O108" s="325">
        <f t="shared" si="14"/>
        <v>0</v>
      </c>
      <c r="P108" s="319">
        <f t="shared" si="22"/>
        <v>3988.1864000000005</v>
      </c>
      <c r="Q108" s="322"/>
      <c r="R108" s="322"/>
      <c r="S108" s="323" t="s">
        <v>1916</v>
      </c>
      <c r="T108" s="271">
        <v>466.2</v>
      </c>
      <c r="U108" s="324"/>
    </row>
    <row r="109" spans="1:21" ht="15.75" x14ac:dyDescent="0.2">
      <c r="A109" s="341">
        <v>10</v>
      </c>
      <c r="B109" s="258"/>
      <c r="C109" s="258"/>
      <c r="D109" s="259" t="s">
        <v>1480</v>
      </c>
      <c r="E109" s="260"/>
      <c r="F109" s="261">
        <f>K109</f>
        <v>60566.09</v>
      </c>
      <c r="G109" s="261"/>
      <c r="H109" s="261"/>
      <c r="I109" s="261"/>
      <c r="J109" s="261"/>
      <c r="K109" s="262">
        <f>+K110+K116</f>
        <v>60566.09</v>
      </c>
      <c r="L109" s="342"/>
      <c r="M109" s="342"/>
      <c r="N109" s="343">
        <f>SUM(N110,N116)</f>
        <v>60566.080499999989</v>
      </c>
      <c r="O109" s="325" t="e">
        <f t="shared" si="14"/>
        <v>#DIV/0!</v>
      </c>
      <c r="P109" s="319"/>
      <c r="Q109" s="322"/>
      <c r="R109" s="322"/>
      <c r="S109" s="323" t="s">
        <v>1917</v>
      </c>
      <c r="T109" s="271">
        <v>0</v>
      </c>
      <c r="U109" s="324"/>
    </row>
    <row r="110" spans="1:21" ht="15.75" x14ac:dyDescent="0.2">
      <c r="A110" s="348" t="s">
        <v>254</v>
      </c>
      <c r="B110" s="276"/>
      <c r="C110" s="276"/>
      <c r="D110" s="277" t="s">
        <v>1481</v>
      </c>
      <c r="E110" s="278"/>
      <c r="F110" s="279">
        <f>K110</f>
        <v>54520.32</v>
      </c>
      <c r="G110" s="279"/>
      <c r="H110" s="279"/>
      <c r="I110" s="279"/>
      <c r="J110" s="279"/>
      <c r="K110" s="280">
        <f>SUM(K111:K115)</f>
        <v>54520.32</v>
      </c>
      <c r="L110" s="349"/>
      <c r="M110" s="349"/>
      <c r="N110" s="350">
        <f>SUM(N111:N115)</f>
        <v>54520.311099999992</v>
      </c>
      <c r="O110" s="325" t="e">
        <f t="shared" si="14"/>
        <v>#DIV/0!</v>
      </c>
      <c r="P110" s="319"/>
      <c r="Q110" s="322"/>
      <c r="R110" s="322"/>
      <c r="S110" s="323" t="s">
        <v>1918</v>
      </c>
      <c r="T110" s="271">
        <v>0</v>
      </c>
      <c r="U110" s="324"/>
    </row>
    <row r="111" spans="1:21" ht="15.75" x14ac:dyDescent="0.2">
      <c r="A111" s="346" t="s">
        <v>1482</v>
      </c>
      <c r="B111" s="272"/>
      <c r="C111" s="272" t="s">
        <v>1339</v>
      </c>
      <c r="D111" s="273" t="s">
        <v>1483</v>
      </c>
      <c r="E111" s="274" t="s">
        <v>14</v>
      </c>
      <c r="F111" s="268">
        <f>ROUND(T111*$T$12,2)</f>
        <v>30.94</v>
      </c>
      <c r="G111" s="275">
        <v>64.91</v>
      </c>
      <c r="H111" s="275">
        <v>0</v>
      </c>
      <c r="I111" s="275">
        <v>0</v>
      </c>
      <c r="J111" s="275">
        <v>0</v>
      </c>
      <c r="K111" s="269">
        <f>ROUND(G111*F111,2)</f>
        <v>2008.32</v>
      </c>
      <c r="L111" s="344">
        <f>H111*F111</f>
        <v>0</v>
      </c>
      <c r="M111" s="344">
        <f>L111</f>
        <v>0</v>
      </c>
      <c r="N111" s="345">
        <f>F111*G111-M111</f>
        <v>2008.3154</v>
      </c>
      <c r="O111" s="325">
        <f t="shared" ref="O111:O174" si="23">M111/P111</f>
        <v>0</v>
      </c>
      <c r="P111" s="319">
        <f>G111*F111</f>
        <v>2008.3154</v>
      </c>
      <c r="Q111" s="322"/>
      <c r="R111" s="322"/>
      <c r="S111" s="323" t="s">
        <v>1919</v>
      </c>
      <c r="T111" s="271">
        <v>37.57</v>
      </c>
      <c r="U111" s="324"/>
    </row>
    <row r="112" spans="1:21" ht="15.75" x14ac:dyDescent="0.2">
      <c r="A112" s="346" t="s">
        <v>1484</v>
      </c>
      <c r="B112" s="272">
        <v>87630</v>
      </c>
      <c r="C112" s="272" t="s">
        <v>1324</v>
      </c>
      <c r="D112" s="273" t="s">
        <v>1485</v>
      </c>
      <c r="E112" s="274" t="s">
        <v>14</v>
      </c>
      <c r="F112" s="268">
        <f>ROUND(T112*$T$12,2)</f>
        <v>30.71</v>
      </c>
      <c r="G112" s="275">
        <v>64.91</v>
      </c>
      <c r="H112" s="275">
        <v>0</v>
      </c>
      <c r="I112" s="275">
        <v>0</v>
      </c>
      <c r="J112" s="275">
        <v>0</v>
      </c>
      <c r="K112" s="269">
        <f>ROUND(G112*F112,2)</f>
        <v>1993.39</v>
      </c>
      <c r="L112" s="344">
        <f>H112*F112</f>
        <v>0</v>
      </c>
      <c r="M112" s="344">
        <f>L112</f>
        <v>0</v>
      </c>
      <c r="N112" s="345">
        <f>F112*G112-M112</f>
        <v>1993.3860999999999</v>
      </c>
      <c r="O112" s="325">
        <f t="shared" si="23"/>
        <v>0</v>
      </c>
      <c r="P112" s="319">
        <f>G112*F112</f>
        <v>1993.3860999999999</v>
      </c>
      <c r="Q112" s="322"/>
      <c r="R112" s="322"/>
      <c r="S112" s="323" t="s">
        <v>1920</v>
      </c>
      <c r="T112" s="271">
        <v>37.29</v>
      </c>
      <c r="U112" s="324"/>
    </row>
    <row r="113" spans="1:21" ht="25.5" x14ac:dyDescent="0.2">
      <c r="A113" s="346" t="s">
        <v>1486</v>
      </c>
      <c r="B113" s="272">
        <v>72136</v>
      </c>
      <c r="C113" s="272" t="s">
        <v>1324</v>
      </c>
      <c r="D113" s="273" t="s">
        <v>1487</v>
      </c>
      <c r="E113" s="274" t="s">
        <v>14</v>
      </c>
      <c r="F113" s="268">
        <f>ROUND(T113*$T$12,2)</f>
        <v>71.489999999999995</v>
      </c>
      <c r="G113" s="275">
        <v>676.67</v>
      </c>
      <c r="H113" s="275">
        <v>0</v>
      </c>
      <c r="I113" s="275">
        <v>0</v>
      </c>
      <c r="J113" s="275">
        <v>0</v>
      </c>
      <c r="K113" s="269">
        <f>ROUND(G113*F113,2)</f>
        <v>48375.14</v>
      </c>
      <c r="L113" s="344">
        <f>H113*F113</f>
        <v>0</v>
      </c>
      <c r="M113" s="344">
        <f>L113</f>
        <v>0</v>
      </c>
      <c r="N113" s="345">
        <f>F113*G113-M113</f>
        <v>48375.138299999991</v>
      </c>
      <c r="O113" s="325">
        <f t="shared" si="23"/>
        <v>0</v>
      </c>
      <c r="P113" s="319">
        <f>G113*F113</f>
        <v>48375.138299999991</v>
      </c>
      <c r="Q113" s="322"/>
      <c r="R113" s="322"/>
      <c r="S113" s="323" t="s">
        <v>1921</v>
      </c>
      <c r="T113" s="271">
        <v>86.8</v>
      </c>
      <c r="U113" s="324"/>
    </row>
    <row r="114" spans="1:21" ht="25.5" x14ac:dyDescent="0.2">
      <c r="A114" s="346" t="s">
        <v>1488</v>
      </c>
      <c r="B114" s="272">
        <v>87251</v>
      </c>
      <c r="C114" s="272" t="s">
        <v>1324</v>
      </c>
      <c r="D114" s="273" t="s">
        <v>1489</v>
      </c>
      <c r="E114" s="274" t="s">
        <v>14</v>
      </c>
      <c r="F114" s="268">
        <f>ROUND(T114*$T$12,2)</f>
        <v>31.13</v>
      </c>
      <c r="G114" s="275">
        <v>64.91</v>
      </c>
      <c r="H114" s="275">
        <v>0</v>
      </c>
      <c r="I114" s="275">
        <v>0</v>
      </c>
      <c r="J114" s="275">
        <v>0</v>
      </c>
      <c r="K114" s="269">
        <f>ROUND(G114*F114,2)</f>
        <v>2020.65</v>
      </c>
      <c r="L114" s="344">
        <f>H114*F114</f>
        <v>0</v>
      </c>
      <c r="M114" s="344">
        <f>L114</f>
        <v>0</v>
      </c>
      <c r="N114" s="345">
        <f>F114*G114-M114</f>
        <v>2020.6482999999998</v>
      </c>
      <c r="O114" s="325">
        <f t="shared" si="23"/>
        <v>0</v>
      </c>
      <c r="P114" s="319">
        <f>G114*F114</f>
        <v>2020.6482999999998</v>
      </c>
      <c r="Q114" s="322"/>
      <c r="R114" s="322"/>
      <c r="S114" s="323" t="s">
        <v>1922</v>
      </c>
      <c r="T114" s="271">
        <v>37.799999999999997</v>
      </c>
      <c r="U114" s="324"/>
    </row>
    <row r="115" spans="1:21" ht="15.75" x14ac:dyDescent="0.2">
      <c r="A115" s="346" t="s">
        <v>1490</v>
      </c>
      <c r="B115" s="272"/>
      <c r="C115" s="272" t="s">
        <v>1339</v>
      </c>
      <c r="D115" s="273" t="s">
        <v>1491</v>
      </c>
      <c r="E115" s="274" t="s">
        <v>81</v>
      </c>
      <c r="F115" s="268">
        <f>ROUND(T115*$T$12,2)</f>
        <v>45.49</v>
      </c>
      <c r="G115" s="275">
        <v>2.7</v>
      </c>
      <c r="H115" s="275">
        <v>0</v>
      </c>
      <c r="I115" s="275">
        <v>0</v>
      </c>
      <c r="J115" s="275">
        <v>0</v>
      </c>
      <c r="K115" s="269">
        <f>ROUND(G115*F115,2)</f>
        <v>122.82</v>
      </c>
      <c r="L115" s="344">
        <f>H115*F115</f>
        <v>0</v>
      </c>
      <c r="M115" s="344">
        <f>L115</f>
        <v>0</v>
      </c>
      <c r="N115" s="345">
        <f>F115*G115-M115</f>
        <v>122.82300000000001</v>
      </c>
      <c r="O115" s="325">
        <f t="shared" si="23"/>
        <v>0</v>
      </c>
      <c r="P115" s="319">
        <f>G115*F115</f>
        <v>122.82300000000001</v>
      </c>
      <c r="Q115" s="322"/>
      <c r="R115" s="322"/>
      <c r="S115" s="323" t="s">
        <v>1923</v>
      </c>
      <c r="T115" s="271">
        <v>55.23</v>
      </c>
      <c r="U115" s="324"/>
    </row>
    <row r="116" spans="1:21" ht="15.75" x14ac:dyDescent="0.2">
      <c r="A116" s="348" t="s">
        <v>256</v>
      </c>
      <c r="B116" s="276"/>
      <c r="C116" s="276"/>
      <c r="D116" s="277" t="s">
        <v>1256</v>
      </c>
      <c r="E116" s="278"/>
      <c r="F116" s="279">
        <f>K116</f>
        <v>6045.77</v>
      </c>
      <c r="G116" s="279"/>
      <c r="H116" s="279"/>
      <c r="I116" s="279"/>
      <c r="J116" s="279"/>
      <c r="K116" s="280">
        <f>SUM(K117:K119)</f>
        <v>6045.77</v>
      </c>
      <c r="L116" s="349"/>
      <c r="M116" s="349"/>
      <c r="N116" s="350">
        <f>SUM(N117:N119)</f>
        <v>6045.7693999999992</v>
      </c>
      <c r="O116" s="325" t="e">
        <f t="shared" si="23"/>
        <v>#DIV/0!</v>
      </c>
      <c r="P116" s="319"/>
      <c r="Q116" s="322"/>
      <c r="R116" s="322"/>
      <c r="S116" s="323" t="s">
        <v>1924</v>
      </c>
      <c r="T116" s="271">
        <v>0</v>
      </c>
      <c r="U116" s="324"/>
    </row>
    <row r="117" spans="1:21" ht="15.75" x14ac:dyDescent="0.2">
      <c r="A117" s="346" t="s">
        <v>1492</v>
      </c>
      <c r="B117" s="272">
        <v>85181</v>
      </c>
      <c r="C117" s="272" t="s">
        <v>1324</v>
      </c>
      <c r="D117" s="273" t="s">
        <v>1493</v>
      </c>
      <c r="E117" s="274" t="s">
        <v>14</v>
      </c>
      <c r="F117" s="268">
        <f>ROUND(T117*$T$12,2)</f>
        <v>523.70000000000005</v>
      </c>
      <c r="G117" s="275">
        <v>9.7899999999999991</v>
      </c>
      <c r="H117" s="275">
        <v>0</v>
      </c>
      <c r="I117" s="275">
        <v>0</v>
      </c>
      <c r="J117" s="275">
        <v>0</v>
      </c>
      <c r="K117" s="269">
        <f>ROUND(G117*F117,2)</f>
        <v>5127.0200000000004</v>
      </c>
      <c r="L117" s="344">
        <f>H117*F117</f>
        <v>0</v>
      </c>
      <c r="M117" s="344">
        <f>L117</f>
        <v>0</v>
      </c>
      <c r="N117" s="345">
        <f>F117*G117-M117</f>
        <v>5127.0230000000001</v>
      </c>
      <c r="O117" s="325">
        <f t="shared" si="23"/>
        <v>0</v>
      </c>
      <c r="P117" s="319">
        <f>G117*F117</f>
        <v>5127.0230000000001</v>
      </c>
      <c r="Q117" s="322"/>
      <c r="R117" s="322"/>
      <c r="S117" s="323" t="s">
        <v>1925</v>
      </c>
      <c r="T117" s="271">
        <v>635.87</v>
      </c>
      <c r="U117" s="324"/>
    </row>
    <row r="118" spans="1:21" ht="15.75" x14ac:dyDescent="0.2">
      <c r="A118" s="346" t="s">
        <v>1494</v>
      </c>
      <c r="B118" s="272">
        <v>5652</v>
      </c>
      <c r="C118" s="272" t="s">
        <v>1324</v>
      </c>
      <c r="D118" s="273" t="s">
        <v>1495</v>
      </c>
      <c r="E118" s="274" t="s">
        <v>48</v>
      </c>
      <c r="F118" s="268">
        <f>ROUND(T118*$T$12,2)</f>
        <v>276.27</v>
      </c>
      <c r="G118" s="275">
        <v>1.82</v>
      </c>
      <c r="H118" s="275">
        <v>0</v>
      </c>
      <c r="I118" s="275">
        <v>0</v>
      </c>
      <c r="J118" s="275">
        <v>0</v>
      </c>
      <c r="K118" s="269">
        <f>ROUND(G118*F118,2)</f>
        <v>502.81</v>
      </c>
      <c r="L118" s="344">
        <f>H118*F118</f>
        <v>0</v>
      </c>
      <c r="M118" s="344">
        <f>L118</f>
        <v>0</v>
      </c>
      <c r="N118" s="345">
        <f>F118*G118-M118</f>
        <v>502.81139999999999</v>
      </c>
      <c r="O118" s="325">
        <f t="shared" si="23"/>
        <v>0</v>
      </c>
      <c r="P118" s="319">
        <f>G118*F118</f>
        <v>502.81139999999999</v>
      </c>
      <c r="Q118" s="322"/>
      <c r="R118" s="322"/>
      <c r="S118" s="323" t="s">
        <v>1926</v>
      </c>
      <c r="T118" s="271">
        <v>335.45</v>
      </c>
      <c r="U118" s="324"/>
    </row>
    <row r="119" spans="1:21" ht="25.5" x14ac:dyDescent="0.2">
      <c r="A119" s="346" t="s">
        <v>1496</v>
      </c>
      <c r="B119" s="272"/>
      <c r="C119" s="272" t="s">
        <v>1339</v>
      </c>
      <c r="D119" s="273" t="s">
        <v>1497</v>
      </c>
      <c r="E119" s="274" t="s">
        <v>14</v>
      </c>
      <c r="F119" s="268">
        <f>ROUND(T119*$T$12,2)</f>
        <v>71.099999999999994</v>
      </c>
      <c r="G119" s="275">
        <v>5.85</v>
      </c>
      <c r="H119" s="275">
        <v>0</v>
      </c>
      <c r="I119" s="275">
        <v>0</v>
      </c>
      <c r="J119" s="275">
        <v>0</v>
      </c>
      <c r="K119" s="269">
        <f>ROUND(G119*F119,2)</f>
        <v>415.94</v>
      </c>
      <c r="L119" s="344">
        <f>H119*F119</f>
        <v>0</v>
      </c>
      <c r="M119" s="344">
        <f>L119</f>
        <v>0</v>
      </c>
      <c r="N119" s="345">
        <f>F119*G119-M119</f>
        <v>415.93499999999995</v>
      </c>
      <c r="O119" s="325">
        <f t="shared" si="23"/>
        <v>0</v>
      </c>
      <c r="P119" s="319">
        <f>G119*F119</f>
        <v>415.93499999999995</v>
      </c>
      <c r="Q119" s="322"/>
      <c r="R119" s="322"/>
      <c r="S119" s="323" t="s">
        <v>1927</v>
      </c>
      <c r="T119" s="271">
        <v>86.33</v>
      </c>
      <c r="U119" s="324"/>
    </row>
    <row r="120" spans="1:21" ht="15.75" x14ac:dyDescent="0.2">
      <c r="A120" s="341">
        <v>11</v>
      </c>
      <c r="B120" s="258"/>
      <c r="C120" s="258"/>
      <c r="D120" s="259" t="s">
        <v>1498</v>
      </c>
      <c r="E120" s="260"/>
      <c r="F120" s="261">
        <f>K120</f>
        <v>62088.5</v>
      </c>
      <c r="G120" s="261"/>
      <c r="H120" s="261"/>
      <c r="I120" s="261"/>
      <c r="J120" s="261"/>
      <c r="K120" s="262">
        <f>SUM(K121:K128)</f>
        <v>62088.5</v>
      </c>
      <c r="L120" s="342"/>
      <c r="M120" s="342"/>
      <c r="N120" s="343">
        <f>SUM(N121:N128)</f>
        <v>62088.491399999999</v>
      </c>
      <c r="O120" s="325" t="e">
        <f t="shared" si="23"/>
        <v>#DIV/0!</v>
      </c>
      <c r="P120" s="319"/>
      <c r="Q120" s="322"/>
      <c r="R120" s="322"/>
      <c r="S120" s="323" t="s">
        <v>1928</v>
      </c>
      <c r="T120" s="271">
        <v>0</v>
      </c>
      <c r="U120" s="324"/>
    </row>
    <row r="121" spans="1:21" ht="15.75" x14ac:dyDescent="0.2">
      <c r="A121" s="346" t="s">
        <v>274</v>
      </c>
      <c r="B121" s="272"/>
      <c r="C121" s="272" t="s">
        <v>1339</v>
      </c>
      <c r="D121" s="273" t="s">
        <v>1499</v>
      </c>
      <c r="E121" s="274" t="s">
        <v>14</v>
      </c>
      <c r="F121" s="268">
        <f t="shared" ref="F121:F128" si="24">ROUND(T121*$T$12,2)</f>
        <v>7.03</v>
      </c>
      <c r="G121" s="275">
        <v>529.37</v>
      </c>
      <c r="H121" s="275">
        <v>0</v>
      </c>
      <c r="I121" s="275">
        <v>0</v>
      </c>
      <c r="J121" s="275">
        <v>0</v>
      </c>
      <c r="K121" s="269">
        <f t="shared" ref="K121:K128" si="25">ROUND(G121*F121,2)</f>
        <v>3721.47</v>
      </c>
      <c r="L121" s="344">
        <f t="shared" ref="L121:L128" si="26">H121*F121</f>
        <v>0</v>
      </c>
      <c r="M121" s="344">
        <f t="shared" ref="M121:M128" si="27">L121</f>
        <v>0</v>
      </c>
      <c r="N121" s="345">
        <f t="shared" ref="N121:N128" si="28">F121*G121-M121</f>
        <v>3721.4711000000002</v>
      </c>
      <c r="O121" s="325">
        <f t="shared" si="23"/>
        <v>0</v>
      </c>
      <c r="P121" s="319">
        <f t="shared" ref="P121:P128" si="29">G121*F121</f>
        <v>3721.4711000000002</v>
      </c>
      <c r="Q121" s="322"/>
      <c r="R121" s="322"/>
      <c r="S121" s="323" t="s">
        <v>1929</v>
      </c>
      <c r="T121" s="271">
        <v>8.5299999999999994</v>
      </c>
      <c r="U121" s="324"/>
    </row>
    <row r="122" spans="1:21" ht="15.75" x14ac:dyDescent="0.2">
      <c r="A122" s="346" t="s">
        <v>276</v>
      </c>
      <c r="B122" s="272">
        <v>88489</v>
      </c>
      <c r="C122" s="272" t="s">
        <v>1324</v>
      </c>
      <c r="D122" s="273" t="s">
        <v>1500</v>
      </c>
      <c r="E122" s="274" t="s">
        <v>14</v>
      </c>
      <c r="F122" s="268">
        <f t="shared" si="24"/>
        <v>9.48</v>
      </c>
      <c r="G122" s="275">
        <v>445.04</v>
      </c>
      <c r="H122" s="275">
        <v>0</v>
      </c>
      <c r="I122" s="275">
        <v>0</v>
      </c>
      <c r="J122" s="275">
        <v>0</v>
      </c>
      <c r="K122" s="269">
        <f t="shared" si="25"/>
        <v>4218.9799999999996</v>
      </c>
      <c r="L122" s="344">
        <f t="shared" si="26"/>
        <v>0</v>
      </c>
      <c r="M122" s="344">
        <f t="shared" si="27"/>
        <v>0</v>
      </c>
      <c r="N122" s="345">
        <f t="shared" si="28"/>
        <v>4218.9792000000007</v>
      </c>
      <c r="O122" s="325">
        <f t="shared" si="23"/>
        <v>0</v>
      </c>
      <c r="P122" s="319">
        <f t="shared" si="29"/>
        <v>4218.9792000000007</v>
      </c>
      <c r="Q122" s="322"/>
      <c r="R122" s="322"/>
      <c r="S122" s="323" t="s">
        <v>1930</v>
      </c>
      <c r="T122" s="271">
        <v>11.51</v>
      </c>
      <c r="U122" s="324"/>
    </row>
    <row r="123" spans="1:21" ht="15.75" x14ac:dyDescent="0.2">
      <c r="A123" s="346" t="s">
        <v>278</v>
      </c>
      <c r="B123" s="272">
        <v>88486</v>
      </c>
      <c r="C123" s="272" t="s">
        <v>1324</v>
      </c>
      <c r="D123" s="273" t="s">
        <v>1501</v>
      </c>
      <c r="E123" s="274" t="s">
        <v>14</v>
      </c>
      <c r="F123" s="268">
        <f t="shared" si="24"/>
        <v>8.2899999999999991</v>
      </c>
      <c r="G123" s="275">
        <v>84.33</v>
      </c>
      <c r="H123" s="275">
        <v>0</v>
      </c>
      <c r="I123" s="275">
        <v>0</v>
      </c>
      <c r="J123" s="275">
        <v>0</v>
      </c>
      <c r="K123" s="269">
        <f t="shared" si="25"/>
        <v>699.1</v>
      </c>
      <c r="L123" s="344">
        <f t="shared" si="26"/>
        <v>0</v>
      </c>
      <c r="M123" s="344">
        <f t="shared" si="27"/>
        <v>0</v>
      </c>
      <c r="N123" s="345">
        <f t="shared" si="28"/>
        <v>699.09569999999997</v>
      </c>
      <c r="O123" s="325">
        <f t="shared" si="23"/>
        <v>0</v>
      </c>
      <c r="P123" s="319">
        <f t="shared" si="29"/>
        <v>699.09569999999997</v>
      </c>
      <c r="Q123" s="322"/>
      <c r="R123" s="322"/>
      <c r="S123" s="323" t="s">
        <v>1931</v>
      </c>
      <c r="T123" s="271">
        <v>10.06</v>
      </c>
      <c r="U123" s="324"/>
    </row>
    <row r="124" spans="1:21" ht="15.75" x14ac:dyDescent="0.2">
      <c r="A124" s="346" t="s">
        <v>281</v>
      </c>
      <c r="B124" s="272">
        <v>72815</v>
      </c>
      <c r="C124" s="272" t="s">
        <v>1324</v>
      </c>
      <c r="D124" s="273" t="s">
        <v>1502</v>
      </c>
      <c r="E124" s="274" t="s">
        <v>14</v>
      </c>
      <c r="F124" s="268">
        <f t="shared" si="24"/>
        <v>43.08</v>
      </c>
      <c r="G124" s="275">
        <v>483.8</v>
      </c>
      <c r="H124" s="275">
        <v>0</v>
      </c>
      <c r="I124" s="275">
        <v>0</v>
      </c>
      <c r="J124" s="275">
        <v>0</v>
      </c>
      <c r="K124" s="269">
        <f t="shared" si="25"/>
        <v>20842.099999999999</v>
      </c>
      <c r="L124" s="344">
        <f t="shared" si="26"/>
        <v>0</v>
      </c>
      <c r="M124" s="344">
        <f t="shared" si="27"/>
        <v>0</v>
      </c>
      <c r="N124" s="345">
        <f t="shared" si="28"/>
        <v>20842.103999999999</v>
      </c>
      <c r="O124" s="325">
        <f t="shared" si="23"/>
        <v>0</v>
      </c>
      <c r="P124" s="319">
        <f t="shared" si="29"/>
        <v>20842.103999999999</v>
      </c>
      <c r="Q124" s="322"/>
      <c r="R124" s="322"/>
      <c r="S124" s="323" t="s">
        <v>1932</v>
      </c>
      <c r="T124" s="271">
        <v>52.31</v>
      </c>
      <c r="U124" s="324"/>
    </row>
    <row r="125" spans="1:21" ht="15.75" x14ac:dyDescent="0.2">
      <c r="A125" s="346" t="s">
        <v>1503</v>
      </c>
      <c r="B125" s="272">
        <v>41595</v>
      </c>
      <c r="C125" s="272" t="s">
        <v>1324</v>
      </c>
      <c r="D125" s="273" t="s">
        <v>1504</v>
      </c>
      <c r="E125" s="274" t="s">
        <v>81</v>
      </c>
      <c r="F125" s="268">
        <f t="shared" si="24"/>
        <v>8.86</v>
      </c>
      <c r="G125" s="275">
        <v>275.60000000000002</v>
      </c>
      <c r="H125" s="275">
        <v>0</v>
      </c>
      <c r="I125" s="275">
        <v>0</v>
      </c>
      <c r="J125" s="275">
        <v>0</v>
      </c>
      <c r="K125" s="269">
        <f t="shared" si="25"/>
        <v>2441.8200000000002</v>
      </c>
      <c r="L125" s="344">
        <f t="shared" si="26"/>
        <v>0</v>
      </c>
      <c r="M125" s="344">
        <f t="shared" si="27"/>
        <v>0</v>
      </c>
      <c r="N125" s="345">
        <f t="shared" si="28"/>
        <v>2441.8160000000003</v>
      </c>
      <c r="O125" s="325">
        <f t="shared" si="23"/>
        <v>0</v>
      </c>
      <c r="P125" s="319">
        <f t="shared" si="29"/>
        <v>2441.8160000000003</v>
      </c>
      <c r="Q125" s="322"/>
      <c r="R125" s="322"/>
      <c r="S125" s="323" t="s">
        <v>1933</v>
      </c>
      <c r="T125" s="271">
        <v>10.76</v>
      </c>
      <c r="U125" s="324"/>
    </row>
    <row r="126" spans="1:21" ht="15.75" x14ac:dyDescent="0.2">
      <c r="A126" s="346" t="s">
        <v>1505</v>
      </c>
      <c r="B126" s="272" t="s">
        <v>1506</v>
      </c>
      <c r="C126" s="272" t="s">
        <v>1324</v>
      </c>
      <c r="D126" s="273" t="s">
        <v>1507</v>
      </c>
      <c r="E126" s="274" t="s">
        <v>14</v>
      </c>
      <c r="F126" s="268">
        <f t="shared" si="24"/>
        <v>7.25</v>
      </c>
      <c r="G126" s="275">
        <v>366.82</v>
      </c>
      <c r="H126" s="275">
        <v>0</v>
      </c>
      <c r="I126" s="275">
        <v>0</v>
      </c>
      <c r="J126" s="275">
        <v>0</v>
      </c>
      <c r="K126" s="269">
        <f t="shared" si="25"/>
        <v>2659.45</v>
      </c>
      <c r="L126" s="344">
        <f t="shared" si="26"/>
        <v>0</v>
      </c>
      <c r="M126" s="344">
        <f t="shared" si="27"/>
        <v>0</v>
      </c>
      <c r="N126" s="345">
        <f t="shared" si="28"/>
        <v>2659.4450000000002</v>
      </c>
      <c r="O126" s="325">
        <f t="shared" si="23"/>
        <v>0</v>
      </c>
      <c r="P126" s="319">
        <f t="shared" si="29"/>
        <v>2659.4450000000002</v>
      </c>
      <c r="Q126" s="322"/>
      <c r="R126" s="322"/>
      <c r="S126" s="323" t="s">
        <v>1934</v>
      </c>
      <c r="T126" s="271">
        <v>8.8000000000000007</v>
      </c>
      <c r="U126" s="324"/>
    </row>
    <row r="127" spans="1:21" ht="15.75" x14ac:dyDescent="0.2">
      <c r="A127" s="346" t="s">
        <v>1508</v>
      </c>
      <c r="B127" s="272" t="s">
        <v>1509</v>
      </c>
      <c r="C127" s="272" t="s">
        <v>1324</v>
      </c>
      <c r="D127" s="273" t="s">
        <v>1510</v>
      </c>
      <c r="E127" s="274" t="s">
        <v>14</v>
      </c>
      <c r="F127" s="268">
        <f t="shared" si="24"/>
        <v>21.62</v>
      </c>
      <c r="G127" s="275">
        <v>567.82000000000005</v>
      </c>
      <c r="H127" s="275">
        <v>0</v>
      </c>
      <c r="I127" s="275">
        <v>0</v>
      </c>
      <c r="J127" s="275">
        <v>0</v>
      </c>
      <c r="K127" s="269">
        <f t="shared" si="25"/>
        <v>12276.27</v>
      </c>
      <c r="L127" s="344">
        <f t="shared" si="26"/>
        <v>0</v>
      </c>
      <c r="M127" s="344">
        <f t="shared" si="27"/>
        <v>0</v>
      </c>
      <c r="N127" s="345">
        <f t="shared" si="28"/>
        <v>12276.268400000001</v>
      </c>
      <c r="O127" s="325">
        <f t="shared" si="23"/>
        <v>0</v>
      </c>
      <c r="P127" s="319">
        <f t="shared" si="29"/>
        <v>12276.268400000001</v>
      </c>
      <c r="Q127" s="322"/>
      <c r="R127" s="322"/>
      <c r="S127" s="323" t="s">
        <v>1935</v>
      </c>
      <c r="T127" s="271">
        <v>26.25</v>
      </c>
      <c r="U127" s="324"/>
    </row>
    <row r="128" spans="1:21" ht="15.75" x14ac:dyDescent="0.2">
      <c r="A128" s="346" t="s">
        <v>1511</v>
      </c>
      <c r="B128" s="272" t="s">
        <v>1512</v>
      </c>
      <c r="C128" s="272" t="s">
        <v>1324</v>
      </c>
      <c r="D128" s="273" t="s">
        <v>1513</v>
      </c>
      <c r="E128" s="274" t="s">
        <v>14</v>
      </c>
      <c r="F128" s="268">
        <f t="shared" si="24"/>
        <v>14.78</v>
      </c>
      <c r="G128" s="275">
        <v>1030.4000000000001</v>
      </c>
      <c r="H128" s="275">
        <v>0</v>
      </c>
      <c r="I128" s="275">
        <v>0</v>
      </c>
      <c r="J128" s="275">
        <v>0</v>
      </c>
      <c r="K128" s="269">
        <f t="shared" si="25"/>
        <v>15229.31</v>
      </c>
      <c r="L128" s="344">
        <f t="shared" si="26"/>
        <v>0</v>
      </c>
      <c r="M128" s="344">
        <f t="shared" si="27"/>
        <v>0</v>
      </c>
      <c r="N128" s="345">
        <f t="shared" si="28"/>
        <v>15229.312</v>
      </c>
      <c r="O128" s="325">
        <f t="shared" si="23"/>
        <v>0</v>
      </c>
      <c r="P128" s="319">
        <f t="shared" si="29"/>
        <v>15229.312</v>
      </c>
      <c r="Q128" s="322"/>
      <c r="R128" s="322"/>
      <c r="S128" s="323" t="s">
        <v>1936</v>
      </c>
      <c r="T128" s="271">
        <v>17.940000000000001</v>
      </c>
      <c r="U128" s="324"/>
    </row>
    <row r="129" spans="1:21" ht="15.75" x14ac:dyDescent="0.2">
      <c r="A129" s="341">
        <v>12</v>
      </c>
      <c r="B129" s="258"/>
      <c r="C129" s="258"/>
      <c r="D129" s="259" t="s">
        <v>1514</v>
      </c>
      <c r="E129" s="260"/>
      <c r="F129" s="261">
        <f>K129</f>
        <v>4556.04</v>
      </c>
      <c r="G129" s="261"/>
      <c r="H129" s="261"/>
      <c r="I129" s="261"/>
      <c r="J129" s="261"/>
      <c r="K129" s="262">
        <f>K130+K152</f>
        <v>4556.04</v>
      </c>
      <c r="L129" s="342"/>
      <c r="M129" s="342"/>
      <c r="N129" s="343">
        <f>SUM(N130,N152)</f>
        <v>4556.04</v>
      </c>
      <c r="O129" s="325" t="e">
        <f t="shared" si="23"/>
        <v>#DIV/0!</v>
      </c>
      <c r="P129" s="319"/>
      <c r="Q129" s="322"/>
      <c r="R129" s="322"/>
      <c r="S129" s="323" t="s">
        <v>1937</v>
      </c>
      <c r="T129" s="271">
        <v>0</v>
      </c>
      <c r="U129" s="324"/>
    </row>
    <row r="130" spans="1:21" ht="15.75" x14ac:dyDescent="0.2">
      <c r="A130" s="348" t="s">
        <v>1515</v>
      </c>
      <c r="B130" s="276"/>
      <c r="C130" s="276"/>
      <c r="D130" s="277" t="s">
        <v>1516</v>
      </c>
      <c r="E130" s="278"/>
      <c r="F130" s="279">
        <f>K130</f>
        <v>1719.64</v>
      </c>
      <c r="G130" s="279"/>
      <c r="H130" s="279"/>
      <c r="I130" s="279"/>
      <c r="J130" s="279"/>
      <c r="K130" s="280">
        <f>SUM(K131:K151)</f>
        <v>1719.64</v>
      </c>
      <c r="L130" s="349"/>
      <c r="M130" s="349"/>
      <c r="N130" s="350">
        <f>SUM(N131:N151)</f>
        <v>1719.64</v>
      </c>
      <c r="O130" s="325" t="e">
        <f t="shared" si="23"/>
        <v>#DIV/0!</v>
      </c>
      <c r="P130" s="319"/>
      <c r="Q130" s="322"/>
      <c r="R130" s="322"/>
      <c r="S130" s="323" t="s">
        <v>1938</v>
      </c>
      <c r="T130" s="271">
        <v>0</v>
      </c>
      <c r="U130" s="324"/>
    </row>
    <row r="131" spans="1:21" ht="15.75" x14ac:dyDescent="0.2">
      <c r="A131" s="346" t="s">
        <v>1517</v>
      </c>
      <c r="B131" s="272">
        <v>89401</v>
      </c>
      <c r="C131" s="272" t="s">
        <v>1324</v>
      </c>
      <c r="D131" s="273" t="s">
        <v>1518</v>
      </c>
      <c r="E131" s="274" t="s">
        <v>81</v>
      </c>
      <c r="F131" s="268">
        <f t="shared" ref="F131:F151" si="30">ROUND(T131*$T$12,2)</f>
        <v>5.29</v>
      </c>
      <c r="G131" s="275">
        <v>12</v>
      </c>
      <c r="H131" s="275">
        <v>0</v>
      </c>
      <c r="I131" s="275">
        <v>0</v>
      </c>
      <c r="J131" s="275">
        <v>0</v>
      </c>
      <c r="K131" s="269">
        <f t="shared" ref="K131:K151" si="31">ROUND(G131*F131,2)</f>
        <v>63.48</v>
      </c>
      <c r="L131" s="344">
        <f t="shared" ref="L131:L151" si="32">H131*F131</f>
        <v>0</v>
      </c>
      <c r="M131" s="344">
        <f t="shared" ref="M131:M195" si="33">L131</f>
        <v>0</v>
      </c>
      <c r="N131" s="345">
        <f t="shared" ref="N131:N151" si="34">F131*G131-M131</f>
        <v>63.480000000000004</v>
      </c>
      <c r="O131" s="325">
        <f t="shared" si="23"/>
        <v>0</v>
      </c>
      <c r="P131" s="319">
        <f t="shared" ref="P131:P151" si="35">G131*F131</f>
        <v>63.480000000000004</v>
      </c>
      <c r="Q131" s="322"/>
      <c r="R131" s="322"/>
      <c r="S131" s="323" t="s">
        <v>1939</v>
      </c>
      <c r="T131" s="271">
        <v>6.42</v>
      </c>
      <c r="U131" s="324"/>
    </row>
    <row r="132" spans="1:21" ht="15.75" x14ac:dyDescent="0.2">
      <c r="A132" s="346" t="s">
        <v>1519</v>
      </c>
      <c r="B132" s="272">
        <v>89446</v>
      </c>
      <c r="C132" s="272" t="s">
        <v>1324</v>
      </c>
      <c r="D132" s="273" t="s">
        <v>1520</v>
      </c>
      <c r="E132" s="274" t="s">
        <v>81</v>
      </c>
      <c r="F132" s="268">
        <f t="shared" si="30"/>
        <v>3.19</v>
      </c>
      <c r="G132" s="275">
        <v>42</v>
      </c>
      <c r="H132" s="275">
        <v>0</v>
      </c>
      <c r="I132" s="275">
        <v>0</v>
      </c>
      <c r="J132" s="275">
        <v>0</v>
      </c>
      <c r="K132" s="269">
        <f t="shared" si="31"/>
        <v>133.97999999999999</v>
      </c>
      <c r="L132" s="344">
        <f t="shared" si="32"/>
        <v>0</v>
      </c>
      <c r="M132" s="344">
        <f t="shared" si="33"/>
        <v>0</v>
      </c>
      <c r="N132" s="345">
        <f t="shared" si="34"/>
        <v>133.97999999999999</v>
      </c>
      <c r="O132" s="325">
        <f t="shared" si="23"/>
        <v>0</v>
      </c>
      <c r="P132" s="319">
        <f t="shared" si="35"/>
        <v>133.97999999999999</v>
      </c>
      <c r="Q132" s="322"/>
      <c r="R132" s="322"/>
      <c r="S132" s="323" t="s">
        <v>1940</v>
      </c>
      <c r="T132" s="271">
        <v>3.87</v>
      </c>
      <c r="U132" s="324"/>
    </row>
    <row r="133" spans="1:21" ht="15.75" x14ac:dyDescent="0.2">
      <c r="A133" s="346" t="s">
        <v>1521</v>
      </c>
      <c r="B133" s="272">
        <v>89447</v>
      </c>
      <c r="C133" s="272" t="s">
        <v>1324</v>
      </c>
      <c r="D133" s="273" t="s">
        <v>1522</v>
      </c>
      <c r="E133" s="274" t="s">
        <v>81</v>
      </c>
      <c r="F133" s="268">
        <f t="shared" si="30"/>
        <v>6.33</v>
      </c>
      <c r="G133" s="275">
        <v>28</v>
      </c>
      <c r="H133" s="275">
        <v>0</v>
      </c>
      <c r="I133" s="275">
        <v>0</v>
      </c>
      <c r="J133" s="275">
        <v>0</v>
      </c>
      <c r="K133" s="269">
        <f t="shared" si="31"/>
        <v>177.24</v>
      </c>
      <c r="L133" s="344">
        <f t="shared" si="32"/>
        <v>0</v>
      </c>
      <c r="M133" s="344">
        <f t="shared" si="33"/>
        <v>0</v>
      </c>
      <c r="N133" s="345">
        <f t="shared" si="34"/>
        <v>177.24</v>
      </c>
      <c r="O133" s="325">
        <f t="shared" si="23"/>
        <v>0</v>
      </c>
      <c r="P133" s="319">
        <f t="shared" si="35"/>
        <v>177.24</v>
      </c>
      <c r="Q133" s="322"/>
      <c r="R133" s="322"/>
      <c r="S133" s="323" t="s">
        <v>1941</v>
      </c>
      <c r="T133" s="271">
        <v>7.69</v>
      </c>
      <c r="U133" s="324"/>
    </row>
    <row r="134" spans="1:21" ht="15.75" x14ac:dyDescent="0.2">
      <c r="A134" s="346" t="s">
        <v>1523</v>
      </c>
      <c r="B134" s="272">
        <v>89448</v>
      </c>
      <c r="C134" s="272" t="s">
        <v>1324</v>
      </c>
      <c r="D134" s="273" t="s">
        <v>1524</v>
      </c>
      <c r="E134" s="274" t="s">
        <v>81</v>
      </c>
      <c r="F134" s="268">
        <f t="shared" si="30"/>
        <v>10.15</v>
      </c>
      <c r="G134" s="275">
        <v>30</v>
      </c>
      <c r="H134" s="275">
        <v>0</v>
      </c>
      <c r="I134" s="275">
        <v>0</v>
      </c>
      <c r="J134" s="275">
        <v>0</v>
      </c>
      <c r="K134" s="269">
        <f t="shared" si="31"/>
        <v>304.5</v>
      </c>
      <c r="L134" s="344">
        <f t="shared" si="32"/>
        <v>0</v>
      </c>
      <c r="M134" s="344">
        <f t="shared" si="33"/>
        <v>0</v>
      </c>
      <c r="N134" s="345">
        <f t="shared" si="34"/>
        <v>304.5</v>
      </c>
      <c r="O134" s="325">
        <f t="shared" si="23"/>
        <v>0</v>
      </c>
      <c r="P134" s="319">
        <f t="shared" si="35"/>
        <v>304.5</v>
      </c>
      <c r="Q134" s="322"/>
      <c r="R134" s="322"/>
      <c r="S134" s="323" t="s">
        <v>1942</v>
      </c>
      <c r="T134" s="271">
        <v>12.32</v>
      </c>
      <c r="U134" s="324"/>
    </row>
    <row r="135" spans="1:21" ht="15.75" x14ac:dyDescent="0.2">
      <c r="A135" s="346" t="s">
        <v>1525</v>
      </c>
      <c r="B135" s="272">
        <v>89449</v>
      </c>
      <c r="C135" s="272" t="s">
        <v>1324</v>
      </c>
      <c r="D135" s="273" t="s">
        <v>1526</v>
      </c>
      <c r="E135" s="274" t="s">
        <v>81</v>
      </c>
      <c r="F135" s="268">
        <f t="shared" si="30"/>
        <v>11.27</v>
      </c>
      <c r="G135" s="275">
        <v>36</v>
      </c>
      <c r="H135" s="275">
        <v>0</v>
      </c>
      <c r="I135" s="275">
        <v>0</v>
      </c>
      <c r="J135" s="275">
        <v>0</v>
      </c>
      <c r="K135" s="269">
        <f t="shared" si="31"/>
        <v>405.72</v>
      </c>
      <c r="L135" s="344">
        <f t="shared" si="32"/>
        <v>0</v>
      </c>
      <c r="M135" s="344">
        <f t="shared" si="33"/>
        <v>0</v>
      </c>
      <c r="N135" s="345">
        <f t="shared" si="34"/>
        <v>405.71999999999997</v>
      </c>
      <c r="O135" s="325">
        <f t="shared" si="23"/>
        <v>0</v>
      </c>
      <c r="P135" s="319">
        <f t="shared" si="35"/>
        <v>405.71999999999997</v>
      </c>
      <c r="Q135" s="322"/>
      <c r="R135" s="322"/>
      <c r="S135" s="323" t="s">
        <v>1943</v>
      </c>
      <c r="T135" s="271">
        <v>13.68</v>
      </c>
      <c r="U135" s="324"/>
    </row>
    <row r="136" spans="1:21" ht="15.75" x14ac:dyDescent="0.2">
      <c r="A136" s="346" t="s">
        <v>1527</v>
      </c>
      <c r="B136" s="272">
        <v>89408</v>
      </c>
      <c r="C136" s="272" t="s">
        <v>1324</v>
      </c>
      <c r="D136" s="273" t="s">
        <v>1528</v>
      </c>
      <c r="E136" s="274" t="s">
        <v>102</v>
      </c>
      <c r="F136" s="268">
        <f t="shared" si="30"/>
        <v>4.28</v>
      </c>
      <c r="G136" s="275">
        <v>15</v>
      </c>
      <c r="H136" s="275">
        <v>0</v>
      </c>
      <c r="I136" s="275">
        <v>0</v>
      </c>
      <c r="J136" s="275">
        <v>0</v>
      </c>
      <c r="K136" s="269">
        <f t="shared" si="31"/>
        <v>64.2</v>
      </c>
      <c r="L136" s="344">
        <f t="shared" si="32"/>
        <v>0</v>
      </c>
      <c r="M136" s="344">
        <f t="shared" si="33"/>
        <v>0</v>
      </c>
      <c r="N136" s="345">
        <f t="shared" si="34"/>
        <v>64.2</v>
      </c>
      <c r="O136" s="325">
        <f t="shared" si="23"/>
        <v>0</v>
      </c>
      <c r="P136" s="319">
        <f t="shared" si="35"/>
        <v>64.2</v>
      </c>
      <c r="Q136" s="322"/>
      <c r="R136" s="322"/>
      <c r="S136" s="323" t="s">
        <v>1944</v>
      </c>
      <c r="T136" s="271">
        <v>5.2</v>
      </c>
      <c r="U136" s="324"/>
    </row>
    <row r="137" spans="1:21" ht="15.75" x14ac:dyDescent="0.2">
      <c r="A137" s="346" t="s">
        <v>1529</v>
      </c>
      <c r="B137" s="272">
        <v>89492</v>
      </c>
      <c r="C137" s="272" t="s">
        <v>1324</v>
      </c>
      <c r="D137" s="273" t="s">
        <v>1530</v>
      </c>
      <c r="E137" s="274" t="s">
        <v>102</v>
      </c>
      <c r="F137" s="268">
        <f t="shared" si="30"/>
        <v>4.79</v>
      </c>
      <c r="G137" s="275">
        <v>8</v>
      </c>
      <c r="H137" s="275">
        <v>0</v>
      </c>
      <c r="I137" s="275">
        <v>0</v>
      </c>
      <c r="J137" s="275">
        <v>0</v>
      </c>
      <c r="K137" s="269">
        <f t="shared" si="31"/>
        <v>38.32</v>
      </c>
      <c r="L137" s="344">
        <f t="shared" si="32"/>
        <v>0</v>
      </c>
      <c r="M137" s="344">
        <f t="shared" si="33"/>
        <v>0</v>
      </c>
      <c r="N137" s="345">
        <f t="shared" si="34"/>
        <v>38.32</v>
      </c>
      <c r="O137" s="325">
        <f t="shared" si="23"/>
        <v>0</v>
      </c>
      <c r="P137" s="319">
        <f t="shared" si="35"/>
        <v>38.32</v>
      </c>
      <c r="Q137" s="322"/>
      <c r="R137" s="322"/>
      <c r="S137" s="323" t="s">
        <v>1945</v>
      </c>
      <c r="T137" s="271">
        <v>5.82</v>
      </c>
      <c r="U137" s="324"/>
    </row>
    <row r="138" spans="1:21" ht="15.75" x14ac:dyDescent="0.2">
      <c r="A138" s="346" t="s">
        <v>1531</v>
      </c>
      <c r="B138" s="272">
        <v>89501</v>
      </c>
      <c r="C138" s="272" t="s">
        <v>1324</v>
      </c>
      <c r="D138" s="273" t="s">
        <v>1532</v>
      </c>
      <c r="E138" s="274" t="s">
        <v>102</v>
      </c>
      <c r="F138" s="268">
        <f t="shared" si="30"/>
        <v>9.3800000000000008</v>
      </c>
      <c r="G138" s="275">
        <v>6</v>
      </c>
      <c r="H138" s="275">
        <v>0</v>
      </c>
      <c r="I138" s="275">
        <v>0</v>
      </c>
      <c r="J138" s="275">
        <v>0</v>
      </c>
      <c r="K138" s="269">
        <f t="shared" si="31"/>
        <v>56.28</v>
      </c>
      <c r="L138" s="344">
        <f t="shared" si="32"/>
        <v>0</v>
      </c>
      <c r="M138" s="344">
        <f t="shared" si="33"/>
        <v>0</v>
      </c>
      <c r="N138" s="345">
        <f t="shared" si="34"/>
        <v>56.28</v>
      </c>
      <c r="O138" s="325">
        <f t="shared" si="23"/>
        <v>0</v>
      </c>
      <c r="P138" s="319">
        <f t="shared" si="35"/>
        <v>56.28</v>
      </c>
      <c r="Q138" s="322"/>
      <c r="R138" s="322"/>
      <c r="S138" s="323" t="s">
        <v>1946</v>
      </c>
      <c r="T138" s="271">
        <v>11.39</v>
      </c>
      <c r="U138" s="324"/>
    </row>
    <row r="139" spans="1:21" ht="25.5" x14ac:dyDescent="0.2">
      <c r="A139" s="346" t="s">
        <v>1533</v>
      </c>
      <c r="B139" s="272">
        <v>90373</v>
      </c>
      <c r="C139" s="272" t="s">
        <v>1324</v>
      </c>
      <c r="D139" s="273" t="s">
        <v>1534</v>
      </c>
      <c r="E139" s="274" t="s">
        <v>102</v>
      </c>
      <c r="F139" s="268">
        <f t="shared" si="30"/>
        <v>10.06</v>
      </c>
      <c r="G139" s="275">
        <v>2</v>
      </c>
      <c r="H139" s="275">
        <v>0</v>
      </c>
      <c r="I139" s="275">
        <v>0</v>
      </c>
      <c r="J139" s="275">
        <v>0</v>
      </c>
      <c r="K139" s="269">
        <f t="shared" si="31"/>
        <v>20.12</v>
      </c>
      <c r="L139" s="344">
        <f t="shared" si="32"/>
        <v>0</v>
      </c>
      <c r="M139" s="344">
        <f t="shared" si="33"/>
        <v>0</v>
      </c>
      <c r="N139" s="345">
        <f t="shared" si="34"/>
        <v>20.12</v>
      </c>
      <c r="O139" s="325">
        <f t="shared" si="23"/>
        <v>0</v>
      </c>
      <c r="P139" s="319">
        <f t="shared" si="35"/>
        <v>20.12</v>
      </c>
      <c r="Q139" s="322"/>
      <c r="R139" s="322"/>
      <c r="S139" s="323" t="s">
        <v>1947</v>
      </c>
      <c r="T139" s="271">
        <v>12.22</v>
      </c>
      <c r="U139" s="324"/>
    </row>
    <row r="140" spans="1:21" ht="15.75" x14ac:dyDescent="0.2">
      <c r="A140" s="346" t="s">
        <v>1535</v>
      </c>
      <c r="B140" s="272"/>
      <c r="C140" s="272" t="s">
        <v>1339</v>
      </c>
      <c r="D140" s="273" t="s">
        <v>1536</v>
      </c>
      <c r="E140" s="274" t="s">
        <v>102</v>
      </c>
      <c r="F140" s="268">
        <f t="shared" si="30"/>
        <v>0</v>
      </c>
      <c r="G140" s="275">
        <v>4</v>
      </c>
      <c r="H140" s="275">
        <v>0</v>
      </c>
      <c r="I140" s="275">
        <v>0</v>
      </c>
      <c r="J140" s="275">
        <v>0</v>
      </c>
      <c r="K140" s="269">
        <f t="shared" si="31"/>
        <v>0</v>
      </c>
      <c r="L140" s="344">
        <f t="shared" si="32"/>
        <v>0</v>
      </c>
      <c r="M140" s="344">
        <f t="shared" si="33"/>
        <v>0</v>
      </c>
      <c r="N140" s="345">
        <f t="shared" si="34"/>
        <v>0</v>
      </c>
      <c r="O140" s="325" t="e">
        <f t="shared" si="23"/>
        <v>#DIV/0!</v>
      </c>
      <c r="P140" s="319">
        <f t="shared" si="35"/>
        <v>0</v>
      </c>
      <c r="Q140" s="322"/>
      <c r="R140" s="322"/>
      <c r="S140" s="323" t="s">
        <v>1948</v>
      </c>
      <c r="T140" s="271">
        <v>0</v>
      </c>
      <c r="U140" s="324"/>
    </row>
    <row r="141" spans="1:21" ht="25.5" x14ac:dyDescent="0.2">
      <c r="A141" s="346" t="s">
        <v>1537</v>
      </c>
      <c r="B141" s="272">
        <v>90373</v>
      </c>
      <c r="C141" s="272" t="s">
        <v>1324</v>
      </c>
      <c r="D141" s="273" t="s">
        <v>1538</v>
      </c>
      <c r="E141" s="274" t="s">
        <v>102</v>
      </c>
      <c r="F141" s="268">
        <f t="shared" si="30"/>
        <v>10.06</v>
      </c>
      <c r="G141" s="275">
        <v>16</v>
      </c>
      <c r="H141" s="275">
        <v>0</v>
      </c>
      <c r="I141" s="275">
        <v>0</v>
      </c>
      <c r="J141" s="275">
        <v>0</v>
      </c>
      <c r="K141" s="269">
        <f t="shared" si="31"/>
        <v>160.96</v>
      </c>
      <c r="L141" s="344">
        <f t="shared" si="32"/>
        <v>0</v>
      </c>
      <c r="M141" s="344">
        <f t="shared" si="33"/>
        <v>0</v>
      </c>
      <c r="N141" s="345">
        <f t="shared" si="34"/>
        <v>160.96</v>
      </c>
      <c r="O141" s="325">
        <f t="shared" si="23"/>
        <v>0</v>
      </c>
      <c r="P141" s="319">
        <f t="shared" si="35"/>
        <v>160.96</v>
      </c>
      <c r="Q141" s="322"/>
      <c r="R141" s="322"/>
      <c r="S141" s="323" t="s">
        <v>1949</v>
      </c>
      <c r="T141" s="271">
        <v>12.22</v>
      </c>
      <c r="U141" s="324"/>
    </row>
    <row r="142" spans="1:21" ht="15.75" x14ac:dyDescent="0.2">
      <c r="A142" s="346" t="s">
        <v>1539</v>
      </c>
      <c r="B142" s="272">
        <v>89622</v>
      </c>
      <c r="C142" s="272" t="s">
        <v>1324</v>
      </c>
      <c r="D142" s="273" t="s">
        <v>1540</v>
      </c>
      <c r="E142" s="274" t="s">
        <v>102</v>
      </c>
      <c r="F142" s="268">
        <f t="shared" si="30"/>
        <v>9.23</v>
      </c>
      <c r="G142" s="275">
        <v>4</v>
      </c>
      <c r="H142" s="275">
        <v>0</v>
      </c>
      <c r="I142" s="275">
        <v>0</v>
      </c>
      <c r="J142" s="275">
        <v>0</v>
      </c>
      <c r="K142" s="269">
        <f t="shared" si="31"/>
        <v>36.92</v>
      </c>
      <c r="L142" s="344">
        <f t="shared" si="32"/>
        <v>0</v>
      </c>
      <c r="M142" s="344">
        <f t="shared" si="33"/>
        <v>0</v>
      </c>
      <c r="N142" s="345">
        <f t="shared" si="34"/>
        <v>36.92</v>
      </c>
      <c r="O142" s="325">
        <f t="shared" si="23"/>
        <v>0</v>
      </c>
      <c r="P142" s="319">
        <f t="shared" si="35"/>
        <v>36.92</v>
      </c>
      <c r="Q142" s="322"/>
      <c r="R142" s="322"/>
      <c r="S142" s="323" t="s">
        <v>1950</v>
      </c>
      <c r="T142" s="271">
        <v>11.21</v>
      </c>
      <c r="U142" s="324"/>
    </row>
    <row r="143" spans="1:21" ht="15.75" x14ac:dyDescent="0.2">
      <c r="A143" s="346" t="s">
        <v>1541</v>
      </c>
      <c r="B143" s="272">
        <v>89626</v>
      </c>
      <c r="C143" s="272" t="s">
        <v>1324</v>
      </c>
      <c r="D143" s="273" t="s">
        <v>1542</v>
      </c>
      <c r="E143" s="274" t="s">
        <v>102</v>
      </c>
      <c r="F143" s="268">
        <f t="shared" si="30"/>
        <v>17.79</v>
      </c>
      <c r="G143" s="275">
        <v>2</v>
      </c>
      <c r="H143" s="275">
        <v>0</v>
      </c>
      <c r="I143" s="275">
        <v>0</v>
      </c>
      <c r="J143" s="275">
        <v>0</v>
      </c>
      <c r="K143" s="269">
        <f t="shared" si="31"/>
        <v>35.58</v>
      </c>
      <c r="L143" s="344">
        <f t="shared" si="32"/>
        <v>0</v>
      </c>
      <c r="M143" s="344">
        <f t="shared" si="33"/>
        <v>0</v>
      </c>
      <c r="N143" s="345">
        <f t="shared" si="34"/>
        <v>35.58</v>
      </c>
      <c r="O143" s="325">
        <f t="shared" si="23"/>
        <v>0</v>
      </c>
      <c r="P143" s="319">
        <f t="shared" si="35"/>
        <v>35.58</v>
      </c>
      <c r="Q143" s="322"/>
      <c r="R143" s="322"/>
      <c r="S143" s="323" t="s">
        <v>1951</v>
      </c>
      <c r="T143" s="271">
        <v>21.6</v>
      </c>
      <c r="U143" s="324"/>
    </row>
    <row r="144" spans="1:21" ht="15.75" x14ac:dyDescent="0.2">
      <c r="A144" s="346" t="s">
        <v>1543</v>
      </c>
      <c r="B144" s="272">
        <v>89534</v>
      </c>
      <c r="C144" s="272" t="s">
        <v>1324</v>
      </c>
      <c r="D144" s="273" t="s">
        <v>1544</v>
      </c>
      <c r="E144" s="274" t="s">
        <v>102</v>
      </c>
      <c r="F144" s="268">
        <f t="shared" si="30"/>
        <v>2.9</v>
      </c>
      <c r="G144" s="275">
        <v>8</v>
      </c>
      <c r="H144" s="275">
        <v>0</v>
      </c>
      <c r="I144" s="275">
        <v>0</v>
      </c>
      <c r="J144" s="275">
        <v>0</v>
      </c>
      <c r="K144" s="269">
        <f t="shared" si="31"/>
        <v>23.2</v>
      </c>
      <c r="L144" s="344">
        <f t="shared" si="32"/>
        <v>0</v>
      </c>
      <c r="M144" s="344">
        <f t="shared" si="33"/>
        <v>0</v>
      </c>
      <c r="N144" s="345">
        <f t="shared" si="34"/>
        <v>23.2</v>
      </c>
      <c r="O144" s="325">
        <f t="shared" si="23"/>
        <v>0</v>
      </c>
      <c r="P144" s="319">
        <f t="shared" si="35"/>
        <v>23.2</v>
      </c>
      <c r="Q144" s="322"/>
      <c r="R144" s="322"/>
      <c r="S144" s="323" t="s">
        <v>1952</v>
      </c>
      <c r="T144" s="271">
        <v>3.52</v>
      </c>
      <c r="U144" s="324"/>
    </row>
    <row r="145" spans="1:21" ht="15.75" x14ac:dyDescent="0.2">
      <c r="A145" s="346" t="s">
        <v>1545</v>
      </c>
      <c r="B145" s="272">
        <v>89386</v>
      </c>
      <c r="C145" s="272" t="s">
        <v>1324</v>
      </c>
      <c r="D145" s="273" t="s">
        <v>1546</v>
      </c>
      <c r="E145" s="274" t="s">
        <v>102</v>
      </c>
      <c r="F145" s="268">
        <f t="shared" si="30"/>
        <v>6</v>
      </c>
      <c r="G145" s="275">
        <v>4</v>
      </c>
      <c r="H145" s="275">
        <v>0</v>
      </c>
      <c r="I145" s="275">
        <v>0</v>
      </c>
      <c r="J145" s="275">
        <v>0</v>
      </c>
      <c r="K145" s="269">
        <f t="shared" si="31"/>
        <v>24</v>
      </c>
      <c r="L145" s="344">
        <f t="shared" si="32"/>
        <v>0</v>
      </c>
      <c r="M145" s="344">
        <f t="shared" si="33"/>
        <v>0</v>
      </c>
      <c r="N145" s="345">
        <f t="shared" si="34"/>
        <v>24</v>
      </c>
      <c r="O145" s="325">
        <f t="shared" si="23"/>
        <v>0</v>
      </c>
      <c r="P145" s="319">
        <f t="shared" si="35"/>
        <v>24</v>
      </c>
      <c r="Q145" s="322"/>
      <c r="R145" s="322"/>
      <c r="S145" s="323" t="s">
        <v>1953</v>
      </c>
      <c r="T145" s="271">
        <v>7.29</v>
      </c>
      <c r="U145" s="324"/>
    </row>
    <row r="146" spans="1:21" ht="15.75" x14ac:dyDescent="0.2">
      <c r="A146" s="346" t="s">
        <v>1547</v>
      </c>
      <c r="B146" s="272">
        <v>89433</v>
      </c>
      <c r="C146" s="272" t="s">
        <v>1324</v>
      </c>
      <c r="D146" s="273" t="s">
        <v>1548</v>
      </c>
      <c r="E146" s="274" t="s">
        <v>102</v>
      </c>
      <c r="F146" s="268">
        <f t="shared" si="30"/>
        <v>5.63</v>
      </c>
      <c r="G146" s="275">
        <v>4</v>
      </c>
      <c r="H146" s="275">
        <v>0</v>
      </c>
      <c r="I146" s="275">
        <v>0</v>
      </c>
      <c r="J146" s="275">
        <v>0</v>
      </c>
      <c r="K146" s="269">
        <f t="shared" si="31"/>
        <v>22.52</v>
      </c>
      <c r="L146" s="344">
        <f t="shared" si="32"/>
        <v>0</v>
      </c>
      <c r="M146" s="344">
        <f t="shared" si="33"/>
        <v>0</v>
      </c>
      <c r="N146" s="345">
        <f t="shared" si="34"/>
        <v>22.52</v>
      </c>
      <c r="O146" s="325">
        <f t="shared" si="23"/>
        <v>0</v>
      </c>
      <c r="P146" s="319">
        <f t="shared" si="35"/>
        <v>22.52</v>
      </c>
      <c r="Q146" s="322"/>
      <c r="R146" s="322"/>
      <c r="S146" s="323" t="s">
        <v>1954</v>
      </c>
      <c r="T146" s="271">
        <v>6.84</v>
      </c>
      <c r="U146" s="324"/>
    </row>
    <row r="147" spans="1:21" ht="15.75" x14ac:dyDescent="0.2">
      <c r="A147" s="346" t="s">
        <v>1549</v>
      </c>
      <c r="B147" s="272">
        <v>89605</v>
      </c>
      <c r="C147" s="272" t="s">
        <v>1324</v>
      </c>
      <c r="D147" s="273" t="s">
        <v>1550</v>
      </c>
      <c r="E147" s="274" t="s">
        <v>102</v>
      </c>
      <c r="F147" s="268">
        <f t="shared" si="30"/>
        <v>11.65</v>
      </c>
      <c r="G147" s="275">
        <v>2</v>
      </c>
      <c r="H147" s="275">
        <v>0</v>
      </c>
      <c r="I147" s="275">
        <v>0</v>
      </c>
      <c r="J147" s="275">
        <v>0</v>
      </c>
      <c r="K147" s="269">
        <f t="shared" si="31"/>
        <v>23.3</v>
      </c>
      <c r="L147" s="344">
        <f t="shared" si="32"/>
        <v>0</v>
      </c>
      <c r="M147" s="344">
        <f t="shared" si="33"/>
        <v>0</v>
      </c>
      <c r="N147" s="345">
        <f t="shared" si="34"/>
        <v>23.3</v>
      </c>
      <c r="O147" s="325">
        <f t="shared" si="23"/>
        <v>0</v>
      </c>
      <c r="P147" s="319">
        <f t="shared" si="35"/>
        <v>23.3</v>
      </c>
      <c r="Q147" s="322"/>
      <c r="R147" s="322"/>
      <c r="S147" s="323" t="s">
        <v>1955</v>
      </c>
      <c r="T147" s="271">
        <v>14.14</v>
      </c>
      <c r="U147" s="324"/>
    </row>
    <row r="148" spans="1:21" ht="15.75" x14ac:dyDescent="0.2">
      <c r="A148" s="346" t="s">
        <v>1551</v>
      </c>
      <c r="B148" s="272">
        <v>90375</v>
      </c>
      <c r="C148" s="272" t="s">
        <v>1324</v>
      </c>
      <c r="D148" s="273" t="s">
        <v>1552</v>
      </c>
      <c r="E148" s="274" t="s">
        <v>102</v>
      </c>
      <c r="F148" s="268">
        <f t="shared" si="30"/>
        <v>6.61</v>
      </c>
      <c r="G148" s="275">
        <v>2</v>
      </c>
      <c r="H148" s="275">
        <v>0</v>
      </c>
      <c r="I148" s="275">
        <v>0</v>
      </c>
      <c r="J148" s="275">
        <v>0</v>
      </c>
      <c r="K148" s="269">
        <f t="shared" si="31"/>
        <v>13.22</v>
      </c>
      <c r="L148" s="344">
        <f t="shared" si="32"/>
        <v>0</v>
      </c>
      <c r="M148" s="344">
        <f t="shared" si="33"/>
        <v>0</v>
      </c>
      <c r="N148" s="345">
        <f t="shared" si="34"/>
        <v>13.22</v>
      </c>
      <c r="O148" s="325">
        <f t="shared" si="23"/>
        <v>0</v>
      </c>
      <c r="P148" s="319">
        <f t="shared" si="35"/>
        <v>13.22</v>
      </c>
      <c r="Q148" s="322"/>
      <c r="R148" s="322"/>
      <c r="S148" s="323" t="s">
        <v>1956</v>
      </c>
      <c r="T148" s="271">
        <v>8.02</v>
      </c>
      <c r="U148" s="324"/>
    </row>
    <row r="149" spans="1:21" ht="15.75" x14ac:dyDescent="0.2">
      <c r="A149" s="346" t="s">
        <v>1553</v>
      </c>
      <c r="B149" s="272">
        <v>90375</v>
      </c>
      <c r="C149" s="272" t="s">
        <v>1324</v>
      </c>
      <c r="D149" s="273" t="s">
        <v>1554</v>
      </c>
      <c r="E149" s="274" t="s">
        <v>102</v>
      </c>
      <c r="F149" s="268">
        <f t="shared" si="30"/>
        <v>6.61</v>
      </c>
      <c r="G149" s="275">
        <v>4</v>
      </c>
      <c r="H149" s="275">
        <v>0</v>
      </c>
      <c r="I149" s="275">
        <v>0</v>
      </c>
      <c r="J149" s="275">
        <v>0</v>
      </c>
      <c r="K149" s="269">
        <f t="shared" si="31"/>
        <v>26.44</v>
      </c>
      <c r="L149" s="344">
        <f t="shared" si="32"/>
        <v>0</v>
      </c>
      <c r="M149" s="344">
        <f t="shared" si="33"/>
        <v>0</v>
      </c>
      <c r="N149" s="345">
        <f t="shared" si="34"/>
        <v>26.44</v>
      </c>
      <c r="O149" s="325">
        <f t="shared" si="23"/>
        <v>0</v>
      </c>
      <c r="P149" s="319">
        <f t="shared" si="35"/>
        <v>26.44</v>
      </c>
      <c r="Q149" s="322"/>
      <c r="R149" s="322"/>
      <c r="S149" s="323" t="s">
        <v>1957</v>
      </c>
      <c r="T149" s="271">
        <v>8.02</v>
      </c>
      <c r="U149" s="324"/>
    </row>
    <row r="150" spans="1:21" ht="15.75" x14ac:dyDescent="0.2">
      <c r="A150" s="346" t="s">
        <v>1555</v>
      </c>
      <c r="B150" s="272">
        <v>89375</v>
      </c>
      <c r="C150" s="272" t="s">
        <v>1324</v>
      </c>
      <c r="D150" s="273" t="s">
        <v>1556</v>
      </c>
      <c r="E150" s="274" t="s">
        <v>102</v>
      </c>
      <c r="F150" s="268">
        <f t="shared" si="30"/>
        <v>7.45</v>
      </c>
      <c r="G150" s="275">
        <v>6</v>
      </c>
      <c r="H150" s="275">
        <v>0</v>
      </c>
      <c r="I150" s="275">
        <v>0</v>
      </c>
      <c r="J150" s="275">
        <v>0</v>
      </c>
      <c r="K150" s="269">
        <f t="shared" si="31"/>
        <v>44.7</v>
      </c>
      <c r="L150" s="344">
        <f t="shared" si="32"/>
        <v>0</v>
      </c>
      <c r="M150" s="344">
        <f t="shared" si="33"/>
        <v>0</v>
      </c>
      <c r="N150" s="345">
        <f t="shared" si="34"/>
        <v>44.7</v>
      </c>
      <c r="O150" s="325">
        <f t="shared" si="23"/>
        <v>0</v>
      </c>
      <c r="P150" s="319">
        <f t="shared" si="35"/>
        <v>44.7</v>
      </c>
      <c r="Q150" s="322"/>
      <c r="R150" s="322"/>
      <c r="S150" s="323" t="s">
        <v>1958</v>
      </c>
      <c r="T150" s="271">
        <v>9.0500000000000007</v>
      </c>
      <c r="U150" s="324"/>
    </row>
    <row r="151" spans="1:21" ht="15.75" x14ac:dyDescent="0.2">
      <c r="A151" s="346" t="s">
        <v>1557</v>
      </c>
      <c r="B151" s="272">
        <v>89594</v>
      </c>
      <c r="C151" s="272" t="s">
        <v>1324</v>
      </c>
      <c r="D151" s="273" t="s">
        <v>1558</v>
      </c>
      <c r="E151" s="274" t="s">
        <v>102</v>
      </c>
      <c r="F151" s="268">
        <f t="shared" si="30"/>
        <v>22.48</v>
      </c>
      <c r="G151" s="275">
        <v>2</v>
      </c>
      <c r="H151" s="275">
        <v>0</v>
      </c>
      <c r="I151" s="275">
        <v>0</v>
      </c>
      <c r="J151" s="275">
        <v>0</v>
      </c>
      <c r="K151" s="269">
        <f t="shared" si="31"/>
        <v>44.96</v>
      </c>
      <c r="L151" s="344">
        <f t="shared" si="32"/>
        <v>0</v>
      </c>
      <c r="M151" s="344">
        <f t="shared" si="33"/>
        <v>0</v>
      </c>
      <c r="N151" s="345">
        <f t="shared" si="34"/>
        <v>44.96</v>
      </c>
      <c r="O151" s="325">
        <f t="shared" si="23"/>
        <v>0</v>
      </c>
      <c r="P151" s="319">
        <f t="shared" si="35"/>
        <v>44.96</v>
      </c>
      <c r="Q151" s="322"/>
      <c r="R151" s="322"/>
      <c r="S151" s="323" t="s">
        <v>1959</v>
      </c>
      <c r="T151" s="271">
        <v>27.3</v>
      </c>
      <c r="U151" s="324"/>
    </row>
    <row r="152" spans="1:21" ht="15.75" x14ac:dyDescent="0.2">
      <c r="A152" s="348" t="s">
        <v>290</v>
      </c>
      <c r="B152" s="276"/>
      <c r="C152" s="276"/>
      <c r="D152" s="277" t="s">
        <v>1559</v>
      </c>
      <c r="E152" s="278"/>
      <c r="F152" s="279">
        <f>K152</f>
        <v>2836.4</v>
      </c>
      <c r="G152" s="279"/>
      <c r="H152" s="279"/>
      <c r="I152" s="279"/>
      <c r="J152" s="279"/>
      <c r="K152" s="280">
        <f>SUM(K153:K167)</f>
        <v>2836.4</v>
      </c>
      <c r="L152" s="349"/>
      <c r="M152" s="349"/>
      <c r="N152" s="350">
        <f>SUM(N153:N167)</f>
        <v>2836.4</v>
      </c>
      <c r="O152" s="325" t="e">
        <f t="shared" si="23"/>
        <v>#DIV/0!</v>
      </c>
      <c r="P152" s="319"/>
      <c r="Q152" s="322"/>
      <c r="R152" s="322"/>
      <c r="S152" s="323" t="s">
        <v>1960</v>
      </c>
      <c r="T152" s="271">
        <v>0</v>
      </c>
      <c r="U152" s="324"/>
    </row>
    <row r="153" spans="1:21" ht="15.75" x14ac:dyDescent="0.2">
      <c r="A153" s="346" t="s">
        <v>1560</v>
      </c>
      <c r="B153" s="272">
        <v>89353</v>
      </c>
      <c r="C153" s="272" t="s">
        <v>1324</v>
      </c>
      <c r="D153" s="273" t="s">
        <v>1561</v>
      </c>
      <c r="E153" s="274" t="s">
        <v>102</v>
      </c>
      <c r="F153" s="268">
        <f t="shared" ref="F153:F167" si="36">ROUND(T153*$T$12,2)</f>
        <v>30.67</v>
      </c>
      <c r="G153" s="275">
        <v>1</v>
      </c>
      <c r="H153" s="275">
        <v>0</v>
      </c>
      <c r="I153" s="275">
        <v>0</v>
      </c>
      <c r="J153" s="275">
        <v>0</v>
      </c>
      <c r="K153" s="269">
        <f t="shared" ref="K153:K167" si="37">ROUND(G153*F153,2)</f>
        <v>30.67</v>
      </c>
      <c r="L153" s="344">
        <f t="shared" ref="L153:L167" si="38">H153*F153</f>
        <v>0</v>
      </c>
      <c r="M153" s="344">
        <f t="shared" si="33"/>
        <v>0</v>
      </c>
      <c r="N153" s="345">
        <f t="shared" ref="N153:N167" si="39">F153*G153-M153</f>
        <v>30.67</v>
      </c>
      <c r="O153" s="325">
        <f t="shared" si="23"/>
        <v>0</v>
      </c>
      <c r="P153" s="319">
        <f t="shared" ref="P153:P167" si="40">G153*F153</f>
        <v>30.67</v>
      </c>
      <c r="Q153" s="322"/>
      <c r="R153" s="322"/>
      <c r="S153" s="323" t="s">
        <v>1961</v>
      </c>
      <c r="T153" s="271">
        <v>37.24</v>
      </c>
      <c r="U153" s="324"/>
    </row>
    <row r="154" spans="1:21" ht="15.75" x14ac:dyDescent="0.2">
      <c r="A154" s="346" t="s">
        <v>1562</v>
      </c>
      <c r="B154" s="272" t="s">
        <v>1563</v>
      </c>
      <c r="C154" s="272" t="s">
        <v>1324</v>
      </c>
      <c r="D154" s="273" t="s">
        <v>1564</v>
      </c>
      <c r="E154" s="274" t="s">
        <v>102</v>
      </c>
      <c r="F154" s="268">
        <f t="shared" si="36"/>
        <v>86.64</v>
      </c>
      <c r="G154" s="275">
        <v>2</v>
      </c>
      <c r="H154" s="275">
        <v>0</v>
      </c>
      <c r="I154" s="275">
        <v>0</v>
      </c>
      <c r="J154" s="275">
        <v>0</v>
      </c>
      <c r="K154" s="269">
        <f t="shared" si="37"/>
        <v>173.28</v>
      </c>
      <c r="L154" s="344">
        <f t="shared" si="38"/>
        <v>0</v>
      </c>
      <c r="M154" s="344">
        <f t="shared" si="33"/>
        <v>0</v>
      </c>
      <c r="N154" s="345">
        <f t="shared" si="39"/>
        <v>173.28</v>
      </c>
      <c r="O154" s="325">
        <f t="shared" si="23"/>
        <v>0</v>
      </c>
      <c r="P154" s="319">
        <f t="shared" si="40"/>
        <v>173.28</v>
      </c>
      <c r="Q154" s="322"/>
      <c r="R154" s="322"/>
      <c r="S154" s="323" t="s">
        <v>1962</v>
      </c>
      <c r="T154" s="271">
        <v>105.2</v>
      </c>
      <c r="U154" s="324"/>
    </row>
    <row r="155" spans="1:21" ht="15.75" x14ac:dyDescent="0.2">
      <c r="A155" s="346" t="s">
        <v>1565</v>
      </c>
      <c r="B155" s="272" t="s">
        <v>1566</v>
      </c>
      <c r="C155" s="272" t="s">
        <v>1324</v>
      </c>
      <c r="D155" s="273" t="s">
        <v>1567</v>
      </c>
      <c r="E155" s="274" t="s">
        <v>102</v>
      </c>
      <c r="F155" s="268">
        <f t="shared" si="36"/>
        <v>52.59</v>
      </c>
      <c r="G155" s="275">
        <v>2</v>
      </c>
      <c r="H155" s="275">
        <v>0</v>
      </c>
      <c r="I155" s="275">
        <v>0</v>
      </c>
      <c r="J155" s="275">
        <v>0</v>
      </c>
      <c r="K155" s="269">
        <f t="shared" si="37"/>
        <v>105.18</v>
      </c>
      <c r="L155" s="344">
        <f t="shared" si="38"/>
        <v>0</v>
      </c>
      <c r="M155" s="344">
        <f t="shared" si="33"/>
        <v>0</v>
      </c>
      <c r="N155" s="345">
        <f t="shared" si="39"/>
        <v>105.18</v>
      </c>
      <c r="O155" s="325">
        <f t="shared" si="23"/>
        <v>0</v>
      </c>
      <c r="P155" s="319">
        <f t="shared" si="40"/>
        <v>105.18</v>
      </c>
      <c r="Q155" s="322"/>
      <c r="R155" s="322"/>
      <c r="S155" s="323" t="s">
        <v>1963</v>
      </c>
      <c r="T155" s="271">
        <v>63.86</v>
      </c>
      <c r="U155" s="324"/>
    </row>
    <row r="156" spans="1:21" ht="15.75" x14ac:dyDescent="0.2">
      <c r="A156" s="346" t="s">
        <v>1568</v>
      </c>
      <c r="B156" s="272" t="s">
        <v>1569</v>
      </c>
      <c r="C156" s="272" t="s">
        <v>1324</v>
      </c>
      <c r="D156" s="273" t="s">
        <v>1570</v>
      </c>
      <c r="E156" s="274" t="s">
        <v>102</v>
      </c>
      <c r="F156" s="268">
        <f t="shared" si="36"/>
        <v>120.21</v>
      </c>
      <c r="G156" s="275">
        <v>2</v>
      </c>
      <c r="H156" s="275">
        <v>0</v>
      </c>
      <c r="I156" s="275">
        <v>0</v>
      </c>
      <c r="J156" s="275">
        <v>0</v>
      </c>
      <c r="K156" s="269">
        <f t="shared" si="37"/>
        <v>240.42</v>
      </c>
      <c r="L156" s="344">
        <f t="shared" si="38"/>
        <v>0</v>
      </c>
      <c r="M156" s="344">
        <f t="shared" si="33"/>
        <v>0</v>
      </c>
      <c r="N156" s="345">
        <f t="shared" si="39"/>
        <v>240.42</v>
      </c>
      <c r="O156" s="325">
        <f t="shared" si="23"/>
        <v>0</v>
      </c>
      <c r="P156" s="319">
        <f t="shared" si="40"/>
        <v>240.42</v>
      </c>
      <c r="Q156" s="322"/>
      <c r="R156" s="322"/>
      <c r="S156" s="323" t="s">
        <v>1964</v>
      </c>
      <c r="T156" s="271">
        <v>145.96</v>
      </c>
      <c r="U156" s="324"/>
    </row>
    <row r="157" spans="1:21" ht="15.75" x14ac:dyDescent="0.2">
      <c r="A157" s="346" t="s">
        <v>1571</v>
      </c>
      <c r="B157" s="272" t="s">
        <v>1572</v>
      </c>
      <c r="C157" s="272" t="s">
        <v>1324</v>
      </c>
      <c r="D157" s="273" t="s">
        <v>1573</v>
      </c>
      <c r="E157" s="274" t="s">
        <v>102</v>
      </c>
      <c r="F157" s="268">
        <f t="shared" si="36"/>
        <v>67.349999999999994</v>
      </c>
      <c r="G157" s="275">
        <v>2</v>
      </c>
      <c r="H157" s="275">
        <v>0</v>
      </c>
      <c r="I157" s="275">
        <v>0</v>
      </c>
      <c r="J157" s="275">
        <v>0</v>
      </c>
      <c r="K157" s="269">
        <f t="shared" si="37"/>
        <v>134.69999999999999</v>
      </c>
      <c r="L157" s="344">
        <f t="shared" si="38"/>
        <v>0</v>
      </c>
      <c r="M157" s="344">
        <f t="shared" si="33"/>
        <v>0</v>
      </c>
      <c r="N157" s="345">
        <f t="shared" si="39"/>
        <v>134.69999999999999</v>
      </c>
      <c r="O157" s="325">
        <f t="shared" si="23"/>
        <v>0</v>
      </c>
      <c r="P157" s="319">
        <f t="shared" si="40"/>
        <v>134.69999999999999</v>
      </c>
      <c r="Q157" s="322"/>
      <c r="R157" s="322"/>
      <c r="S157" s="323" t="s">
        <v>1965</v>
      </c>
      <c r="T157" s="271">
        <v>81.78</v>
      </c>
      <c r="U157" s="324"/>
    </row>
    <row r="158" spans="1:21" ht="15.75" x14ac:dyDescent="0.2">
      <c r="A158" s="346" t="s">
        <v>1574</v>
      </c>
      <c r="B158" s="272">
        <v>89987</v>
      </c>
      <c r="C158" s="272" t="s">
        <v>1324</v>
      </c>
      <c r="D158" s="273" t="s">
        <v>1575</v>
      </c>
      <c r="E158" s="274" t="s">
        <v>102</v>
      </c>
      <c r="F158" s="268">
        <f t="shared" si="36"/>
        <v>35.92</v>
      </c>
      <c r="G158" s="275">
        <v>2</v>
      </c>
      <c r="H158" s="275">
        <v>0</v>
      </c>
      <c r="I158" s="275">
        <v>0</v>
      </c>
      <c r="J158" s="275">
        <v>0</v>
      </c>
      <c r="K158" s="269">
        <f t="shared" si="37"/>
        <v>71.84</v>
      </c>
      <c r="L158" s="344">
        <f t="shared" si="38"/>
        <v>0</v>
      </c>
      <c r="M158" s="344">
        <f t="shared" si="33"/>
        <v>0</v>
      </c>
      <c r="N158" s="345">
        <f t="shared" si="39"/>
        <v>71.84</v>
      </c>
      <c r="O158" s="325">
        <f t="shared" si="23"/>
        <v>0</v>
      </c>
      <c r="P158" s="319">
        <f t="shared" si="40"/>
        <v>71.84</v>
      </c>
      <c r="Q158" s="322"/>
      <c r="R158" s="322"/>
      <c r="S158" s="323" t="s">
        <v>1966</v>
      </c>
      <c r="T158" s="271">
        <v>43.61</v>
      </c>
      <c r="U158" s="324"/>
    </row>
    <row r="159" spans="1:21" ht="15.75" x14ac:dyDescent="0.2">
      <c r="A159" s="346" t="s">
        <v>1576</v>
      </c>
      <c r="B159" s="272">
        <v>89985</v>
      </c>
      <c r="C159" s="272" t="s">
        <v>1324</v>
      </c>
      <c r="D159" s="273" t="s">
        <v>1577</v>
      </c>
      <c r="E159" s="274" t="s">
        <v>102</v>
      </c>
      <c r="F159" s="268">
        <f t="shared" si="36"/>
        <v>64.02</v>
      </c>
      <c r="G159" s="275">
        <v>8</v>
      </c>
      <c r="H159" s="275">
        <v>0</v>
      </c>
      <c r="I159" s="275">
        <v>0</v>
      </c>
      <c r="J159" s="275">
        <v>0</v>
      </c>
      <c r="K159" s="269">
        <f t="shared" si="37"/>
        <v>512.16</v>
      </c>
      <c r="L159" s="344">
        <f t="shared" si="38"/>
        <v>0</v>
      </c>
      <c r="M159" s="344">
        <f t="shared" si="33"/>
        <v>0</v>
      </c>
      <c r="N159" s="345">
        <f t="shared" si="39"/>
        <v>512.16</v>
      </c>
      <c r="O159" s="325">
        <f t="shared" si="23"/>
        <v>0</v>
      </c>
      <c r="P159" s="319">
        <f t="shared" si="40"/>
        <v>512.16</v>
      </c>
      <c r="Q159" s="322"/>
      <c r="R159" s="322"/>
      <c r="S159" s="323" t="s">
        <v>1967</v>
      </c>
      <c r="T159" s="271">
        <v>77.73</v>
      </c>
      <c r="U159" s="324"/>
    </row>
    <row r="160" spans="1:21" ht="15.75" x14ac:dyDescent="0.2">
      <c r="A160" s="346" t="s">
        <v>1578</v>
      </c>
      <c r="B160" s="272">
        <v>89538</v>
      </c>
      <c r="C160" s="272" t="s">
        <v>1324</v>
      </c>
      <c r="D160" s="273" t="s">
        <v>1579</v>
      </c>
      <c r="E160" s="274" t="s">
        <v>102</v>
      </c>
      <c r="F160" s="268">
        <f t="shared" si="36"/>
        <v>2.75</v>
      </c>
      <c r="G160" s="275">
        <v>12</v>
      </c>
      <c r="H160" s="275">
        <v>0</v>
      </c>
      <c r="I160" s="275">
        <v>0</v>
      </c>
      <c r="J160" s="275">
        <v>0</v>
      </c>
      <c r="K160" s="269">
        <f t="shared" si="37"/>
        <v>33</v>
      </c>
      <c r="L160" s="344">
        <f t="shared" si="38"/>
        <v>0</v>
      </c>
      <c r="M160" s="344">
        <f t="shared" si="33"/>
        <v>0</v>
      </c>
      <c r="N160" s="345">
        <f t="shared" si="39"/>
        <v>33</v>
      </c>
      <c r="O160" s="325">
        <f t="shared" si="23"/>
        <v>0</v>
      </c>
      <c r="P160" s="319">
        <f t="shared" si="40"/>
        <v>33</v>
      </c>
      <c r="Q160" s="322"/>
      <c r="R160" s="322"/>
      <c r="S160" s="323" t="s">
        <v>1968</v>
      </c>
      <c r="T160" s="271">
        <v>3.34</v>
      </c>
      <c r="U160" s="324"/>
    </row>
    <row r="161" spans="1:21" ht="15.75" x14ac:dyDescent="0.2">
      <c r="A161" s="346" t="s">
        <v>1580</v>
      </c>
      <c r="B161" s="272">
        <v>89553</v>
      </c>
      <c r="C161" s="272" t="s">
        <v>1324</v>
      </c>
      <c r="D161" s="273" t="s">
        <v>1581</v>
      </c>
      <c r="E161" s="274" t="s">
        <v>102</v>
      </c>
      <c r="F161" s="268">
        <f t="shared" si="36"/>
        <v>4.01</v>
      </c>
      <c r="G161" s="275">
        <v>4</v>
      </c>
      <c r="H161" s="275">
        <v>0</v>
      </c>
      <c r="I161" s="275">
        <v>0</v>
      </c>
      <c r="J161" s="275">
        <v>0</v>
      </c>
      <c r="K161" s="269">
        <f t="shared" si="37"/>
        <v>16.04</v>
      </c>
      <c r="L161" s="344">
        <f t="shared" si="38"/>
        <v>0</v>
      </c>
      <c r="M161" s="344">
        <f t="shared" si="33"/>
        <v>0</v>
      </c>
      <c r="N161" s="345">
        <f t="shared" si="39"/>
        <v>16.04</v>
      </c>
      <c r="O161" s="325">
        <f t="shared" si="23"/>
        <v>0</v>
      </c>
      <c r="P161" s="319">
        <f t="shared" si="40"/>
        <v>16.04</v>
      </c>
      <c r="Q161" s="322"/>
      <c r="R161" s="322"/>
      <c r="S161" s="323" t="s">
        <v>1969</v>
      </c>
      <c r="T161" s="271">
        <v>4.87</v>
      </c>
      <c r="U161" s="324"/>
    </row>
    <row r="162" spans="1:21" ht="15.75" x14ac:dyDescent="0.2">
      <c r="A162" s="346" t="s">
        <v>1582</v>
      </c>
      <c r="B162" s="272">
        <v>89570</v>
      </c>
      <c r="C162" s="272" t="s">
        <v>1324</v>
      </c>
      <c r="D162" s="273" t="s">
        <v>1583</v>
      </c>
      <c r="E162" s="274" t="s">
        <v>102</v>
      </c>
      <c r="F162" s="268">
        <f t="shared" si="36"/>
        <v>6.66</v>
      </c>
      <c r="G162" s="275">
        <v>4</v>
      </c>
      <c r="H162" s="275">
        <v>0</v>
      </c>
      <c r="I162" s="275">
        <v>0</v>
      </c>
      <c r="J162" s="275">
        <v>0</v>
      </c>
      <c r="K162" s="269">
        <f t="shared" si="37"/>
        <v>26.64</v>
      </c>
      <c r="L162" s="344">
        <f t="shared" si="38"/>
        <v>0</v>
      </c>
      <c r="M162" s="344">
        <f t="shared" si="33"/>
        <v>0</v>
      </c>
      <c r="N162" s="345">
        <f t="shared" si="39"/>
        <v>26.64</v>
      </c>
      <c r="O162" s="325">
        <f t="shared" si="23"/>
        <v>0</v>
      </c>
      <c r="P162" s="319">
        <f t="shared" si="40"/>
        <v>26.64</v>
      </c>
      <c r="Q162" s="322"/>
      <c r="R162" s="322"/>
      <c r="S162" s="323" t="s">
        <v>1970</v>
      </c>
      <c r="T162" s="271">
        <v>8.09</v>
      </c>
      <c r="U162" s="324"/>
    </row>
    <row r="163" spans="1:21" ht="15.75" x14ac:dyDescent="0.2">
      <c r="A163" s="346" t="s">
        <v>1584</v>
      </c>
      <c r="B163" s="272">
        <v>89596</v>
      </c>
      <c r="C163" s="272" t="s">
        <v>1324</v>
      </c>
      <c r="D163" s="273" t="s">
        <v>1585</v>
      </c>
      <c r="E163" s="274" t="s">
        <v>102</v>
      </c>
      <c r="F163" s="268">
        <f t="shared" si="36"/>
        <v>7.49</v>
      </c>
      <c r="G163" s="275">
        <v>4</v>
      </c>
      <c r="H163" s="275">
        <v>0</v>
      </c>
      <c r="I163" s="275">
        <v>0</v>
      </c>
      <c r="J163" s="275">
        <v>0</v>
      </c>
      <c r="K163" s="269">
        <f t="shared" si="37"/>
        <v>29.96</v>
      </c>
      <c r="L163" s="344">
        <f t="shared" si="38"/>
        <v>0</v>
      </c>
      <c r="M163" s="344">
        <f t="shared" si="33"/>
        <v>0</v>
      </c>
      <c r="N163" s="345">
        <f t="shared" si="39"/>
        <v>29.96</v>
      </c>
      <c r="O163" s="325">
        <f t="shared" si="23"/>
        <v>0</v>
      </c>
      <c r="P163" s="319">
        <f t="shared" si="40"/>
        <v>29.96</v>
      </c>
      <c r="Q163" s="322"/>
      <c r="R163" s="322"/>
      <c r="S163" s="323" t="s">
        <v>1971</v>
      </c>
      <c r="T163" s="271">
        <v>9.1</v>
      </c>
      <c r="U163" s="324"/>
    </row>
    <row r="164" spans="1:21" ht="15.75" x14ac:dyDescent="0.2">
      <c r="A164" s="346" t="s">
        <v>1586</v>
      </c>
      <c r="B164" s="272">
        <v>86884</v>
      </c>
      <c r="C164" s="272" t="s">
        <v>1324</v>
      </c>
      <c r="D164" s="273" t="s">
        <v>1587</v>
      </c>
      <c r="E164" s="274" t="s">
        <v>102</v>
      </c>
      <c r="F164" s="268">
        <f t="shared" si="36"/>
        <v>6.05</v>
      </c>
      <c r="G164" s="275">
        <v>10</v>
      </c>
      <c r="H164" s="275">
        <v>0</v>
      </c>
      <c r="I164" s="275">
        <v>0</v>
      </c>
      <c r="J164" s="275">
        <v>0</v>
      </c>
      <c r="K164" s="269">
        <f t="shared" si="37"/>
        <v>60.5</v>
      </c>
      <c r="L164" s="344">
        <f t="shared" si="38"/>
        <v>0</v>
      </c>
      <c r="M164" s="344">
        <f t="shared" si="33"/>
        <v>0</v>
      </c>
      <c r="N164" s="345">
        <f t="shared" si="39"/>
        <v>60.5</v>
      </c>
      <c r="O164" s="325">
        <f t="shared" si="23"/>
        <v>0</v>
      </c>
      <c r="P164" s="319">
        <f t="shared" si="40"/>
        <v>60.5</v>
      </c>
      <c r="Q164" s="322"/>
      <c r="R164" s="322"/>
      <c r="S164" s="323" t="s">
        <v>1972</v>
      </c>
      <c r="T164" s="271">
        <v>7.34</v>
      </c>
      <c r="U164" s="324"/>
    </row>
    <row r="165" spans="1:21" ht="15.75" x14ac:dyDescent="0.2">
      <c r="A165" s="346" t="s">
        <v>1588</v>
      </c>
      <c r="B165" s="272">
        <v>72789</v>
      </c>
      <c r="C165" s="272" t="s">
        <v>1324</v>
      </c>
      <c r="D165" s="273" t="s">
        <v>1589</v>
      </c>
      <c r="E165" s="274" t="s">
        <v>102</v>
      </c>
      <c r="F165" s="268">
        <f t="shared" si="36"/>
        <v>16.59</v>
      </c>
      <c r="G165" s="275">
        <v>3</v>
      </c>
      <c r="H165" s="275">
        <v>0</v>
      </c>
      <c r="I165" s="275">
        <v>0</v>
      </c>
      <c r="J165" s="275">
        <v>0</v>
      </c>
      <c r="K165" s="269">
        <f t="shared" si="37"/>
        <v>49.77</v>
      </c>
      <c r="L165" s="344">
        <f t="shared" si="38"/>
        <v>0</v>
      </c>
      <c r="M165" s="344">
        <f t="shared" si="33"/>
        <v>0</v>
      </c>
      <c r="N165" s="345">
        <f t="shared" si="39"/>
        <v>49.769999999999996</v>
      </c>
      <c r="O165" s="325">
        <f t="shared" si="23"/>
        <v>0</v>
      </c>
      <c r="P165" s="319">
        <f t="shared" si="40"/>
        <v>49.769999999999996</v>
      </c>
      <c r="Q165" s="322"/>
      <c r="R165" s="322"/>
      <c r="S165" s="323" t="s">
        <v>1973</v>
      </c>
      <c r="T165" s="271">
        <v>20.14</v>
      </c>
      <c r="U165" s="324"/>
    </row>
    <row r="166" spans="1:21" ht="15.75" x14ac:dyDescent="0.2">
      <c r="A166" s="346" t="s">
        <v>1590</v>
      </c>
      <c r="B166" s="272">
        <v>72792</v>
      </c>
      <c r="C166" s="272" t="s">
        <v>1324</v>
      </c>
      <c r="D166" s="273" t="s">
        <v>1591</v>
      </c>
      <c r="E166" s="274" t="s">
        <v>102</v>
      </c>
      <c r="F166" s="268">
        <f t="shared" si="36"/>
        <v>32.79</v>
      </c>
      <c r="G166" s="275">
        <v>2</v>
      </c>
      <c r="H166" s="275">
        <v>0</v>
      </c>
      <c r="I166" s="275">
        <v>0</v>
      </c>
      <c r="J166" s="275">
        <v>0</v>
      </c>
      <c r="K166" s="269">
        <f t="shared" si="37"/>
        <v>65.58</v>
      </c>
      <c r="L166" s="344">
        <f t="shared" si="38"/>
        <v>0</v>
      </c>
      <c r="M166" s="344">
        <f t="shared" si="33"/>
        <v>0</v>
      </c>
      <c r="N166" s="345">
        <f t="shared" si="39"/>
        <v>65.58</v>
      </c>
      <c r="O166" s="325">
        <f t="shared" si="23"/>
        <v>0</v>
      </c>
      <c r="P166" s="319">
        <f t="shared" si="40"/>
        <v>65.58</v>
      </c>
      <c r="Q166" s="322"/>
      <c r="R166" s="322"/>
      <c r="S166" s="323" t="s">
        <v>1974</v>
      </c>
      <c r="T166" s="271">
        <v>39.81</v>
      </c>
      <c r="U166" s="324"/>
    </row>
    <row r="167" spans="1:21" ht="15.75" x14ac:dyDescent="0.2">
      <c r="A167" s="346" t="s">
        <v>1592</v>
      </c>
      <c r="B167" s="272"/>
      <c r="C167" s="272" t="s">
        <v>1339</v>
      </c>
      <c r="D167" s="273" t="s">
        <v>1593</v>
      </c>
      <c r="E167" s="274" t="s">
        <v>102</v>
      </c>
      <c r="F167" s="268">
        <f t="shared" si="36"/>
        <v>1286.6600000000001</v>
      </c>
      <c r="G167" s="275">
        <v>1</v>
      </c>
      <c r="H167" s="275">
        <v>0</v>
      </c>
      <c r="I167" s="275">
        <v>0</v>
      </c>
      <c r="J167" s="275">
        <v>0</v>
      </c>
      <c r="K167" s="269">
        <f t="shared" si="37"/>
        <v>1286.6600000000001</v>
      </c>
      <c r="L167" s="344">
        <f t="shared" si="38"/>
        <v>0</v>
      </c>
      <c r="M167" s="344">
        <f t="shared" si="33"/>
        <v>0</v>
      </c>
      <c r="N167" s="345">
        <f t="shared" si="39"/>
        <v>1286.6600000000001</v>
      </c>
      <c r="O167" s="325">
        <f t="shared" si="23"/>
        <v>0</v>
      </c>
      <c r="P167" s="319">
        <f t="shared" si="40"/>
        <v>1286.6600000000001</v>
      </c>
      <c r="Q167" s="322"/>
      <c r="R167" s="322"/>
      <c r="S167" s="323" t="s">
        <v>1975</v>
      </c>
      <c r="T167" s="271">
        <v>1562.26</v>
      </c>
      <c r="U167" s="324"/>
    </row>
    <row r="168" spans="1:21" ht="15.75" x14ac:dyDescent="0.2">
      <c r="A168" s="341">
        <v>13</v>
      </c>
      <c r="B168" s="258"/>
      <c r="C168" s="258"/>
      <c r="D168" s="259" t="s">
        <v>1594</v>
      </c>
      <c r="E168" s="260"/>
      <c r="F168" s="261">
        <f>K168</f>
        <v>16232.49</v>
      </c>
      <c r="G168" s="261"/>
      <c r="H168" s="261"/>
      <c r="I168" s="261"/>
      <c r="J168" s="261"/>
      <c r="K168" s="262">
        <f>K169+K181</f>
        <v>16232.49</v>
      </c>
      <c r="L168" s="342"/>
      <c r="M168" s="342"/>
      <c r="N168" s="343">
        <f>SUM(N169,N181)</f>
        <v>16851.89</v>
      </c>
      <c r="O168" s="325" t="e">
        <f t="shared" si="23"/>
        <v>#DIV/0!</v>
      </c>
      <c r="P168" s="319"/>
      <c r="Q168" s="322"/>
      <c r="R168" s="322"/>
      <c r="S168" s="323" t="s">
        <v>1976</v>
      </c>
      <c r="T168" s="271">
        <v>0</v>
      </c>
      <c r="U168" s="324"/>
    </row>
    <row r="169" spans="1:21" ht="15.75" x14ac:dyDescent="0.2">
      <c r="A169" s="348" t="s">
        <v>306</v>
      </c>
      <c r="B169" s="276"/>
      <c r="C169" s="276"/>
      <c r="D169" s="277" t="s">
        <v>1516</v>
      </c>
      <c r="E169" s="278"/>
      <c r="F169" s="279">
        <f>K169</f>
        <v>2433.5100000000002</v>
      </c>
      <c r="G169" s="279"/>
      <c r="H169" s="279"/>
      <c r="I169" s="279"/>
      <c r="J169" s="279"/>
      <c r="K169" s="280">
        <f>SUM(K171:K180)</f>
        <v>2433.5100000000002</v>
      </c>
      <c r="L169" s="349"/>
      <c r="M169" s="349"/>
      <c r="N169" s="350">
        <f>SUM(N170:N180)</f>
        <v>3052.9100000000003</v>
      </c>
      <c r="O169" s="325" t="e">
        <f t="shared" si="23"/>
        <v>#DIV/0!</v>
      </c>
      <c r="P169" s="319"/>
      <c r="Q169" s="322"/>
      <c r="R169" s="322"/>
      <c r="S169" s="323" t="s">
        <v>1977</v>
      </c>
      <c r="T169" s="271">
        <v>0</v>
      </c>
      <c r="U169" s="324"/>
    </row>
    <row r="170" spans="1:21" ht="15.75" x14ac:dyDescent="0.2">
      <c r="A170" s="346" t="s">
        <v>1595</v>
      </c>
      <c r="B170" s="272">
        <v>89711</v>
      </c>
      <c r="C170" s="272" t="s">
        <v>1324</v>
      </c>
      <c r="D170" s="273" t="s">
        <v>1596</v>
      </c>
      <c r="E170" s="274" t="s">
        <v>81</v>
      </c>
      <c r="F170" s="268">
        <f t="shared" ref="F170:F180" si="41">ROUND(T170*$T$12,2)</f>
        <v>13.04</v>
      </c>
      <c r="G170" s="275">
        <v>47.5</v>
      </c>
      <c r="H170" s="275">
        <v>0</v>
      </c>
      <c r="I170" s="275">
        <v>0</v>
      </c>
      <c r="J170" s="275">
        <v>0</v>
      </c>
      <c r="K170" s="269">
        <f t="shared" ref="K170:K180" si="42">ROUND(G170*F170,2)</f>
        <v>619.4</v>
      </c>
      <c r="L170" s="344">
        <f t="shared" ref="L170:L180" si="43">H170*F170</f>
        <v>0</v>
      </c>
      <c r="M170" s="344">
        <f t="shared" si="33"/>
        <v>0</v>
      </c>
      <c r="N170" s="345">
        <f t="shared" ref="N170:N180" si="44">F170*G170-M170</f>
        <v>619.4</v>
      </c>
      <c r="O170" s="325">
        <f t="shared" si="23"/>
        <v>0</v>
      </c>
      <c r="P170" s="319">
        <f t="shared" ref="P170:P180" si="45">G170*F170</f>
        <v>619.4</v>
      </c>
      <c r="Q170" s="322"/>
      <c r="R170" s="322"/>
      <c r="S170" s="323" t="s">
        <v>1978</v>
      </c>
      <c r="T170" s="271">
        <v>15.83</v>
      </c>
      <c r="U170" s="324"/>
    </row>
    <row r="171" spans="1:21" ht="15.75" x14ac:dyDescent="0.2">
      <c r="A171" s="346" t="s">
        <v>1597</v>
      </c>
      <c r="B171" s="272">
        <v>89712</v>
      </c>
      <c r="C171" s="272" t="s">
        <v>1324</v>
      </c>
      <c r="D171" s="273" t="s">
        <v>1598</v>
      </c>
      <c r="E171" s="274" t="s">
        <v>81</v>
      </c>
      <c r="F171" s="268">
        <f t="shared" si="41"/>
        <v>18.98</v>
      </c>
      <c r="G171" s="275">
        <v>21.5</v>
      </c>
      <c r="H171" s="275">
        <v>0</v>
      </c>
      <c r="I171" s="275">
        <v>0</v>
      </c>
      <c r="J171" s="275">
        <v>0</v>
      </c>
      <c r="K171" s="269">
        <f t="shared" si="42"/>
        <v>408.07</v>
      </c>
      <c r="L171" s="344">
        <f t="shared" si="43"/>
        <v>0</v>
      </c>
      <c r="M171" s="344">
        <f t="shared" si="33"/>
        <v>0</v>
      </c>
      <c r="N171" s="345">
        <f t="shared" si="44"/>
        <v>408.07</v>
      </c>
      <c r="O171" s="325">
        <f t="shared" si="23"/>
        <v>0</v>
      </c>
      <c r="P171" s="319">
        <f t="shared" si="45"/>
        <v>408.07</v>
      </c>
      <c r="Q171" s="322"/>
      <c r="R171" s="322"/>
      <c r="S171" s="323" t="s">
        <v>1979</v>
      </c>
      <c r="T171" s="271">
        <v>23.04</v>
      </c>
      <c r="U171" s="324"/>
    </row>
    <row r="172" spans="1:21" ht="15.75" x14ac:dyDescent="0.2">
      <c r="A172" s="346" t="s">
        <v>1599</v>
      </c>
      <c r="B172" s="272">
        <v>89714</v>
      </c>
      <c r="C172" s="272" t="s">
        <v>1324</v>
      </c>
      <c r="D172" s="273" t="s">
        <v>1600</v>
      </c>
      <c r="E172" s="274" t="s">
        <v>81</v>
      </c>
      <c r="F172" s="268">
        <f t="shared" si="41"/>
        <v>36.869999999999997</v>
      </c>
      <c r="G172" s="275">
        <v>36</v>
      </c>
      <c r="H172" s="275">
        <v>0</v>
      </c>
      <c r="I172" s="275">
        <v>0</v>
      </c>
      <c r="J172" s="275">
        <v>0</v>
      </c>
      <c r="K172" s="269">
        <f t="shared" si="42"/>
        <v>1327.32</v>
      </c>
      <c r="L172" s="344">
        <f t="shared" si="43"/>
        <v>0</v>
      </c>
      <c r="M172" s="344">
        <f t="shared" si="33"/>
        <v>0</v>
      </c>
      <c r="N172" s="345">
        <f t="shared" si="44"/>
        <v>1327.32</v>
      </c>
      <c r="O172" s="325">
        <f t="shared" si="23"/>
        <v>0</v>
      </c>
      <c r="P172" s="319">
        <f t="shared" si="45"/>
        <v>1327.32</v>
      </c>
      <c r="Q172" s="322"/>
      <c r="R172" s="322"/>
      <c r="S172" s="323" t="s">
        <v>1980</v>
      </c>
      <c r="T172" s="271">
        <v>44.77</v>
      </c>
      <c r="U172" s="324"/>
    </row>
    <row r="173" spans="1:21" ht="15.75" x14ac:dyDescent="0.2">
      <c r="A173" s="346" t="s">
        <v>1601</v>
      </c>
      <c r="B173" s="272">
        <v>89726</v>
      </c>
      <c r="C173" s="272" t="s">
        <v>1324</v>
      </c>
      <c r="D173" s="273" t="s">
        <v>1602</v>
      </c>
      <c r="E173" s="274" t="s">
        <v>102</v>
      </c>
      <c r="F173" s="268">
        <f t="shared" si="41"/>
        <v>6.33</v>
      </c>
      <c r="G173" s="275">
        <v>7</v>
      </c>
      <c r="H173" s="275">
        <v>0</v>
      </c>
      <c r="I173" s="275">
        <v>0</v>
      </c>
      <c r="J173" s="275">
        <v>0</v>
      </c>
      <c r="K173" s="269">
        <f t="shared" si="42"/>
        <v>44.31</v>
      </c>
      <c r="L173" s="344">
        <f t="shared" si="43"/>
        <v>0</v>
      </c>
      <c r="M173" s="344">
        <f t="shared" si="33"/>
        <v>0</v>
      </c>
      <c r="N173" s="345">
        <f t="shared" si="44"/>
        <v>44.31</v>
      </c>
      <c r="O173" s="325">
        <f t="shared" si="23"/>
        <v>0</v>
      </c>
      <c r="P173" s="319">
        <f t="shared" si="45"/>
        <v>44.31</v>
      </c>
      <c r="Q173" s="322"/>
      <c r="R173" s="322"/>
      <c r="S173" s="323" t="s">
        <v>1981</v>
      </c>
      <c r="T173" s="271">
        <v>7.68</v>
      </c>
      <c r="U173" s="324"/>
    </row>
    <row r="174" spans="1:21" ht="15.75" x14ac:dyDescent="0.2">
      <c r="A174" s="346" t="s">
        <v>1603</v>
      </c>
      <c r="B174" s="272">
        <v>89744</v>
      </c>
      <c r="C174" s="272" t="s">
        <v>1324</v>
      </c>
      <c r="D174" s="273" t="s">
        <v>1604</v>
      </c>
      <c r="E174" s="274" t="s">
        <v>102</v>
      </c>
      <c r="F174" s="268">
        <f t="shared" si="41"/>
        <v>16.600000000000001</v>
      </c>
      <c r="G174" s="275">
        <v>6</v>
      </c>
      <c r="H174" s="275">
        <v>0</v>
      </c>
      <c r="I174" s="275">
        <v>0</v>
      </c>
      <c r="J174" s="275">
        <v>0</v>
      </c>
      <c r="K174" s="269">
        <f t="shared" si="42"/>
        <v>99.6</v>
      </c>
      <c r="L174" s="344">
        <f t="shared" si="43"/>
        <v>0</v>
      </c>
      <c r="M174" s="344">
        <f t="shared" si="33"/>
        <v>0</v>
      </c>
      <c r="N174" s="345">
        <f t="shared" si="44"/>
        <v>99.600000000000009</v>
      </c>
      <c r="O174" s="325">
        <f t="shared" si="23"/>
        <v>0</v>
      </c>
      <c r="P174" s="319">
        <f t="shared" si="45"/>
        <v>99.600000000000009</v>
      </c>
      <c r="Q174" s="322"/>
      <c r="R174" s="322"/>
      <c r="S174" s="323" t="s">
        <v>1982</v>
      </c>
      <c r="T174" s="271">
        <v>20.16</v>
      </c>
      <c r="U174" s="324"/>
    </row>
    <row r="175" spans="1:21" ht="15.75" x14ac:dyDescent="0.2">
      <c r="A175" s="346" t="s">
        <v>1605</v>
      </c>
      <c r="B175" s="272">
        <v>89724</v>
      </c>
      <c r="C175" s="272" t="s">
        <v>1324</v>
      </c>
      <c r="D175" s="273" t="s">
        <v>1606</v>
      </c>
      <c r="E175" s="274" t="s">
        <v>102</v>
      </c>
      <c r="F175" s="268">
        <f t="shared" si="41"/>
        <v>5.6</v>
      </c>
      <c r="G175" s="275">
        <v>10</v>
      </c>
      <c r="H175" s="275">
        <v>0</v>
      </c>
      <c r="I175" s="275">
        <v>0</v>
      </c>
      <c r="J175" s="275">
        <v>0</v>
      </c>
      <c r="K175" s="269">
        <f t="shared" si="42"/>
        <v>56</v>
      </c>
      <c r="L175" s="344">
        <f t="shared" si="43"/>
        <v>0</v>
      </c>
      <c r="M175" s="344">
        <f t="shared" si="33"/>
        <v>0</v>
      </c>
      <c r="N175" s="345">
        <f t="shared" si="44"/>
        <v>56</v>
      </c>
      <c r="O175" s="325">
        <f t="shared" ref="O175:O238" si="46">M175/P175</f>
        <v>0</v>
      </c>
      <c r="P175" s="319">
        <f t="shared" si="45"/>
        <v>56</v>
      </c>
      <c r="Q175" s="322"/>
      <c r="R175" s="322"/>
      <c r="S175" s="323" t="s">
        <v>1983</v>
      </c>
      <c r="T175" s="271">
        <v>6.8</v>
      </c>
      <c r="U175" s="324"/>
    </row>
    <row r="176" spans="1:21" ht="15.75" x14ac:dyDescent="0.2">
      <c r="A176" s="346" t="s">
        <v>1607</v>
      </c>
      <c r="B176" s="272">
        <v>89827</v>
      </c>
      <c r="C176" s="272" t="s">
        <v>1324</v>
      </c>
      <c r="D176" s="273" t="s">
        <v>1608</v>
      </c>
      <c r="E176" s="274" t="s">
        <v>102</v>
      </c>
      <c r="F176" s="268">
        <f t="shared" si="41"/>
        <v>10.23</v>
      </c>
      <c r="G176" s="275">
        <v>6</v>
      </c>
      <c r="H176" s="275">
        <v>0</v>
      </c>
      <c r="I176" s="275">
        <v>0</v>
      </c>
      <c r="J176" s="275">
        <v>0</v>
      </c>
      <c r="K176" s="269">
        <f t="shared" si="42"/>
        <v>61.38</v>
      </c>
      <c r="L176" s="344">
        <f t="shared" si="43"/>
        <v>0</v>
      </c>
      <c r="M176" s="344">
        <f t="shared" si="33"/>
        <v>0</v>
      </c>
      <c r="N176" s="345">
        <f t="shared" si="44"/>
        <v>61.38</v>
      </c>
      <c r="O176" s="325">
        <f t="shared" si="46"/>
        <v>0</v>
      </c>
      <c r="P176" s="319">
        <f t="shared" si="45"/>
        <v>61.38</v>
      </c>
      <c r="Q176" s="322"/>
      <c r="R176" s="322"/>
      <c r="S176" s="323" t="s">
        <v>1984</v>
      </c>
      <c r="T176" s="271">
        <v>12.42</v>
      </c>
      <c r="U176" s="324"/>
    </row>
    <row r="177" spans="1:21" ht="15.75" x14ac:dyDescent="0.2">
      <c r="A177" s="346" t="s">
        <v>1609</v>
      </c>
      <c r="B177" s="272">
        <v>89834</v>
      </c>
      <c r="C177" s="272" t="s">
        <v>1324</v>
      </c>
      <c r="D177" s="273" t="s">
        <v>1610</v>
      </c>
      <c r="E177" s="274" t="s">
        <v>102</v>
      </c>
      <c r="F177" s="268">
        <f t="shared" si="41"/>
        <v>25.46</v>
      </c>
      <c r="G177" s="275">
        <v>5</v>
      </c>
      <c r="H177" s="275">
        <v>0</v>
      </c>
      <c r="I177" s="275">
        <v>0</v>
      </c>
      <c r="J177" s="275">
        <v>0</v>
      </c>
      <c r="K177" s="269">
        <f t="shared" si="42"/>
        <v>127.3</v>
      </c>
      <c r="L177" s="344">
        <f t="shared" si="43"/>
        <v>0</v>
      </c>
      <c r="M177" s="344">
        <f t="shared" si="33"/>
        <v>0</v>
      </c>
      <c r="N177" s="345">
        <f t="shared" si="44"/>
        <v>127.30000000000001</v>
      </c>
      <c r="O177" s="325">
        <f t="shared" si="46"/>
        <v>0</v>
      </c>
      <c r="P177" s="319">
        <f t="shared" si="45"/>
        <v>127.30000000000001</v>
      </c>
      <c r="Q177" s="322"/>
      <c r="R177" s="322"/>
      <c r="S177" s="323" t="s">
        <v>1985</v>
      </c>
      <c r="T177" s="271">
        <v>30.91</v>
      </c>
      <c r="U177" s="324"/>
    </row>
    <row r="178" spans="1:21" ht="15.75" x14ac:dyDescent="0.2">
      <c r="A178" s="346" t="s">
        <v>1611</v>
      </c>
      <c r="B178" s="272">
        <v>89797</v>
      </c>
      <c r="C178" s="272" t="s">
        <v>1324</v>
      </c>
      <c r="D178" s="273" t="s">
        <v>1612</v>
      </c>
      <c r="E178" s="274" t="s">
        <v>102</v>
      </c>
      <c r="F178" s="268">
        <f t="shared" si="41"/>
        <v>31.16</v>
      </c>
      <c r="G178" s="275">
        <v>5</v>
      </c>
      <c r="H178" s="275">
        <v>0</v>
      </c>
      <c r="I178" s="275">
        <v>0</v>
      </c>
      <c r="J178" s="275">
        <v>0</v>
      </c>
      <c r="K178" s="269">
        <f t="shared" si="42"/>
        <v>155.80000000000001</v>
      </c>
      <c r="L178" s="344">
        <f t="shared" si="43"/>
        <v>0</v>
      </c>
      <c r="M178" s="344">
        <f t="shared" si="33"/>
        <v>0</v>
      </c>
      <c r="N178" s="345">
        <f t="shared" si="44"/>
        <v>155.80000000000001</v>
      </c>
      <c r="O178" s="325">
        <f t="shared" si="46"/>
        <v>0</v>
      </c>
      <c r="P178" s="319">
        <f t="shared" si="45"/>
        <v>155.80000000000001</v>
      </c>
      <c r="Q178" s="322"/>
      <c r="R178" s="322"/>
      <c r="S178" s="323" t="s">
        <v>1986</v>
      </c>
      <c r="T178" s="271">
        <v>37.840000000000003</v>
      </c>
      <c r="U178" s="324"/>
    </row>
    <row r="179" spans="1:21" ht="15.75" x14ac:dyDescent="0.2">
      <c r="A179" s="346" t="s">
        <v>1613</v>
      </c>
      <c r="B179" s="272">
        <v>89852</v>
      </c>
      <c r="C179" s="272" t="s">
        <v>1324</v>
      </c>
      <c r="D179" s="273" t="s">
        <v>1614</v>
      </c>
      <c r="E179" s="274" t="s">
        <v>102</v>
      </c>
      <c r="F179" s="268">
        <f t="shared" si="41"/>
        <v>27.17</v>
      </c>
      <c r="G179" s="275">
        <v>1</v>
      </c>
      <c r="H179" s="275">
        <v>0</v>
      </c>
      <c r="I179" s="275">
        <v>0</v>
      </c>
      <c r="J179" s="275">
        <v>0</v>
      </c>
      <c r="K179" s="269">
        <f t="shared" si="42"/>
        <v>27.17</v>
      </c>
      <c r="L179" s="344">
        <f t="shared" si="43"/>
        <v>0</v>
      </c>
      <c r="M179" s="344">
        <f t="shared" si="33"/>
        <v>0</v>
      </c>
      <c r="N179" s="345">
        <f t="shared" si="44"/>
        <v>27.17</v>
      </c>
      <c r="O179" s="325">
        <f t="shared" si="46"/>
        <v>0</v>
      </c>
      <c r="P179" s="319">
        <f t="shared" si="45"/>
        <v>27.17</v>
      </c>
      <c r="Q179" s="322"/>
      <c r="R179" s="322"/>
      <c r="S179" s="323" t="s">
        <v>1987</v>
      </c>
      <c r="T179" s="271">
        <v>32.99</v>
      </c>
      <c r="U179" s="324"/>
    </row>
    <row r="180" spans="1:21" ht="15.75" x14ac:dyDescent="0.2">
      <c r="A180" s="346" t="s">
        <v>1615</v>
      </c>
      <c r="B180" s="272">
        <v>89728</v>
      </c>
      <c r="C180" s="272" t="s">
        <v>1324</v>
      </c>
      <c r="D180" s="273" t="s">
        <v>1616</v>
      </c>
      <c r="E180" s="274" t="s">
        <v>102</v>
      </c>
      <c r="F180" s="268">
        <f t="shared" si="41"/>
        <v>7.91</v>
      </c>
      <c r="G180" s="275">
        <v>16</v>
      </c>
      <c r="H180" s="275">
        <v>0</v>
      </c>
      <c r="I180" s="275">
        <v>0</v>
      </c>
      <c r="J180" s="275">
        <v>0</v>
      </c>
      <c r="K180" s="269">
        <f t="shared" si="42"/>
        <v>126.56</v>
      </c>
      <c r="L180" s="344">
        <f t="shared" si="43"/>
        <v>0</v>
      </c>
      <c r="M180" s="344">
        <f t="shared" si="33"/>
        <v>0</v>
      </c>
      <c r="N180" s="345">
        <f t="shared" si="44"/>
        <v>126.56</v>
      </c>
      <c r="O180" s="325">
        <f t="shared" si="46"/>
        <v>0</v>
      </c>
      <c r="P180" s="319">
        <f t="shared" si="45"/>
        <v>126.56</v>
      </c>
      <c r="Q180" s="322"/>
      <c r="R180" s="322"/>
      <c r="S180" s="323" t="s">
        <v>1988</v>
      </c>
      <c r="T180" s="271">
        <v>9.6</v>
      </c>
      <c r="U180" s="324"/>
    </row>
    <row r="181" spans="1:21" ht="15.75" x14ac:dyDescent="0.2">
      <c r="A181" s="348" t="s">
        <v>309</v>
      </c>
      <c r="B181" s="276"/>
      <c r="C181" s="276"/>
      <c r="D181" s="277" t="s">
        <v>1617</v>
      </c>
      <c r="E181" s="278"/>
      <c r="F181" s="279">
        <f>K181</f>
        <v>13798.98</v>
      </c>
      <c r="G181" s="279"/>
      <c r="H181" s="279"/>
      <c r="I181" s="279"/>
      <c r="J181" s="279"/>
      <c r="K181" s="280">
        <f>SUM(K182:K189)</f>
        <v>13798.98</v>
      </c>
      <c r="L181" s="349"/>
      <c r="M181" s="349"/>
      <c r="N181" s="350">
        <f>SUM(N182:N189)</f>
        <v>13798.98</v>
      </c>
      <c r="O181" s="325" t="e">
        <f t="shared" si="46"/>
        <v>#DIV/0!</v>
      </c>
      <c r="P181" s="319"/>
      <c r="Q181" s="322"/>
      <c r="R181" s="322"/>
      <c r="S181" s="323" t="s">
        <v>1989</v>
      </c>
      <c r="T181" s="271">
        <v>0</v>
      </c>
      <c r="U181" s="324"/>
    </row>
    <row r="182" spans="1:21" ht="15.75" x14ac:dyDescent="0.2">
      <c r="A182" s="346" t="s">
        <v>1618</v>
      </c>
      <c r="B182" s="272"/>
      <c r="C182" s="272" t="s">
        <v>1339</v>
      </c>
      <c r="D182" s="273" t="s">
        <v>1619</v>
      </c>
      <c r="E182" s="274" t="s">
        <v>102</v>
      </c>
      <c r="F182" s="268">
        <f t="shared" ref="F182:F189" si="47">ROUND(T182*$T$12,2)</f>
        <v>46.81</v>
      </c>
      <c r="G182" s="275">
        <v>6</v>
      </c>
      <c r="H182" s="275">
        <v>0</v>
      </c>
      <c r="I182" s="275">
        <v>0</v>
      </c>
      <c r="J182" s="275">
        <v>0</v>
      </c>
      <c r="K182" s="269">
        <f t="shared" ref="K182:K189" si="48">ROUND(G182*F182,2)</f>
        <v>280.86</v>
      </c>
      <c r="L182" s="344">
        <f t="shared" ref="L182:L189" si="49">H182*F182</f>
        <v>0</v>
      </c>
      <c r="M182" s="344">
        <f t="shared" si="33"/>
        <v>0</v>
      </c>
      <c r="N182" s="345">
        <f t="shared" ref="N182:N189" si="50">F182*G182-M182</f>
        <v>280.86</v>
      </c>
      <c r="O182" s="325">
        <f t="shared" si="46"/>
        <v>0</v>
      </c>
      <c r="P182" s="319">
        <f t="shared" ref="P182:P189" si="51">G182*F182</f>
        <v>280.86</v>
      </c>
      <c r="Q182" s="322"/>
      <c r="R182" s="322"/>
      <c r="S182" s="323" t="s">
        <v>1990</v>
      </c>
      <c r="T182" s="271">
        <v>56.84</v>
      </c>
      <c r="U182" s="324"/>
    </row>
    <row r="183" spans="1:21" ht="15.75" x14ac:dyDescent="0.2">
      <c r="A183" s="346" t="s">
        <v>1620</v>
      </c>
      <c r="B183" s="272" t="s">
        <v>1621</v>
      </c>
      <c r="C183" s="272" t="s">
        <v>1324</v>
      </c>
      <c r="D183" s="273" t="s">
        <v>1622</v>
      </c>
      <c r="E183" s="274" t="s">
        <v>102</v>
      </c>
      <c r="F183" s="268">
        <f t="shared" si="47"/>
        <v>367.21</v>
      </c>
      <c r="G183" s="275">
        <v>2</v>
      </c>
      <c r="H183" s="275">
        <v>0</v>
      </c>
      <c r="I183" s="275">
        <v>0</v>
      </c>
      <c r="J183" s="275">
        <v>0</v>
      </c>
      <c r="K183" s="269">
        <f t="shared" si="48"/>
        <v>734.42</v>
      </c>
      <c r="L183" s="344">
        <f t="shared" si="49"/>
        <v>0</v>
      </c>
      <c r="M183" s="344">
        <f t="shared" si="33"/>
        <v>0</v>
      </c>
      <c r="N183" s="345">
        <f t="shared" si="50"/>
        <v>734.42</v>
      </c>
      <c r="O183" s="325">
        <f t="shared" si="46"/>
        <v>0</v>
      </c>
      <c r="P183" s="319">
        <f t="shared" si="51"/>
        <v>734.42</v>
      </c>
      <c r="Q183" s="322"/>
      <c r="R183" s="322"/>
      <c r="S183" s="323" t="s">
        <v>1991</v>
      </c>
      <c r="T183" s="271">
        <v>445.87</v>
      </c>
      <c r="U183" s="324"/>
    </row>
    <row r="184" spans="1:21" ht="15.75" x14ac:dyDescent="0.2">
      <c r="A184" s="346" t="s">
        <v>1623</v>
      </c>
      <c r="B184" s="272">
        <v>89710</v>
      </c>
      <c r="C184" s="272" t="s">
        <v>1324</v>
      </c>
      <c r="D184" s="273" t="s">
        <v>1624</v>
      </c>
      <c r="E184" s="274" t="s">
        <v>102</v>
      </c>
      <c r="F184" s="268">
        <f t="shared" si="47"/>
        <v>7.75</v>
      </c>
      <c r="G184" s="275">
        <v>6</v>
      </c>
      <c r="H184" s="275">
        <v>0</v>
      </c>
      <c r="I184" s="275">
        <v>0</v>
      </c>
      <c r="J184" s="275">
        <v>0</v>
      </c>
      <c r="K184" s="269">
        <f t="shared" si="48"/>
        <v>46.5</v>
      </c>
      <c r="L184" s="344">
        <f t="shared" si="49"/>
        <v>0</v>
      </c>
      <c r="M184" s="344">
        <f t="shared" si="33"/>
        <v>0</v>
      </c>
      <c r="N184" s="345">
        <f t="shared" si="50"/>
        <v>46.5</v>
      </c>
      <c r="O184" s="325">
        <f t="shared" si="46"/>
        <v>0</v>
      </c>
      <c r="P184" s="319">
        <f t="shared" si="51"/>
        <v>46.5</v>
      </c>
      <c r="Q184" s="322"/>
      <c r="R184" s="322"/>
      <c r="S184" s="323" t="s">
        <v>1992</v>
      </c>
      <c r="T184" s="271">
        <v>9.41</v>
      </c>
      <c r="U184" s="324"/>
    </row>
    <row r="185" spans="1:21" ht="15.75" x14ac:dyDescent="0.2">
      <c r="A185" s="346" t="s">
        <v>1625</v>
      </c>
      <c r="B185" s="272">
        <v>89798</v>
      </c>
      <c r="C185" s="272" t="s">
        <v>1324</v>
      </c>
      <c r="D185" s="273" t="s">
        <v>1626</v>
      </c>
      <c r="E185" s="274" t="s">
        <v>81</v>
      </c>
      <c r="F185" s="268">
        <f t="shared" si="47"/>
        <v>6.93</v>
      </c>
      <c r="G185" s="275">
        <v>8</v>
      </c>
      <c r="H185" s="275">
        <v>0</v>
      </c>
      <c r="I185" s="275">
        <v>0</v>
      </c>
      <c r="J185" s="275">
        <v>0</v>
      </c>
      <c r="K185" s="269">
        <f t="shared" si="48"/>
        <v>55.44</v>
      </c>
      <c r="L185" s="344">
        <f t="shared" si="49"/>
        <v>0</v>
      </c>
      <c r="M185" s="344">
        <f t="shared" si="33"/>
        <v>0</v>
      </c>
      <c r="N185" s="345">
        <f t="shared" si="50"/>
        <v>55.44</v>
      </c>
      <c r="O185" s="325">
        <f t="shared" si="46"/>
        <v>0</v>
      </c>
      <c r="P185" s="319">
        <f t="shared" si="51"/>
        <v>55.44</v>
      </c>
      <c r="Q185" s="322"/>
      <c r="R185" s="322"/>
      <c r="S185" s="323" t="s">
        <v>1993</v>
      </c>
      <c r="T185" s="271">
        <v>8.42</v>
      </c>
      <c r="U185" s="324"/>
    </row>
    <row r="186" spans="1:21" ht="15.75" x14ac:dyDescent="0.2">
      <c r="A186" s="346" t="s">
        <v>1627</v>
      </c>
      <c r="B186" s="272">
        <v>86882</v>
      </c>
      <c r="C186" s="272" t="s">
        <v>1324</v>
      </c>
      <c r="D186" s="273" t="s">
        <v>1628</v>
      </c>
      <c r="E186" s="274" t="s">
        <v>102</v>
      </c>
      <c r="F186" s="268">
        <f t="shared" si="47"/>
        <v>13.42</v>
      </c>
      <c r="G186" s="275">
        <v>8</v>
      </c>
      <c r="H186" s="275">
        <v>0</v>
      </c>
      <c r="I186" s="275">
        <v>0</v>
      </c>
      <c r="J186" s="275">
        <v>0</v>
      </c>
      <c r="K186" s="269">
        <f t="shared" si="48"/>
        <v>107.36</v>
      </c>
      <c r="L186" s="344">
        <f t="shared" si="49"/>
        <v>0</v>
      </c>
      <c r="M186" s="344">
        <f t="shared" si="33"/>
        <v>0</v>
      </c>
      <c r="N186" s="345">
        <f t="shared" si="50"/>
        <v>107.36</v>
      </c>
      <c r="O186" s="325">
        <f t="shared" si="46"/>
        <v>0</v>
      </c>
      <c r="P186" s="319">
        <f t="shared" si="51"/>
        <v>107.36</v>
      </c>
      <c r="Q186" s="322"/>
      <c r="R186" s="322"/>
      <c r="S186" s="323" t="s">
        <v>1994</v>
      </c>
      <c r="T186" s="271">
        <v>16.29</v>
      </c>
      <c r="U186" s="324"/>
    </row>
    <row r="187" spans="1:21" ht="15.75" x14ac:dyDescent="0.2">
      <c r="A187" s="146" t="s">
        <v>1629</v>
      </c>
      <c r="B187" s="282" t="s">
        <v>1630</v>
      </c>
      <c r="C187" s="282" t="s">
        <v>1324</v>
      </c>
      <c r="D187" s="283" t="s">
        <v>1631</v>
      </c>
      <c r="E187" s="284" t="s">
        <v>102</v>
      </c>
      <c r="F187" s="268">
        <f t="shared" si="47"/>
        <v>57.87</v>
      </c>
      <c r="G187" s="285">
        <v>8</v>
      </c>
      <c r="H187" s="275">
        <v>0</v>
      </c>
      <c r="I187" s="275">
        <v>0</v>
      </c>
      <c r="J187" s="275">
        <v>0</v>
      </c>
      <c r="K187" s="269">
        <f t="shared" si="48"/>
        <v>462.96</v>
      </c>
      <c r="L187" s="344">
        <f t="shared" si="49"/>
        <v>0</v>
      </c>
      <c r="M187" s="344">
        <f t="shared" si="33"/>
        <v>0</v>
      </c>
      <c r="N187" s="345">
        <f t="shared" si="50"/>
        <v>462.96</v>
      </c>
      <c r="O187" s="325">
        <f t="shared" si="46"/>
        <v>0</v>
      </c>
      <c r="P187" s="319">
        <f t="shared" si="51"/>
        <v>462.96</v>
      </c>
      <c r="Q187" s="322"/>
      <c r="R187" s="322"/>
      <c r="S187" s="323" t="s">
        <v>1995</v>
      </c>
      <c r="T187" s="271">
        <v>70.27</v>
      </c>
      <c r="U187" s="324"/>
    </row>
    <row r="188" spans="1:21" ht="15.75" x14ac:dyDescent="0.2">
      <c r="A188" s="146" t="s">
        <v>1632</v>
      </c>
      <c r="B188" s="282" t="s">
        <v>1633</v>
      </c>
      <c r="C188" s="282" t="s">
        <v>1324</v>
      </c>
      <c r="D188" s="283" t="s">
        <v>1634</v>
      </c>
      <c r="E188" s="284" t="s">
        <v>102</v>
      </c>
      <c r="F188" s="268">
        <f t="shared" si="47"/>
        <v>3019.34</v>
      </c>
      <c r="G188" s="285">
        <v>1</v>
      </c>
      <c r="H188" s="275">
        <v>0</v>
      </c>
      <c r="I188" s="275">
        <v>0</v>
      </c>
      <c r="J188" s="275">
        <v>0</v>
      </c>
      <c r="K188" s="269">
        <f t="shared" si="48"/>
        <v>3019.34</v>
      </c>
      <c r="L188" s="344">
        <f t="shared" si="49"/>
        <v>0</v>
      </c>
      <c r="M188" s="344">
        <f t="shared" si="33"/>
        <v>0</v>
      </c>
      <c r="N188" s="345">
        <f t="shared" si="50"/>
        <v>3019.34</v>
      </c>
      <c r="O188" s="325">
        <f t="shared" si="46"/>
        <v>0</v>
      </c>
      <c r="P188" s="319">
        <f t="shared" si="51"/>
        <v>3019.34</v>
      </c>
      <c r="Q188" s="322"/>
      <c r="R188" s="322"/>
      <c r="S188" s="323"/>
      <c r="T188" s="271">
        <v>3666.08</v>
      </c>
      <c r="U188" s="217"/>
    </row>
    <row r="189" spans="1:21" ht="15.75" x14ac:dyDescent="0.2">
      <c r="A189" s="146" t="s">
        <v>1635</v>
      </c>
      <c r="B189" s="282" t="s">
        <v>1636</v>
      </c>
      <c r="C189" s="282" t="s">
        <v>1324</v>
      </c>
      <c r="D189" s="283" t="s">
        <v>1637</v>
      </c>
      <c r="E189" s="284" t="s">
        <v>102</v>
      </c>
      <c r="F189" s="268">
        <f t="shared" si="47"/>
        <v>9092.1</v>
      </c>
      <c r="G189" s="285">
        <v>1</v>
      </c>
      <c r="H189" s="275">
        <v>0</v>
      </c>
      <c r="I189" s="275">
        <v>0</v>
      </c>
      <c r="J189" s="275">
        <v>0</v>
      </c>
      <c r="K189" s="269">
        <f t="shared" si="48"/>
        <v>9092.1</v>
      </c>
      <c r="L189" s="344">
        <f t="shared" si="49"/>
        <v>0</v>
      </c>
      <c r="M189" s="344">
        <f t="shared" si="33"/>
        <v>0</v>
      </c>
      <c r="N189" s="345">
        <f t="shared" si="50"/>
        <v>9092.1</v>
      </c>
      <c r="O189" s="325">
        <f t="shared" si="46"/>
        <v>0</v>
      </c>
      <c r="P189" s="319">
        <f t="shared" si="51"/>
        <v>9092.1</v>
      </c>
      <c r="Q189" s="322"/>
      <c r="R189" s="322"/>
      <c r="S189" s="323"/>
      <c r="T189" s="271">
        <v>11039.6</v>
      </c>
      <c r="U189" s="217"/>
    </row>
    <row r="190" spans="1:21" ht="15.75" x14ac:dyDescent="0.2">
      <c r="A190" s="351">
        <v>14</v>
      </c>
      <c r="B190" s="286"/>
      <c r="C190" s="286"/>
      <c r="D190" s="287" t="s">
        <v>656</v>
      </c>
      <c r="E190" s="288"/>
      <c r="F190" s="261">
        <f>K190</f>
        <v>11646.28</v>
      </c>
      <c r="G190" s="289"/>
      <c r="H190" s="261"/>
      <c r="I190" s="261"/>
      <c r="J190" s="261"/>
      <c r="K190" s="262">
        <f>SUM(K191:K193)</f>
        <v>11646.28</v>
      </c>
      <c r="L190" s="342"/>
      <c r="M190" s="342"/>
      <c r="N190" s="343">
        <f>SUM(N191:N193)</f>
        <v>11646.280500000001</v>
      </c>
      <c r="O190" s="325" t="e">
        <f t="shared" si="46"/>
        <v>#DIV/0!</v>
      </c>
      <c r="P190" s="319"/>
      <c r="Q190" s="322"/>
      <c r="R190" s="322"/>
      <c r="S190" s="323"/>
      <c r="T190" s="271">
        <v>0</v>
      </c>
      <c r="U190" s="217"/>
    </row>
    <row r="191" spans="1:21" ht="15.75" x14ac:dyDescent="0.2">
      <c r="A191" s="146" t="s">
        <v>355</v>
      </c>
      <c r="B191" s="282">
        <v>83688</v>
      </c>
      <c r="C191" s="282" t="s">
        <v>1324</v>
      </c>
      <c r="D191" s="283" t="s">
        <v>1638</v>
      </c>
      <c r="E191" s="284" t="s">
        <v>81</v>
      </c>
      <c r="F191" s="268">
        <f>ROUND(T191*$T$12,2)</f>
        <v>141.97999999999999</v>
      </c>
      <c r="G191" s="285">
        <v>76.400000000000006</v>
      </c>
      <c r="H191" s="285">
        <v>0</v>
      </c>
      <c r="I191" s="285">
        <v>0</v>
      </c>
      <c r="J191" s="285">
        <v>0</v>
      </c>
      <c r="K191" s="269">
        <f>ROUND(G191*F191,2)</f>
        <v>10847.27</v>
      </c>
      <c r="L191" s="344">
        <f>H191*F191</f>
        <v>0</v>
      </c>
      <c r="M191" s="344">
        <f t="shared" si="33"/>
        <v>0</v>
      </c>
      <c r="N191" s="345">
        <f>F191*G191-M191</f>
        <v>10847.272000000001</v>
      </c>
      <c r="O191" s="325">
        <f t="shared" si="46"/>
        <v>0</v>
      </c>
      <c r="P191" s="319">
        <f>G191*F191</f>
        <v>10847.272000000001</v>
      </c>
      <c r="Q191" s="322"/>
      <c r="R191" s="322"/>
      <c r="S191" s="323"/>
      <c r="T191" s="271">
        <v>172.39</v>
      </c>
      <c r="U191" s="217"/>
    </row>
    <row r="192" spans="1:21" ht="15.75" x14ac:dyDescent="0.2">
      <c r="A192" s="146" t="s">
        <v>1639</v>
      </c>
      <c r="B192" s="282"/>
      <c r="C192" s="282" t="s">
        <v>1339</v>
      </c>
      <c r="D192" s="283" t="s">
        <v>1640</v>
      </c>
      <c r="E192" s="284" t="s">
        <v>102</v>
      </c>
      <c r="F192" s="268">
        <f>ROUND(T192*$T$12,2)</f>
        <v>76.84</v>
      </c>
      <c r="G192" s="285">
        <v>8</v>
      </c>
      <c r="H192" s="285">
        <v>0</v>
      </c>
      <c r="I192" s="285">
        <v>0</v>
      </c>
      <c r="J192" s="285">
        <v>0</v>
      </c>
      <c r="K192" s="269">
        <f>ROUND(G192*F192,2)</f>
        <v>614.72</v>
      </c>
      <c r="L192" s="344">
        <f>H192*F192</f>
        <v>0</v>
      </c>
      <c r="M192" s="344">
        <f t="shared" si="33"/>
        <v>0</v>
      </c>
      <c r="N192" s="345">
        <f>F192*G192-M192</f>
        <v>614.72</v>
      </c>
      <c r="O192" s="325">
        <f t="shared" si="46"/>
        <v>0</v>
      </c>
      <c r="P192" s="319">
        <f>G192*F192</f>
        <v>614.72</v>
      </c>
      <c r="Q192" s="322"/>
      <c r="R192" s="322"/>
      <c r="S192" s="323"/>
      <c r="T192" s="271">
        <v>93.3</v>
      </c>
      <c r="U192" s="217"/>
    </row>
    <row r="193" spans="1:21" ht="15.75" x14ac:dyDescent="0.2">
      <c r="A193" s="146" t="s">
        <v>1641</v>
      </c>
      <c r="B193" s="282">
        <v>88549</v>
      </c>
      <c r="C193" s="282" t="s">
        <v>1324</v>
      </c>
      <c r="D193" s="283" t="s">
        <v>1642</v>
      </c>
      <c r="E193" s="284" t="s">
        <v>48</v>
      </c>
      <c r="F193" s="268">
        <f>ROUND(T193*$T$12,2)</f>
        <v>98.55</v>
      </c>
      <c r="G193" s="285">
        <v>1.87</v>
      </c>
      <c r="H193" s="285">
        <v>0</v>
      </c>
      <c r="I193" s="285">
        <v>0</v>
      </c>
      <c r="J193" s="285">
        <v>0</v>
      </c>
      <c r="K193" s="269">
        <f>ROUND(G193*F193,2)</f>
        <v>184.29</v>
      </c>
      <c r="L193" s="344">
        <f>H193*F193</f>
        <v>0</v>
      </c>
      <c r="M193" s="344">
        <f t="shared" si="33"/>
        <v>0</v>
      </c>
      <c r="N193" s="345">
        <f>F193*G193-M193</f>
        <v>184.2885</v>
      </c>
      <c r="O193" s="325">
        <f t="shared" si="46"/>
        <v>0</v>
      </c>
      <c r="P193" s="319">
        <f>G193*F193</f>
        <v>184.2885</v>
      </c>
      <c r="Q193" s="322"/>
      <c r="R193" s="322"/>
      <c r="S193" s="323"/>
      <c r="T193" s="271">
        <v>119.66</v>
      </c>
      <c r="U193" s="217"/>
    </row>
    <row r="194" spans="1:21" ht="15.75" x14ac:dyDescent="0.2">
      <c r="A194" s="351">
        <v>15</v>
      </c>
      <c r="B194" s="286"/>
      <c r="C194" s="286"/>
      <c r="D194" s="287" t="s">
        <v>1643</v>
      </c>
      <c r="E194" s="288"/>
      <c r="F194" s="261">
        <f>K194</f>
        <v>7636.1200000000017</v>
      </c>
      <c r="G194" s="289"/>
      <c r="H194" s="261"/>
      <c r="I194" s="261"/>
      <c r="J194" s="261"/>
      <c r="K194" s="262">
        <f>SUM(K195:K207)</f>
        <v>7636.1200000000017</v>
      </c>
      <c r="L194" s="342"/>
      <c r="M194" s="342"/>
      <c r="N194" s="343">
        <f>SUM(N195:N207)</f>
        <v>7636.1200000000017</v>
      </c>
      <c r="O194" s="325" t="e">
        <f t="shared" si="46"/>
        <v>#DIV/0!</v>
      </c>
      <c r="P194" s="319"/>
      <c r="Q194" s="322"/>
      <c r="R194" s="322"/>
      <c r="S194" s="323"/>
      <c r="T194" s="271">
        <v>0</v>
      </c>
      <c r="U194" s="217"/>
    </row>
    <row r="195" spans="1:21" ht="15.75" x14ac:dyDescent="0.2">
      <c r="A195" s="146" t="s">
        <v>494</v>
      </c>
      <c r="B195" s="282">
        <v>6021</v>
      </c>
      <c r="C195" s="282" t="s">
        <v>1324</v>
      </c>
      <c r="D195" s="283" t="s">
        <v>1644</v>
      </c>
      <c r="E195" s="284" t="s">
        <v>102</v>
      </c>
      <c r="F195" s="268">
        <f t="shared" ref="F195:F207" si="52">ROUND(T195*$T$12,2)</f>
        <v>330.33</v>
      </c>
      <c r="G195" s="285">
        <v>6</v>
      </c>
      <c r="H195" s="285">
        <v>0</v>
      </c>
      <c r="I195" s="285">
        <v>0</v>
      </c>
      <c r="J195" s="285">
        <v>0</v>
      </c>
      <c r="K195" s="269">
        <f t="shared" ref="K195:K207" si="53">ROUND(G195*F195,2)</f>
        <v>1981.98</v>
      </c>
      <c r="L195" s="344">
        <f t="shared" ref="L195:L207" si="54">H195*F195</f>
        <v>0</v>
      </c>
      <c r="M195" s="344">
        <f t="shared" si="33"/>
        <v>0</v>
      </c>
      <c r="N195" s="345">
        <f t="shared" ref="N195:N207" si="55">F195*G195-M195</f>
        <v>1981.98</v>
      </c>
      <c r="O195" s="325">
        <f t="shared" si="46"/>
        <v>0</v>
      </c>
      <c r="P195" s="319">
        <f t="shared" ref="P195:P207" si="56">G195*F195</f>
        <v>1981.98</v>
      </c>
      <c r="Q195" s="322"/>
      <c r="R195" s="322"/>
      <c r="S195" s="323"/>
      <c r="T195" s="271">
        <v>401.09</v>
      </c>
      <c r="U195" s="217"/>
    </row>
    <row r="196" spans="1:21" ht="25.5" x14ac:dyDescent="0.2">
      <c r="A196" s="146" t="s">
        <v>496</v>
      </c>
      <c r="B196" s="282">
        <v>40729</v>
      </c>
      <c r="C196" s="282" t="s">
        <v>1324</v>
      </c>
      <c r="D196" s="283" t="s">
        <v>1645</v>
      </c>
      <c r="E196" s="284" t="s">
        <v>102</v>
      </c>
      <c r="F196" s="268">
        <f t="shared" si="52"/>
        <v>204.63</v>
      </c>
      <c r="G196" s="285">
        <v>6</v>
      </c>
      <c r="H196" s="285">
        <v>0</v>
      </c>
      <c r="I196" s="285">
        <v>0</v>
      </c>
      <c r="J196" s="285">
        <v>0</v>
      </c>
      <c r="K196" s="269">
        <f t="shared" si="53"/>
        <v>1227.78</v>
      </c>
      <c r="L196" s="344">
        <f t="shared" si="54"/>
        <v>0</v>
      </c>
      <c r="M196" s="344">
        <f t="shared" ref="M196:M207" si="57">L196</f>
        <v>0</v>
      </c>
      <c r="N196" s="345">
        <f t="shared" si="55"/>
        <v>1227.78</v>
      </c>
      <c r="O196" s="325">
        <f t="shared" si="46"/>
        <v>0</v>
      </c>
      <c r="P196" s="319">
        <f t="shared" si="56"/>
        <v>1227.78</v>
      </c>
      <c r="Q196" s="322"/>
      <c r="R196" s="322"/>
      <c r="S196" s="323"/>
      <c r="T196" s="271">
        <v>248.46</v>
      </c>
      <c r="U196" s="217"/>
    </row>
    <row r="197" spans="1:21" ht="15.75" x14ac:dyDescent="0.2">
      <c r="A197" s="146" t="s">
        <v>498</v>
      </c>
      <c r="B197" s="282">
        <v>86901</v>
      </c>
      <c r="C197" s="282" t="s">
        <v>1324</v>
      </c>
      <c r="D197" s="283" t="s">
        <v>1646</v>
      </c>
      <c r="E197" s="284" t="s">
        <v>102</v>
      </c>
      <c r="F197" s="268">
        <f t="shared" si="52"/>
        <v>102.4</v>
      </c>
      <c r="G197" s="285">
        <v>6</v>
      </c>
      <c r="H197" s="285">
        <v>0</v>
      </c>
      <c r="I197" s="285">
        <v>0</v>
      </c>
      <c r="J197" s="285">
        <v>0</v>
      </c>
      <c r="K197" s="269">
        <f t="shared" si="53"/>
        <v>614.4</v>
      </c>
      <c r="L197" s="344">
        <f t="shared" si="54"/>
        <v>0</v>
      </c>
      <c r="M197" s="344">
        <f t="shared" si="57"/>
        <v>0</v>
      </c>
      <c r="N197" s="345">
        <f t="shared" si="55"/>
        <v>614.40000000000009</v>
      </c>
      <c r="O197" s="325">
        <f t="shared" si="46"/>
        <v>0</v>
      </c>
      <c r="P197" s="319">
        <f t="shared" si="56"/>
        <v>614.40000000000009</v>
      </c>
      <c r="Q197" s="322"/>
      <c r="R197" s="322"/>
      <c r="S197" s="323"/>
      <c r="T197" s="271">
        <v>124.33</v>
      </c>
      <c r="U197" s="217"/>
    </row>
    <row r="198" spans="1:21" ht="25.5" x14ac:dyDescent="0.2">
      <c r="A198" s="146" t="s">
        <v>500</v>
      </c>
      <c r="B198" s="282">
        <v>86942</v>
      </c>
      <c r="C198" s="282" t="s">
        <v>1324</v>
      </c>
      <c r="D198" s="283" t="s">
        <v>1647</v>
      </c>
      <c r="E198" s="284" t="s">
        <v>102</v>
      </c>
      <c r="F198" s="268">
        <f t="shared" si="52"/>
        <v>160.06</v>
      </c>
      <c r="G198" s="285">
        <v>2</v>
      </c>
      <c r="H198" s="285">
        <v>0</v>
      </c>
      <c r="I198" s="285">
        <v>0</v>
      </c>
      <c r="J198" s="285">
        <v>0</v>
      </c>
      <c r="K198" s="269">
        <f t="shared" si="53"/>
        <v>320.12</v>
      </c>
      <c r="L198" s="344">
        <f t="shared" si="54"/>
        <v>0</v>
      </c>
      <c r="M198" s="344">
        <f t="shared" si="57"/>
        <v>0</v>
      </c>
      <c r="N198" s="345">
        <f t="shared" si="55"/>
        <v>320.12</v>
      </c>
      <c r="O198" s="325">
        <f t="shared" si="46"/>
        <v>0</v>
      </c>
      <c r="P198" s="319">
        <f t="shared" si="56"/>
        <v>320.12</v>
      </c>
      <c r="Q198" s="322"/>
      <c r="R198" s="322"/>
      <c r="S198" s="323"/>
      <c r="T198" s="271">
        <v>194.35</v>
      </c>
      <c r="U198" s="217"/>
    </row>
    <row r="199" spans="1:21" ht="25.5" x14ac:dyDescent="0.2">
      <c r="A199" s="146" t="s">
        <v>502</v>
      </c>
      <c r="B199" s="282"/>
      <c r="C199" s="282" t="s">
        <v>1339</v>
      </c>
      <c r="D199" s="283" t="s">
        <v>1648</v>
      </c>
      <c r="E199" s="284" t="s">
        <v>102</v>
      </c>
      <c r="F199" s="268">
        <f t="shared" si="52"/>
        <v>223.26</v>
      </c>
      <c r="G199" s="285">
        <v>2</v>
      </c>
      <c r="H199" s="285">
        <v>0</v>
      </c>
      <c r="I199" s="285">
        <v>0</v>
      </c>
      <c r="J199" s="285">
        <v>0</v>
      </c>
      <c r="K199" s="269">
        <f t="shared" si="53"/>
        <v>446.52</v>
      </c>
      <c r="L199" s="344">
        <f t="shared" si="54"/>
        <v>0</v>
      </c>
      <c r="M199" s="344">
        <f t="shared" si="57"/>
        <v>0</v>
      </c>
      <c r="N199" s="345">
        <f t="shared" si="55"/>
        <v>446.52</v>
      </c>
      <c r="O199" s="325">
        <f t="shared" si="46"/>
        <v>0</v>
      </c>
      <c r="P199" s="319">
        <f t="shared" si="56"/>
        <v>446.52</v>
      </c>
      <c r="Q199" s="322"/>
      <c r="R199" s="322"/>
      <c r="S199" s="323"/>
      <c r="T199" s="271">
        <v>271.08</v>
      </c>
      <c r="U199" s="217"/>
    </row>
    <row r="200" spans="1:21" ht="25.5" x14ac:dyDescent="0.2">
      <c r="A200" s="146" t="s">
        <v>504</v>
      </c>
      <c r="B200" s="282">
        <v>86906</v>
      </c>
      <c r="C200" s="282" t="s">
        <v>1324</v>
      </c>
      <c r="D200" s="283" t="s">
        <v>1649</v>
      </c>
      <c r="E200" s="284" t="s">
        <v>102</v>
      </c>
      <c r="F200" s="268">
        <f t="shared" si="52"/>
        <v>39.97</v>
      </c>
      <c r="G200" s="285">
        <v>8</v>
      </c>
      <c r="H200" s="285">
        <v>0</v>
      </c>
      <c r="I200" s="285">
        <v>0</v>
      </c>
      <c r="J200" s="285">
        <v>0</v>
      </c>
      <c r="K200" s="269">
        <f t="shared" si="53"/>
        <v>319.76</v>
      </c>
      <c r="L200" s="344">
        <f t="shared" si="54"/>
        <v>0</v>
      </c>
      <c r="M200" s="344">
        <f t="shared" si="57"/>
        <v>0</v>
      </c>
      <c r="N200" s="345">
        <f t="shared" si="55"/>
        <v>319.76</v>
      </c>
      <c r="O200" s="325">
        <f t="shared" si="46"/>
        <v>0</v>
      </c>
      <c r="P200" s="319">
        <f t="shared" si="56"/>
        <v>319.76</v>
      </c>
      <c r="Q200" s="322"/>
      <c r="R200" s="322"/>
      <c r="S200" s="323"/>
      <c r="T200" s="271">
        <v>48.53</v>
      </c>
      <c r="U200" s="217"/>
    </row>
    <row r="201" spans="1:21" ht="15.75" x14ac:dyDescent="0.2">
      <c r="A201" s="146" t="s">
        <v>506</v>
      </c>
      <c r="B201" s="282">
        <v>86914</v>
      </c>
      <c r="C201" s="282" t="s">
        <v>1324</v>
      </c>
      <c r="D201" s="283" t="s">
        <v>1650</v>
      </c>
      <c r="E201" s="284" t="s">
        <v>102</v>
      </c>
      <c r="F201" s="268">
        <f t="shared" si="52"/>
        <v>31.02</v>
      </c>
      <c r="G201" s="285">
        <v>2</v>
      </c>
      <c r="H201" s="285">
        <v>0</v>
      </c>
      <c r="I201" s="285">
        <v>0</v>
      </c>
      <c r="J201" s="285">
        <v>0</v>
      </c>
      <c r="K201" s="269">
        <f t="shared" si="53"/>
        <v>62.04</v>
      </c>
      <c r="L201" s="344">
        <f t="shared" si="54"/>
        <v>0</v>
      </c>
      <c r="M201" s="344">
        <f t="shared" si="57"/>
        <v>0</v>
      </c>
      <c r="N201" s="345">
        <f t="shared" si="55"/>
        <v>62.04</v>
      </c>
      <c r="O201" s="325">
        <f t="shared" si="46"/>
        <v>0</v>
      </c>
      <c r="P201" s="319">
        <f t="shared" si="56"/>
        <v>62.04</v>
      </c>
      <c r="Q201" s="322"/>
      <c r="R201" s="322"/>
      <c r="S201" s="323"/>
      <c r="T201" s="271">
        <v>37.67</v>
      </c>
      <c r="U201" s="217"/>
    </row>
    <row r="202" spans="1:21" ht="25.5" x14ac:dyDescent="0.2">
      <c r="A202" s="146" t="s">
        <v>508</v>
      </c>
      <c r="B202" s="282">
        <v>9535</v>
      </c>
      <c r="C202" s="282" t="s">
        <v>1324</v>
      </c>
      <c r="D202" s="283" t="s">
        <v>1651</v>
      </c>
      <c r="E202" s="284" t="s">
        <v>102</v>
      </c>
      <c r="F202" s="268">
        <f t="shared" si="52"/>
        <v>30.06</v>
      </c>
      <c r="G202" s="285">
        <v>6</v>
      </c>
      <c r="H202" s="285">
        <v>0</v>
      </c>
      <c r="I202" s="285">
        <v>0</v>
      </c>
      <c r="J202" s="285">
        <v>0</v>
      </c>
      <c r="K202" s="269">
        <f t="shared" si="53"/>
        <v>180.36</v>
      </c>
      <c r="L202" s="344">
        <f t="shared" si="54"/>
        <v>0</v>
      </c>
      <c r="M202" s="344">
        <f t="shared" si="57"/>
        <v>0</v>
      </c>
      <c r="N202" s="345">
        <f t="shared" si="55"/>
        <v>180.35999999999999</v>
      </c>
      <c r="O202" s="325">
        <f t="shared" si="46"/>
        <v>0</v>
      </c>
      <c r="P202" s="319">
        <f t="shared" si="56"/>
        <v>180.35999999999999</v>
      </c>
      <c r="Q202" s="322"/>
      <c r="R202" s="322"/>
      <c r="S202" s="323"/>
      <c r="T202" s="271">
        <v>36.5</v>
      </c>
      <c r="U202" s="217"/>
    </row>
    <row r="203" spans="1:21" ht="25.5" x14ac:dyDescent="0.2">
      <c r="A203" s="146" t="s">
        <v>511</v>
      </c>
      <c r="B203" s="282"/>
      <c r="C203" s="282" t="s">
        <v>1339</v>
      </c>
      <c r="D203" s="283" t="s">
        <v>1652</v>
      </c>
      <c r="E203" s="284" t="s">
        <v>102</v>
      </c>
      <c r="F203" s="268">
        <f t="shared" si="52"/>
        <v>141.72</v>
      </c>
      <c r="G203" s="285">
        <v>6</v>
      </c>
      <c r="H203" s="285">
        <v>0</v>
      </c>
      <c r="I203" s="285">
        <v>0</v>
      </c>
      <c r="J203" s="285">
        <v>0</v>
      </c>
      <c r="K203" s="269">
        <f t="shared" si="53"/>
        <v>850.32</v>
      </c>
      <c r="L203" s="344">
        <f t="shared" si="54"/>
        <v>0</v>
      </c>
      <c r="M203" s="344">
        <f t="shared" si="57"/>
        <v>0</v>
      </c>
      <c r="N203" s="345">
        <f t="shared" si="55"/>
        <v>850.31999999999994</v>
      </c>
      <c r="O203" s="325">
        <f t="shared" si="46"/>
        <v>0</v>
      </c>
      <c r="P203" s="319">
        <f t="shared" si="56"/>
        <v>850.31999999999994</v>
      </c>
      <c r="Q203" s="322"/>
      <c r="R203" s="322"/>
      <c r="S203" s="323"/>
      <c r="T203" s="271">
        <v>172.08</v>
      </c>
      <c r="U203" s="217"/>
    </row>
    <row r="204" spans="1:21" ht="15.75" x14ac:dyDescent="0.2">
      <c r="A204" s="146" t="s">
        <v>513</v>
      </c>
      <c r="B204" s="282"/>
      <c r="C204" s="282" t="s">
        <v>1339</v>
      </c>
      <c r="D204" s="283" t="s">
        <v>1653</v>
      </c>
      <c r="E204" s="284" t="s">
        <v>102</v>
      </c>
      <c r="F204" s="268">
        <f t="shared" si="52"/>
        <v>39.700000000000003</v>
      </c>
      <c r="G204" s="285">
        <v>4</v>
      </c>
      <c r="H204" s="285">
        <v>0</v>
      </c>
      <c r="I204" s="285">
        <v>0</v>
      </c>
      <c r="J204" s="285">
        <v>0</v>
      </c>
      <c r="K204" s="269">
        <f t="shared" si="53"/>
        <v>158.80000000000001</v>
      </c>
      <c r="L204" s="344">
        <f t="shared" si="54"/>
        <v>0</v>
      </c>
      <c r="M204" s="344">
        <f t="shared" si="57"/>
        <v>0</v>
      </c>
      <c r="N204" s="345">
        <f t="shared" si="55"/>
        <v>158.80000000000001</v>
      </c>
      <c r="O204" s="325">
        <f t="shared" si="46"/>
        <v>0</v>
      </c>
      <c r="P204" s="319">
        <f t="shared" si="56"/>
        <v>158.80000000000001</v>
      </c>
      <c r="Q204" s="322"/>
      <c r="R204" s="322"/>
      <c r="S204" s="323"/>
      <c r="T204" s="271">
        <v>48.2</v>
      </c>
      <c r="U204" s="217"/>
    </row>
    <row r="205" spans="1:21" ht="15.75" x14ac:dyDescent="0.2">
      <c r="A205" s="146" t="s">
        <v>515</v>
      </c>
      <c r="B205" s="282"/>
      <c r="C205" s="282" t="s">
        <v>1339</v>
      </c>
      <c r="D205" s="283" t="s">
        <v>1654</v>
      </c>
      <c r="E205" s="284" t="s">
        <v>102</v>
      </c>
      <c r="F205" s="268">
        <f t="shared" si="52"/>
        <v>30.45</v>
      </c>
      <c r="G205" s="285">
        <v>4</v>
      </c>
      <c r="H205" s="285">
        <v>0</v>
      </c>
      <c r="I205" s="285">
        <v>0</v>
      </c>
      <c r="J205" s="285">
        <v>0</v>
      </c>
      <c r="K205" s="269">
        <f t="shared" si="53"/>
        <v>121.8</v>
      </c>
      <c r="L205" s="344">
        <f t="shared" si="54"/>
        <v>0</v>
      </c>
      <c r="M205" s="344">
        <f t="shared" si="57"/>
        <v>0</v>
      </c>
      <c r="N205" s="345">
        <f t="shared" si="55"/>
        <v>121.8</v>
      </c>
      <c r="O205" s="325">
        <f t="shared" si="46"/>
        <v>0</v>
      </c>
      <c r="P205" s="319">
        <f t="shared" si="56"/>
        <v>121.8</v>
      </c>
      <c r="Q205" s="322"/>
      <c r="R205" s="322"/>
      <c r="S205" s="323"/>
      <c r="T205" s="271">
        <v>36.97</v>
      </c>
      <c r="U205" s="217"/>
    </row>
    <row r="206" spans="1:21" ht="25.5" x14ac:dyDescent="0.2">
      <c r="A206" s="146" t="s">
        <v>517</v>
      </c>
      <c r="B206" s="282"/>
      <c r="C206" s="282" t="s">
        <v>1339</v>
      </c>
      <c r="D206" s="283" t="s">
        <v>1655</v>
      </c>
      <c r="E206" s="284" t="s">
        <v>102</v>
      </c>
      <c r="F206" s="268">
        <f t="shared" si="52"/>
        <v>32.1</v>
      </c>
      <c r="G206" s="285">
        <v>6</v>
      </c>
      <c r="H206" s="285">
        <v>0</v>
      </c>
      <c r="I206" s="285">
        <v>0</v>
      </c>
      <c r="J206" s="285">
        <v>0</v>
      </c>
      <c r="K206" s="269">
        <f t="shared" si="53"/>
        <v>192.6</v>
      </c>
      <c r="L206" s="344">
        <f t="shared" si="54"/>
        <v>0</v>
      </c>
      <c r="M206" s="344">
        <f t="shared" si="57"/>
        <v>0</v>
      </c>
      <c r="N206" s="345">
        <f t="shared" si="55"/>
        <v>192.60000000000002</v>
      </c>
      <c r="O206" s="325">
        <f t="shared" si="46"/>
        <v>0</v>
      </c>
      <c r="P206" s="319">
        <f t="shared" si="56"/>
        <v>192.60000000000002</v>
      </c>
      <c r="Q206" s="322"/>
      <c r="R206" s="322"/>
      <c r="S206" s="323"/>
      <c r="T206" s="271">
        <v>38.979999999999997</v>
      </c>
      <c r="U206" s="217"/>
    </row>
    <row r="207" spans="1:21" ht="15.75" x14ac:dyDescent="0.2">
      <c r="A207" s="146" t="s">
        <v>519</v>
      </c>
      <c r="B207" s="282"/>
      <c r="C207" s="282" t="s">
        <v>1339</v>
      </c>
      <c r="D207" s="283" t="s">
        <v>1656</v>
      </c>
      <c r="E207" s="284" t="s">
        <v>102</v>
      </c>
      <c r="F207" s="268">
        <f t="shared" si="52"/>
        <v>579.82000000000005</v>
      </c>
      <c r="G207" s="285">
        <v>2</v>
      </c>
      <c r="H207" s="285">
        <v>0</v>
      </c>
      <c r="I207" s="285">
        <v>0</v>
      </c>
      <c r="J207" s="285">
        <v>0</v>
      </c>
      <c r="K207" s="269">
        <f t="shared" si="53"/>
        <v>1159.6400000000001</v>
      </c>
      <c r="L207" s="344">
        <f t="shared" si="54"/>
        <v>0</v>
      </c>
      <c r="M207" s="344">
        <f t="shared" si="57"/>
        <v>0</v>
      </c>
      <c r="N207" s="345">
        <f t="shared" si="55"/>
        <v>1159.6400000000001</v>
      </c>
      <c r="O207" s="325">
        <f t="shared" si="46"/>
        <v>0</v>
      </c>
      <c r="P207" s="319">
        <f t="shared" si="56"/>
        <v>1159.6400000000001</v>
      </c>
      <c r="Q207" s="322"/>
      <c r="R207" s="322"/>
      <c r="S207" s="323"/>
      <c r="T207" s="271">
        <v>704.01</v>
      </c>
      <c r="U207" s="217"/>
    </row>
    <row r="208" spans="1:21" ht="15.75" x14ac:dyDescent="0.2">
      <c r="A208" s="351">
        <v>16</v>
      </c>
      <c r="B208" s="286"/>
      <c r="C208" s="286"/>
      <c r="D208" s="287" t="s">
        <v>1657</v>
      </c>
      <c r="E208" s="288"/>
      <c r="F208" s="261">
        <f>K208</f>
        <v>792.22</v>
      </c>
      <c r="G208" s="289"/>
      <c r="H208" s="261"/>
      <c r="I208" s="261"/>
      <c r="J208" s="261"/>
      <c r="K208" s="262">
        <f>SUM(K209:K213)</f>
        <v>792.22</v>
      </c>
      <c r="L208" s="342"/>
      <c r="M208" s="342"/>
      <c r="N208" s="343">
        <f>SUM(N209:N213)</f>
        <v>792.22</v>
      </c>
      <c r="O208" s="325" t="e">
        <f t="shared" si="46"/>
        <v>#DIV/0!</v>
      </c>
      <c r="P208" s="319"/>
      <c r="Q208" s="322"/>
      <c r="R208" s="322"/>
      <c r="S208" s="323"/>
      <c r="T208" s="271">
        <v>0</v>
      </c>
      <c r="U208" s="217"/>
    </row>
    <row r="209" spans="1:21" ht="15.75" x14ac:dyDescent="0.2">
      <c r="A209" s="146" t="s">
        <v>616</v>
      </c>
      <c r="B209" s="282"/>
      <c r="C209" s="282" t="s">
        <v>1339</v>
      </c>
      <c r="D209" s="283" t="s">
        <v>1658</v>
      </c>
      <c r="E209" s="284" t="s">
        <v>102</v>
      </c>
      <c r="F209" s="268">
        <f>ROUND(T209*$T$12,2)</f>
        <v>109.5</v>
      </c>
      <c r="G209" s="285">
        <v>2</v>
      </c>
      <c r="H209" s="285">
        <v>0</v>
      </c>
      <c r="I209" s="285">
        <v>0</v>
      </c>
      <c r="J209" s="285">
        <v>0</v>
      </c>
      <c r="K209" s="269">
        <f>ROUND(G209*F209,2)</f>
        <v>219</v>
      </c>
      <c r="L209" s="344">
        <f>H209*F209</f>
        <v>0</v>
      </c>
      <c r="M209" s="344">
        <f>L209</f>
        <v>0</v>
      </c>
      <c r="N209" s="345">
        <f>F209*G209-M209</f>
        <v>219</v>
      </c>
      <c r="O209" s="325">
        <f t="shared" si="46"/>
        <v>0</v>
      </c>
      <c r="P209" s="319">
        <f>G209*F209</f>
        <v>219</v>
      </c>
      <c r="Q209" s="322"/>
      <c r="R209" s="322"/>
      <c r="S209" s="323"/>
      <c r="T209" s="271">
        <v>132.96</v>
      </c>
      <c r="U209" s="217"/>
    </row>
    <row r="210" spans="1:21" ht="15.75" x14ac:dyDescent="0.2">
      <c r="A210" s="146" t="s">
        <v>618</v>
      </c>
      <c r="B210" s="282"/>
      <c r="C210" s="282" t="s">
        <v>1339</v>
      </c>
      <c r="D210" s="283" t="s">
        <v>1659</v>
      </c>
      <c r="E210" s="284" t="s">
        <v>102</v>
      </c>
      <c r="F210" s="268">
        <f>ROUND(T210*$T$12,2)</f>
        <v>227.16</v>
      </c>
      <c r="G210" s="285">
        <v>2</v>
      </c>
      <c r="H210" s="285">
        <v>0</v>
      </c>
      <c r="I210" s="285">
        <v>0</v>
      </c>
      <c r="J210" s="285">
        <v>0</v>
      </c>
      <c r="K210" s="269">
        <f>ROUND(G210*F210,2)</f>
        <v>454.32</v>
      </c>
      <c r="L210" s="344">
        <f>H210*F210</f>
        <v>0</v>
      </c>
      <c r="M210" s="344">
        <f>L210</f>
        <v>0</v>
      </c>
      <c r="N210" s="345">
        <f>F210*G210-M210</f>
        <v>454.32</v>
      </c>
      <c r="O210" s="325">
        <f t="shared" si="46"/>
        <v>0</v>
      </c>
      <c r="P210" s="319">
        <f>G210*F210</f>
        <v>454.32</v>
      </c>
      <c r="Q210" s="322"/>
      <c r="R210" s="322"/>
      <c r="S210" s="323"/>
      <c r="T210" s="271">
        <v>275.82</v>
      </c>
      <c r="U210" s="217"/>
    </row>
    <row r="211" spans="1:21" ht="15.75" x14ac:dyDescent="0.2">
      <c r="A211" s="146" t="s">
        <v>620</v>
      </c>
      <c r="B211" s="282"/>
      <c r="C211" s="282" t="s">
        <v>1339</v>
      </c>
      <c r="D211" s="283" t="s">
        <v>1660</v>
      </c>
      <c r="E211" s="284" t="s">
        <v>102</v>
      </c>
      <c r="F211" s="268">
        <f>ROUND(T211*$T$12,2)</f>
        <v>27.98</v>
      </c>
      <c r="G211" s="285">
        <v>2</v>
      </c>
      <c r="H211" s="285">
        <v>0</v>
      </c>
      <c r="I211" s="285">
        <v>0</v>
      </c>
      <c r="J211" s="285">
        <v>0</v>
      </c>
      <c r="K211" s="269">
        <f>ROUND(G211*F211,2)</f>
        <v>55.96</v>
      </c>
      <c r="L211" s="344">
        <f>H211*F211</f>
        <v>0</v>
      </c>
      <c r="M211" s="344">
        <f>L211</f>
        <v>0</v>
      </c>
      <c r="N211" s="345">
        <f>F211*G211-M211</f>
        <v>55.96</v>
      </c>
      <c r="O211" s="325">
        <f t="shared" si="46"/>
        <v>0</v>
      </c>
      <c r="P211" s="319">
        <f>G211*F211</f>
        <v>55.96</v>
      </c>
      <c r="Q211" s="322"/>
      <c r="R211" s="322"/>
      <c r="S211" s="323"/>
      <c r="T211" s="271">
        <v>33.97</v>
      </c>
      <c r="U211" s="217"/>
    </row>
    <row r="212" spans="1:21" ht="15.75" x14ac:dyDescent="0.2">
      <c r="A212" s="146" t="s">
        <v>1661</v>
      </c>
      <c r="B212" s="282"/>
      <c r="C212" s="282" t="s">
        <v>1339</v>
      </c>
      <c r="D212" s="283" t="s">
        <v>1662</v>
      </c>
      <c r="E212" s="284" t="s">
        <v>102</v>
      </c>
      <c r="F212" s="268">
        <f>ROUND(T212*$T$12,2)</f>
        <v>16.36</v>
      </c>
      <c r="G212" s="285">
        <v>2</v>
      </c>
      <c r="H212" s="285">
        <v>0</v>
      </c>
      <c r="I212" s="285">
        <v>0</v>
      </c>
      <c r="J212" s="285">
        <v>0</v>
      </c>
      <c r="K212" s="269">
        <f>ROUND(G212*F212,2)</f>
        <v>32.72</v>
      </c>
      <c r="L212" s="344">
        <f>H212*F212</f>
        <v>0</v>
      </c>
      <c r="M212" s="344">
        <f>L212</f>
        <v>0</v>
      </c>
      <c r="N212" s="345">
        <f>F212*G212-M212</f>
        <v>32.72</v>
      </c>
      <c r="O212" s="325">
        <f t="shared" si="46"/>
        <v>0</v>
      </c>
      <c r="P212" s="319">
        <f>G212*F212</f>
        <v>32.72</v>
      </c>
      <c r="Q212" s="322"/>
      <c r="R212" s="322"/>
      <c r="S212" s="323"/>
      <c r="T212" s="271">
        <v>19.87</v>
      </c>
      <c r="U212" s="217"/>
    </row>
    <row r="213" spans="1:21" ht="15.75" x14ac:dyDescent="0.2">
      <c r="A213" s="146" t="s">
        <v>1663</v>
      </c>
      <c r="B213" s="282"/>
      <c r="C213" s="282" t="s">
        <v>1339</v>
      </c>
      <c r="D213" s="283" t="s">
        <v>1664</v>
      </c>
      <c r="E213" s="284" t="s">
        <v>102</v>
      </c>
      <c r="F213" s="268">
        <f>ROUND(T213*$T$12,2)</f>
        <v>15.11</v>
      </c>
      <c r="G213" s="285">
        <v>2</v>
      </c>
      <c r="H213" s="285">
        <v>0</v>
      </c>
      <c r="I213" s="285">
        <v>0</v>
      </c>
      <c r="J213" s="285">
        <v>0</v>
      </c>
      <c r="K213" s="269">
        <f>ROUND(G213*F213,2)</f>
        <v>30.22</v>
      </c>
      <c r="L213" s="344">
        <f>H213*F213</f>
        <v>0</v>
      </c>
      <c r="M213" s="344">
        <f>L213</f>
        <v>0</v>
      </c>
      <c r="N213" s="345">
        <f>F213*G213-M213</f>
        <v>30.22</v>
      </c>
      <c r="O213" s="325">
        <f t="shared" si="46"/>
        <v>0</v>
      </c>
      <c r="P213" s="319">
        <f>G213*F213</f>
        <v>30.22</v>
      </c>
      <c r="Q213" s="322"/>
      <c r="R213" s="322"/>
      <c r="S213" s="323"/>
      <c r="T213" s="271">
        <v>18.350000000000001</v>
      </c>
      <c r="U213" s="217"/>
    </row>
    <row r="214" spans="1:21" ht="15.75" x14ac:dyDescent="0.2">
      <c r="A214" s="351">
        <v>17</v>
      </c>
      <c r="B214" s="286"/>
      <c r="C214" s="286"/>
      <c r="D214" s="287" t="s">
        <v>1665</v>
      </c>
      <c r="E214" s="288"/>
      <c r="F214" s="261">
        <f>K214</f>
        <v>20098.660000000003</v>
      </c>
      <c r="G214" s="289"/>
      <c r="H214" s="261"/>
      <c r="I214" s="261"/>
      <c r="J214" s="261"/>
      <c r="K214" s="262">
        <f>K215+K225+K247+K252</f>
        <v>20098.660000000003</v>
      </c>
      <c r="L214" s="342"/>
      <c r="M214" s="342"/>
      <c r="N214" s="343">
        <f>SUM(N215,N225,N247,N252)</f>
        <v>20098.660000000003</v>
      </c>
      <c r="O214" s="325" t="e">
        <f t="shared" si="46"/>
        <v>#DIV/0!</v>
      </c>
      <c r="P214" s="319"/>
      <c r="Q214" s="322"/>
      <c r="R214" s="322"/>
      <c r="S214" s="323"/>
      <c r="T214" s="271">
        <v>0</v>
      </c>
      <c r="U214" s="217"/>
    </row>
    <row r="215" spans="1:21" ht="15.75" x14ac:dyDescent="0.2">
      <c r="A215" s="352" t="s">
        <v>625</v>
      </c>
      <c r="B215" s="290"/>
      <c r="C215" s="290"/>
      <c r="D215" s="291" t="s">
        <v>1666</v>
      </c>
      <c r="E215" s="292"/>
      <c r="F215" s="279">
        <f>K215</f>
        <v>1711.6100000000001</v>
      </c>
      <c r="G215" s="293"/>
      <c r="H215" s="279"/>
      <c r="I215" s="279"/>
      <c r="J215" s="279"/>
      <c r="K215" s="280">
        <f>SUM(K216:K224)</f>
        <v>1711.6100000000001</v>
      </c>
      <c r="L215" s="349"/>
      <c r="M215" s="349"/>
      <c r="N215" s="350">
        <f>SUM(N216:N224)</f>
        <v>1711.6100000000001</v>
      </c>
      <c r="O215" s="325" t="e">
        <f t="shared" si="46"/>
        <v>#DIV/0!</v>
      </c>
      <c r="P215" s="319"/>
      <c r="Q215" s="322"/>
      <c r="R215" s="322"/>
      <c r="S215" s="323"/>
      <c r="T215" s="271">
        <v>0</v>
      </c>
      <c r="U215" s="217"/>
    </row>
    <row r="216" spans="1:21" ht="15.75" x14ac:dyDescent="0.2">
      <c r="A216" s="146" t="s">
        <v>1667</v>
      </c>
      <c r="B216" s="282">
        <v>83463</v>
      </c>
      <c r="C216" s="282" t="s">
        <v>1324</v>
      </c>
      <c r="D216" s="283" t="s">
        <v>1668</v>
      </c>
      <c r="E216" s="284" t="s">
        <v>102</v>
      </c>
      <c r="F216" s="268">
        <f t="shared" ref="F216:F224" si="58">ROUND(T216*$T$12,2)</f>
        <v>211.62</v>
      </c>
      <c r="G216" s="285">
        <v>1</v>
      </c>
      <c r="H216" s="285">
        <v>0</v>
      </c>
      <c r="I216" s="285">
        <v>0</v>
      </c>
      <c r="J216" s="285">
        <v>0</v>
      </c>
      <c r="K216" s="269">
        <f t="shared" ref="K216:K224" si="59">ROUND(G216*F216,2)</f>
        <v>211.62</v>
      </c>
      <c r="L216" s="344">
        <f t="shared" ref="L216:L224" si="60">H216*F216</f>
        <v>0</v>
      </c>
      <c r="M216" s="344">
        <f t="shared" ref="M216:M224" si="61">L216</f>
        <v>0</v>
      </c>
      <c r="N216" s="345">
        <f t="shared" ref="N216:N224" si="62">F216*G216-M216</f>
        <v>211.62</v>
      </c>
      <c r="O216" s="325">
        <f t="shared" si="46"/>
        <v>0</v>
      </c>
      <c r="P216" s="319">
        <f t="shared" ref="P216:P224" si="63">G216*F216</f>
        <v>211.62</v>
      </c>
      <c r="Q216" s="322"/>
      <c r="R216" s="322"/>
      <c r="S216" s="323"/>
      <c r="T216" s="271">
        <v>256.95</v>
      </c>
      <c r="U216" s="217"/>
    </row>
    <row r="217" spans="1:21" ht="15.75" x14ac:dyDescent="0.2">
      <c r="A217" s="146" t="s">
        <v>1669</v>
      </c>
      <c r="B217" s="282" t="s">
        <v>1670</v>
      </c>
      <c r="C217" s="282" t="s">
        <v>1324</v>
      </c>
      <c r="D217" s="283" t="s">
        <v>1671</v>
      </c>
      <c r="E217" s="284" t="s">
        <v>102</v>
      </c>
      <c r="F217" s="268">
        <f t="shared" si="58"/>
        <v>332.47</v>
      </c>
      <c r="G217" s="285">
        <v>1</v>
      </c>
      <c r="H217" s="285">
        <v>0</v>
      </c>
      <c r="I217" s="285">
        <v>0</v>
      </c>
      <c r="J217" s="285">
        <v>0</v>
      </c>
      <c r="K217" s="269">
        <f t="shared" si="59"/>
        <v>332.47</v>
      </c>
      <c r="L217" s="344">
        <f t="shared" si="60"/>
        <v>0</v>
      </c>
      <c r="M217" s="344">
        <f t="shared" si="61"/>
        <v>0</v>
      </c>
      <c r="N217" s="345">
        <f t="shared" si="62"/>
        <v>332.47</v>
      </c>
      <c r="O217" s="325">
        <f t="shared" si="46"/>
        <v>0</v>
      </c>
      <c r="P217" s="319">
        <f t="shared" si="63"/>
        <v>332.47</v>
      </c>
      <c r="Q217" s="322"/>
      <c r="R217" s="322"/>
      <c r="S217" s="323"/>
      <c r="T217" s="271">
        <v>403.69</v>
      </c>
      <c r="U217" s="217"/>
    </row>
    <row r="218" spans="1:21" ht="15.75" x14ac:dyDescent="0.2">
      <c r="A218" s="146" t="s">
        <v>1672</v>
      </c>
      <c r="B218" s="282" t="s">
        <v>1673</v>
      </c>
      <c r="C218" s="282" t="s">
        <v>1343</v>
      </c>
      <c r="D218" s="283" t="s">
        <v>1674</v>
      </c>
      <c r="E218" s="284" t="s">
        <v>102</v>
      </c>
      <c r="F218" s="268">
        <f t="shared" si="58"/>
        <v>65.62</v>
      </c>
      <c r="G218" s="285">
        <v>1</v>
      </c>
      <c r="H218" s="285">
        <v>0</v>
      </c>
      <c r="I218" s="285">
        <v>0</v>
      </c>
      <c r="J218" s="285">
        <v>0</v>
      </c>
      <c r="K218" s="269">
        <f t="shared" si="59"/>
        <v>65.62</v>
      </c>
      <c r="L218" s="344">
        <f t="shared" si="60"/>
        <v>0</v>
      </c>
      <c r="M218" s="344">
        <f t="shared" si="61"/>
        <v>0</v>
      </c>
      <c r="N218" s="345">
        <f t="shared" si="62"/>
        <v>65.62</v>
      </c>
      <c r="O218" s="325">
        <f t="shared" si="46"/>
        <v>0</v>
      </c>
      <c r="P218" s="319">
        <f t="shared" si="63"/>
        <v>65.62</v>
      </c>
      <c r="Q218" s="322"/>
      <c r="R218" s="322"/>
      <c r="S218" s="323"/>
      <c r="T218" s="271">
        <v>79.67</v>
      </c>
      <c r="U218" s="217"/>
    </row>
    <row r="219" spans="1:21" ht="15.75" x14ac:dyDescent="0.2">
      <c r="A219" s="146" t="s">
        <v>1675</v>
      </c>
      <c r="B219" s="282" t="s">
        <v>1676</v>
      </c>
      <c r="C219" s="282" t="s">
        <v>1324</v>
      </c>
      <c r="D219" s="283" t="s">
        <v>1677</v>
      </c>
      <c r="E219" s="284" t="s">
        <v>102</v>
      </c>
      <c r="F219" s="268">
        <f t="shared" si="58"/>
        <v>11.27</v>
      </c>
      <c r="G219" s="285">
        <v>7</v>
      </c>
      <c r="H219" s="285">
        <v>0</v>
      </c>
      <c r="I219" s="285">
        <v>0</v>
      </c>
      <c r="J219" s="285">
        <v>0</v>
      </c>
      <c r="K219" s="269">
        <f t="shared" si="59"/>
        <v>78.89</v>
      </c>
      <c r="L219" s="344">
        <f t="shared" si="60"/>
        <v>0</v>
      </c>
      <c r="M219" s="344">
        <f t="shared" si="61"/>
        <v>0</v>
      </c>
      <c r="N219" s="345">
        <f t="shared" si="62"/>
        <v>78.89</v>
      </c>
      <c r="O219" s="325">
        <f t="shared" si="46"/>
        <v>0</v>
      </c>
      <c r="P219" s="319">
        <f t="shared" si="63"/>
        <v>78.89</v>
      </c>
      <c r="Q219" s="322"/>
      <c r="R219" s="322"/>
      <c r="S219" s="323"/>
      <c r="T219" s="271">
        <v>13.68</v>
      </c>
      <c r="U219" s="217"/>
    </row>
    <row r="220" spans="1:21" ht="15.75" x14ac:dyDescent="0.2">
      <c r="A220" s="146" t="s">
        <v>1678</v>
      </c>
      <c r="B220" s="282" t="s">
        <v>1676</v>
      </c>
      <c r="C220" s="282" t="s">
        <v>1324</v>
      </c>
      <c r="D220" s="283" t="s">
        <v>1679</v>
      </c>
      <c r="E220" s="284" t="s">
        <v>102</v>
      </c>
      <c r="F220" s="268">
        <f t="shared" si="58"/>
        <v>11.27</v>
      </c>
      <c r="G220" s="285">
        <v>5</v>
      </c>
      <c r="H220" s="285">
        <v>0</v>
      </c>
      <c r="I220" s="285">
        <v>0</v>
      </c>
      <c r="J220" s="285">
        <v>0</v>
      </c>
      <c r="K220" s="269">
        <f t="shared" si="59"/>
        <v>56.35</v>
      </c>
      <c r="L220" s="344">
        <f t="shared" si="60"/>
        <v>0</v>
      </c>
      <c r="M220" s="344">
        <f t="shared" si="61"/>
        <v>0</v>
      </c>
      <c r="N220" s="345">
        <f t="shared" si="62"/>
        <v>56.349999999999994</v>
      </c>
      <c r="O220" s="325">
        <f t="shared" si="46"/>
        <v>0</v>
      </c>
      <c r="P220" s="319">
        <f t="shared" si="63"/>
        <v>56.349999999999994</v>
      </c>
      <c r="Q220" s="322"/>
      <c r="R220" s="322"/>
      <c r="S220" s="323"/>
      <c r="T220" s="271">
        <v>13.68</v>
      </c>
      <c r="U220" s="217"/>
    </row>
    <row r="221" spans="1:21" ht="15.75" x14ac:dyDescent="0.2">
      <c r="A221" s="146" t="s">
        <v>1680</v>
      </c>
      <c r="B221" s="282" t="s">
        <v>1676</v>
      </c>
      <c r="C221" s="282" t="s">
        <v>1324</v>
      </c>
      <c r="D221" s="283" t="s">
        <v>1681</v>
      </c>
      <c r="E221" s="284" t="s">
        <v>102</v>
      </c>
      <c r="F221" s="268">
        <f t="shared" si="58"/>
        <v>11.27</v>
      </c>
      <c r="G221" s="285">
        <v>8</v>
      </c>
      <c r="H221" s="285">
        <v>0</v>
      </c>
      <c r="I221" s="285">
        <v>0</v>
      </c>
      <c r="J221" s="285">
        <v>0</v>
      </c>
      <c r="K221" s="269">
        <f t="shared" si="59"/>
        <v>90.16</v>
      </c>
      <c r="L221" s="344">
        <f t="shared" si="60"/>
        <v>0</v>
      </c>
      <c r="M221" s="344">
        <f t="shared" si="61"/>
        <v>0</v>
      </c>
      <c r="N221" s="345">
        <f t="shared" si="62"/>
        <v>90.16</v>
      </c>
      <c r="O221" s="325">
        <f t="shared" si="46"/>
        <v>0</v>
      </c>
      <c r="P221" s="319">
        <f t="shared" si="63"/>
        <v>90.16</v>
      </c>
      <c r="Q221" s="322"/>
      <c r="R221" s="322"/>
      <c r="S221" s="323"/>
      <c r="T221" s="271">
        <v>13.68</v>
      </c>
      <c r="U221" s="217"/>
    </row>
    <row r="222" spans="1:21" ht="15.75" x14ac:dyDescent="0.2">
      <c r="A222" s="146" t="s">
        <v>1682</v>
      </c>
      <c r="B222" s="282" t="s">
        <v>1683</v>
      </c>
      <c r="C222" s="282" t="s">
        <v>1324</v>
      </c>
      <c r="D222" s="283" t="s">
        <v>1684</v>
      </c>
      <c r="E222" s="284" t="s">
        <v>102</v>
      </c>
      <c r="F222" s="268">
        <f t="shared" si="58"/>
        <v>97.76</v>
      </c>
      <c r="G222" s="285">
        <v>2</v>
      </c>
      <c r="H222" s="285">
        <v>0</v>
      </c>
      <c r="I222" s="285">
        <v>0</v>
      </c>
      <c r="J222" s="285">
        <v>0</v>
      </c>
      <c r="K222" s="269">
        <f t="shared" si="59"/>
        <v>195.52</v>
      </c>
      <c r="L222" s="344">
        <f t="shared" si="60"/>
        <v>0</v>
      </c>
      <c r="M222" s="344">
        <f t="shared" si="61"/>
        <v>0</v>
      </c>
      <c r="N222" s="345">
        <f t="shared" si="62"/>
        <v>195.52</v>
      </c>
      <c r="O222" s="325">
        <f t="shared" si="46"/>
        <v>0</v>
      </c>
      <c r="P222" s="319">
        <f t="shared" si="63"/>
        <v>195.52</v>
      </c>
      <c r="Q222" s="322"/>
      <c r="R222" s="322"/>
      <c r="S222" s="323"/>
      <c r="T222" s="271">
        <v>118.7</v>
      </c>
      <c r="U222" s="217"/>
    </row>
    <row r="223" spans="1:21" ht="15.75" x14ac:dyDescent="0.2">
      <c r="A223" s="146" t="s">
        <v>1685</v>
      </c>
      <c r="B223" s="282" t="s">
        <v>1686</v>
      </c>
      <c r="C223" s="282" t="s">
        <v>1324</v>
      </c>
      <c r="D223" s="283" t="s">
        <v>1687</v>
      </c>
      <c r="E223" s="284" t="s">
        <v>102</v>
      </c>
      <c r="F223" s="268">
        <f t="shared" si="58"/>
        <v>276.94</v>
      </c>
      <c r="G223" s="285">
        <v>1</v>
      </c>
      <c r="H223" s="285">
        <v>0</v>
      </c>
      <c r="I223" s="285">
        <v>0</v>
      </c>
      <c r="J223" s="285">
        <v>0</v>
      </c>
      <c r="K223" s="269">
        <f t="shared" si="59"/>
        <v>276.94</v>
      </c>
      <c r="L223" s="344">
        <f t="shared" si="60"/>
        <v>0</v>
      </c>
      <c r="M223" s="344">
        <f t="shared" si="61"/>
        <v>0</v>
      </c>
      <c r="N223" s="345">
        <f t="shared" si="62"/>
        <v>276.94</v>
      </c>
      <c r="O223" s="325">
        <f t="shared" si="46"/>
        <v>0</v>
      </c>
      <c r="P223" s="319">
        <f t="shared" si="63"/>
        <v>276.94</v>
      </c>
      <c r="Q223" s="322"/>
      <c r="R223" s="322"/>
      <c r="S223" s="323"/>
      <c r="T223" s="271">
        <v>336.26</v>
      </c>
      <c r="U223" s="217"/>
    </row>
    <row r="224" spans="1:21" ht="25.5" x14ac:dyDescent="0.2">
      <c r="A224" s="146" t="s">
        <v>1688</v>
      </c>
      <c r="B224" s="282"/>
      <c r="C224" s="282" t="s">
        <v>1339</v>
      </c>
      <c r="D224" s="283" t="s">
        <v>1689</v>
      </c>
      <c r="E224" s="284" t="s">
        <v>102</v>
      </c>
      <c r="F224" s="268">
        <f t="shared" si="58"/>
        <v>101.01</v>
      </c>
      <c r="G224" s="285">
        <v>4</v>
      </c>
      <c r="H224" s="285">
        <v>0</v>
      </c>
      <c r="I224" s="285">
        <v>0</v>
      </c>
      <c r="J224" s="285">
        <v>0</v>
      </c>
      <c r="K224" s="269">
        <f t="shared" si="59"/>
        <v>404.04</v>
      </c>
      <c r="L224" s="344">
        <f t="shared" si="60"/>
        <v>0</v>
      </c>
      <c r="M224" s="344">
        <f t="shared" si="61"/>
        <v>0</v>
      </c>
      <c r="N224" s="345">
        <f t="shared" si="62"/>
        <v>404.04</v>
      </c>
      <c r="O224" s="325">
        <f t="shared" si="46"/>
        <v>0</v>
      </c>
      <c r="P224" s="319">
        <f t="shared" si="63"/>
        <v>404.04</v>
      </c>
      <c r="Q224" s="322"/>
      <c r="R224" s="322"/>
      <c r="S224" s="323"/>
      <c r="T224" s="271">
        <v>122.65</v>
      </c>
      <c r="U224" s="217"/>
    </row>
    <row r="225" spans="1:21" ht="15.75" x14ac:dyDescent="0.2">
      <c r="A225" s="352" t="s">
        <v>631</v>
      </c>
      <c r="B225" s="290"/>
      <c r="C225" s="290"/>
      <c r="D225" s="291" t="s">
        <v>1690</v>
      </c>
      <c r="E225" s="292"/>
      <c r="F225" s="279">
        <f>K225</f>
        <v>3741.5200000000004</v>
      </c>
      <c r="G225" s="293"/>
      <c r="H225" s="279"/>
      <c r="I225" s="279"/>
      <c r="J225" s="279"/>
      <c r="K225" s="280">
        <f>SUM(K226:K246)</f>
        <v>3741.5200000000004</v>
      </c>
      <c r="L225" s="349"/>
      <c r="M225" s="349"/>
      <c r="N225" s="350">
        <f>SUM(N226:N246)</f>
        <v>3741.5200000000004</v>
      </c>
      <c r="O225" s="325" t="e">
        <f t="shared" si="46"/>
        <v>#DIV/0!</v>
      </c>
      <c r="P225" s="319"/>
      <c r="Q225" s="322"/>
      <c r="R225" s="322"/>
      <c r="S225" s="323"/>
      <c r="T225" s="271">
        <v>0</v>
      </c>
      <c r="U225" s="217"/>
    </row>
    <row r="226" spans="1:21" ht="15.75" x14ac:dyDescent="0.2">
      <c r="A226" s="146" t="s">
        <v>1691</v>
      </c>
      <c r="B226" s="282">
        <v>91854</v>
      </c>
      <c r="C226" s="282" t="s">
        <v>1324</v>
      </c>
      <c r="D226" s="283" t="s">
        <v>1692</v>
      </c>
      <c r="E226" s="284" t="s">
        <v>81</v>
      </c>
      <c r="F226" s="268">
        <f t="shared" ref="F226:F246" si="64">ROUND(T226*$T$12,2)</f>
        <v>6.16</v>
      </c>
      <c r="G226" s="285">
        <v>28</v>
      </c>
      <c r="H226" s="285">
        <v>0</v>
      </c>
      <c r="I226" s="285">
        <v>0</v>
      </c>
      <c r="J226" s="285">
        <v>0</v>
      </c>
      <c r="K226" s="269">
        <f t="shared" ref="K226:K246" si="65">ROUND(G226*F226,2)</f>
        <v>172.48</v>
      </c>
      <c r="L226" s="344">
        <f t="shared" ref="L226:L246" si="66">H226*F226</f>
        <v>0</v>
      </c>
      <c r="M226" s="344">
        <f t="shared" ref="M226:M246" si="67">L226</f>
        <v>0</v>
      </c>
      <c r="N226" s="345">
        <f t="shared" ref="N226:N246" si="68">F226*G226-M226</f>
        <v>172.48000000000002</v>
      </c>
      <c r="O226" s="325">
        <f t="shared" si="46"/>
        <v>0</v>
      </c>
      <c r="P226" s="319">
        <f t="shared" ref="P226:P251" si="69">G226*F226</f>
        <v>172.48000000000002</v>
      </c>
      <c r="Q226" s="322"/>
      <c r="R226" s="322"/>
      <c r="S226" s="323"/>
      <c r="T226" s="271">
        <v>7.48</v>
      </c>
      <c r="U226" s="217"/>
    </row>
    <row r="227" spans="1:21" ht="15.75" x14ac:dyDescent="0.2">
      <c r="A227" s="146" t="s">
        <v>1693</v>
      </c>
      <c r="B227" s="282">
        <v>91856</v>
      </c>
      <c r="C227" s="282" t="s">
        <v>1324</v>
      </c>
      <c r="D227" s="283" t="s">
        <v>1694</v>
      </c>
      <c r="E227" s="284" t="s">
        <v>81</v>
      </c>
      <c r="F227" s="268">
        <f t="shared" si="64"/>
        <v>7.73</v>
      </c>
      <c r="G227" s="285">
        <v>18</v>
      </c>
      <c r="H227" s="285">
        <v>0</v>
      </c>
      <c r="I227" s="285">
        <v>0</v>
      </c>
      <c r="J227" s="285">
        <v>0</v>
      </c>
      <c r="K227" s="269">
        <f t="shared" si="65"/>
        <v>139.13999999999999</v>
      </c>
      <c r="L227" s="344">
        <f t="shared" si="66"/>
        <v>0</v>
      </c>
      <c r="M227" s="344">
        <f t="shared" si="67"/>
        <v>0</v>
      </c>
      <c r="N227" s="345">
        <f t="shared" si="68"/>
        <v>139.14000000000001</v>
      </c>
      <c r="O227" s="325">
        <f t="shared" si="46"/>
        <v>0</v>
      </c>
      <c r="P227" s="319">
        <f t="shared" si="69"/>
        <v>139.14000000000001</v>
      </c>
      <c r="Q227" s="322"/>
      <c r="R227" s="322"/>
      <c r="S227" s="323"/>
      <c r="T227" s="271">
        <v>9.3800000000000008</v>
      </c>
      <c r="U227" s="217"/>
    </row>
    <row r="228" spans="1:21" ht="15.75" x14ac:dyDescent="0.2">
      <c r="A228" s="146" t="s">
        <v>1695</v>
      </c>
      <c r="B228" s="282">
        <v>91873</v>
      </c>
      <c r="C228" s="282" t="s">
        <v>1324</v>
      </c>
      <c r="D228" s="283" t="s">
        <v>1696</v>
      </c>
      <c r="E228" s="284" t="s">
        <v>81</v>
      </c>
      <c r="F228" s="268">
        <f t="shared" si="64"/>
        <v>12.57</v>
      </c>
      <c r="G228" s="285">
        <v>18</v>
      </c>
      <c r="H228" s="285">
        <v>0</v>
      </c>
      <c r="I228" s="285">
        <v>0</v>
      </c>
      <c r="J228" s="285">
        <v>0</v>
      </c>
      <c r="K228" s="269">
        <f t="shared" si="65"/>
        <v>226.26</v>
      </c>
      <c r="L228" s="344">
        <f t="shared" si="66"/>
        <v>0</v>
      </c>
      <c r="M228" s="344">
        <f t="shared" si="67"/>
        <v>0</v>
      </c>
      <c r="N228" s="345">
        <f t="shared" si="68"/>
        <v>226.26</v>
      </c>
      <c r="O228" s="325">
        <f t="shared" si="46"/>
        <v>0</v>
      </c>
      <c r="P228" s="319">
        <f t="shared" si="69"/>
        <v>226.26</v>
      </c>
      <c r="Q228" s="322"/>
      <c r="R228" s="322"/>
      <c r="S228" s="323"/>
      <c r="T228" s="271">
        <v>15.26</v>
      </c>
      <c r="U228" s="217"/>
    </row>
    <row r="229" spans="1:21" ht="15.75" x14ac:dyDescent="0.2">
      <c r="A229" s="146" t="s">
        <v>1697</v>
      </c>
      <c r="B229" s="282">
        <v>72308</v>
      </c>
      <c r="C229" s="282" t="s">
        <v>1324</v>
      </c>
      <c r="D229" s="283" t="s">
        <v>1698</v>
      </c>
      <c r="E229" s="284" t="s">
        <v>81</v>
      </c>
      <c r="F229" s="268">
        <f t="shared" si="64"/>
        <v>14.39</v>
      </c>
      <c r="G229" s="285">
        <v>82</v>
      </c>
      <c r="H229" s="285">
        <v>0</v>
      </c>
      <c r="I229" s="285">
        <v>0</v>
      </c>
      <c r="J229" s="285">
        <v>0</v>
      </c>
      <c r="K229" s="269">
        <f t="shared" si="65"/>
        <v>1179.98</v>
      </c>
      <c r="L229" s="344">
        <f t="shared" si="66"/>
        <v>0</v>
      </c>
      <c r="M229" s="344">
        <f t="shared" si="67"/>
        <v>0</v>
      </c>
      <c r="N229" s="345">
        <f t="shared" si="68"/>
        <v>1179.98</v>
      </c>
      <c r="O229" s="325">
        <f t="shared" si="46"/>
        <v>0</v>
      </c>
      <c r="P229" s="319">
        <f t="shared" si="69"/>
        <v>1179.98</v>
      </c>
      <c r="Q229" s="322"/>
      <c r="R229" s="322"/>
      <c r="S229" s="323"/>
      <c r="T229" s="271">
        <v>17.47</v>
      </c>
      <c r="U229" s="217"/>
    </row>
    <row r="230" spans="1:21" ht="15.75" x14ac:dyDescent="0.2">
      <c r="A230" s="146" t="s">
        <v>1699</v>
      </c>
      <c r="B230" s="282">
        <v>72309</v>
      </c>
      <c r="C230" s="282" t="s">
        <v>1324</v>
      </c>
      <c r="D230" s="283" t="s">
        <v>1700</v>
      </c>
      <c r="E230" s="284" t="s">
        <v>81</v>
      </c>
      <c r="F230" s="268">
        <f t="shared" si="64"/>
        <v>22.92</v>
      </c>
      <c r="G230" s="285">
        <v>13</v>
      </c>
      <c r="H230" s="285">
        <v>0</v>
      </c>
      <c r="I230" s="285">
        <v>0</v>
      </c>
      <c r="J230" s="285">
        <v>0</v>
      </c>
      <c r="K230" s="269">
        <f t="shared" si="65"/>
        <v>297.95999999999998</v>
      </c>
      <c r="L230" s="344">
        <f t="shared" si="66"/>
        <v>0</v>
      </c>
      <c r="M230" s="344">
        <f t="shared" si="67"/>
        <v>0</v>
      </c>
      <c r="N230" s="345">
        <f t="shared" si="68"/>
        <v>297.96000000000004</v>
      </c>
      <c r="O230" s="325">
        <f t="shared" si="46"/>
        <v>0</v>
      </c>
      <c r="P230" s="319">
        <f t="shared" si="69"/>
        <v>297.96000000000004</v>
      </c>
      <c r="Q230" s="322"/>
      <c r="R230" s="322"/>
      <c r="S230" s="323"/>
      <c r="T230" s="271">
        <v>27.83</v>
      </c>
      <c r="U230" s="217"/>
    </row>
    <row r="231" spans="1:21" ht="15.75" x14ac:dyDescent="0.2">
      <c r="A231" s="146" t="s">
        <v>1701</v>
      </c>
      <c r="B231" s="282">
        <v>72310</v>
      </c>
      <c r="C231" s="282" t="s">
        <v>1324</v>
      </c>
      <c r="D231" s="283" t="s">
        <v>1702</v>
      </c>
      <c r="E231" s="284" t="s">
        <v>81</v>
      </c>
      <c r="F231" s="268">
        <f t="shared" si="64"/>
        <v>24.94</v>
      </c>
      <c r="G231" s="285">
        <v>30</v>
      </c>
      <c r="H231" s="285">
        <v>0</v>
      </c>
      <c r="I231" s="285">
        <v>0</v>
      </c>
      <c r="J231" s="285">
        <v>0</v>
      </c>
      <c r="K231" s="269">
        <f t="shared" si="65"/>
        <v>748.2</v>
      </c>
      <c r="L231" s="344">
        <f t="shared" si="66"/>
        <v>0</v>
      </c>
      <c r="M231" s="344">
        <f t="shared" si="67"/>
        <v>0</v>
      </c>
      <c r="N231" s="345">
        <f t="shared" si="68"/>
        <v>748.2</v>
      </c>
      <c r="O231" s="325">
        <f t="shared" si="46"/>
        <v>0</v>
      </c>
      <c r="P231" s="319">
        <f t="shared" si="69"/>
        <v>748.2</v>
      </c>
      <c r="Q231" s="322"/>
      <c r="R231" s="322"/>
      <c r="S231" s="323"/>
      <c r="T231" s="271">
        <v>30.28</v>
      </c>
      <c r="U231" s="217"/>
    </row>
    <row r="232" spans="1:21" ht="15.75" x14ac:dyDescent="0.2">
      <c r="A232" s="146" t="s">
        <v>1703</v>
      </c>
      <c r="B232" s="282" t="s">
        <v>1704</v>
      </c>
      <c r="C232" s="282" t="s">
        <v>1324</v>
      </c>
      <c r="D232" s="283" t="s">
        <v>1705</v>
      </c>
      <c r="E232" s="284" t="s">
        <v>102</v>
      </c>
      <c r="F232" s="268">
        <f t="shared" si="64"/>
        <v>23.12</v>
      </c>
      <c r="G232" s="285">
        <v>5</v>
      </c>
      <c r="H232" s="285">
        <v>0</v>
      </c>
      <c r="I232" s="285">
        <v>0</v>
      </c>
      <c r="J232" s="285">
        <v>0</v>
      </c>
      <c r="K232" s="269">
        <f t="shared" si="65"/>
        <v>115.6</v>
      </c>
      <c r="L232" s="344">
        <f t="shared" si="66"/>
        <v>0</v>
      </c>
      <c r="M232" s="344">
        <f t="shared" si="67"/>
        <v>0</v>
      </c>
      <c r="N232" s="345">
        <f t="shared" si="68"/>
        <v>115.60000000000001</v>
      </c>
      <c r="O232" s="325">
        <f t="shared" si="46"/>
        <v>0</v>
      </c>
      <c r="P232" s="319">
        <f t="shared" si="69"/>
        <v>115.60000000000001</v>
      </c>
      <c r="Q232" s="322"/>
      <c r="R232" s="322"/>
      <c r="S232" s="323"/>
      <c r="T232" s="271">
        <v>28.07</v>
      </c>
      <c r="U232" s="217"/>
    </row>
    <row r="233" spans="1:21" ht="15.75" x14ac:dyDescent="0.2">
      <c r="A233" s="146" t="s">
        <v>1706</v>
      </c>
      <c r="B233" s="282" t="s">
        <v>1707</v>
      </c>
      <c r="C233" s="282" t="s">
        <v>1324</v>
      </c>
      <c r="D233" s="283" t="s">
        <v>1708</v>
      </c>
      <c r="E233" s="284" t="s">
        <v>102</v>
      </c>
      <c r="F233" s="268">
        <f t="shared" si="64"/>
        <v>25.34</v>
      </c>
      <c r="G233" s="285">
        <v>5</v>
      </c>
      <c r="H233" s="285">
        <v>0</v>
      </c>
      <c r="I233" s="285">
        <v>0</v>
      </c>
      <c r="J233" s="285">
        <v>0</v>
      </c>
      <c r="K233" s="269">
        <f t="shared" si="65"/>
        <v>126.7</v>
      </c>
      <c r="L233" s="344">
        <f t="shared" si="66"/>
        <v>0</v>
      </c>
      <c r="M233" s="344">
        <f t="shared" si="67"/>
        <v>0</v>
      </c>
      <c r="N233" s="345">
        <f t="shared" si="68"/>
        <v>126.7</v>
      </c>
      <c r="O233" s="325">
        <f t="shared" si="46"/>
        <v>0</v>
      </c>
      <c r="P233" s="319">
        <f t="shared" si="69"/>
        <v>126.7</v>
      </c>
      <c r="Q233" s="322"/>
      <c r="R233" s="322"/>
      <c r="S233" s="323"/>
      <c r="T233" s="271">
        <v>30.77</v>
      </c>
      <c r="U233" s="217"/>
    </row>
    <row r="234" spans="1:21" ht="15.75" x14ac:dyDescent="0.2">
      <c r="A234" s="146" t="s">
        <v>1709</v>
      </c>
      <c r="B234" s="282" t="s">
        <v>1704</v>
      </c>
      <c r="C234" s="282" t="s">
        <v>1324</v>
      </c>
      <c r="D234" s="283" t="s">
        <v>1710</v>
      </c>
      <c r="E234" s="284" t="s">
        <v>102</v>
      </c>
      <c r="F234" s="268">
        <f t="shared" si="64"/>
        <v>25.88</v>
      </c>
      <c r="G234" s="285">
        <v>4</v>
      </c>
      <c r="H234" s="285">
        <v>0</v>
      </c>
      <c r="I234" s="285">
        <v>0</v>
      </c>
      <c r="J234" s="285">
        <v>0</v>
      </c>
      <c r="K234" s="269">
        <f t="shared" si="65"/>
        <v>103.52</v>
      </c>
      <c r="L234" s="344">
        <f t="shared" si="66"/>
        <v>0</v>
      </c>
      <c r="M234" s="344">
        <f t="shared" si="67"/>
        <v>0</v>
      </c>
      <c r="N234" s="345">
        <f t="shared" si="68"/>
        <v>103.52</v>
      </c>
      <c r="O234" s="325">
        <f t="shared" si="46"/>
        <v>0</v>
      </c>
      <c r="P234" s="319">
        <f t="shared" si="69"/>
        <v>103.52</v>
      </c>
      <c r="Q234" s="322"/>
      <c r="R234" s="322"/>
      <c r="S234" s="323"/>
      <c r="T234" s="271">
        <v>31.42</v>
      </c>
      <c r="U234" s="217"/>
    </row>
    <row r="235" spans="1:21" ht="15.75" x14ac:dyDescent="0.2">
      <c r="A235" s="146" t="s">
        <v>1711</v>
      </c>
      <c r="B235" s="282" t="s">
        <v>1712</v>
      </c>
      <c r="C235" s="282" t="s">
        <v>1324</v>
      </c>
      <c r="D235" s="283" t="s">
        <v>1713</v>
      </c>
      <c r="E235" s="284" t="s">
        <v>102</v>
      </c>
      <c r="F235" s="268">
        <f t="shared" si="64"/>
        <v>26.28</v>
      </c>
      <c r="G235" s="285">
        <v>1</v>
      </c>
      <c r="H235" s="285">
        <v>0</v>
      </c>
      <c r="I235" s="285">
        <v>0</v>
      </c>
      <c r="J235" s="285">
        <v>0</v>
      </c>
      <c r="K235" s="269">
        <f t="shared" si="65"/>
        <v>26.28</v>
      </c>
      <c r="L235" s="344">
        <f t="shared" si="66"/>
        <v>0</v>
      </c>
      <c r="M235" s="344">
        <f t="shared" si="67"/>
        <v>0</v>
      </c>
      <c r="N235" s="345">
        <f t="shared" si="68"/>
        <v>26.28</v>
      </c>
      <c r="O235" s="325">
        <f t="shared" si="46"/>
        <v>0</v>
      </c>
      <c r="P235" s="319">
        <f t="shared" si="69"/>
        <v>26.28</v>
      </c>
      <c r="Q235" s="322"/>
      <c r="R235" s="322"/>
      <c r="S235" s="323"/>
      <c r="T235" s="271">
        <v>31.91</v>
      </c>
      <c r="U235" s="217"/>
    </row>
    <row r="236" spans="1:21" ht="15.75" x14ac:dyDescent="0.2">
      <c r="A236" s="146" t="s">
        <v>1714</v>
      </c>
      <c r="B236" s="282" t="s">
        <v>1715</v>
      </c>
      <c r="C236" s="282" t="s">
        <v>1343</v>
      </c>
      <c r="D236" s="283" t="s">
        <v>1716</v>
      </c>
      <c r="E236" s="284" t="s">
        <v>102</v>
      </c>
      <c r="F236" s="268">
        <f t="shared" si="64"/>
        <v>1.94</v>
      </c>
      <c r="G236" s="285">
        <v>50</v>
      </c>
      <c r="H236" s="285">
        <v>0</v>
      </c>
      <c r="I236" s="285">
        <v>0</v>
      </c>
      <c r="J236" s="285">
        <v>0</v>
      </c>
      <c r="K236" s="269">
        <f t="shared" si="65"/>
        <v>97</v>
      </c>
      <c r="L236" s="344">
        <f t="shared" si="66"/>
        <v>0</v>
      </c>
      <c r="M236" s="344">
        <f t="shared" si="67"/>
        <v>0</v>
      </c>
      <c r="N236" s="345">
        <f t="shared" si="68"/>
        <v>97</v>
      </c>
      <c r="O236" s="325">
        <f t="shared" si="46"/>
        <v>0</v>
      </c>
      <c r="P236" s="319">
        <f t="shared" si="69"/>
        <v>97</v>
      </c>
      <c r="Q236" s="322"/>
      <c r="R236" s="322"/>
      <c r="S236" s="323"/>
      <c r="T236" s="271">
        <v>2.35</v>
      </c>
      <c r="U236" s="217"/>
    </row>
    <row r="237" spans="1:21" ht="15.75" x14ac:dyDescent="0.2">
      <c r="A237" s="146" t="s">
        <v>1717</v>
      </c>
      <c r="B237" s="282" t="s">
        <v>1715</v>
      </c>
      <c r="C237" s="282" t="s">
        <v>1343</v>
      </c>
      <c r="D237" s="283" t="s">
        <v>1718</v>
      </c>
      <c r="E237" s="284" t="s">
        <v>102</v>
      </c>
      <c r="F237" s="268">
        <f t="shared" si="64"/>
        <v>2.19</v>
      </c>
      <c r="G237" s="285">
        <v>4</v>
      </c>
      <c r="H237" s="285">
        <v>0</v>
      </c>
      <c r="I237" s="285">
        <v>0</v>
      </c>
      <c r="J237" s="285">
        <v>0</v>
      </c>
      <c r="K237" s="269">
        <f t="shared" si="65"/>
        <v>8.76</v>
      </c>
      <c r="L237" s="344">
        <f t="shared" si="66"/>
        <v>0</v>
      </c>
      <c r="M237" s="344">
        <f t="shared" si="67"/>
        <v>0</v>
      </c>
      <c r="N237" s="345">
        <f t="shared" si="68"/>
        <v>8.76</v>
      </c>
      <c r="O237" s="325">
        <f t="shared" si="46"/>
        <v>0</v>
      </c>
      <c r="P237" s="319">
        <f t="shared" si="69"/>
        <v>8.76</v>
      </c>
      <c r="Q237" s="322"/>
      <c r="R237" s="322"/>
      <c r="S237" s="323"/>
      <c r="T237" s="271">
        <v>2.66</v>
      </c>
      <c r="U237" s="217"/>
    </row>
    <row r="238" spans="1:21" ht="15.75" x14ac:dyDescent="0.2">
      <c r="A238" s="146" t="s">
        <v>1719</v>
      </c>
      <c r="B238" s="282" t="s">
        <v>1715</v>
      </c>
      <c r="C238" s="282" t="s">
        <v>1343</v>
      </c>
      <c r="D238" s="283" t="s">
        <v>1720</v>
      </c>
      <c r="E238" s="284" t="s">
        <v>102</v>
      </c>
      <c r="F238" s="268">
        <f t="shared" si="64"/>
        <v>2.4</v>
      </c>
      <c r="G238" s="285">
        <v>4</v>
      </c>
      <c r="H238" s="285">
        <v>0</v>
      </c>
      <c r="I238" s="285">
        <v>0</v>
      </c>
      <c r="J238" s="285">
        <v>0</v>
      </c>
      <c r="K238" s="269">
        <f t="shared" si="65"/>
        <v>9.6</v>
      </c>
      <c r="L238" s="344">
        <f t="shared" si="66"/>
        <v>0</v>
      </c>
      <c r="M238" s="344">
        <f t="shared" si="67"/>
        <v>0</v>
      </c>
      <c r="N238" s="345">
        <f t="shared" si="68"/>
        <v>9.6</v>
      </c>
      <c r="O238" s="325">
        <f t="shared" si="46"/>
        <v>0</v>
      </c>
      <c r="P238" s="319">
        <f t="shared" si="69"/>
        <v>9.6</v>
      </c>
      <c r="Q238" s="322"/>
      <c r="R238" s="322"/>
      <c r="S238" s="323"/>
      <c r="T238" s="271">
        <v>2.92</v>
      </c>
      <c r="U238" s="217"/>
    </row>
    <row r="239" spans="1:21" ht="15.75" x14ac:dyDescent="0.2">
      <c r="A239" s="146" t="s">
        <v>1721</v>
      </c>
      <c r="B239" s="282">
        <v>73542</v>
      </c>
      <c r="C239" s="282" t="s">
        <v>1324</v>
      </c>
      <c r="D239" s="283" t="s">
        <v>1722</v>
      </c>
      <c r="E239" s="284" t="s">
        <v>1723</v>
      </c>
      <c r="F239" s="268">
        <f t="shared" si="64"/>
        <v>0.73</v>
      </c>
      <c r="G239" s="285">
        <v>15</v>
      </c>
      <c r="H239" s="285">
        <v>0</v>
      </c>
      <c r="I239" s="285">
        <v>0</v>
      </c>
      <c r="J239" s="285">
        <v>0</v>
      </c>
      <c r="K239" s="269">
        <f t="shared" si="65"/>
        <v>10.95</v>
      </c>
      <c r="L239" s="344">
        <f t="shared" si="66"/>
        <v>0</v>
      </c>
      <c r="M239" s="344">
        <f t="shared" si="67"/>
        <v>0</v>
      </c>
      <c r="N239" s="345">
        <f t="shared" si="68"/>
        <v>10.95</v>
      </c>
      <c r="O239" s="325">
        <f t="shared" ref="O239:O283" si="70">M239/P239</f>
        <v>0</v>
      </c>
      <c r="P239" s="319">
        <f t="shared" si="69"/>
        <v>10.95</v>
      </c>
      <c r="Q239" s="322"/>
      <c r="R239" s="322"/>
      <c r="S239" s="323"/>
      <c r="T239" s="271">
        <v>0.89</v>
      </c>
      <c r="U239" s="217"/>
    </row>
    <row r="240" spans="1:21" ht="15.75" x14ac:dyDescent="0.2">
      <c r="A240" s="146" t="s">
        <v>1724</v>
      </c>
      <c r="B240" s="282">
        <v>84158</v>
      </c>
      <c r="C240" s="282" t="s">
        <v>1324</v>
      </c>
      <c r="D240" s="283" t="s">
        <v>1725</v>
      </c>
      <c r="E240" s="284" t="s">
        <v>1723</v>
      </c>
      <c r="F240" s="268">
        <f t="shared" si="64"/>
        <v>1.42</v>
      </c>
      <c r="G240" s="285">
        <v>2</v>
      </c>
      <c r="H240" s="285">
        <v>0</v>
      </c>
      <c r="I240" s="285">
        <v>0</v>
      </c>
      <c r="J240" s="285">
        <v>0</v>
      </c>
      <c r="K240" s="269">
        <f t="shared" si="65"/>
        <v>2.84</v>
      </c>
      <c r="L240" s="344">
        <f t="shared" si="66"/>
        <v>0</v>
      </c>
      <c r="M240" s="344">
        <f t="shared" si="67"/>
        <v>0</v>
      </c>
      <c r="N240" s="345">
        <f t="shared" si="68"/>
        <v>2.84</v>
      </c>
      <c r="O240" s="325">
        <f t="shared" si="70"/>
        <v>0</v>
      </c>
      <c r="P240" s="319">
        <f t="shared" si="69"/>
        <v>2.84</v>
      </c>
      <c r="Q240" s="322"/>
      <c r="R240" s="322"/>
      <c r="S240" s="323"/>
      <c r="T240" s="271">
        <v>1.73</v>
      </c>
      <c r="U240" s="217"/>
    </row>
    <row r="241" spans="1:21" ht="15.75" x14ac:dyDescent="0.2">
      <c r="A241" s="146" t="s">
        <v>1726</v>
      </c>
      <c r="B241" s="282">
        <v>84159</v>
      </c>
      <c r="C241" s="282" t="s">
        <v>1324</v>
      </c>
      <c r="D241" s="283" t="s">
        <v>1727</v>
      </c>
      <c r="E241" s="284" t="s">
        <v>1723</v>
      </c>
      <c r="F241" s="268">
        <f t="shared" si="64"/>
        <v>3.16</v>
      </c>
      <c r="G241" s="285">
        <v>1</v>
      </c>
      <c r="H241" s="285">
        <v>0</v>
      </c>
      <c r="I241" s="285">
        <v>0</v>
      </c>
      <c r="J241" s="285">
        <v>0</v>
      </c>
      <c r="K241" s="269">
        <f t="shared" si="65"/>
        <v>3.16</v>
      </c>
      <c r="L241" s="344">
        <f t="shared" si="66"/>
        <v>0</v>
      </c>
      <c r="M241" s="344">
        <f t="shared" si="67"/>
        <v>0</v>
      </c>
      <c r="N241" s="345">
        <f t="shared" si="68"/>
        <v>3.16</v>
      </c>
      <c r="O241" s="325">
        <f t="shared" si="70"/>
        <v>0</v>
      </c>
      <c r="P241" s="319">
        <f t="shared" si="69"/>
        <v>3.16</v>
      </c>
      <c r="Q241" s="322"/>
      <c r="R241" s="322"/>
      <c r="S241" s="323"/>
      <c r="T241" s="271">
        <v>3.84</v>
      </c>
      <c r="U241" s="217"/>
    </row>
    <row r="242" spans="1:21" ht="15.75" x14ac:dyDescent="0.2">
      <c r="A242" s="146" t="s">
        <v>1728</v>
      </c>
      <c r="B242" s="282">
        <v>92695</v>
      </c>
      <c r="C242" s="282" t="s">
        <v>1324</v>
      </c>
      <c r="D242" s="283" t="s">
        <v>1729</v>
      </c>
      <c r="E242" s="284" t="s">
        <v>102</v>
      </c>
      <c r="F242" s="268">
        <f t="shared" si="64"/>
        <v>14</v>
      </c>
      <c r="G242" s="285">
        <v>15</v>
      </c>
      <c r="H242" s="285">
        <v>0</v>
      </c>
      <c r="I242" s="285">
        <v>0</v>
      </c>
      <c r="J242" s="285">
        <v>0</v>
      </c>
      <c r="K242" s="269">
        <f t="shared" si="65"/>
        <v>210</v>
      </c>
      <c r="L242" s="344">
        <f t="shared" si="66"/>
        <v>0</v>
      </c>
      <c r="M242" s="344">
        <f t="shared" si="67"/>
        <v>0</v>
      </c>
      <c r="N242" s="345">
        <f t="shared" si="68"/>
        <v>210</v>
      </c>
      <c r="O242" s="325">
        <f t="shared" si="70"/>
        <v>0</v>
      </c>
      <c r="P242" s="319">
        <f t="shared" si="69"/>
        <v>210</v>
      </c>
      <c r="Q242" s="322"/>
      <c r="R242" s="322"/>
      <c r="S242" s="323"/>
      <c r="T242" s="271">
        <v>17</v>
      </c>
      <c r="U242" s="217"/>
    </row>
    <row r="243" spans="1:21" ht="15.75" x14ac:dyDescent="0.2">
      <c r="A243" s="146" t="s">
        <v>1730</v>
      </c>
      <c r="B243" s="282">
        <v>92697</v>
      </c>
      <c r="C243" s="282" t="s">
        <v>1324</v>
      </c>
      <c r="D243" s="283" t="s">
        <v>1731</v>
      </c>
      <c r="E243" s="284" t="s">
        <v>102</v>
      </c>
      <c r="F243" s="268">
        <f t="shared" si="64"/>
        <v>22.66</v>
      </c>
      <c r="G243" s="285">
        <v>2</v>
      </c>
      <c r="H243" s="285">
        <v>0</v>
      </c>
      <c r="I243" s="285">
        <v>0</v>
      </c>
      <c r="J243" s="285">
        <v>0</v>
      </c>
      <c r="K243" s="269">
        <f t="shared" si="65"/>
        <v>45.32</v>
      </c>
      <c r="L243" s="344">
        <f t="shared" si="66"/>
        <v>0</v>
      </c>
      <c r="M243" s="344">
        <f t="shared" si="67"/>
        <v>0</v>
      </c>
      <c r="N243" s="345">
        <f t="shared" si="68"/>
        <v>45.32</v>
      </c>
      <c r="O243" s="325">
        <f t="shared" si="70"/>
        <v>0</v>
      </c>
      <c r="P243" s="319">
        <f t="shared" si="69"/>
        <v>45.32</v>
      </c>
      <c r="Q243" s="322"/>
      <c r="R243" s="322"/>
      <c r="S243" s="323"/>
      <c r="T243" s="271">
        <v>27.51</v>
      </c>
      <c r="U243" s="217"/>
    </row>
    <row r="244" spans="1:21" ht="15.75" x14ac:dyDescent="0.2">
      <c r="A244" s="146" t="s">
        <v>1732</v>
      </c>
      <c r="B244" s="282">
        <v>92662</v>
      </c>
      <c r="C244" s="282" t="s">
        <v>1324</v>
      </c>
      <c r="D244" s="283" t="s">
        <v>1733</v>
      </c>
      <c r="E244" s="284" t="s">
        <v>102</v>
      </c>
      <c r="F244" s="268">
        <f t="shared" si="64"/>
        <v>22.38</v>
      </c>
      <c r="G244" s="285">
        <v>1</v>
      </c>
      <c r="H244" s="285">
        <v>0</v>
      </c>
      <c r="I244" s="285">
        <v>0</v>
      </c>
      <c r="J244" s="285">
        <v>0</v>
      </c>
      <c r="K244" s="269">
        <f t="shared" si="65"/>
        <v>22.38</v>
      </c>
      <c r="L244" s="344">
        <f t="shared" si="66"/>
        <v>0</v>
      </c>
      <c r="M244" s="344">
        <f t="shared" si="67"/>
        <v>0</v>
      </c>
      <c r="N244" s="345">
        <f t="shared" si="68"/>
        <v>22.38</v>
      </c>
      <c r="O244" s="325">
        <f t="shared" si="70"/>
        <v>0</v>
      </c>
      <c r="P244" s="319">
        <f t="shared" si="69"/>
        <v>22.38</v>
      </c>
      <c r="Q244" s="322"/>
      <c r="R244" s="322"/>
      <c r="S244" s="323"/>
      <c r="T244" s="271">
        <v>27.17</v>
      </c>
      <c r="U244" s="217"/>
    </row>
    <row r="245" spans="1:21" ht="15.75" x14ac:dyDescent="0.2">
      <c r="A245" s="146" t="s">
        <v>1734</v>
      </c>
      <c r="B245" s="282">
        <v>92868</v>
      </c>
      <c r="C245" s="282" t="s">
        <v>1324</v>
      </c>
      <c r="D245" s="283" t="s">
        <v>1735</v>
      </c>
      <c r="E245" s="284" t="s">
        <v>102</v>
      </c>
      <c r="F245" s="268">
        <f t="shared" si="64"/>
        <v>9.5299999999999994</v>
      </c>
      <c r="G245" s="285">
        <v>16</v>
      </c>
      <c r="H245" s="285">
        <v>0</v>
      </c>
      <c r="I245" s="285">
        <v>0</v>
      </c>
      <c r="J245" s="285">
        <v>0</v>
      </c>
      <c r="K245" s="269">
        <f t="shared" si="65"/>
        <v>152.47999999999999</v>
      </c>
      <c r="L245" s="344">
        <f t="shared" si="66"/>
        <v>0</v>
      </c>
      <c r="M245" s="344">
        <f t="shared" si="67"/>
        <v>0</v>
      </c>
      <c r="N245" s="345">
        <f t="shared" si="68"/>
        <v>152.47999999999999</v>
      </c>
      <c r="O245" s="325">
        <f t="shared" si="70"/>
        <v>0</v>
      </c>
      <c r="P245" s="319">
        <f t="shared" si="69"/>
        <v>152.47999999999999</v>
      </c>
      <c r="Q245" s="322"/>
      <c r="R245" s="322"/>
      <c r="S245" s="323"/>
      <c r="T245" s="271">
        <v>11.57</v>
      </c>
      <c r="U245" s="217"/>
    </row>
    <row r="246" spans="1:21" ht="25.5" x14ac:dyDescent="0.2">
      <c r="A246" s="146" t="s">
        <v>1736</v>
      </c>
      <c r="B246" s="282">
        <v>92865</v>
      </c>
      <c r="C246" s="282" t="s">
        <v>1324</v>
      </c>
      <c r="D246" s="283" t="s">
        <v>1737</v>
      </c>
      <c r="E246" s="284" t="s">
        <v>102</v>
      </c>
      <c r="F246" s="268">
        <f t="shared" si="64"/>
        <v>6.13</v>
      </c>
      <c r="G246" s="285">
        <v>7</v>
      </c>
      <c r="H246" s="285">
        <v>0</v>
      </c>
      <c r="I246" s="285">
        <v>0</v>
      </c>
      <c r="J246" s="285">
        <v>0</v>
      </c>
      <c r="K246" s="269">
        <f t="shared" si="65"/>
        <v>42.91</v>
      </c>
      <c r="L246" s="344">
        <f t="shared" si="66"/>
        <v>0</v>
      </c>
      <c r="M246" s="344">
        <f t="shared" si="67"/>
        <v>0</v>
      </c>
      <c r="N246" s="345">
        <f t="shared" si="68"/>
        <v>42.91</v>
      </c>
      <c r="O246" s="325">
        <f t="shared" si="70"/>
        <v>0</v>
      </c>
      <c r="P246" s="319">
        <f t="shared" si="69"/>
        <v>42.91</v>
      </c>
      <c r="Q246" s="322"/>
      <c r="R246" s="322"/>
      <c r="S246" s="323"/>
      <c r="T246" s="271">
        <v>7.44</v>
      </c>
      <c r="U246" s="217"/>
    </row>
    <row r="247" spans="1:21" ht="15.75" x14ac:dyDescent="0.2">
      <c r="A247" s="352" t="s">
        <v>634</v>
      </c>
      <c r="B247" s="290"/>
      <c r="C247" s="290"/>
      <c r="D247" s="291" t="s">
        <v>1738</v>
      </c>
      <c r="E247" s="292"/>
      <c r="F247" s="279">
        <f>K247</f>
        <v>4345.79</v>
      </c>
      <c r="G247" s="293"/>
      <c r="H247" s="279"/>
      <c r="I247" s="279"/>
      <c r="J247" s="279"/>
      <c r="K247" s="280">
        <f>SUM(K248:K251)</f>
        <v>4345.79</v>
      </c>
      <c r="L247" s="349"/>
      <c r="M247" s="349"/>
      <c r="N247" s="350">
        <f>SUM(N248:N251)</f>
        <v>4345.79</v>
      </c>
      <c r="O247" s="325" t="e">
        <f t="shared" si="70"/>
        <v>#DIV/0!</v>
      </c>
      <c r="P247" s="319">
        <f t="shared" si="69"/>
        <v>0</v>
      </c>
      <c r="Q247" s="322"/>
      <c r="R247" s="322"/>
      <c r="S247" s="323"/>
      <c r="T247" s="271">
        <v>0</v>
      </c>
      <c r="U247" s="217"/>
    </row>
    <row r="248" spans="1:21" ht="15.75" x14ac:dyDescent="0.2">
      <c r="A248" s="146" t="s">
        <v>1739</v>
      </c>
      <c r="B248" s="282">
        <v>91926</v>
      </c>
      <c r="C248" s="282" t="s">
        <v>1324</v>
      </c>
      <c r="D248" s="283" t="s">
        <v>1740</v>
      </c>
      <c r="E248" s="284" t="s">
        <v>81</v>
      </c>
      <c r="F248" s="268">
        <f>ROUND(T248*$T$12,2)</f>
        <v>2.31</v>
      </c>
      <c r="G248" s="285">
        <v>190</v>
      </c>
      <c r="H248" s="285">
        <v>0</v>
      </c>
      <c r="I248" s="285">
        <v>0</v>
      </c>
      <c r="J248" s="285">
        <v>0</v>
      </c>
      <c r="K248" s="269">
        <f>ROUND(G248*F248,2)</f>
        <v>438.9</v>
      </c>
      <c r="L248" s="344">
        <f>H248*F248</f>
        <v>0</v>
      </c>
      <c r="M248" s="344">
        <f>L248</f>
        <v>0</v>
      </c>
      <c r="N248" s="345">
        <f>F248*G248-M248</f>
        <v>438.90000000000003</v>
      </c>
      <c r="O248" s="325">
        <f t="shared" si="70"/>
        <v>0</v>
      </c>
      <c r="P248" s="319">
        <f t="shared" si="69"/>
        <v>438.90000000000003</v>
      </c>
      <c r="Q248" s="322"/>
      <c r="R248" s="322"/>
      <c r="S248" s="323"/>
      <c r="T248" s="271">
        <v>2.8</v>
      </c>
      <c r="U248" s="217"/>
    </row>
    <row r="249" spans="1:21" ht="15.75" x14ac:dyDescent="0.2">
      <c r="A249" s="146" t="s">
        <v>1741</v>
      </c>
      <c r="B249" s="282">
        <v>91928</v>
      </c>
      <c r="C249" s="282" t="s">
        <v>1324</v>
      </c>
      <c r="D249" s="283" t="s">
        <v>1742</v>
      </c>
      <c r="E249" s="284" t="s">
        <v>81</v>
      </c>
      <c r="F249" s="268">
        <f>ROUND(T249*$T$12,2)</f>
        <v>3.64</v>
      </c>
      <c r="G249" s="285">
        <v>820</v>
      </c>
      <c r="H249" s="285">
        <v>0</v>
      </c>
      <c r="I249" s="285">
        <v>0</v>
      </c>
      <c r="J249" s="285">
        <v>0</v>
      </c>
      <c r="K249" s="269">
        <f>ROUND(G249*F249,2)</f>
        <v>2984.8</v>
      </c>
      <c r="L249" s="344">
        <f>H249*F249</f>
        <v>0</v>
      </c>
      <c r="M249" s="344">
        <f>L249</f>
        <v>0</v>
      </c>
      <c r="N249" s="345">
        <f>F249*G249-M249</f>
        <v>2984.8</v>
      </c>
      <c r="O249" s="325">
        <f t="shared" si="70"/>
        <v>0</v>
      </c>
      <c r="P249" s="319">
        <f t="shared" si="69"/>
        <v>2984.8</v>
      </c>
      <c r="Q249" s="322"/>
      <c r="R249" s="322"/>
      <c r="S249" s="323"/>
      <c r="T249" s="271">
        <v>4.42</v>
      </c>
      <c r="U249" s="217"/>
    </row>
    <row r="250" spans="1:21" ht="15.75" x14ac:dyDescent="0.2">
      <c r="A250" s="146" t="s">
        <v>1743</v>
      </c>
      <c r="B250" s="282">
        <v>91934</v>
      </c>
      <c r="C250" s="282" t="s">
        <v>1324</v>
      </c>
      <c r="D250" s="283" t="s">
        <v>1744</v>
      </c>
      <c r="E250" s="284" t="s">
        <v>81</v>
      </c>
      <c r="F250" s="268">
        <f>ROUND(T250*$T$12,2)</f>
        <v>12.3</v>
      </c>
      <c r="G250" s="285">
        <v>14</v>
      </c>
      <c r="H250" s="285">
        <v>0</v>
      </c>
      <c r="I250" s="285">
        <v>0</v>
      </c>
      <c r="J250" s="285">
        <v>0</v>
      </c>
      <c r="K250" s="269">
        <f>ROUND(G250*F250,2)</f>
        <v>172.2</v>
      </c>
      <c r="L250" s="344">
        <f>H250*F250</f>
        <v>0</v>
      </c>
      <c r="M250" s="344">
        <f>L250</f>
        <v>0</v>
      </c>
      <c r="N250" s="345">
        <f>F250*G250-M250</f>
        <v>172.20000000000002</v>
      </c>
      <c r="O250" s="325">
        <f t="shared" si="70"/>
        <v>0</v>
      </c>
      <c r="P250" s="319">
        <f t="shared" si="69"/>
        <v>172.20000000000002</v>
      </c>
      <c r="Q250" s="322"/>
      <c r="R250" s="322"/>
      <c r="S250" s="323"/>
      <c r="T250" s="271">
        <v>14.94</v>
      </c>
      <c r="U250" s="217"/>
    </row>
    <row r="251" spans="1:21" ht="15.75" x14ac:dyDescent="0.2">
      <c r="A251" s="146" t="s">
        <v>1745</v>
      </c>
      <c r="B251" s="282">
        <v>92985</v>
      </c>
      <c r="C251" s="282" t="s">
        <v>1324</v>
      </c>
      <c r="D251" s="283" t="s">
        <v>1746</v>
      </c>
      <c r="E251" s="284" t="s">
        <v>81</v>
      </c>
      <c r="F251" s="268">
        <f>ROUND(T251*$T$12,2)</f>
        <v>18.29</v>
      </c>
      <c r="G251" s="285">
        <v>41</v>
      </c>
      <c r="H251" s="285">
        <v>0</v>
      </c>
      <c r="I251" s="285">
        <v>0</v>
      </c>
      <c r="J251" s="285">
        <v>0</v>
      </c>
      <c r="K251" s="269">
        <f>ROUND(G251*F251,2)</f>
        <v>749.89</v>
      </c>
      <c r="L251" s="344">
        <f>H251*F251</f>
        <v>0</v>
      </c>
      <c r="M251" s="344">
        <f>L251</f>
        <v>0</v>
      </c>
      <c r="N251" s="345">
        <f>F251*G251-M251</f>
        <v>749.89</v>
      </c>
      <c r="O251" s="325">
        <f t="shared" si="70"/>
        <v>0</v>
      </c>
      <c r="P251" s="319">
        <f t="shared" si="69"/>
        <v>749.89</v>
      </c>
      <c r="Q251" s="322"/>
      <c r="R251" s="322"/>
      <c r="S251" s="323"/>
      <c r="T251" s="271">
        <v>22.21</v>
      </c>
      <c r="U251" s="217"/>
    </row>
    <row r="252" spans="1:21" ht="15.75" x14ac:dyDescent="0.2">
      <c r="A252" s="352" t="s">
        <v>640</v>
      </c>
      <c r="B252" s="290"/>
      <c r="C252" s="290"/>
      <c r="D252" s="291" t="s">
        <v>1747</v>
      </c>
      <c r="E252" s="292"/>
      <c r="F252" s="279">
        <f>K252</f>
        <v>10299.74</v>
      </c>
      <c r="G252" s="293"/>
      <c r="H252" s="279"/>
      <c r="I252" s="279"/>
      <c r="J252" s="279"/>
      <c r="K252" s="280">
        <f>SUM(K253:K258)</f>
        <v>10299.74</v>
      </c>
      <c r="L252" s="349"/>
      <c r="M252" s="349"/>
      <c r="N252" s="350">
        <f>SUM(N253:N258)</f>
        <v>10299.74</v>
      </c>
      <c r="O252" s="325" t="e">
        <f t="shared" si="70"/>
        <v>#DIV/0!</v>
      </c>
      <c r="P252" s="319"/>
      <c r="Q252" s="322"/>
      <c r="R252" s="322"/>
      <c r="S252" s="323"/>
      <c r="T252" s="271">
        <v>0</v>
      </c>
      <c r="U252" s="217"/>
    </row>
    <row r="253" spans="1:21" ht="15.75" x14ac:dyDescent="0.2">
      <c r="A253" s="146" t="s">
        <v>1748</v>
      </c>
      <c r="B253" s="282">
        <v>92000</v>
      </c>
      <c r="C253" s="282" t="s">
        <v>1324</v>
      </c>
      <c r="D253" s="283" t="s">
        <v>1749</v>
      </c>
      <c r="E253" s="284" t="s">
        <v>102</v>
      </c>
      <c r="F253" s="268">
        <f t="shared" ref="F253:F258" si="71">ROUND(T253*$T$12,2)</f>
        <v>20.07</v>
      </c>
      <c r="G253" s="285">
        <v>4</v>
      </c>
      <c r="H253" s="285">
        <v>0</v>
      </c>
      <c r="I253" s="285">
        <v>0</v>
      </c>
      <c r="J253" s="285">
        <v>0</v>
      </c>
      <c r="K253" s="269">
        <f t="shared" ref="K253:K258" si="72">ROUND(G253*F253,2)</f>
        <v>80.28</v>
      </c>
      <c r="L253" s="344">
        <f t="shared" ref="L253:L258" si="73">H253*F253</f>
        <v>0</v>
      </c>
      <c r="M253" s="344">
        <f t="shared" ref="M253:M258" si="74">L253</f>
        <v>0</v>
      </c>
      <c r="N253" s="345">
        <f t="shared" ref="N253:N258" si="75">F253*G253-M253</f>
        <v>80.28</v>
      </c>
      <c r="O253" s="325">
        <f t="shared" si="70"/>
        <v>0</v>
      </c>
      <c r="P253" s="319">
        <f t="shared" ref="P253:P267" si="76">G253*F253</f>
        <v>80.28</v>
      </c>
      <c r="Q253" s="322"/>
      <c r="R253" s="322"/>
      <c r="S253" s="323"/>
      <c r="T253" s="271">
        <v>24.37</v>
      </c>
      <c r="U253" s="217"/>
    </row>
    <row r="254" spans="1:21" ht="15.75" x14ac:dyDescent="0.2">
      <c r="A254" s="146" t="s">
        <v>1750</v>
      </c>
      <c r="B254" s="282">
        <v>92001</v>
      </c>
      <c r="C254" s="282" t="s">
        <v>1324</v>
      </c>
      <c r="D254" s="283" t="s">
        <v>1751</v>
      </c>
      <c r="E254" s="284" t="s">
        <v>102</v>
      </c>
      <c r="F254" s="268">
        <f t="shared" si="71"/>
        <v>21.83</v>
      </c>
      <c r="G254" s="285">
        <v>1</v>
      </c>
      <c r="H254" s="285">
        <v>0</v>
      </c>
      <c r="I254" s="285">
        <v>0</v>
      </c>
      <c r="J254" s="285">
        <v>0</v>
      </c>
      <c r="K254" s="269">
        <f t="shared" si="72"/>
        <v>21.83</v>
      </c>
      <c r="L254" s="344">
        <f t="shared" si="73"/>
        <v>0</v>
      </c>
      <c r="M254" s="344">
        <f t="shared" si="74"/>
        <v>0</v>
      </c>
      <c r="N254" s="345">
        <f t="shared" si="75"/>
        <v>21.83</v>
      </c>
      <c r="O254" s="325">
        <f t="shared" si="70"/>
        <v>0</v>
      </c>
      <c r="P254" s="319">
        <f t="shared" si="76"/>
        <v>21.83</v>
      </c>
      <c r="Q254" s="322"/>
      <c r="R254" s="322"/>
      <c r="S254" s="323"/>
      <c r="T254" s="271">
        <v>26.5</v>
      </c>
      <c r="U254" s="217"/>
    </row>
    <row r="255" spans="1:21" ht="25.5" x14ac:dyDescent="0.2">
      <c r="A255" s="146" t="s">
        <v>1752</v>
      </c>
      <c r="B255" s="282">
        <v>91953</v>
      </c>
      <c r="C255" s="282" t="s">
        <v>1324</v>
      </c>
      <c r="D255" s="283" t="s">
        <v>1753</v>
      </c>
      <c r="E255" s="284" t="s">
        <v>102</v>
      </c>
      <c r="F255" s="268">
        <f t="shared" si="71"/>
        <v>18.98</v>
      </c>
      <c r="G255" s="285">
        <v>7</v>
      </c>
      <c r="H255" s="285">
        <v>0</v>
      </c>
      <c r="I255" s="285">
        <v>0</v>
      </c>
      <c r="J255" s="285">
        <v>0</v>
      </c>
      <c r="K255" s="269">
        <f t="shared" si="72"/>
        <v>132.86000000000001</v>
      </c>
      <c r="L255" s="344">
        <f t="shared" si="73"/>
        <v>0</v>
      </c>
      <c r="M255" s="344">
        <f t="shared" si="74"/>
        <v>0</v>
      </c>
      <c r="N255" s="345">
        <f t="shared" si="75"/>
        <v>132.86000000000001</v>
      </c>
      <c r="O255" s="325">
        <f t="shared" si="70"/>
        <v>0</v>
      </c>
      <c r="P255" s="319">
        <f t="shared" si="76"/>
        <v>132.86000000000001</v>
      </c>
      <c r="Q255" s="322"/>
      <c r="R255" s="322"/>
      <c r="S255" s="323"/>
      <c r="T255" s="271">
        <v>23.04</v>
      </c>
      <c r="U255" s="217"/>
    </row>
    <row r="256" spans="1:21" ht="15.75" x14ac:dyDescent="0.2">
      <c r="A256" s="146" t="s">
        <v>1754</v>
      </c>
      <c r="B256" s="282" t="s">
        <v>1755</v>
      </c>
      <c r="C256" s="282" t="s">
        <v>1324</v>
      </c>
      <c r="D256" s="283" t="s">
        <v>1756</v>
      </c>
      <c r="E256" s="284" t="s">
        <v>102</v>
      </c>
      <c r="F256" s="268">
        <f t="shared" si="71"/>
        <v>133.31</v>
      </c>
      <c r="G256" s="285">
        <v>1</v>
      </c>
      <c r="H256" s="285">
        <v>0</v>
      </c>
      <c r="I256" s="285">
        <v>0</v>
      </c>
      <c r="J256" s="285">
        <v>0</v>
      </c>
      <c r="K256" s="269">
        <f t="shared" si="72"/>
        <v>133.31</v>
      </c>
      <c r="L256" s="344">
        <f t="shared" si="73"/>
        <v>0</v>
      </c>
      <c r="M256" s="344">
        <f t="shared" si="74"/>
        <v>0</v>
      </c>
      <c r="N256" s="345">
        <f t="shared" si="75"/>
        <v>133.31</v>
      </c>
      <c r="O256" s="325">
        <f t="shared" si="70"/>
        <v>0</v>
      </c>
      <c r="P256" s="319">
        <f t="shared" si="76"/>
        <v>133.31</v>
      </c>
      <c r="Q256" s="322"/>
      <c r="R256" s="322"/>
      <c r="S256" s="323"/>
      <c r="T256" s="271">
        <v>161.87</v>
      </c>
      <c r="U256" s="217"/>
    </row>
    <row r="257" spans="1:21" ht="15.75" x14ac:dyDescent="0.2">
      <c r="A257" s="146" t="s">
        <v>1757</v>
      </c>
      <c r="B257" s="282" t="s">
        <v>1758</v>
      </c>
      <c r="C257" s="282" t="s">
        <v>1324</v>
      </c>
      <c r="D257" s="283" t="s">
        <v>1759</v>
      </c>
      <c r="E257" s="284" t="s">
        <v>102</v>
      </c>
      <c r="F257" s="268">
        <f t="shared" si="71"/>
        <v>156.31</v>
      </c>
      <c r="G257" s="285">
        <v>6</v>
      </c>
      <c r="H257" s="285">
        <v>0</v>
      </c>
      <c r="I257" s="285">
        <v>0</v>
      </c>
      <c r="J257" s="285">
        <v>0</v>
      </c>
      <c r="K257" s="269">
        <f t="shared" si="72"/>
        <v>937.86</v>
      </c>
      <c r="L257" s="344">
        <f t="shared" si="73"/>
        <v>0</v>
      </c>
      <c r="M257" s="344">
        <f t="shared" si="74"/>
        <v>0</v>
      </c>
      <c r="N257" s="345">
        <f t="shared" si="75"/>
        <v>937.86</v>
      </c>
      <c r="O257" s="325">
        <f t="shared" si="70"/>
        <v>0</v>
      </c>
      <c r="P257" s="319">
        <f t="shared" si="76"/>
        <v>937.86</v>
      </c>
      <c r="Q257" s="322"/>
      <c r="R257" s="322"/>
      <c r="S257" s="323"/>
      <c r="T257" s="271">
        <v>189.79</v>
      </c>
      <c r="U257" s="217"/>
    </row>
    <row r="258" spans="1:21" ht="25.5" x14ac:dyDescent="0.2">
      <c r="A258" s="146" t="s">
        <v>1760</v>
      </c>
      <c r="B258" s="282"/>
      <c r="C258" s="282" t="s">
        <v>1339</v>
      </c>
      <c r="D258" s="283" t="s">
        <v>1761</v>
      </c>
      <c r="E258" s="284" t="s">
        <v>102</v>
      </c>
      <c r="F258" s="268">
        <f t="shared" si="71"/>
        <v>449.68</v>
      </c>
      <c r="G258" s="285">
        <v>20</v>
      </c>
      <c r="H258" s="285">
        <v>0</v>
      </c>
      <c r="I258" s="285">
        <v>0</v>
      </c>
      <c r="J258" s="285">
        <v>0</v>
      </c>
      <c r="K258" s="269">
        <f t="shared" si="72"/>
        <v>8993.6</v>
      </c>
      <c r="L258" s="344">
        <f t="shared" si="73"/>
        <v>0</v>
      </c>
      <c r="M258" s="344">
        <f t="shared" si="74"/>
        <v>0</v>
      </c>
      <c r="N258" s="345">
        <f t="shared" si="75"/>
        <v>8993.6</v>
      </c>
      <c r="O258" s="325">
        <f t="shared" si="70"/>
        <v>0</v>
      </c>
      <c r="P258" s="319">
        <f t="shared" si="76"/>
        <v>8993.6</v>
      </c>
      <c r="Q258" s="322"/>
      <c r="R258" s="322"/>
      <c r="S258" s="323"/>
      <c r="T258" s="271">
        <v>546</v>
      </c>
      <c r="U258" s="217"/>
    </row>
    <row r="259" spans="1:21" ht="15.75" x14ac:dyDescent="0.2">
      <c r="A259" s="351">
        <v>18</v>
      </c>
      <c r="B259" s="286"/>
      <c r="C259" s="286"/>
      <c r="D259" s="287" t="s">
        <v>1762</v>
      </c>
      <c r="E259" s="288"/>
      <c r="F259" s="261">
        <f>K259</f>
        <v>7237.1900000000014</v>
      </c>
      <c r="G259" s="289"/>
      <c r="H259" s="261"/>
      <c r="I259" s="261"/>
      <c r="J259" s="261"/>
      <c r="K259" s="262">
        <f>SUM(K260:K267)</f>
        <v>7237.1900000000014</v>
      </c>
      <c r="L259" s="342"/>
      <c r="M259" s="342"/>
      <c r="N259" s="343">
        <f>SUM(N260:N267)</f>
        <v>7237.1920000000018</v>
      </c>
      <c r="O259" s="325" t="e">
        <f t="shared" si="70"/>
        <v>#DIV/0!</v>
      </c>
      <c r="P259" s="319">
        <f t="shared" si="76"/>
        <v>0</v>
      </c>
      <c r="Q259" s="322"/>
      <c r="R259" s="322"/>
      <c r="S259" s="323"/>
      <c r="T259" s="271">
        <v>0</v>
      </c>
      <c r="U259" s="217"/>
    </row>
    <row r="260" spans="1:21" ht="25.5" x14ac:dyDescent="0.2">
      <c r="A260" s="146" t="s">
        <v>657</v>
      </c>
      <c r="B260" s="282"/>
      <c r="C260" s="282" t="s">
        <v>1339</v>
      </c>
      <c r="D260" s="283" t="s">
        <v>1763</v>
      </c>
      <c r="E260" s="284" t="s">
        <v>102</v>
      </c>
      <c r="F260" s="268">
        <f t="shared" ref="F260:F267" si="77">ROUND(T260*$T$12,2)</f>
        <v>205.82</v>
      </c>
      <c r="G260" s="285">
        <v>7</v>
      </c>
      <c r="H260" s="285">
        <v>0</v>
      </c>
      <c r="I260" s="285">
        <v>0</v>
      </c>
      <c r="J260" s="285">
        <v>0</v>
      </c>
      <c r="K260" s="269">
        <f t="shared" ref="K260:K267" si="78">ROUND(G260*F260,2)</f>
        <v>1440.74</v>
      </c>
      <c r="L260" s="344">
        <f t="shared" ref="L260:L267" si="79">H260*F260</f>
        <v>0</v>
      </c>
      <c r="M260" s="344">
        <f t="shared" ref="M260:M267" si="80">L260</f>
        <v>0</v>
      </c>
      <c r="N260" s="345">
        <f t="shared" ref="N260:N267" si="81">F260*G260-M260</f>
        <v>1440.74</v>
      </c>
      <c r="O260" s="325">
        <f t="shared" si="70"/>
        <v>0</v>
      </c>
      <c r="P260" s="319">
        <f t="shared" si="76"/>
        <v>1440.74</v>
      </c>
      <c r="Q260" s="322"/>
      <c r="R260" s="322"/>
      <c r="S260" s="323"/>
      <c r="T260" s="271">
        <v>249.91</v>
      </c>
      <c r="U260" s="217"/>
    </row>
    <row r="261" spans="1:21" ht="15.75" x14ac:dyDescent="0.2">
      <c r="A261" s="146" t="s">
        <v>664</v>
      </c>
      <c r="B261" s="282"/>
      <c r="C261" s="282" t="s">
        <v>1339</v>
      </c>
      <c r="D261" s="283" t="s">
        <v>1764</v>
      </c>
      <c r="E261" s="284" t="s">
        <v>102</v>
      </c>
      <c r="F261" s="268">
        <f t="shared" si="77"/>
        <v>232.41</v>
      </c>
      <c r="G261" s="285">
        <v>1</v>
      </c>
      <c r="H261" s="285">
        <v>0</v>
      </c>
      <c r="I261" s="285">
        <v>0</v>
      </c>
      <c r="J261" s="285">
        <v>0</v>
      </c>
      <c r="K261" s="269">
        <f t="shared" si="78"/>
        <v>232.41</v>
      </c>
      <c r="L261" s="344">
        <f t="shared" si="79"/>
        <v>0</v>
      </c>
      <c r="M261" s="344">
        <f t="shared" si="80"/>
        <v>0</v>
      </c>
      <c r="N261" s="345">
        <f t="shared" si="81"/>
        <v>232.41</v>
      </c>
      <c r="O261" s="325">
        <f t="shared" si="70"/>
        <v>0</v>
      </c>
      <c r="P261" s="319">
        <f t="shared" si="76"/>
        <v>232.41</v>
      </c>
      <c r="Q261" s="322"/>
      <c r="R261" s="322"/>
      <c r="S261" s="323"/>
      <c r="T261" s="271">
        <v>282.19</v>
      </c>
      <c r="U261" s="217"/>
    </row>
    <row r="262" spans="1:21" ht="15.75" x14ac:dyDescent="0.2">
      <c r="A262" s="146" t="s">
        <v>668</v>
      </c>
      <c r="B262" s="282">
        <v>72929</v>
      </c>
      <c r="C262" s="282" t="s">
        <v>1324</v>
      </c>
      <c r="D262" s="283" t="s">
        <v>1765</v>
      </c>
      <c r="E262" s="284" t="s">
        <v>81</v>
      </c>
      <c r="F262" s="268">
        <f t="shared" si="77"/>
        <v>22.1</v>
      </c>
      <c r="G262" s="285">
        <v>39.200000000000003</v>
      </c>
      <c r="H262" s="285">
        <v>0</v>
      </c>
      <c r="I262" s="285">
        <v>0</v>
      </c>
      <c r="J262" s="285">
        <v>0</v>
      </c>
      <c r="K262" s="269">
        <f t="shared" si="78"/>
        <v>866.32</v>
      </c>
      <c r="L262" s="344">
        <f t="shared" si="79"/>
        <v>0</v>
      </c>
      <c r="M262" s="344">
        <f t="shared" si="80"/>
        <v>0</v>
      </c>
      <c r="N262" s="345">
        <f t="shared" si="81"/>
        <v>866.32000000000016</v>
      </c>
      <c r="O262" s="325">
        <f t="shared" si="70"/>
        <v>0</v>
      </c>
      <c r="P262" s="319">
        <f t="shared" si="76"/>
        <v>866.32000000000016</v>
      </c>
      <c r="Q262" s="322"/>
      <c r="R262" s="322"/>
      <c r="S262" s="323"/>
      <c r="T262" s="271">
        <v>26.83</v>
      </c>
      <c r="U262" s="217"/>
    </row>
    <row r="263" spans="1:21" ht="15.75" x14ac:dyDescent="0.2">
      <c r="A263" s="146" t="s">
        <v>671</v>
      </c>
      <c r="B263" s="282">
        <v>72930</v>
      </c>
      <c r="C263" s="282" t="s">
        <v>1324</v>
      </c>
      <c r="D263" s="283" t="s">
        <v>1766</v>
      </c>
      <c r="E263" s="284" t="s">
        <v>81</v>
      </c>
      <c r="F263" s="268">
        <f t="shared" si="77"/>
        <v>31.35</v>
      </c>
      <c r="G263" s="285">
        <v>126.32</v>
      </c>
      <c r="H263" s="285">
        <v>0</v>
      </c>
      <c r="I263" s="285">
        <v>0</v>
      </c>
      <c r="J263" s="285">
        <v>0</v>
      </c>
      <c r="K263" s="269">
        <f t="shared" si="78"/>
        <v>3960.13</v>
      </c>
      <c r="L263" s="344">
        <f t="shared" si="79"/>
        <v>0</v>
      </c>
      <c r="M263" s="344">
        <f t="shared" si="80"/>
        <v>0</v>
      </c>
      <c r="N263" s="345">
        <f t="shared" si="81"/>
        <v>3960.1320000000001</v>
      </c>
      <c r="O263" s="325">
        <f t="shared" si="70"/>
        <v>0</v>
      </c>
      <c r="P263" s="319">
        <f t="shared" si="76"/>
        <v>3960.1320000000001</v>
      </c>
      <c r="Q263" s="322"/>
      <c r="R263" s="322"/>
      <c r="S263" s="323"/>
      <c r="T263" s="271">
        <v>38.07</v>
      </c>
      <c r="U263" s="217"/>
    </row>
    <row r="264" spans="1:21" ht="15.75" x14ac:dyDescent="0.2">
      <c r="A264" s="146" t="s">
        <v>679</v>
      </c>
      <c r="B264" s="282">
        <v>93008</v>
      </c>
      <c r="C264" s="282" t="s">
        <v>1324</v>
      </c>
      <c r="D264" s="283" t="s">
        <v>1767</v>
      </c>
      <c r="E264" s="284" t="s">
        <v>81</v>
      </c>
      <c r="F264" s="268">
        <f t="shared" si="77"/>
        <v>9.83</v>
      </c>
      <c r="G264" s="285">
        <v>21</v>
      </c>
      <c r="H264" s="285">
        <v>0</v>
      </c>
      <c r="I264" s="285">
        <v>0</v>
      </c>
      <c r="J264" s="285">
        <v>0</v>
      </c>
      <c r="K264" s="269">
        <f t="shared" si="78"/>
        <v>206.43</v>
      </c>
      <c r="L264" s="344">
        <f t="shared" si="79"/>
        <v>0</v>
      </c>
      <c r="M264" s="344">
        <f t="shared" si="80"/>
        <v>0</v>
      </c>
      <c r="N264" s="345">
        <f t="shared" si="81"/>
        <v>206.43</v>
      </c>
      <c r="O264" s="325">
        <f t="shared" si="70"/>
        <v>0</v>
      </c>
      <c r="P264" s="319">
        <f t="shared" si="76"/>
        <v>206.43</v>
      </c>
      <c r="Q264" s="322"/>
      <c r="R264" s="322"/>
      <c r="S264" s="323"/>
      <c r="T264" s="271">
        <v>11.93</v>
      </c>
      <c r="U264" s="217"/>
    </row>
    <row r="265" spans="1:21" ht="15.75" x14ac:dyDescent="0.2">
      <c r="A265" s="146" t="s">
        <v>1768</v>
      </c>
      <c r="B265" s="282"/>
      <c r="C265" s="282" t="s">
        <v>1769</v>
      </c>
      <c r="D265" s="283" t="s">
        <v>1770</v>
      </c>
      <c r="E265" s="284" t="s">
        <v>102</v>
      </c>
      <c r="F265" s="268">
        <f t="shared" si="77"/>
        <v>38.299999999999997</v>
      </c>
      <c r="G265" s="285">
        <v>7</v>
      </c>
      <c r="H265" s="285">
        <v>0</v>
      </c>
      <c r="I265" s="285">
        <v>0</v>
      </c>
      <c r="J265" s="285">
        <v>0</v>
      </c>
      <c r="K265" s="269">
        <f t="shared" si="78"/>
        <v>268.10000000000002</v>
      </c>
      <c r="L265" s="344">
        <f t="shared" si="79"/>
        <v>0</v>
      </c>
      <c r="M265" s="344">
        <f t="shared" si="80"/>
        <v>0</v>
      </c>
      <c r="N265" s="345">
        <f t="shared" si="81"/>
        <v>268.09999999999997</v>
      </c>
      <c r="O265" s="325">
        <f t="shared" si="70"/>
        <v>0</v>
      </c>
      <c r="P265" s="319">
        <f t="shared" si="76"/>
        <v>268.09999999999997</v>
      </c>
      <c r="Q265" s="322"/>
      <c r="R265" s="322"/>
      <c r="S265" s="323"/>
      <c r="T265" s="271">
        <v>46.5</v>
      </c>
      <c r="U265" s="217"/>
    </row>
    <row r="266" spans="1:21" ht="15.75" x14ac:dyDescent="0.2">
      <c r="A266" s="146" t="s">
        <v>1771</v>
      </c>
      <c r="B266" s="282"/>
      <c r="C266" s="282" t="s">
        <v>1769</v>
      </c>
      <c r="D266" s="283" t="s">
        <v>1772</v>
      </c>
      <c r="E266" s="284" t="s">
        <v>102</v>
      </c>
      <c r="F266" s="268">
        <f t="shared" si="77"/>
        <v>24.49</v>
      </c>
      <c r="G266" s="285">
        <v>7</v>
      </c>
      <c r="H266" s="285">
        <v>0</v>
      </c>
      <c r="I266" s="285">
        <v>0</v>
      </c>
      <c r="J266" s="285">
        <v>0</v>
      </c>
      <c r="K266" s="269">
        <f t="shared" si="78"/>
        <v>171.43</v>
      </c>
      <c r="L266" s="344">
        <f t="shared" si="79"/>
        <v>0</v>
      </c>
      <c r="M266" s="344">
        <f t="shared" si="80"/>
        <v>0</v>
      </c>
      <c r="N266" s="345">
        <f t="shared" si="81"/>
        <v>171.42999999999998</v>
      </c>
      <c r="O266" s="325">
        <f t="shared" si="70"/>
        <v>0</v>
      </c>
      <c r="P266" s="319">
        <f t="shared" si="76"/>
        <v>171.42999999999998</v>
      </c>
      <c r="Q266" s="322"/>
      <c r="R266" s="322"/>
      <c r="S266" s="323"/>
      <c r="T266" s="271">
        <v>29.73</v>
      </c>
      <c r="U266" s="217"/>
    </row>
    <row r="267" spans="1:21" ht="15.75" x14ac:dyDescent="0.2">
      <c r="A267" s="146" t="s">
        <v>1773</v>
      </c>
      <c r="B267" s="282">
        <v>72262</v>
      </c>
      <c r="C267" s="282" t="s">
        <v>1324</v>
      </c>
      <c r="D267" s="283" t="s">
        <v>1774</v>
      </c>
      <c r="E267" s="284" t="s">
        <v>102</v>
      </c>
      <c r="F267" s="268">
        <f t="shared" si="77"/>
        <v>13.09</v>
      </c>
      <c r="G267" s="285">
        <v>7</v>
      </c>
      <c r="H267" s="285">
        <v>0</v>
      </c>
      <c r="I267" s="285">
        <v>0</v>
      </c>
      <c r="J267" s="285">
        <v>0</v>
      </c>
      <c r="K267" s="269">
        <f t="shared" si="78"/>
        <v>91.63</v>
      </c>
      <c r="L267" s="344">
        <f t="shared" si="79"/>
        <v>0</v>
      </c>
      <c r="M267" s="344">
        <f t="shared" si="80"/>
        <v>0</v>
      </c>
      <c r="N267" s="345">
        <f t="shared" si="81"/>
        <v>91.63</v>
      </c>
      <c r="O267" s="325">
        <f t="shared" si="70"/>
        <v>0</v>
      </c>
      <c r="P267" s="319">
        <f t="shared" si="76"/>
        <v>91.63</v>
      </c>
      <c r="Q267" s="322"/>
      <c r="R267" s="322"/>
      <c r="S267" s="323"/>
      <c r="T267" s="271">
        <v>15.89</v>
      </c>
      <c r="U267" s="217"/>
    </row>
    <row r="268" spans="1:21" ht="15.75" x14ac:dyDescent="0.2">
      <c r="A268" s="351">
        <v>19</v>
      </c>
      <c r="B268" s="286"/>
      <c r="C268" s="286"/>
      <c r="D268" s="287" t="s">
        <v>304</v>
      </c>
      <c r="E268" s="288"/>
      <c r="F268" s="261">
        <f>K268</f>
        <v>28168.979999999996</v>
      </c>
      <c r="G268" s="289"/>
      <c r="H268" s="261"/>
      <c r="I268" s="261"/>
      <c r="J268" s="261"/>
      <c r="K268" s="262">
        <f>K269+K275</f>
        <v>28168.979999999996</v>
      </c>
      <c r="L268" s="342"/>
      <c r="M268" s="342"/>
      <c r="N268" s="343">
        <f>SUM(N269,N275)</f>
        <v>28168.975000000002</v>
      </c>
      <c r="O268" s="325" t="e">
        <f t="shared" si="70"/>
        <v>#DIV/0!</v>
      </c>
      <c r="P268" s="319"/>
      <c r="Q268" s="322"/>
      <c r="R268" s="322"/>
      <c r="S268" s="323"/>
      <c r="T268" s="271">
        <v>0</v>
      </c>
      <c r="U268" s="217"/>
    </row>
    <row r="269" spans="1:21" ht="15.75" x14ac:dyDescent="0.2">
      <c r="A269" s="352" t="s">
        <v>685</v>
      </c>
      <c r="B269" s="290"/>
      <c r="C269" s="290"/>
      <c r="D269" s="291" t="s">
        <v>1775</v>
      </c>
      <c r="E269" s="292"/>
      <c r="F269" s="279">
        <f>K269</f>
        <v>6263.99</v>
      </c>
      <c r="G269" s="293"/>
      <c r="H269" s="279"/>
      <c r="I269" s="279"/>
      <c r="J269" s="279"/>
      <c r="K269" s="280">
        <f>SUM(K270:K274)</f>
        <v>6263.99</v>
      </c>
      <c r="L269" s="349"/>
      <c r="M269" s="349"/>
      <c r="N269" s="350">
        <f>SUM(N270:N274)</f>
        <v>6263.9849999999997</v>
      </c>
      <c r="O269" s="325" t="e">
        <f t="shared" si="70"/>
        <v>#DIV/0!</v>
      </c>
      <c r="P269" s="319"/>
      <c r="Q269" s="322"/>
      <c r="R269" s="322"/>
      <c r="S269" s="323"/>
      <c r="T269" s="271">
        <v>0</v>
      </c>
      <c r="U269" s="217"/>
    </row>
    <row r="270" spans="1:21" ht="15.75" x14ac:dyDescent="0.2">
      <c r="A270" s="146" t="s">
        <v>1776</v>
      </c>
      <c r="B270" s="282"/>
      <c r="C270" s="282" t="s">
        <v>1339</v>
      </c>
      <c r="D270" s="283" t="s">
        <v>1777</v>
      </c>
      <c r="E270" s="284" t="s">
        <v>14</v>
      </c>
      <c r="F270" s="268">
        <f>ROUND(T270*$T$12,2)</f>
        <v>236.77</v>
      </c>
      <c r="G270" s="285">
        <v>2.5</v>
      </c>
      <c r="H270" s="285">
        <v>0</v>
      </c>
      <c r="I270" s="285">
        <v>0</v>
      </c>
      <c r="J270" s="285">
        <v>0</v>
      </c>
      <c r="K270" s="269">
        <f>ROUND(G270*F270,2)</f>
        <v>591.92999999999995</v>
      </c>
      <c r="L270" s="344">
        <f>H270*F270</f>
        <v>0</v>
      </c>
      <c r="M270" s="344">
        <f>L270</f>
        <v>0</v>
      </c>
      <c r="N270" s="345">
        <f>F270*G270-M270</f>
        <v>591.92500000000007</v>
      </c>
      <c r="O270" s="325">
        <f t="shared" si="70"/>
        <v>0</v>
      </c>
      <c r="P270" s="319">
        <f t="shared" ref="P270:P277" si="82">G270*F270</f>
        <v>591.92500000000007</v>
      </c>
      <c r="Q270" s="322"/>
      <c r="R270" s="322"/>
      <c r="S270" s="323"/>
      <c r="T270" s="271">
        <v>287.48</v>
      </c>
      <c r="U270" s="217"/>
    </row>
    <row r="271" spans="1:21" ht="15.75" x14ac:dyDescent="0.2">
      <c r="A271" s="146" t="s">
        <v>1778</v>
      </c>
      <c r="B271" s="282"/>
      <c r="C271" s="282" t="s">
        <v>1339</v>
      </c>
      <c r="D271" s="283" t="s">
        <v>1779</v>
      </c>
      <c r="E271" s="284" t="s">
        <v>102</v>
      </c>
      <c r="F271" s="268">
        <f>ROUND(T271*$T$12,2)</f>
        <v>1103.49</v>
      </c>
      <c r="G271" s="285">
        <v>1</v>
      </c>
      <c r="H271" s="285">
        <v>0</v>
      </c>
      <c r="I271" s="285">
        <v>0</v>
      </c>
      <c r="J271" s="285">
        <v>0</v>
      </c>
      <c r="K271" s="269">
        <f>ROUND(G271*F271,2)</f>
        <v>1103.49</v>
      </c>
      <c r="L271" s="344">
        <f>H271*F271</f>
        <v>0</v>
      </c>
      <c r="M271" s="344">
        <f>L271</f>
        <v>0</v>
      </c>
      <c r="N271" s="345">
        <f>F271*G271-M271</f>
        <v>1103.49</v>
      </c>
      <c r="O271" s="325">
        <f t="shared" si="70"/>
        <v>0</v>
      </c>
      <c r="P271" s="319">
        <f t="shared" si="82"/>
        <v>1103.49</v>
      </c>
      <c r="Q271" s="322"/>
      <c r="R271" s="322"/>
      <c r="S271" s="323"/>
      <c r="T271" s="271">
        <v>1339.85</v>
      </c>
      <c r="U271" s="217"/>
    </row>
    <row r="272" spans="1:21" ht="15.75" x14ac:dyDescent="0.2">
      <c r="A272" s="146" t="s">
        <v>1780</v>
      </c>
      <c r="B272" s="282"/>
      <c r="C272" s="282" t="s">
        <v>1339</v>
      </c>
      <c r="D272" s="283" t="s">
        <v>1781</v>
      </c>
      <c r="E272" s="284" t="s">
        <v>102</v>
      </c>
      <c r="F272" s="268">
        <f>ROUND(T272*$T$12,2)</f>
        <v>1841.38</v>
      </c>
      <c r="G272" s="285">
        <v>1</v>
      </c>
      <c r="H272" s="285">
        <v>0</v>
      </c>
      <c r="I272" s="285">
        <v>0</v>
      </c>
      <c r="J272" s="285">
        <v>0</v>
      </c>
      <c r="K272" s="269">
        <f>ROUND(G272*F272,2)</f>
        <v>1841.38</v>
      </c>
      <c r="L272" s="344">
        <f>H272*F272</f>
        <v>0</v>
      </c>
      <c r="M272" s="344">
        <f>L272</f>
        <v>0</v>
      </c>
      <c r="N272" s="345">
        <f>F272*G272-M272</f>
        <v>1841.38</v>
      </c>
      <c r="O272" s="325">
        <f t="shared" si="70"/>
        <v>0</v>
      </c>
      <c r="P272" s="319">
        <f t="shared" si="82"/>
        <v>1841.38</v>
      </c>
      <c r="Q272" s="322"/>
      <c r="R272" s="322"/>
      <c r="S272" s="323"/>
      <c r="T272" s="271">
        <v>2235.8000000000002</v>
      </c>
      <c r="U272" s="217"/>
    </row>
    <row r="273" spans="1:21" ht="15.75" x14ac:dyDescent="0.2">
      <c r="A273" s="146" t="s">
        <v>1782</v>
      </c>
      <c r="B273" s="282"/>
      <c r="C273" s="282" t="s">
        <v>1339</v>
      </c>
      <c r="D273" s="283" t="s">
        <v>1783</v>
      </c>
      <c r="E273" s="284" t="s">
        <v>102</v>
      </c>
      <c r="F273" s="268">
        <f>ROUND(T273*$T$12,2)</f>
        <v>777.91</v>
      </c>
      <c r="G273" s="285">
        <v>1</v>
      </c>
      <c r="H273" s="285">
        <v>0</v>
      </c>
      <c r="I273" s="285">
        <v>0</v>
      </c>
      <c r="J273" s="285">
        <v>0</v>
      </c>
      <c r="K273" s="269">
        <f>ROUND(G273*F273,2)</f>
        <v>777.91</v>
      </c>
      <c r="L273" s="344">
        <f>H273*F273</f>
        <v>0</v>
      </c>
      <c r="M273" s="344">
        <f>L273</f>
        <v>0</v>
      </c>
      <c r="N273" s="345">
        <f>F273*G273-M273</f>
        <v>777.91</v>
      </c>
      <c r="O273" s="325">
        <f t="shared" si="70"/>
        <v>0</v>
      </c>
      <c r="P273" s="319">
        <f t="shared" si="82"/>
        <v>777.91</v>
      </c>
      <c r="Q273" s="322"/>
      <c r="R273" s="322"/>
      <c r="S273" s="323"/>
      <c r="T273" s="271">
        <v>944.54</v>
      </c>
      <c r="U273" s="217"/>
    </row>
    <row r="274" spans="1:21" ht="15.75" x14ac:dyDescent="0.2">
      <c r="A274" s="146" t="s">
        <v>1784</v>
      </c>
      <c r="B274" s="282">
        <v>84862</v>
      </c>
      <c r="C274" s="282" t="s">
        <v>1324</v>
      </c>
      <c r="D274" s="283" t="s">
        <v>1785</v>
      </c>
      <c r="E274" s="284" t="s">
        <v>81</v>
      </c>
      <c r="F274" s="268">
        <f>ROUND(T274*$T$12,2)</f>
        <v>203.05</v>
      </c>
      <c r="G274" s="285">
        <v>9.6</v>
      </c>
      <c r="H274" s="285">
        <v>0</v>
      </c>
      <c r="I274" s="285">
        <v>0</v>
      </c>
      <c r="J274" s="285">
        <v>0</v>
      </c>
      <c r="K274" s="269">
        <f>ROUND(G274*F274,2)</f>
        <v>1949.28</v>
      </c>
      <c r="L274" s="344">
        <f>H274*F274</f>
        <v>0</v>
      </c>
      <c r="M274" s="344">
        <f>L274</f>
        <v>0</v>
      </c>
      <c r="N274" s="345">
        <f>F274*G274-M274</f>
        <v>1949.28</v>
      </c>
      <c r="O274" s="325">
        <f t="shared" si="70"/>
        <v>0</v>
      </c>
      <c r="P274" s="319">
        <f t="shared" si="82"/>
        <v>1949.28</v>
      </c>
      <c r="Q274" s="322"/>
      <c r="R274" s="322"/>
      <c r="S274" s="323"/>
      <c r="T274" s="271">
        <v>246.54</v>
      </c>
      <c r="U274" s="217"/>
    </row>
    <row r="275" spans="1:21" ht="15.75" x14ac:dyDescent="0.2">
      <c r="A275" s="352" t="s">
        <v>691</v>
      </c>
      <c r="B275" s="290"/>
      <c r="C275" s="290"/>
      <c r="D275" s="291" t="s">
        <v>1786</v>
      </c>
      <c r="E275" s="292"/>
      <c r="F275" s="279">
        <f>K275</f>
        <v>21904.989999999998</v>
      </c>
      <c r="G275" s="293"/>
      <c r="H275" s="279"/>
      <c r="I275" s="279"/>
      <c r="J275" s="279"/>
      <c r="K275" s="280">
        <f>SUM(K276:K277)</f>
        <v>21904.989999999998</v>
      </c>
      <c r="L275" s="349"/>
      <c r="M275" s="349"/>
      <c r="N275" s="350">
        <f>SUM(N276:N277)</f>
        <v>21904.99</v>
      </c>
      <c r="O275" s="325" t="e">
        <f t="shared" si="70"/>
        <v>#DIV/0!</v>
      </c>
      <c r="P275" s="319">
        <f t="shared" si="82"/>
        <v>0</v>
      </c>
      <c r="Q275" s="322"/>
      <c r="R275" s="322"/>
      <c r="S275" s="323"/>
      <c r="T275" s="271">
        <v>0</v>
      </c>
      <c r="U275" s="217"/>
    </row>
    <row r="276" spans="1:21" ht="25.5" x14ac:dyDescent="0.2">
      <c r="A276" s="146" t="s">
        <v>1787</v>
      </c>
      <c r="B276" s="282" t="s">
        <v>1788</v>
      </c>
      <c r="C276" s="282" t="s">
        <v>1324</v>
      </c>
      <c r="D276" s="283" t="s">
        <v>1789</v>
      </c>
      <c r="E276" s="284" t="s">
        <v>14</v>
      </c>
      <c r="F276" s="268">
        <f>ROUND(T276*$T$12,2)</f>
        <v>103.67</v>
      </c>
      <c r="G276" s="285">
        <v>201</v>
      </c>
      <c r="H276" s="285">
        <v>0</v>
      </c>
      <c r="I276" s="285">
        <v>0</v>
      </c>
      <c r="J276" s="285">
        <v>0</v>
      </c>
      <c r="K276" s="269">
        <f>ROUND(G276*F276,2)</f>
        <v>20837.669999999998</v>
      </c>
      <c r="L276" s="344">
        <f>H276*F276</f>
        <v>0</v>
      </c>
      <c r="M276" s="344">
        <f>L276</f>
        <v>0</v>
      </c>
      <c r="N276" s="345">
        <f>F276*G276-M276</f>
        <v>20837.670000000002</v>
      </c>
      <c r="O276" s="325">
        <f t="shared" si="70"/>
        <v>0</v>
      </c>
      <c r="P276" s="319">
        <f t="shared" si="82"/>
        <v>20837.670000000002</v>
      </c>
      <c r="Q276" s="322"/>
      <c r="R276" s="322"/>
      <c r="S276" s="323"/>
      <c r="T276" s="271">
        <v>125.87</v>
      </c>
      <c r="U276" s="217"/>
    </row>
    <row r="277" spans="1:21" ht="25.5" x14ac:dyDescent="0.2">
      <c r="A277" s="146" t="s">
        <v>1790</v>
      </c>
      <c r="B277" s="282"/>
      <c r="C277" s="282" t="s">
        <v>1339</v>
      </c>
      <c r="D277" s="283" t="s">
        <v>1791</v>
      </c>
      <c r="E277" s="284" t="s">
        <v>102</v>
      </c>
      <c r="F277" s="268">
        <f>ROUND(T277*$T$12,2)</f>
        <v>266.83</v>
      </c>
      <c r="G277" s="285">
        <v>4</v>
      </c>
      <c r="H277" s="285">
        <v>0</v>
      </c>
      <c r="I277" s="285">
        <v>0</v>
      </c>
      <c r="J277" s="285">
        <v>0</v>
      </c>
      <c r="K277" s="269">
        <f>ROUND(G277*F277,2)</f>
        <v>1067.32</v>
      </c>
      <c r="L277" s="344">
        <f>H277*F277</f>
        <v>0</v>
      </c>
      <c r="M277" s="344">
        <f>L277</f>
        <v>0</v>
      </c>
      <c r="N277" s="345">
        <f>F277*G277-M277</f>
        <v>1067.32</v>
      </c>
      <c r="O277" s="325">
        <f t="shared" si="70"/>
        <v>0</v>
      </c>
      <c r="P277" s="319">
        <f t="shared" si="82"/>
        <v>1067.32</v>
      </c>
      <c r="Q277" s="322"/>
      <c r="R277" s="322"/>
      <c r="S277" s="323"/>
      <c r="T277" s="271">
        <v>323.99</v>
      </c>
      <c r="U277" s="217"/>
    </row>
    <row r="278" spans="1:21" ht="15.75" x14ac:dyDescent="0.2">
      <c r="A278" s="351">
        <v>20</v>
      </c>
      <c r="B278" s="286"/>
      <c r="C278" s="286"/>
      <c r="D278" s="287" t="s">
        <v>1232</v>
      </c>
      <c r="E278" s="288"/>
      <c r="F278" s="261">
        <f>K278</f>
        <v>4777.13</v>
      </c>
      <c r="G278" s="289"/>
      <c r="H278" s="261"/>
      <c r="I278" s="261"/>
      <c r="J278" s="261"/>
      <c r="K278" s="294">
        <f>SUM(K279:K283)</f>
        <v>4777.13</v>
      </c>
      <c r="L278" s="342"/>
      <c r="M278" s="342"/>
      <c r="N278" s="343">
        <f>SUM(N279:N283)</f>
        <v>4777.1273000000001</v>
      </c>
      <c r="O278" s="325" t="e">
        <f t="shared" si="70"/>
        <v>#DIV/0!</v>
      </c>
      <c r="P278" s="319"/>
      <c r="Q278" s="322"/>
      <c r="R278" s="322"/>
      <c r="S278" s="323"/>
      <c r="T278" s="271">
        <v>0</v>
      </c>
      <c r="U278" s="217"/>
    </row>
    <row r="279" spans="1:21" ht="15.75" x14ac:dyDescent="0.2">
      <c r="A279" s="146" t="s">
        <v>719</v>
      </c>
      <c r="B279" s="282" t="s">
        <v>1792</v>
      </c>
      <c r="C279" s="282" t="s">
        <v>1324</v>
      </c>
      <c r="D279" s="283" t="s">
        <v>1793</v>
      </c>
      <c r="E279" s="284" t="s">
        <v>14</v>
      </c>
      <c r="F279" s="268">
        <f>ROUND(T279*$T$12,2)</f>
        <v>4.97</v>
      </c>
      <c r="G279" s="285">
        <v>296.01</v>
      </c>
      <c r="H279" s="285">
        <v>0</v>
      </c>
      <c r="I279" s="285">
        <v>0</v>
      </c>
      <c r="J279" s="285">
        <v>0</v>
      </c>
      <c r="K279" s="269">
        <f>ROUND(G279*F279,2)</f>
        <v>1471.17</v>
      </c>
      <c r="L279" s="344">
        <f>H279*F279</f>
        <v>0</v>
      </c>
      <c r="M279" s="344">
        <f>L279</f>
        <v>0</v>
      </c>
      <c r="N279" s="345">
        <f>F279*G279-M279</f>
        <v>1471.1696999999999</v>
      </c>
      <c r="O279" s="325">
        <f t="shared" si="70"/>
        <v>0</v>
      </c>
      <c r="P279" s="319">
        <f>G279*F279</f>
        <v>1471.1696999999999</v>
      </c>
      <c r="Q279" s="322"/>
      <c r="R279" s="322"/>
      <c r="S279" s="323"/>
      <c r="T279" s="271">
        <v>6.04</v>
      </c>
      <c r="U279" s="217"/>
    </row>
    <row r="280" spans="1:21" ht="15.75" x14ac:dyDescent="0.2">
      <c r="A280" s="146" t="s">
        <v>726</v>
      </c>
      <c r="B280" s="282" t="s">
        <v>1794</v>
      </c>
      <c r="C280" s="282" t="s">
        <v>1324</v>
      </c>
      <c r="D280" s="283" t="s">
        <v>1795</v>
      </c>
      <c r="E280" s="284" t="s">
        <v>14</v>
      </c>
      <c r="F280" s="268">
        <f>ROUND(T280*$T$12,2)</f>
        <v>9.57</v>
      </c>
      <c r="G280" s="285">
        <v>21.9</v>
      </c>
      <c r="H280" s="285">
        <v>0</v>
      </c>
      <c r="I280" s="285">
        <v>0</v>
      </c>
      <c r="J280" s="285">
        <v>0</v>
      </c>
      <c r="K280" s="269">
        <f>ROUND(G280*F280,2)</f>
        <v>209.58</v>
      </c>
      <c r="L280" s="344">
        <f>H280*F280</f>
        <v>0</v>
      </c>
      <c r="M280" s="344">
        <f>L280</f>
        <v>0</v>
      </c>
      <c r="N280" s="345">
        <f>F280*G280-M280</f>
        <v>209.583</v>
      </c>
      <c r="O280" s="325">
        <f t="shared" si="70"/>
        <v>0</v>
      </c>
      <c r="P280" s="319">
        <f>G280*F280</f>
        <v>209.583</v>
      </c>
      <c r="Q280" s="322"/>
      <c r="R280" s="322"/>
      <c r="S280" s="323"/>
      <c r="T280" s="271">
        <v>11.62</v>
      </c>
      <c r="U280" s="217"/>
    </row>
    <row r="281" spans="1:21" ht="15.75" x14ac:dyDescent="0.2">
      <c r="A281" s="146" t="s">
        <v>730</v>
      </c>
      <c r="B281" s="282" t="s">
        <v>1796</v>
      </c>
      <c r="C281" s="282" t="s">
        <v>1324</v>
      </c>
      <c r="D281" s="283" t="s">
        <v>1797</v>
      </c>
      <c r="E281" s="284" t="s">
        <v>14</v>
      </c>
      <c r="F281" s="268">
        <f>ROUND(T281*$T$12,2)</f>
        <v>11.45</v>
      </c>
      <c r="G281" s="285">
        <v>64.91</v>
      </c>
      <c r="H281" s="285">
        <v>0</v>
      </c>
      <c r="I281" s="285">
        <v>0</v>
      </c>
      <c r="J281" s="285">
        <v>0</v>
      </c>
      <c r="K281" s="269">
        <f>ROUND(G281*F281,2)</f>
        <v>743.22</v>
      </c>
      <c r="L281" s="344">
        <f>H281*F281</f>
        <v>0</v>
      </c>
      <c r="M281" s="344">
        <f>L281</f>
        <v>0</v>
      </c>
      <c r="N281" s="345">
        <f>F281*G281-M281</f>
        <v>743.21949999999993</v>
      </c>
      <c r="O281" s="325">
        <f t="shared" si="70"/>
        <v>0</v>
      </c>
      <c r="P281" s="319">
        <f>G281*F281</f>
        <v>743.21949999999993</v>
      </c>
      <c r="Q281" s="322"/>
      <c r="R281" s="322"/>
      <c r="S281" s="323"/>
      <c r="T281" s="271">
        <v>13.9</v>
      </c>
      <c r="U281" s="217"/>
    </row>
    <row r="282" spans="1:21" ht="15.75" x14ac:dyDescent="0.2">
      <c r="A282" s="146" t="s">
        <v>739</v>
      </c>
      <c r="B282" s="282" t="s">
        <v>1798</v>
      </c>
      <c r="C282" s="282" t="s">
        <v>1324</v>
      </c>
      <c r="D282" s="283" t="s">
        <v>1799</v>
      </c>
      <c r="E282" s="284" t="s">
        <v>14</v>
      </c>
      <c r="F282" s="268">
        <f>ROUND(T282*$T$12,2)</f>
        <v>1.53</v>
      </c>
      <c r="G282" s="285">
        <v>676.67</v>
      </c>
      <c r="H282" s="285">
        <v>0</v>
      </c>
      <c r="I282" s="285">
        <v>0</v>
      </c>
      <c r="J282" s="285">
        <v>0</v>
      </c>
      <c r="K282" s="269">
        <f>ROUND(G282*F282,2)</f>
        <v>1035.31</v>
      </c>
      <c r="L282" s="344">
        <f>H282*F282</f>
        <v>0</v>
      </c>
      <c r="M282" s="344">
        <f>L282</f>
        <v>0</v>
      </c>
      <c r="N282" s="345">
        <f>F282*G282-M282</f>
        <v>1035.3051</v>
      </c>
      <c r="O282" s="325">
        <f t="shared" si="70"/>
        <v>0</v>
      </c>
      <c r="P282" s="319">
        <f>G282*F282</f>
        <v>1035.3051</v>
      </c>
      <c r="Q282" s="322"/>
      <c r="R282" s="322"/>
      <c r="S282" s="323"/>
      <c r="T282" s="271">
        <v>1.86</v>
      </c>
      <c r="U282" s="217"/>
    </row>
    <row r="283" spans="1:21" ht="16.5" thickBot="1" x14ac:dyDescent="0.25">
      <c r="A283" s="353" t="s">
        <v>743</v>
      </c>
      <c r="B283" s="354">
        <v>84122</v>
      </c>
      <c r="C283" s="354" t="s">
        <v>1324</v>
      </c>
      <c r="D283" s="355" t="s">
        <v>1800</v>
      </c>
      <c r="E283" s="356" t="s">
        <v>102</v>
      </c>
      <c r="F283" s="357">
        <f>ROUND(T283*$T$12,2)</f>
        <v>1317.85</v>
      </c>
      <c r="G283" s="358">
        <v>1</v>
      </c>
      <c r="H283" s="358">
        <v>0</v>
      </c>
      <c r="I283" s="358">
        <v>0</v>
      </c>
      <c r="J283" s="358">
        <v>0</v>
      </c>
      <c r="K283" s="359">
        <f>ROUND(G283*F283,2)</f>
        <v>1317.85</v>
      </c>
      <c r="L283" s="360">
        <f>H283*F283</f>
        <v>0</v>
      </c>
      <c r="M283" s="360">
        <f>L283</f>
        <v>0</v>
      </c>
      <c r="N283" s="361">
        <f>F283*G283-M283</f>
        <v>1317.85</v>
      </c>
      <c r="O283" s="325">
        <f t="shared" si="70"/>
        <v>0</v>
      </c>
      <c r="P283" s="319">
        <f>G283*F283</f>
        <v>1317.85</v>
      </c>
      <c r="Q283" s="322"/>
      <c r="R283" s="322"/>
      <c r="S283" s="323"/>
      <c r="T283" s="271">
        <v>1600.13</v>
      </c>
      <c r="U283" s="217"/>
    </row>
  </sheetData>
  <mergeCells count="8">
    <mergeCell ref="B9:N9"/>
    <mergeCell ref="A10:N10"/>
    <mergeCell ref="C2:N2"/>
    <mergeCell ref="C3:N3"/>
    <mergeCell ref="A4:A6"/>
    <mergeCell ref="C4:N4"/>
    <mergeCell ref="E6:G6"/>
    <mergeCell ref="B8:K8"/>
  </mergeCells>
  <conditionalFormatting sqref="K51:N51 F51 K57:N57 F57 K62:N62 F62 K67:N67 F67 K69:N70 F69:F70 K72:N72 F72 K75:N75 F75 K77:N78 F77:F78 K83:N83 F83 K87:N87 F87 K90:N90 F90 K92:N92 F92 K95:N95 F95 K98:N98 F98 K109:N110 F109:F110 K116:N116 F116 K120:N120 F120 K129:N130 F129:F130 K152:N152 F152 K168:N169 F168:F169 K181:N181 F181 K190:N190 F190 K194:N194 F194 K208:N208 F208 K214:N215 F214:F215 K225:N225 F225 K247:N247 F247 K252:N252 F252 K259:N259 F259 K268:N269 F268:F269 K275:N275 F275 K278:N278 F278 A89:E283 A16:E87 K45:N46 F45:F46 G34:I38 G27:H31 G89:J283 F39:N39 G40:I44 A14:N14 F32:N33 F26:N26 G45:J87 G16:H25">
    <cfRule type="expression" dxfId="945" priority="1">
      <formula>$D14&lt;&gt;0</formula>
    </cfRule>
    <cfRule type="expression" dxfId="944" priority="2">
      <formula>$P14=1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84"/>
  <sheetViews>
    <sheetView topLeftCell="A4" zoomScale="91" zoomScaleNormal="70" workbookViewId="0">
      <selection activeCell="D37" sqref="D37"/>
    </sheetView>
  </sheetViews>
  <sheetFormatPr defaultRowHeight="12.75" x14ac:dyDescent="0.2"/>
  <cols>
    <col min="1" max="1" width="11.5" customWidth="1"/>
    <col min="2" max="3" width="12.5" customWidth="1"/>
    <col min="4" max="4" width="76.33203125" customWidth="1"/>
    <col min="5" max="5" width="10.83203125" customWidth="1"/>
    <col min="6" max="6" width="21.83203125" customWidth="1"/>
    <col min="7" max="7" width="22.6640625" customWidth="1"/>
    <col min="8" max="8" width="18.1640625" customWidth="1"/>
    <col min="9" max="9" width="19.6640625" customWidth="1"/>
    <col min="10" max="10" width="16" customWidth="1"/>
    <col min="11" max="11" width="24" bestFit="1" customWidth="1"/>
    <col min="12" max="12" width="24" customWidth="1"/>
    <col min="13" max="13" width="22.6640625" customWidth="1"/>
    <col min="14" max="14" width="24.33203125" customWidth="1"/>
    <col min="15" max="15" width="17" customWidth="1"/>
    <col min="16" max="16" width="24" customWidth="1"/>
  </cols>
  <sheetData>
    <row r="1" spans="1:16" ht="16.5" thickBot="1" x14ac:dyDescent="0.25">
      <c r="A1" s="221"/>
      <c r="B1" s="221"/>
      <c r="C1" s="296"/>
      <c r="D1" s="226"/>
      <c r="E1" s="296"/>
      <c r="F1" s="296"/>
      <c r="G1" s="226"/>
      <c r="H1" s="226"/>
      <c r="I1" s="226"/>
      <c r="J1" s="226"/>
      <c r="K1" s="226"/>
      <c r="L1" s="326"/>
      <c r="M1" s="326"/>
      <c r="N1" s="326"/>
      <c r="O1" s="297"/>
      <c r="P1" s="298"/>
    </row>
    <row r="2" spans="1:16" ht="20.25" x14ac:dyDescent="0.2">
      <c r="A2" s="218"/>
      <c r="B2" s="219"/>
      <c r="C2" s="848" t="s">
        <v>1808</v>
      </c>
      <c r="D2" s="833"/>
      <c r="E2" s="833"/>
      <c r="F2" s="833"/>
      <c r="G2" s="833"/>
      <c r="H2" s="833"/>
      <c r="I2" s="833"/>
      <c r="J2" s="833"/>
      <c r="K2" s="833"/>
      <c r="L2" s="833"/>
      <c r="M2" s="833"/>
      <c r="N2" s="834"/>
      <c r="O2" s="297"/>
      <c r="P2" s="298"/>
    </row>
    <row r="3" spans="1:16" ht="20.25" x14ac:dyDescent="0.2">
      <c r="A3" s="220"/>
      <c r="B3" s="221"/>
      <c r="C3" s="849" t="s">
        <v>2003</v>
      </c>
      <c r="D3" s="835"/>
      <c r="E3" s="835"/>
      <c r="F3" s="835"/>
      <c r="G3" s="835"/>
      <c r="H3" s="835"/>
      <c r="I3" s="835"/>
      <c r="J3" s="835"/>
      <c r="K3" s="835"/>
      <c r="L3" s="835"/>
      <c r="M3" s="835"/>
      <c r="N3" s="836"/>
      <c r="O3" s="297"/>
      <c r="P3" s="298"/>
    </row>
    <row r="4" spans="1:16" ht="15.75" x14ac:dyDescent="0.2">
      <c r="A4" s="837"/>
      <c r="B4" s="222"/>
      <c r="C4" s="853" t="s">
        <v>2004</v>
      </c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5"/>
      <c r="O4" s="297"/>
      <c r="P4" s="298"/>
    </row>
    <row r="5" spans="1:16" ht="15.75" x14ac:dyDescent="0.2">
      <c r="A5" s="837"/>
      <c r="B5" s="222"/>
      <c r="C5" s="301"/>
      <c r="D5" s="229"/>
      <c r="E5" s="225"/>
      <c r="F5" s="225"/>
      <c r="G5" s="226"/>
      <c r="H5" s="226"/>
      <c r="I5" s="226"/>
      <c r="J5" s="226"/>
      <c r="K5" s="226"/>
      <c r="L5" s="326"/>
      <c r="M5" s="326"/>
      <c r="N5" s="327"/>
      <c r="O5" s="297"/>
      <c r="P5" s="298"/>
    </row>
    <row r="6" spans="1:16" ht="16.5" thickBot="1" x14ac:dyDescent="0.25">
      <c r="A6" s="838"/>
      <c r="B6" s="231"/>
      <c r="C6" s="305"/>
      <c r="D6" s="233"/>
      <c r="E6" s="839"/>
      <c r="F6" s="839"/>
      <c r="G6" s="839"/>
      <c r="H6" s="234"/>
      <c r="I6" s="234"/>
      <c r="J6" s="234"/>
      <c r="K6" s="235"/>
      <c r="L6" s="328"/>
      <c r="M6" s="328"/>
      <c r="N6" s="329"/>
      <c r="O6" s="297"/>
      <c r="P6" s="298"/>
    </row>
    <row r="7" spans="1:16" ht="16.5" thickBot="1" x14ac:dyDescent="0.25">
      <c r="A7" s="295"/>
      <c r="B7" s="222"/>
      <c r="C7" s="223"/>
      <c r="D7" s="330"/>
      <c r="E7" s="223"/>
      <c r="F7" s="223"/>
      <c r="G7" s="330"/>
      <c r="H7" s="330"/>
      <c r="I7" s="330"/>
      <c r="J7" s="330"/>
      <c r="K7" s="330"/>
      <c r="L7" s="331"/>
      <c r="M7" s="331"/>
      <c r="N7" s="332"/>
      <c r="O7" s="297"/>
      <c r="P7" s="306"/>
    </row>
    <row r="8" spans="1:16" ht="15.75" x14ac:dyDescent="0.2">
      <c r="A8" s="309" t="s">
        <v>1814</v>
      </c>
      <c r="B8" s="850" t="str">
        <f>[8]DADOS!C16</f>
        <v>PREFEITURA MUNICIPAL DE BARREIRAS</v>
      </c>
      <c r="C8" s="850"/>
      <c r="D8" s="850"/>
      <c r="E8" s="850"/>
      <c r="F8" s="850"/>
      <c r="G8" s="850"/>
      <c r="H8" s="850"/>
      <c r="I8" s="850"/>
      <c r="J8" s="850"/>
      <c r="K8" s="850"/>
      <c r="L8" s="333"/>
      <c r="M8" s="333"/>
      <c r="N8" s="334"/>
      <c r="O8" s="297"/>
      <c r="P8" s="306"/>
    </row>
    <row r="9" spans="1:16" ht="15.75" x14ac:dyDescent="0.2">
      <c r="A9" s="312" t="s">
        <v>1815</v>
      </c>
      <c r="B9" s="851" t="str">
        <f>[8]DADOS!C17</f>
        <v>CONTRATAÇÃO DE EMPRESA PRESTADORA DE SERVIÇOS NO RAMO DA CONSTRUÇÃO CIVIL NA EXECUÇÃO DA OBRA DE CONSTRUÇÃO DE UMA QUADRA COBERTA POLIESPORTIVA , TIPO 1 PADRÃO FNDE NA ESCOLA MUNICIPAL PROFESSORA CLEONICE LOPES NA SEDE DESTE MUNICÍPIO</v>
      </c>
      <c r="C9" s="851"/>
      <c r="D9" s="851"/>
      <c r="E9" s="851"/>
      <c r="F9" s="851"/>
      <c r="G9" s="851"/>
      <c r="H9" s="851"/>
      <c r="I9" s="851"/>
      <c r="J9" s="851"/>
      <c r="K9" s="851"/>
      <c r="L9" s="851"/>
      <c r="M9" s="851"/>
      <c r="N9" s="852"/>
      <c r="O9" s="297"/>
      <c r="P9" s="313"/>
    </row>
    <row r="10" spans="1:16" ht="16.5" thickBot="1" x14ac:dyDescent="0.25">
      <c r="A10" s="845" t="s">
        <v>1816</v>
      </c>
      <c r="B10" s="846"/>
      <c r="C10" s="846"/>
      <c r="D10" s="846"/>
      <c r="E10" s="846"/>
      <c r="F10" s="846"/>
      <c r="G10" s="846"/>
      <c r="H10" s="846"/>
      <c r="I10" s="846"/>
      <c r="J10" s="846"/>
      <c r="K10" s="846"/>
      <c r="L10" s="846"/>
      <c r="M10" s="846"/>
      <c r="N10" s="847"/>
      <c r="O10" s="297"/>
      <c r="P10" s="306"/>
    </row>
    <row r="11" spans="1:16" ht="15.75" x14ac:dyDescent="0.2">
      <c r="A11" s="295"/>
      <c r="B11" s="222"/>
      <c r="C11" s="223"/>
      <c r="D11" s="330"/>
      <c r="E11" s="223"/>
      <c r="F11" s="223"/>
      <c r="G11" s="330"/>
      <c r="H11" s="330"/>
      <c r="I11" s="330"/>
      <c r="J11" s="330"/>
      <c r="K11" s="330"/>
      <c r="L11" s="331"/>
      <c r="M11" s="331"/>
      <c r="N11" s="332"/>
      <c r="O11" s="297"/>
      <c r="P11" s="306"/>
    </row>
    <row r="12" spans="1:16" ht="25.5" x14ac:dyDescent="0.2">
      <c r="A12" s="335" t="s">
        <v>4</v>
      </c>
      <c r="B12" s="247" t="s">
        <v>1326</v>
      </c>
      <c r="C12" s="248" t="s">
        <v>1327</v>
      </c>
      <c r="D12" s="247" t="s">
        <v>5</v>
      </c>
      <c r="E12" s="247" t="s">
        <v>1817</v>
      </c>
      <c r="F12" s="248" t="s">
        <v>1820</v>
      </c>
      <c r="G12" s="248" t="s">
        <v>1999</v>
      </c>
      <c r="H12" s="247" t="s">
        <v>1818</v>
      </c>
      <c r="I12" s="247" t="s">
        <v>1819</v>
      </c>
      <c r="J12" s="247" t="s">
        <v>1295</v>
      </c>
      <c r="K12" s="248" t="s">
        <v>2000</v>
      </c>
      <c r="L12" s="336" t="s">
        <v>1818</v>
      </c>
      <c r="M12" s="336" t="s">
        <v>1819</v>
      </c>
      <c r="N12" s="337" t="s">
        <v>1295</v>
      </c>
      <c r="O12" s="297"/>
      <c r="P12" s="316"/>
    </row>
    <row r="13" spans="1:16" ht="63.75" x14ac:dyDescent="0.2">
      <c r="A13" s="338"/>
      <c r="B13" s="252"/>
      <c r="C13" s="253"/>
      <c r="D13" s="254" t="str">
        <f>B9</f>
        <v>CONTRATAÇÃO DE EMPRESA PRESTADORA DE SERVIÇOS NO RAMO DA CONSTRUÇÃO CIVIL NA EXECUÇÃO DA OBRA DE CONSTRUÇÃO DE UMA QUADRA COBERTA POLIESPORTIVA , TIPO 1 PADRÃO FNDE NA ESCOLA MUNICIPAL PROFESSORA CLEONICE LOPES NA SEDE DESTE MUNICÍPIO</v>
      </c>
      <c r="E13" s="252"/>
      <c r="F13" s="256"/>
      <c r="G13" s="255"/>
      <c r="H13" s="255"/>
      <c r="I13" s="512">
        <f>J13+K13</f>
        <v>706419.53</v>
      </c>
      <c r="J13" s="255">
        <v>664000</v>
      </c>
      <c r="K13" s="257">
        <f>K14+K26+K32+K46+K70+K78+K93+K96+K99+K110+K121+K130+K169+K191+K195+K209+K215+K260+K269+K279</f>
        <v>42419.530000000006</v>
      </c>
      <c r="L13" s="339">
        <v>25037.55</v>
      </c>
      <c r="M13" s="339">
        <f>107914.24+25037.55</f>
        <v>132951.79</v>
      </c>
      <c r="N13" s="340">
        <f>K13-M13</f>
        <v>-90532.260000000009</v>
      </c>
      <c r="O13" s="362"/>
      <c r="P13" s="319"/>
    </row>
    <row r="14" spans="1:16" ht="15.75" x14ac:dyDescent="0.2">
      <c r="A14" s="341">
        <v>1</v>
      </c>
      <c r="B14" s="258"/>
      <c r="C14" s="258"/>
      <c r="D14" s="259" t="s">
        <v>9</v>
      </c>
      <c r="E14" s="260"/>
      <c r="F14" s="261">
        <f>K14</f>
        <v>0</v>
      </c>
      <c r="G14" s="261">
        <f t="shared" ref="G14:M14" si="0">SUM(G15:G25)</f>
        <v>2411.4</v>
      </c>
      <c r="H14" s="261">
        <f t="shared" si="0"/>
        <v>0</v>
      </c>
      <c r="I14" s="261">
        <f t="shared" si="0"/>
        <v>0</v>
      </c>
      <c r="J14" s="261">
        <f t="shared" si="0"/>
        <v>2411.4</v>
      </c>
      <c r="K14" s="262">
        <f t="shared" si="0"/>
        <v>0</v>
      </c>
      <c r="L14" s="342">
        <f t="shared" si="0"/>
        <v>0</v>
      </c>
      <c r="M14" s="342">
        <f t="shared" si="0"/>
        <v>0</v>
      </c>
      <c r="N14" s="343">
        <v>0</v>
      </c>
      <c r="O14" s="321"/>
      <c r="P14" s="319"/>
    </row>
    <row r="15" spans="1:16" ht="15.75" x14ac:dyDescent="0.2">
      <c r="A15" s="108" t="s">
        <v>10</v>
      </c>
      <c r="B15" s="265" t="s">
        <v>1328</v>
      </c>
      <c r="C15" s="265" t="s">
        <v>1324</v>
      </c>
      <c r="D15" s="266" t="s">
        <v>1329</v>
      </c>
      <c r="E15" s="267" t="s">
        <v>14</v>
      </c>
      <c r="F15" s="268">
        <f t="shared" ref="F15:F25" si="1">ROUND(T15*$T$12,2)</f>
        <v>0</v>
      </c>
      <c r="G15" s="268">
        <v>10</v>
      </c>
      <c r="H15" s="268">
        <v>0</v>
      </c>
      <c r="I15" s="268">
        <f>V15+H15</f>
        <v>0</v>
      </c>
      <c r="J15" s="268">
        <f t="shared" ref="J15:J25" si="2">G15-I15</f>
        <v>10</v>
      </c>
      <c r="K15" s="269">
        <f t="shared" ref="K15:K25" si="3">ROUND(G15*F15,2)</f>
        <v>0</v>
      </c>
      <c r="L15" s="344">
        <f t="shared" ref="L15:L25" si="4">H15*F15</f>
        <v>0</v>
      </c>
      <c r="M15" s="344">
        <f t="shared" ref="M15:M25" si="5">G15*F15</f>
        <v>0</v>
      </c>
      <c r="N15" s="345">
        <f t="shared" ref="N15:N25" si="6">F15*G15-M15</f>
        <v>0</v>
      </c>
      <c r="O15" s="325" t="e">
        <f t="shared" ref="O15:O25" si="7">M15/P15</f>
        <v>#DIV/0!</v>
      </c>
      <c r="P15" s="319">
        <f t="shared" ref="P15:P25" si="8">G15*F15</f>
        <v>0</v>
      </c>
    </row>
    <row r="16" spans="1:16" ht="15.75" x14ac:dyDescent="0.2">
      <c r="A16" s="346" t="s">
        <v>1330</v>
      </c>
      <c r="B16" s="272" t="s">
        <v>1331</v>
      </c>
      <c r="C16" s="272" t="s">
        <v>1324</v>
      </c>
      <c r="D16" s="273" t="s">
        <v>1332</v>
      </c>
      <c r="E16" s="274" t="s">
        <v>14</v>
      </c>
      <c r="F16" s="268">
        <f t="shared" si="1"/>
        <v>0</v>
      </c>
      <c r="G16" s="275">
        <v>312.39999999999998</v>
      </c>
      <c r="H16" s="275">
        <v>0</v>
      </c>
      <c r="I16" s="268">
        <f>V16+H16+W16</f>
        <v>0</v>
      </c>
      <c r="J16" s="268">
        <f t="shared" si="2"/>
        <v>312.39999999999998</v>
      </c>
      <c r="K16" s="269">
        <f t="shared" si="3"/>
        <v>0</v>
      </c>
      <c r="L16" s="344">
        <f t="shared" si="4"/>
        <v>0</v>
      </c>
      <c r="M16" s="344">
        <f t="shared" si="5"/>
        <v>0</v>
      </c>
      <c r="N16" s="345">
        <f t="shared" si="6"/>
        <v>0</v>
      </c>
      <c r="O16" s="325" t="e">
        <f t="shared" si="7"/>
        <v>#DIV/0!</v>
      </c>
      <c r="P16" s="319">
        <f t="shared" si="8"/>
        <v>0</v>
      </c>
    </row>
    <row r="17" spans="1:16" ht="25.5" x14ac:dyDescent="0.2">
      <c r="A17" s="346" t="s">
        <v>1333</v>
      </c>
      <c r="B17" s="272">
        <v>9540</v>
      </c>
      <c r="C17" s="272" t="s">
        <v>1324</v>
      </c>
      <c r="D17" s="273" t="s">
        <v>1334</v>
      </c>
      <c r="E17" s="274" t="s">
        <v>102</v>
      </c>
      <c r="F17" s="268">
        <f t="shared" si="1"/>
        <v>0</v>
      </c>
      <c r="G17" s="275">
        <v>1</v>
      </c>
      <c r="H17" s="275">
        <v>0</v>
      </c>
      <c r="I17" s="268">
        <f>W17</f>
        <v>0</v>
      </c>
      <c r="J17" s="268">
        <f t="shared" si="2"/>
        <v>1</v>
      </c>
      <c r="K17" s="269">
        <f t="shared" si="3"/>
        <v>0</v>
      </c>
      <c r="L17" s="344">
        <f t="shared" si="4"/>
        <v>0</v>
      </c>
      <c r="M17" s="344">
        <f t="shared" si="5"/>
        <v>0</v>
      </c>
      <c r="N17" s="345">
        <f t="shared" si="6"/>
        <v>0</v>
      </c>
      <c r="O17" s="325" t="e">
        <f t="shared" si="7"/>
        <v>#DIV/0!</v>
      </c>
      <c r="P17" s="319">
        <f t="shared" si="8"/>
        <v>0</v>
      </c>
    </row>
    <row r="18" spans="1:16" ht="15.75" x14ac:dyDescent="0.2">
      <c r="A18" s="346" t="s">
        <v>1335</v>
      </c>
      <c r="B18" s="272" t="s">
        <v>1336</v>
      </c>
      <c r="C18" s="272" t="s">
        <v>1324</v>
      </c>
      <c r="D18" s="273" t="s">
        <v>1337</v>
      </c>
      <c r="E18" s="274" t="s">
        <v>102</v>
      </c>
      <c r="F18" s="268">
        <f t="shared" si="1"/>
        <v>0</v>
      </c>
      <c r="G18" s="275">
        <v>1</v>
      </c>
      <c r="H18" s="275">
        <v>0</v>
      </c>
      <c r="I18" s="268">
        <f>W18</f>
        <v>0</v>
      </c>
      <c r="J18" s="268">
        <f t="shared" si="2"/>
        <v>1</v>
      </c>
      <c r="K18" s="269">
        <f t="shared" si="3"/>
        <v>0</v>
      </c>
      <c r="L18" s="344">
        <f t="shared" si="4"/>
        <v>0</v>
      </c>
      <c r="M18" s="344">
        <f t="shared" si="5"/>
        <v>0</v>
      </c>
      <c r="N18" s="345">
        <f t="shared" si="6"/>
        <v>0</v>
      </c>
      <c r="O18" s="325" t="e">
        <f t="shared" si="7"/>
        <v>#DIV/0!</v>
      </c>
      <c r="P18" s="319">
        <f t="shared" si="8"/>
        <v>0</v>
      </c>
    </row>
    <row r="19" spans="1:16" ht="15.75" x14ac:dyDescent="0.2">
      <c r="A19" s="346" t="s">
        <v>1338</v>
      </c>
      <c r="B19" s="272"/>
      <c r="C19" s="272" t="s">
        <v>1339</v>
      </c>
      <c r="D19" s="273" t="s">
        <v>1340</v>
      </c>
      <c r="E19" s="274" t="s">
        <v>102</v>
      </c>
      <c r="F19" s="268">
        <f t="shared" si="1"/>
        <v>0</v>
      </c>
      <c r="G19" s="275">
        <v>1</v>
      </c>
      <c r="H19" s="275">
        <v>0</v>
      </c>
      <c r="I19" s="268">
        <f>W19</f>
        <v>0</v>
      </c>
      <c r="J19" s="268">
        <f t="shared" si="2"/>
        <v>1</v>
      </c>
      <c r="K19" s="269">
        <f t="shared" si="3"/>
        <v>0</v>
      </c>
      <c r="L19" s="344">
        <f t="shared" si="4"/>
        <v>0</v>
      </c>
      <c r="M19" s="344">
        <f t="shared" si="5"/>
        <v>0</v>
      </c>
      <c r="N19" s="345">
        <f t="shared" si="6"/>
        <v>0</v>
      </c>
      <c r="O19" s="325" t="e">
        <f t="shared" si="7"/>
        <v>#DIV/0!</v>
      </c>
      <c r="P19" s="319">
        <f t="shared" si="8"/>
        <v>0</v>
      </c>
    </row>
    <row r="20" spans="1:16" ht="15.75" x14ac:dyDescent="0.2">
      <c r="A20" s="346" t="s">
        <v>1341</v>
      </c>
      <c r="B20" s="272" t="s">
        <v>1342</v>
      </c>
      <c r="C20" s="272" t="s">
        <v>1343</v>
      </c>
      <c r="D20" s="273" t="s">
        <v>1344</v>
      </c>
      <c r="E20" s="274" t="s">
        <v>102</v>
      </c>
      <c r="F20" s="268">
        <f t="shared" si="1"/>
        <v>0</v>
      </c>
      <c r="G20" s="275">
        <v>1</v>
      </c>
      <c r="H20" s="275">
        <v>0</v>
      </c>
      <c r="I20" s="268">
        <f>W20</f>
        <v>0</v>
      </c>
      <c r="J20" s="268">
        <f t="shared" si="2"/>
        <v>1</v>
      </c>
      <c r="K20" s="269">
        <f t="shared" si="3"/>
        <v>0</v>
      </c>
      <c r="L20" s="344">
        <f t="shared" si="4"/>
        <v>0</v>
      </c>
      <c r="M20" s="344">
        <f t="shared" si="5"/>
        <v>0</v>
      </c>
      <c r="N20" s="345">
        <f t="shared" si="6"/>
        <v>0</v>
      </c>
      <c r="O20" s="325" t="e">
        <f t="shared" si="7"/>
        <v>#DIV/0!</v>
      </c>
      <c r="P20" s="319">
        <f t="shared" si="8"/>
        <v>0</v>
      </c>
    </row>
    <row r="21" spans="1:16" ht="25.5" x14ac:dyDescent="0.2">
      <c r="A21" s="346" t="s">
        <v>1345</v>
      </c>
      <c r="B21" s="272" t="s">
        <v>1346</v>
      </c>
      <c r="C21" s="272" t="s">
        <v>1324</v>
      </c>
      <c r="D21" s="273" t="s">
        <v>1347</v>
      </c>
      <c r="E21" s="274" t="s">
        <v>102</v>
      </c>
      <c r="F21" s="268">
        <f t="shared" si="1"/>
        <v>0</v>
      </c>
      <c r="G21" s="275">
        <v>1</v>
      </c>
      <c r="H21" s="275">
        <v>0</v>
      </c>
      <c r="I21" s="268">
        <f>W21</f>
        <v>0</v>
      </c>
      <c r="J21" s="268">
        <f t="shared" si="2"/>
        <v>1</v>
      </c>
      <c r="K21" s="269">
        <f t="shared" si="3"/>
        <v>0</v>
      </c>
      <c r="L21" s="344">
        <f t="shared" si="4"/>
        <v>0</v>
      </c>
      <c r="M21" s="344">
        <f t="shared" si="5"/>
        <v>0</v>
      </c>
      <c r="N21" s="345">
        <f t="shared" si="6"/>
        <v>0</v>
      </c>
      <c r="O21" s="325" t="e">
        <f t="shared" si="7"/>
        <v>#DIV/0!</v>
      </c>
      <c r="P21" s="319">
        <f t="shared" si="8"/>
        <v>0</v>
      </c>
    </row>
    <row r="22" spans="1:16" ht="15.75" x14ac:dyDescent="0.2">
      <c r="A22" s="346" t="s">
        <v>1348</v>
      </c>
      <c r="B22" s="272" t="s">
        <v>1349</v>
      </c>
      <c r="C22" s="272" t="s">
        <v>1324</v>
      </c>
      <c r="D22" s="273" t="s">
        <v>1350</v>
      </c>
      <c r="E22" s="274" t="s">
        <v>14</v>
      </c>
      <c r="F22" s="268">
        <f t="shared" si="1"/>
        <v>0</v>
      </c>
      <c r="G22" s="275">
        <v>20</v>
      </c>
      <c r="H22" s="275">
        <v>0</v>
      </c>
      <c r="I22" s="268">
        <f>V22+W22</f>
        <v>0</v>
      </c>
      <c r="J22" s="268">
        <f t="shared" si="2"/>
        <v>20</v>
      </c>
      <c r="K22" s="269">
        <f t="shared" si="3"/>
        <v>0</v>
      </c>
      <c r="L22" s="344">
        <f t="shared" si="4"/>
        <v>0</v>
      </c>
      <c r="M22" s="344">
        <f t="shared" si="5"/>
        <v>0</v>
      </c>
      <c r="N22" s="345">
        <f t="shared" si="6"/>
        <v>0</v>
      </c>
      <c r="O22" s="325" t="e">
        <f t="shared" si="7"/>
        <v>#DIV/0!</v>
      </c>
      <c r="P22" s="319">
        <f t="shared" si="8"/>
        <v>0</v>
      </c>
    </row>
    <row r="23" spans="1:16" ht="15.75" x14ac:dyDescent="0.2">
      <c r="A23" s="346" t="s">
        <v>1351</v>
      </c>
      <c r="B23" s="272" t="s">
        <v>1352</v>
      </c>
      <c r="C23" s="272" t="s">
        <v>1324</v>
      </c>
      <c r="D23" s="273" t="s">
        <v>1353</v>
      </c>
      <c r="E23" s="274" t="s">
        <v>14</v>
      </c>
      <c r="F23" s="268">
        <f t="shared" si="1"/>
        <v>0</v>
      </c>
      <c r="G23" s="275">
        <v>785</v>
      </c>
      <c r="H23" s="275">
        <v>0</v>
      </c>
      <c r="I23" s="268">
        <f>V23+H23</f>
        <v>0</v>
      </c>
      <c r="J23" s="268">
        <f t="shared" si="2"/>
        <v>785</v>
      </c>
      <c r="K23" s="269">
        <f t="shared" si="3"/>
        <v>0</v>
      </c>
      <c r="L23" s="344">
        <f t="shared" si="4"/>
        <v>0</v>
      </c>
      <c r="M23" s="344">
        <f t="shared" si="5"/>
        <v>0</v>
      </c>
      <c r="N23" s="345">
        <f t="shared" si="6"/>
        <v>0</v>
      </c>
      <c r="O23" s="325" t="e">
        <f t="shared" si="7"/>
        <v>#DIV/0!</v>
      </c>
      <c r="P23" s="319">
        <f t="shared" si="8"/>
        <v>0</v>
      </c>
    </row>
    <row r="24" spans="1:16" ht="15.75" x14ac:dyDescent="0.2">
      <c r="A24" s="346" t="s">
        <v>1354</v>
      </c>
      <c r="B24" s="272" t="s">
        <v>1355</v>
      </c>
      <c r="C24" s="272" t="s">
        <v>1343</v>
      </c>
      <c r="D24" s="273" t="s">
        <v>1356</v>
      </c>
      <c r="E24" s="274" t="s">
        <v>81</v>
      </c>
      <c r="F24" s="268">
        <f t="shared" si="1"/>
        <v>0</v>
      </c>
      <c r="G24" s="275">
        <v>49</v>
      </c>
      <c r="H24" s="275">
        <v>0</v>
      </c>
      <c r="I24" s="268">
        <f>V24+H24</f>
        <v>0</v>
      </c>
      <c r="J24" s="268">
        <f t="shared" si="2"/>
        <v>49</v>
      </c>
      <c r="K24" s="269">
        <f t="shared" si="3"/>
        <v>0</v>
      </c>
      <c r="L24" s="344">
        <f t="shared" si="4"/>
        <v>0</v>
      </c>
      <c r="M24" s="344">
        <f t="shared" si="5"/>
        <v>0</v>
      </c>
      <c r="N24" s="345">
        <f t="shared" si="6"/>
        <v>0</v>
      </c>
      <c r="O24" s="325" t="e">
        <f t="shared" si="7"/>
        <v>#DIV/0!</v>
      </c>
      <c r="P24" s="319">
        <f t="shared" si="8"/>
        <v>0</v>
      </c>
    </row>
    <row r="25" spans="1:16" ht="15.75" x14ac:dyDescent="0.2">
      <c r="A25" s="346" t="s">
        <v>1357</v>
      </c>
      <c r="B25" s="272">
        <v>72213</v>
      </c>
      <c r="C25" s="272" t="s">
        <v>1324</v>
      </c>
      <c r="D25" s="273" t="s">
        <v>1358</v>
      </c>
      <c r="E25" s="274" t="s">
        <v>14</v>
      </c>
      <c r="F25" s="268">
        <f t="shared" si="1"/>
        <v>0</v>
      </c>
      <c r="G25" s="275">
        <v>1230</v>
      </c>
      <c r="H25" s="275">
        <v>0</v>
      </c>
      <c r="I25" s="268">
        <f>V25+H25</f>
        <v>0</v>
      </c>
      <c r="J25" s="268">
        <f t="shared" si="2"/>
        <v>1230</v>
      </c>
      <c r="K25" s="269">
        <f t="shared" si="3"/>
        <v>0</v>
      </c>
      <c r="L25" s="344">
        <f t="shared" si="4"/>
        <v>0</v>
      </c>
      <c r="M25" s="344">
        <f t="shared" si="5"/>
        <v>0</v>
      </c>
      <c r="N25" s="345">
        <f t="shared" si="6"/>
        <v>0</v>
      </c>
      <c r="O25" s="325" t="e">
        <f t="shared" si="7"/>
        <v>#DIV/0!</v>
      </c>
      <c r="P25" s="319">
        <f t="shared" si="8"/>
        <v>0</v>
      </c>
    </row>
    <row r="26" spans="1:16" ht="15.75" x14ac:dyDescent="0.2">
      <c r="A26" s="341">
        <v>2</v>
      </c>
      <c r="B26" s="258"/>
      <c r="C26" s="258"/>
      <c r="D26" s="259" t="s">
        <v>1359</v>
      </c>
      <c r="E26" s="260"/>
      <c r="F26" s="261">
        <f>SUM(F27:F31)</f>
        <v>0</v>
      </c>
      <c r="G26" s="261">
        <f t="shared" ref="G26:M26" si="9">SUM(G27:G31)</f>
        <v>596.74</v>
      </c>
      <c r="H26" s="261">
        <f t="shared" si="9"/>
        <v>158.33000000000001</v>
      </c>
      <c r="I26" s="261">
        <f t="shared" si="9"/>
        <v>221.22</v>
      </c>
      <c r="J26" s="261">
        <f t="shared" si="9"/>
        <v>375.52</v>
      </c>
      <c r="K26" s="262">
        <f>SUM(K27:K31)</f>
        <v>2604.19</v>
      </c>
      <c r="L26" s="342">
        <f t="shared" si="9"/>
        <v>0</v>
      </c>
      <c r="M26" s="342">
        <f t="shared" si="9"/>
        <v>0</v>
      </c>
      <c r="N26" s="343">
        <f>K26-M26</f>
        <v>2604.19</v>
      </c>
      <c r="O26" s="325"/>
      <c r="P26" s="319"/>
    </row>
    <row r="27" spans="1:16" ht="25.5" x14ac:dyDescent="0.2">
      <c r="A27" s="346" t="s">
        <v>27</v>
      </c>
      <c r="B27" s="272">
        <v>55835</v>
      </c>
      <c r="C27" s="272" t="s">
        <v>1324</v>
      </c>
      <c r="D27" s="273" t="s">
        <v>1360</v>
      </c>
      <c r="E27" s="274" t="s">
        <v>48</v>
      </c>
      <c r="F27" s="268">
        <f>ROUND(T27*$T$12,2)</f>
        <v>0</v>
      </c>
      <c r="G27" s="275">
        <v>154.94</v>
      </c>
      <c r="H27" s="275">
        <v>0</v>
      </c>
      <c r="I27" s="268">
        <f>V27+W27</f>
        <v>0</v>
      </c>
      <c r="J27" s="268">
        <f>G27-I27</f>
        <v>154.94</v>
      </c>
      <c r="K27" s="269">
        <f>ROUND(G27*F27,2)</f>
        <v>0</v>
      </c>
      <c r="L27" s="344">
        <f>H27*F27</f>
        <v>0</v>
      </c>
      <c r="M27" s="344">
        <f>G27*F27</f>
        <v>0</v>
      </c>
      <c r="N27" s="345">
        <f>F27*G27-M27</f>
        <v>0</v>
      </c>
      <c r="O27" s="325" t="e">
        <f t="shared" ref="O27:O45" si="10">M27/P27</f>
        <v>#DIV/0!</v>
      </c>
      <c r="P27" s="319">
        <f>G27*F27</f>
        <v>0</v>
      </c>
    </row>
    <row r="28" spans="1:16" ht="15.75" x14ac:dyDescent="0.2">
      <c r="A28" s="346" t="s">
        <v>1263</v>
      </c>
      <c r="B28" s="272">
        <v>79478</v>
      </c>
      <c r="C28" s="272" t="s">
        <v>1324</v>
      </c>
      <c r="D28" s="363" t="s">
        <v>1361</v>
      </c>
      <c r="E28" s="274" t="s">
        <v>48</v>
      </c>
      <c r="F28" s="268">
        <f>ROUND(T28*$T$12,2)</f>
        <v>0</v>
      </c>
      <c r="G28" s="275">
        <v>175.62</v>
      </c>
      <c r="H28" s="275">
        <v>92.37</v>
      </c>
      <c r="I28" s="268">
        <f>V28+W28+H28</f>
        <v>92.37</v>
      </c>
      <c r="J28" s="268">
        <f>G28-I28</f>
        <v>83.25</v>
      </c>
      <c r="K28" s="269">
        <f>ROUND(G28*F28,2)</f>
        <v>0</v>
      </c>
      <c r="L28" s="364">
        <f>H28*F28</f>
        <v>0</v>
      </c>
      <c r="M28" s="344">
        <f>G28*F28</f>
        <v>0</v>
      </c>
      <c r="N28" s="345">
        <f>F28*G28-M28</f>
        <v>0</v>
      </c>
      <c r="O28" s="325" t="e">
        <f t="shared" si="10"/>
        <v>#DIV/0!</v>
      </c>
      <c r="P28" s="319">
        <f>G28*F28</f>
        <v>0</v>
      </c>
    </row>
    <row r="29" spans="1:16" ht="15.75" x14ac:dyDescent="0.2">
      <c r="A29" s="346" t="s">
        <v>1362</v>
      </c>
      <c r="B29" s="272">
        <v>79483</v>
      </c>
      <c r="C29" s="272" t="s">
        <v>1324</v>
      </c>
      <c r="D29" s="363" t="s">
        <v>1363</v>
      </c>
      <c r="E29" s="274" t="s">
        <v>14</v>
      </c>
      <c r="F29" s="268">
        <f>ROUND(T29*$T$12,2)</f>
        <v>0</v>
      </c>
      <c r="G29" s="275">
        <v>117.08</v>
      </c>
      <c r="H29" s="275">
        <v>2.25</v>
      </c>
      <c r="I29" s="268">
        <f>V29+W29+H29</f>
        <v>2.25</v>
      </c>
      <c r="J29" s="268">
        <f>G29-I29</f>
        <v>114.83</v>
      </c>
      <c r="K29" s="269">
        <f>ROUND(G29*F29,2)</f>
        <v>0</v>
      </c>
      <c r="L29" s="364">
        <f>H29*F29</f>
        <v>0</v>
      </c>
      <c r="M29" s="344">
        <f>G29*F29</f>
        <v>0</v>
      </c>
      <c r="N29" s="345">
        <f>F29*G29-M29</f>
        <v>0</v>
      </c>
      <c r="O29" s="325" t="e">
        <f t="shared" si="10"/>
        <v>#DIV/0!</v>
      </c>
      <c r="P29" s="319">
        <f>G29*F29</f>
        <v>0</v>
      </c>
    </row>
    <row r="30" spans="1:16" ht="15.75" x14ac:dyDescent="0.2">
      <c r="A30" s="346" t="s">
        <v>1364</v>
      </c>
      <c r="B30" s="272">
        <v>53527</v>
      </c>
      <c r="C30" s="272" t="s">
        <v>1324</v>
      </c>
      <c r="D30" s="363" t="s">
        <v>1365</v>
      </c>
      <c r="E30" s="274" t="s">
        <v>48</v>
      </c>
      <c r="F30" s="268">
        <f>ROUND(T30*$T$12,2)</f>
        <v>0</v>
      </c>
      <c r="G30" s="275">
        <v>126.6</v>
      </c>
      <c r="H30" s="275">
        <v>63.71</v>
      </c>
      <c r="I30" s="268">
        <f>G30</f>
        <v>126.6</v>
      </c>
      <c r="J30" s="268">
        <f>G30-I30</f>
        <v>0</v>
      </c>
      <c r="K30" s="269">
        <v>2604.19</v>
      </c>
      <c r="L30" s="364">
        <f>H30*F30</f>
        <v>0</v>
      </c>
      <c r="M30" s="344">
        <f>G30*F30</f>
        <v>0</v>
      </c>
      <c r="N30" s="345">
        <f>F30*G30-M30</f>
        <v>0</v>
      </c>
      <c r="O30" s="325" t="e">
        <f t="shared" si="10"/>
        <v>#DIV/0!</v>
      </c>
      <c r="P30" s="319">
        <f>G30*F30</f>
        <v>0</v>
      </c>
    </row>
    <row r="31" spans="1:16" ht="15.75" x14ac:dyDescent="0.2">
      <c r="A31" s="346" t="s">
        <v>1366</v>
      </c>
      <c r="B31" s="272">
        <v>55835</v>
      </c>
      <c r="C31" s="272" t="s">
        <v>1324</v>
      </c>
      <c r="D31" s="273" t="s">
        <v>1367</v>
      </c>
      <c r="E31" s="274" t="s">
        <v>48</v>
      </c>
      <c r="F31" s="268">
        <f>ROUND(T31*$T$12,2)</f>
        <v>0</v>
      </c>
      <c r="G31" s="275">
        <v>22.5</v>
      </c>
      <c r="H31" s="275">
        <v>0</v>
      </c>
      <c r="I31" s="268">
        <f>V31+H31</f>
        <v>0</v>
      </c>
      <c r="J31" s="268">
        <f>G31-I31</f>
        <v>22.5</v>
      </c>
      <c r="K31" s="269">
        <f>ROUND(G31*F31,2)</f>
        <v>0</v>
      </c>
      <c r="L31" s="344">
        <f>H31*F31</f>
        <v>0</v>
      </c>
      <c r="M31" s="344">
        <v>0</v>
      </c>
      <c r="N31" s="345">
        <f>F31*G31-M31</f>
        <v>0</v>
      </c>
      <c r="O31" s="325" t="e">
        <f t="shared" si="10"/>
        <v>#DIV/0!</v>
      </c>
      <c r="P31" s="319">
        <f>G31*F31</f>
        <v>0</v>
      </c>
    </row>
    <row r="32" spans="1:16" ht="15.75" x14ac:dyDescent="0.2">
      <c r="A32" s="341">
        <v>3</v>
      </c>
      <c r="B32" s="258"/>
      <c r="C32" s="258"/>
      <c r="D32" s="259" t="s">
        <v>1368</v>
      </c>
      <c r="E32" s="260"/>
      <c r="F32" s="261">
        <f>K32</f>
        <v>35827.15</v>
      </c>
      <c r="G32" s="261">
        <f>SUM(G33,G40)</f>
        <v>2188.9387500000003</v>
      </c>
      <c r="H32" s="261">
        <f>SUM(H33,H40)</f>
        <v>277.77</v>
      </c>
      <c r="I32" s="261">
        <f>SUM(I33,I40)</f>
        <v>2185.165</v>
      </c>
      <c r="J32" s="261">
        <f>SUM(J33,J40)</f>
        <v>3.7699999999999996</v>
      </c>
      <c r="K32" s="262">
        <f>K33+K40</f>
        <v>35827.15</v>
      </c>
      <c r="L32" s="342">
        <f>SUM(L33,L40)</f>
        <v>6357</v>
      </c>
      <c r="M32" s="342">
        <f>SUM(M33,M40)</f>
        <v>0</v>
      </c>
      <c r="N32" s="343">
        <f>SUM(N33,N40)</f>
        <v>0</v>
      </c>
      <c r="O32" s="325" t="e">
        <f t="shared" si="10"/>
        <v>#DIV/0!</v>
      </c>
      <c r="P32" s="319"/>
    </row>
    <row r="33" spans="1:16" ht="15.75" x14ac:dyDescent="0.2">
      <c r="A33" s="348" t="s">
        <v>41</v>
      </c>
      <c r="B33" s="276"/>
      <c r="C33" s="276"/>
      <c r="D33" s="277" t="s">
        <v>1369</v>
      </c>
      <c r="E33" s="278"/>
      <c r="F33" s="279">
        <f>K33</f>
        <v>35827.15</v>
      </c>
      <c r="G33" s="279">
        <f t="shared" ref="G33:M33" si="11">SUM(G35:G39)</f>
        <v>1509.3687500000001</v>
      </c>
      <c r="H33" s="279">
        <f t="shared" si="11"/>
        <v>277.77</v>
      </c>
      <c r="I33" s="279">
        <f t="shared" si="11"/>
        <v>1505.595</v>
      </c>
      <c r="J33" s="279">
        <f t="shared" si="11"/>
        <v>3.7699999999999996</v>
      </c>
      <c r="K33" s="280">
        <f>SUM(K34:K39)</f>
        <v>35827.15</v>
      </c>
      <c r="L33" s="349">
        <f>SUM(L34:L39)</f>
        <v>6357</v>
      </c>
      <c r="M33" s="349">
        <f t="shared" si="11"/>
        <v>0</v>
      </c>
      <c r="N33" s="350">
        <v>0</v>
      </c>
      <c r="O33" s="325" t="e">
        <f t="shared" si="10"/>
        <v>#DIV/0!</v>
      </c>
      <c r="P33" s="319"/>
    </row>
    <row r="34" spans="1:16" ht="15.75" x14ac:dyDescent="0.2">
      <c r="A34" s="365" t="s">
        <v>43</v>
      </c>
      <c r="B34" s="856"/>
      <c r="C34" s="856"/>
      <c r="D34" s="366" t="s">
        <v>2005</v>
      </c>
      <c r="E34" s="367" t="s">
        <v>2006</v>
      </c>
      <c r="F34" s="275">
        <v>6357</v>
      </c>
      <c r="G34" s="275">
        <v>1</v>
      </c>
      <c r="H34" s="275">
        <v>1</v>
      </c>
      <c r="I34" s="275">
        <v>1</v>
      </c>
      <c r="J34" s="275">
        <v>0</v>
      </c>
      <c r="K34" s="368">
        <v>6357</v>
      </c>
      <c r="L34" s="369">
        <v>6357</v>
      </c>
      <c r="M34" s="369">
        <v>6357</v>
      </c>
      <c r="N34" s="370">
        <v>0</v>
      </c>
      <c r="O34" s="325"/>
      <c r="P34" s="319"/>
    </row>
    <row r="35" spans="1:16" ht="15.75" x14ac:dyDescent="0.2">
      <c r="A35" s="346" t="s">
        <v>43</v>
      </c>
      <c r="B35" s="272">
        <v>83532</v>
      </c>
      <c r="C35" s="272" t="s">
        <v>1324</v>
      </c>
      <c r="D35" s="363" t="s">
        <v>1370</v>
      </c>
      <c r="E35" s="274" t="s">
        <v>48</v>
      </c>
      <c r="F35" s="268">
        <f>ROUND(T35*$T$12,2)</f>
        <v>0</v>
      </c>
      <c r="G35" s="275">
        <v>5.85</v>
      </c>
      <c r="H35" s="275">
        <v>2.08</v>
      </c>
      <c r="I35" s="275">
        <f>H35+W35</f>
        <v>2.08</v>
      </c>
      <c r="J35" s="268">
        <f>G35-I35</f>
        <v>3.7699999999999996</v>
      </c>
      <c r="K35" s="269">
        <v>116.26</v>
      </c>
      <c r="L35" s="344">
        <f>H35*F35</f>
        <v>0</v>
      </c>
      <c r="M35" s="344">
        <f>G35*F35</f>
        <v>0</v>
      </c>
      <c r="N35" s="345">
        <f>F35*G35-M35</f>
        <v>0</v>
      </c>
      <c r="O35" s="325" t="e">
        <f t="shared" si="10"/>
        <v>#DIV/0!</v>
      </c>
      <c r="P35" s="319">
        <f t="shared" ref="P35:P45" si="12">G35*F35</f>
        <v>0</v>
      </c>
    </row>
    <row r="36" spans="1:16" ht="15.75" x14ac:dyDescent="0.2">
      <c r="A36" s="346" t="s">
        <v>45</v>
      </c>
      <c r="B36" s="272">
        <v>5970</v>
      </c>
      <c r="C36" s="272" t="s">
        <v>1324</v>
      </c>
      <c r="D36" s="363" t="s">
        <v>1371</v>
      </c>
      <c r="E36" s="274" t="s">
        <v>14</v>
      </c>
      <c r="F36" s="268">
        <f>ROUND(T36*$T$12,2)</f>
        <v>0</v>
      </c>
      <c r="G36" s="275">
        <v>83.584999999999994</v>
      </c>
      <c r="H36" s="275">
        <v>20.57</v>
      </c>
      <c r="I36" s="275">
        <f>G36</f>
        <v>83.584999999999994</v>
      </c>
      <c r="J36" s="268">
        <f>G36-I36</f>
        <v>0</v>
      </c>
      <c r="K36" s="269">
        <v>7808.51</v>
      </c>
      <c r="L36" s="344">
        <f>H36*F36</f>
        <v>0</v>
      </c>
      <c r="M36" s="344">
        <f>G36*F36</f>
        <v>0</v>
      </c>
      <c r="N36" s="345">
        <f>F36*G36-M36</f>
        <v>0</v>
      </c>
      <c r="O36" s="325" t="e">
        <f t="shared" si="10"/>
        <v>#DIV/0!</v>
      </c>
      <c r="P36" s="319">
        <f t="shared" si="12"/>
        <v>0</v>
      </c>
    </row>
    <row r="37" spans="1:16" ht="25.5" x14ac:dyDescent="0.2">
      <c r="A37" s="346" t="s">
        <v>47</v>
      </c>
      <c r="B37" s="272">
        <v>92793</v>
      </c>
      <c r="C37" s="272" t="s">
        <v>1324</v>
      </c>
      <c r="D37" s="363" t="s">
        <v>1372</v>
      </c>
      <c r="E37" s="274" t="s">
        <v>35</v>
      </c>
      <c r="F37" s="268">
        <f>ROUND(T37*$T$12,2)</f>
        <v>0</v>
      </c>
      <c r="G37" s="275">
        <v>1313</v>
      </c>
      <c r="H37" s="275">
        <v>218.73</v>
      </c>
      <c r="I37" s="275">
        <f>G37</f>
        <v>1313</v>
      </c>
      <c r="J37" s="268">
        <f>G37-I37</f>
        <v>0</v>
      </c>
      <c r="K37" s="269">
        <v>6105.45</v>
      </c>
      <c r="L37" s="344">
        <f>H37*F37</f>
        <v>0</v>
      </c>
      <c r="M37" s="344">
        <f>G37*F37</f>
        <v>0</v>
      </c>
      <c r="N37" s="345">
        <f>F37*G37-M37</f>
        <v>0</v>
      </c>
      <c r="O37" s="325" t="e">
        <f t="shared" si="10"/>
        <v>#DIV/0!</v>
      </c>
      <c r="P37" s="319">
        <f t="shared" si="12"/>
        <v>0</v>
      </c>
    </row>
    <row r="38" spans="1:16" ht="25.5" x14ac:dyDescent="0.2">
      <c r="A38" s="346" t="s">
        <v>49</v>
      </c>
      <c r="B38" s="272">
        <v>92791</v>
      </c>
      <c r="C38" s="272" t="s">
        <v>1324</v>
      </c>
      <c r="D38" s="363" t="s">
        <v>1373</v>
      </c>
      <c r="E38" s="274" t="s">
        <v>35</v>
      </c>
      <c r="F38" s="268">
        <f>ROUND(T38*$T$12,2)</f>
        <v>0</v>
      </c>
      <c r="G38" s="275">
        <v>60.4</v>
      </c>
      <c r="H38" s="275">
        <v>5.49</v>
      </c>
      <c r="I38" s="275">
        <v>60.4</v>
      </c>
      <c r="J38" s="268">
        <f>G38-I38</f>
        <v>0</v>
      </c>
      <c r="K38" s="269">
        <v>369.04</v>
      </c>
      <c r="L38" s="344">
        <f>H38*F38</f>
        <v>0</v>
      </c>
      <c r="M38" s="344">
        <f>G38*F38</f>
        <v>0</v>
      </c>
      <c r="N38" s="345">
        <f>F38*G38-M38</f>
        <v>0</v>
      </c>
      <c r="O38" s="325" t="e">
        <f t="shared" si="10"/>
        <v>#DIV/0!</v>
      </c>
      <c r="P38" s="319">
        <f t="shared" si="12"/>
        <v>0</v>
      </c>
    </row>
    <row r="39" spans="1:16" ht="15.75" x14ac:dyDescent="0.2">
      <c r="A39" s="346" t="s">
        <v>1374</v>
      </c>
      <c r="B39" s="272">
        <v>92720</v>
      </c>
      <c r="C39" s="272" t="s">
        <v>1324</v>
      </c>
      <c r="D39" s="363" t="s">
        <v>1375</v>
      </c>
      <c r="E39" s="274" t="s">
        <v>48</v>
      </c>
      <c r="F39" s="268">
        <f>ROUND(T39*$T$12,2)</f>
        <v>0</v>
      </c>
      <c r="G39" s="275">
        <v>46.533749999999998</v>
      </c>
      <c r="H39" s="275">
        <v>30.9</v>
      </c>
      <c r="I39" s="275">
        <v>46.53</v>
      </c>
      <c r="J39" s="268">
        <v>0</v>
      </c>
      <c r="K39" s="269">
        <v>15070.89</v>
      </c>
      <c r="L39" s="344">
        <f>H39*F39</f>
        <v>0</v>
      </c>
      <c r="M39" s="344">
        <f>G39*F39</f>
        <v>0</v>
      </c>
      <c r="N39" s="345">
        <f>F39*G39-M39</f>
        <v>0</v>
      </c>
      <c r="O39" s="325" t="e">
        <f t="shared" si="10"/>
        <v>#DIV/0!</v>
      </c>
      <c r="P39" s="319">
        <f t="shared" si="12"/>
        <v>0</v>
      </c>
    </row>
    <row r="40" spans="1:16" ht="15.75" x14ac:dyDescent="0.2">
      <c r="A40" s="348" t="s">
        <v>50</v>
      </c>
      <c r="B40" s="276"/>
      <c r="C40" s="276"/>
      <c r="D40" s="277" t="s">
        <v>1376</v>
      </c>
      <c r="E40" s="278"/>
      <c r="F40" s="279">
        <f>K40</f>
        <v>0</v>
      </c>
      <c r="G40" s="279">
        <f t="shared" ref="G40:M40" si="13">SUM(G41:G45)</f>
        <v>679.56999999999994</v>
      </c>
      <c r="H40" s="279">
        <f t="shared" si="13"/>
        <v>0</v>
      </c>
      <c r="I40" s="279">
        <f t="shared" si="13"/>
        <v>679.56999999999994</v>
      </c>
      <c r="J40" s="279">
        <f t="shared" si="13"/>
        <v>0</v>
      </c>
      <c r="K40" s="280">
        <f t="shared" si="13"/>
        <v>0</v>
      </c>
      <c r="L40" s="349">
        <f t="shared" si="13"/>
        <v>0</v>
      </c>
      <c r="M40" s="349">
        <f t="shared" si="13"/>
        <v>0</v>
      </c>
      <c r="N40" s="350">
        <v>0</v>
      </c>
      <c r="O40" s="325" t="e">
        <f t="shared" si="10"/>
        <v>#DIV/0!</v>
      </c>
      <c r="P40" s="319">
        <f t="shared" si="12"/>
        <v>0</v>
      </c>
    </row>
    <row r="41" spans="1:16" ht="15.75" x14ac:dyDescent="0.2">
      <c r="A41" s="346" t="s">
        <v>52</v>
      </c>
      <c r="B41" s="272">
        <v>83532</v>
      </c>
      <c r="C41" s="272" t="s">
        <v>1324</v>
      </c>
      <c r="D41" s="273" t="s">
        <v>1370</v>
      </c>
      <c r="E41" s="274" t="s">
        <v>48</v>
      </c>
      <c r="F41" s="268">
        <f>ROUND(T41*$T$12,2)</f>
        <v>0</v>
      </c>
      <c r="G41" s="275">
        <v>2.58</v>
      </c>
      <c r="H41" s="275">
        <v>0</v>
      </c>
      <c r="I41" s="275">
        <f>G41</f>
        <v>2.58</v>
      </c>
      <c r="J41" s="268">
        <f>G41-I41</f>
        <v>0</v>
      </c>
      <c r="K41" s="269">
        <f>ROUND(G41*F41,2)</f>
        <v>0</v>
      </c>
      <c r="L41" s="364">
        <f t="shared" ref="L41:M45" si="14">K41</f>
        <v>0</v>
      </c>
      <c r="M41" s="344">
        <f t="shared" si="14"/>
        <v>0</v>
      </c>
      <c r="N41" s="345">
        <f>L41-M41</f>
        <v>0</v>
      </c>
      <c r="O41" s="325" t="e">
        <f t="shared" si="10"/>
        <v>#DIV/0!</v>
      </c>
      <c r="P41" s="319">
        <f t="shared" si="12"/>
        <v>0</v>
      </c>
    </row>
    <row r="42" spans="1:16" ht="15.75" x14ac:dyDescent="0.2">
      <c r="A42" s="346" t="s">
        <v>53</v>
      </c>
      <c r="B42" s="272">
        <v>5970</v>
      </c>
      <c r="C42" s="272" t="s">
        <v>1324</v>
      </c>
      <c r="D42" s="273" t="s">
        <v>1371</v>
      </c>
      <c r="E42" s="274" t="s">
        <v>14</v>
      </c>
      <c r="F42" s="268">
        <f>ROUND(T42*$T$12,2)</f>
        <v>0</v>
      </c>
      <c r="G42" s="275">
        <v>139.57</v>
      </c>
      <c r="H42" s="275">
        <v>0</v>
      </c>
      <c r="I42" s="275">
        <f>G42</f>
        <v>139.57</v>
      </c>
      <c r="J42" s="268">
        <f>G42-I42</f>
        <v>0</v>
      </c>
      <c r="K42" s="269">
        <f>ROUND(G42*F42,2)</f>
        <v>0</v>
      </c>
      <c r="L42" s="364">
        <f t="shared" si="14"/>
        <v>0</v>
      </c>
      <c r="M42" s="344">
        <f t="shared" si="14"/>
        <v>0</v>
      </c>
      <c r="N42" s="345">
        <f>L42-M42</f>
        <v>0</v>
      </c>
      <c r="O42" s="325" t="e">
        <f t="shared" si="10"/>
        <v>#DIV/0!</v>
      </c>
      <c r="P42" s="319">
        <f t="shared" si="12"/>
        <v>0</v>
      </c>
    </row>
    <row r="43" spans="1:16" ht="25.5" x14ac:dyDescent="0.2">
      <c r="A43" s="346" t="s">
        <v>54</v>
      </c>
      <c r="B43" s="272">
        <v>92793</v>
      </c>
      <c r="C43" s="272" t="s">
        <v>1324</v>
      </c>
      <c r="D43" s="273" t="s">
        <v>1372</v>
      </c>
      <c r="E43" s="274" t="s">
        <v>35</v>
      </c>
      <c r="F43" s="268">
        <f>ROUND(T43*$T$12,2)</f>
        <v>0</v>
      </c>
      <c r="G43" s="275">
        <v>389.64</v>
      </c>
      <c r="H43" s="275">
        <v>0</v>
      </c>
      <c r="I43" s="275">
        <f>G43</f>
        <v>389.64</v>
      </c>
      <c r="J43" s="268">
        <f>G43-I43</f>
        <v>0</v>
      </c>
      <c r="K43" s="269">
        <f>ROUND(G43*F43,2)</f>
        <v>0</v>
      </c>
      <c r="L43" s="364">
        <f t="shared" si="14"/>
        <v>0</v>
      </c>
      <c r="M43" s="344">
        <f t="shared" si="14"/>
        <v>0</v>
      </c>
      <c r="N43" s="345">
        <f>L43-M43</f>
        <v>0</v>
      </c>
      <c r="O43" s="325" t="e">
        <f t="shared" si="10"/>
        <v>#DIV/0!</v>
      </c>
      <c r="P43" s="319">
        <f t="shared" si="12"/>
        <v>0</v>
      </c>
    </row>
    <row r="44" spans="1:16" ht="25.5" x14ac:dyDescent="0.2">
      <c r="A44" s="346" t="s">
        <v>55</v>
      </c>
      <c r="B44" s="272">
        <v>92791</v>
      </c>
      <c r="C44" s="272" t="s">
        <v>1324</v>
      </c>
      <c r="D44" s="273" t="s">
        <v>1373</v>
      </c>
      <c r="E44" s="274" t="s">
        <v>35</v>
      </c>
      <c r="F44" s="268">
        <f>ROUND(T44*$T$12,2)</f>
        <v>0</v>
      </c>
      <c r="G44" s="275">
        <v>137.72999999999999</v>
      </c>
      <c r="H44" s="275">
        <v>0</v>
      </c>
      <c r="I44" s="275">
        <f>G44</f>
        <v>137.72999999999999</v>
      </c>
      <c r="J44" s="268">
        <f>G44-I44</f>
        <v>0</v>
      </c>
      <c r="K44" s="269">
        <f>ROUND(G44*F44,2)</f>
        <v>0</v>
      </c>
      <c r="L44" s="364">
        <f t="shared" si="14"/>
        <v>0</v>
      </c>
      <c r="M44" s="344">
        <f t="shared" si="14"/>
        <v>0</v>
      </c>
      <c r="N44" s="345">
        <f>L44-M44</f>
        <v>0</v>
      </c>
      <c r="O44" s="325" t="e">
        <f t="shared" si="10"/>
        <v>#DIV/0!</v>
      </c>
      <c r="P44" s="319">
        <f t="shared" si="12"/>
        <v>0</v>
      </c>
    </row>
    <row r="45" spans="1:16" ht="15.75" x14ac:dyDescent="0.2">
      <c r="A45" s="346" t="s">
        <v>1377</v>
      </c>
      <c r="B45" s="272">
        <v>92720</v>
      </c>
      <c r="C45" s="272" t="s">
        <v>1324</v>
      </c>
      <c r="D45" s="273" t="s">
        <v>1375</v>
      </c>
      <c r="E45" s="274" t="s">
        <v>48</v>
      </c>
      <c r="F45" s="268">
        <f>ROUND(T45*$T$12,2)</f>
        <v>0</v>
      </c>
      <c r="G45" s="275">
        <v>10.050000000000001</v>
      </c>
      <c r="H45" s="275">
        <v>0</v>
      </c>
      <c r="I45" s="275">
        <f>G45</f>
        <v>10.050000000000001</v>
      </c>
      <c r="J45" s="268">
        <f>G45-I45</f>
        <v>0</v>
      </c>
      <c r="K45" s="269">
        <f>ROUND(G45*F45,2)</f>
        <v>0</v>
      </c>
      <c r="L45" s="364">
        <f t="shared" si="14"/>
        <v>0</v>
      </c>
      <c r="M45" s="344">
        <f t="shared" si="14"/>
        <v>0</v>
      </c>
      <c r="N45" s="345">
        <f>L45-M45</f>
        <v>0</v>
      </c>
      <c r="O45" s="325" t="e">
        <f t="shared" si="10"/>
        <v>#DIV/0!</v>
      </c>
      <c r="P45" s="319">
        <f t="shared" si="12"/>
        <v>0</v>
      </c>
    </row>
    <row r="46" spans="1:16" ht="15.75" x14ac:dyDescent="0.2">
      <c r="A46" s="341">
        <v>4</v>
      </c>
      <c r="B46" s="258"/>
      <c r="C46" s="258"/>
      <c r="D46" s="259" t="s">
        <v>1378</v>
      </c>
      <c r="E46" s="260"/>
      <c r="F46" s="261">
        <f>K46</f>
        <v>0</v>
      </c>
      <c r="G46" s="261"/>
      <c r="H46" s="261"/>
      <c r="I46" s="261"/>
      <c r="J46" s="261"/>
      <c r="K46" s="262">
        <f>K47+K52+K58+K63+K68</f>
        <v>0</v>
      </c>
      <c r="L46" s="342">
        <f>SUM(L47,L52,L58,L63,L68)</f>
        <v>0</v>
      </c>
      <c r="M46" s="342">
        <f>SUM(M47,M52,M58,M63,M68)</f>
        <v>0</v>
      </c>
      <c r="N46" s="343">
        <f>SUM(N47,N52,N58,N63,N68)</f>
        <v>0</v>
      </c>
      <c r="O46" s="325"/>
      <c r="P46" s="319"/>
    </row>
    <row r="47" spans="1:16" ht="15.75" x14ac:dyDescent="0.2">
      <c r="A47" s="348" t="s">
        <v>74</v>
      </c>
      <c r="B47" s="276"/>
      <c r="C47" s="276"/>
      <c r="D47" s="277" t="s">
        <v>1379</v>
      </c>
      <c r="E47" s="278"/>
      <c r="F47" s="279">
        <f>K47</f>
        <v>0</v>
      </c>
      <c r="G47" s="279"/>
      <c r="H47" s="279"/>
      <c r="I47" s="279"/>
      <c r="J47" s="279"/>
      <c r="K47" s="280">
        <f>SUM(K48:K51)</f>
        <v>0</v>
      </c>
      <c r="L47" s="349">
        <f>SUM(L48:L51)</f>
        <v>0</v>
      </c>
      <c r="M47" s="349">
        <f>SUM(M48:M51)</f>
        <v>0</v>
      </c>
      <c r="N47" s="350">
        <f>SUM(N48:N51)</f>
        <v>0</v>
      </c>
      <c r="O47" s="325"/>
      <c r="P47" s="319"/>
    </row>
    <row r="48" spans="1:16" ht="25.5" x14ac:dyDescent="0.2">
      <c r="A48" s="346" t="s">
        <v>76</v>
      </c>
      <c r="B48" s="272">
        <v>92448</v>
      </c>
      <c r="C48" s="272" t="s">
        <v>1324</v>
      </c>
      <c r="D48" s="273" t="s">
        <v>1380</v>
      </c>
      <c r="E48" s="274" t="s">
        <v>14</v>
      </c>
      <c r="F48" s="268">
        <f>ROUND(T48*$T$12,2)</f>
        <v>0</v>
      </c>
      <c r="G48" s="275">
        <v>126.72</v>
      </c>
      <c r="H48" s="275">
        <v>0</v>
      </c>
      <c r="I48" s="275">
        <v>0</v>
      </c>
      <c r="J48" s="275">
        <v>0</v>
      </c>
      <c r="K48" s="269">
        <f>ROUND(G48*F48,2)</f>
        <v>0</v>
      </c>
      <c r="L48" s="344">
        <f>H48*F48</f>
        <v>0</v>
      </c>
      <c r="M48" s="344">
        <f>L48</f>
        <v>0</v>
      </c>
      <c r="N48" s="345">
        <f>F48*G48-M48</f>
        <v>0</v>
      </c>
      <c r="O48" s="325" t="e">
        <f t="shared" ref="O48:O111" si="15">M48/P48</f>
        <v>#DIV/0!</v>
      </c>
      <c r="P48" s="319">
        <f>G48*F48</f>
        <v>0</v>
      </c>
    </row>
    <row r="49" spans="1:16" ht="25.5" x14ac:dyDescent="0.2">
      <c r="A49" s="346" t="s">
        <v>79</v>
      </c>
      <c r="B49" s="272">
        <v>92793</v>
      </c>
      <c r="C49" s="272" t="s">
        <v>1324</v>
      </c>
      <c r="D49" s="273" t="s">
        <v>1372</v>
      </c>
      <c r="E49" s="274" t="s">
        <v>35</v>
      </c>
      <c r="F49" s="268">
        <f>ROUND(T49*$T$12,2)</f>
        <v>0</v>
      </c>
      <c r="G49" s="275">
        <v>428.55</v>
      </c>
      <c r="H49" s="275">
        <v>0</v>
      </c>
      <c r="I49" s="275">
        <v>350</v>
      </c>
      <c r="J49" s="275">
        <f>G49-I490</f>
        <v>428.55</v>
      </c>
      <c r="K49" s="269">
        <f>ROUND(G49*F49,2)</f>
        <v>0</v>
      </c>
      <c r="L49" s="364">
        <f>H49*F49</f>
        <v>0</v>
      </c>
      <c r="M49" s="344">
        <f>I49*F49</f>
        <v>0</v>
      </c>
      <c r="N49" s="345">
        <f>F49*G49-M49</f>
        <v>0</v>
      </c>
      <c r="O49" s="325" t="e">
        <f t="shared" si="15"/>
        <v>#DIV/0!</v>
      </c>
      <c r="P49" s="319">
        <f>G49*F49</f>
        <v>0</v>
      </c>
    </row>
    <row r="50" spans="1:16" ht="25.5" x14ac:dyDescent="0.2">
      <c r="A50" s="346" t="s">
        <v>83</v>
      </c>
      <c r="B50" s="272">
        <v>92791</v>
      </c>
      <c r="C50" s="272" t="s">
        <v>1324</v>
      </c>
      <c r="D50" s="273" t="s">
        <v>1373</v>
      </c>
      <c r="E50" s="274" t="s">
        <v>35</v>
      </c>
      <c r="F50" s="268">
        <f>ROUND(T50*$T$12,2)</f>
        <v>0</v>
      </c>
      <c r="G50" s="275">
        <v>127.36</v>
      </c>
      <c r="H50" s="275">
        <v>0</v>
      </c>
      <c r="I50" s="275">
        <v>80</v>
      </c>
      <c r="J50" s="275">
        <f>G50-I491</f>
        <v>127.36</v>
      </c>
      <c r="K50" s="269">
        <f>ROUND(G50*F50,2)</f>
        <v>0</v>
      </c>
      <c r="L50" s="364">
        <f>H50*F50</f>
        <v>0</v>
      </c>
      <c r="M50" s="344">
        <f>I50*F50</f>
        <v>0</v>
      </c>
      <c r="N50" s="345">
        <f>F50*G50-M50</f>
        <v>0</v>
      </c>
      <c r="O50" s="325" t="e">
        <f t="shared" si="15"/>
        <v>#DIV/0!</v>
      </c>
      <c r="P50" s="319">
        <f>G50*F50</f>
        <v>0</v>
      </c>
    </row>
    <row r="51" spans="1:16" ht="15.75" x14ac:dyDescent="0.2">
      <c r="A51" s="346" t="s">
        <v>86</v>
      </c>
      <c r="B51" s="272">
        <v>92720</v>
      </c>
      <c r="C51" s="272" t="s">
        <v>1324</v>
      </c>
      <c r="D51" s="273" t="s">
        <v>1375</v>
      </c>
      <c r="E51" s="274" t="s">
        <v>48</v>
      </c>
      <c r="F51" s="268">
        <f>ROUND(T51*$T$12,2)</f>
        <v>0</v>
      </c>
      <c r="G51" s="275">
        <v>8.52</v>
      </c>
      <c r="H51" s="275">
        <v>0</v>
      </c>
      <c r="I51" s="275">
        <v>0</v>
      </c>
      <c r="J51" s="275">
        <v>0</v>
      </c>
      <c r="K51" s="269">
        <f>ROUND(G51*F51,2)</f>
        <v>0</v>
      </c>
      <c r="L51" s="364">
        <f>H51*F51</f>
        <v>0</v>
      </c>
      <c r="M51" s="344">
        <f t="shared" ref="M51:M69" si="16">L51</f>
        <v>0</v>
      </c>
      <c r="N51" s="345">
        <f>F51*G51-M51</f>
        <v>0</v>
      </c>
      <c r="O51" s="325" t="e">
        <f t="shared" si="15"/>
        <v>#DIV/0!</v>
      </c>
      <c r="P51" s="319">
        <f>G51*F51</f>
        <v>0</v>
      </c>
    </row>
    <row r="52" spans="1:16" ht="15.75" x14ac:dyDescent="0.2">
      <c r="A52" s="348" t="s">
        <v>1381</v>
      </c>
      <c r="B52" s="276"/>
      <c r="C52" s="276"/>
      <c r="D52" s="277" t="s">
        <v>1382</v>
      </c>
      <c r="E52" s="278"/>
      <c r="F52" s="279">
        <f>K52</f>
        <v>0</v>
      </c>
      <c r="G52" s="279"/>
      <c r="H52" s="279"/>
      <c r="I52" s="279"/>
      <c r="J52" s="279"/>
      <c r="K52" s="280">
        <f>SUM(K53:K57)</f>
        <v>0</v>
      </c>
      <c r="L52" s="349">
        <f>SUM(L53:L56)</f>
        <v>0</v>
      </c>
      <c r="M52" s="349">
        <f>SUM(M53:M57)</f>
        <v>0</v>
      </c>
      <c r="N52" s="350">
        <f>SUM(N53:N57)</f>
        <v>0</v>
      </c>
      <c r="O52" s="325" t="e">
        <f t="shared" si="15"/>
        <v>#DIV/0!</v>
      </c>
      <c r="P52" s="319"/>
    </row>
    <row r="53" spans="1:16" ht="15.75" x14ac:dyDescent="0.2">
      <c r="A53" s="346" t="s">
        <v>1383</v>
      </c>
      <c r="B53" s="272">
        <v>92510</v>
      </c>
      <c r="C53" s="272" t="s">
        <v>1324</v>
      </c>
      <c r="D53" s="273" t="s">
        <v>1384</v>
      </c>
      <c r="E53" s="274" t="s">
        <v>14</v>
      </c>
      <c r="F53" s="268">
        <f>ROUND(T53*$T$12,2)</f>
        <v>0</v>
      </c>
      <c r="G53" s="275">
        <v>155.72999999999999</v>
      </c>
      <c r="H53" s="275">
        <v>0</v>
      </c>
      <c r="I53" s="275">
        <v>100</v>
      </c>
      <c r="J53" s="275">
        <f>G53-I53</f>
        <v>55.72999999999999</v>
      </c>
      <c r="K53" s="269">
        <f>ROUND(G53*F53,2)</f>
        <v>0</v>
      </c>
      <c r="L53" s="364">
        <f>H53*F53</f>
        <v>0</v>
      </c>
      <c r="M53" s="344">
        <f>I53*F53</f>
        <v>0</v>
      </c>
      <c r="N53" s="345">
        <f>K53-M53</f>
        <v>0</v>
      </c>
      <c r="O53" s="325" t="e">
        <f t="shared" si="15"/>
        <v>#DIV/0!</v>
      </c>
      <c r="P53" s="319">
        <f>G53*F53</f>
        <v>0</v>
      </c>
    </row>
    <row r="54" spans="1:16" ht="25.5" x14ac:dyDescent="0.2">
      <c r="A54" s="346" t="s">
        <v>1385</v>
      </c>
      <c r="B54" s="272">
        <v>92793</v>
      </c>
      <c r="C54" s="272" t="s">
        <v>1324</v>
      </c>
      <c r="D54" s="273" t="s">
        <v>1372</v>
      </c>
      <c r="E54" s="274" t="s">
        <v>35</v>
      </c>
      <c r="F54" s="268">
        <f>ROUND(T54*$T$12,2)</f>
        <v>0</v>
      </c>
      <c r="G54" s="275">
        <v>1946.45</v>
      </c>
      <c r="H54" s="275">
        <v>0</v>
      </c>
      <c r="I54" s="275">
        <v>1800</v>
      </c>
      <c r="J54" s="275">
        <f>G54-I54</f>
        <v>146.45000000000005</v>
      </c>
      <c r="K54" s="269">
        <f>ROUND(G54*F54,2)</f>
        <v>0</v>
      </c>
      <c r="L54" s="364">
        <f>H54*F54</f>
        <v>0</v>
      </c>
      <c r="M54" s="344">
        <f>I54*F54</f>
        <v>0</v>
      </c>
      <c r="N54" s="345">
        <f>K54-M54</f>
        <v>0</v>
      </c>
      <c r="O54" s="325" t="e">
        <f t="shared" si="15"/>
        <v>#DIV/0!</v>
      </c>
      <c r="P54" s="319">
        <f>G54*F54</f>
        <v>0</v>
      </c>
    </row>
    <row r="55" spans="1:16" ht="25.5" x14ac:dyDescent="0.2">
      <c r="A55" s="346" t="s">
        <v>1386</v>
      </c>
      <c r="B55" s="272">
        <v>92791</v>
      </c>
      <c r="C55" s="272" t="s">
        <v>1324</v>
      </c>
      <c r="D55" s="273" t="s">
        <v>1373</v>
      </c>
      <c r="E55" s="274" t="s">
        <v>35</v>
      </c>
      <c r="F55" s="268">
        <f>ROUND(T55*$T$12,2)</f>
        <v>0</v>
      </c>
      <c r="G55" s="275">
        <v>240.18</v>
      </c>
      <c r="H55" s="275">
        <v>0</v>
      </c>
      <c r="I55" s="275">
        <v>200</v>
      </c>
      <c r="J55" s="275">
        <f>G55-I55</f>
        <v>40.180000000000007</v>
      </c>
      <c r="K55" s="269">
        <f>ROUND(G55*F55,2)</f>
        <v>0</v>
      </c>
      <c r="L55" s="364">
        <f>H55*F55</f>
        <v>0</v>
      </c>
      <c r="M55" s="344">
        <f>I55*F55</f>
        <v>0</v>
      </c>
      <c r="N55" s="345">
        <f>K55-M55</f>
        <v>0</v>
      </c>
      <c r="O55" s="325" t="e">
        <f t="shared" si="15"/>
        <v>#DIV/0!</v>
      </c>
      <c r="P55" s="319">
        <f>G55*F55</f>
        <v>0</v>
      </c>
    </row>
    <row r="56" spans="1:16" ht="15.75" x14ac:dyDescent="0.2">
      <c r="A56" s="346" t="s">
        <v>1387</v>
      </c>
      <c r="B56" s="272">
        <v>92720</v>
      </c>
      <c r="C56" s="272" t="s">
        <v>1324</v>
      </c>
      <c r="D56" s="273" t="s">
        <v>1375</v>
      </c>
      <c r="E56" s="274" t="s">
        <v>48</v>
      </c>
      <c r="F56" s="268">
        <f>ROUND(T56*$T$12,2)</f>
        <v>0</v>
      </c>
      <c r="G56" s="275">
        <v>10.71</v>
      </c>
      <c r="H56" s="275">
        <v>0</v>
      </c>
      <c r="I56" s="275">
        <v>8</v>
      </c>
      <c r="J56" s="275">
        <f>G56-I56</f>
        <v>2.7100000000000009</v>
      </c>
      <c r="K56" s="269">
        <f>ROUND(G56*F56,2)</f>
        <v>0</v>
      </c>
      <c r="L56" s="364">
        <f>H56*F56</f>
        <v>0</v>
      </c>
      <c r="M56" s="344">
        <f>I56*F56</f>
        <v>0</v>
      </c>
      <c r="N56" s="345">
        <f>K56-M56</f>
        <v>0</v>
      </c>
      <c r="O56" s="325" t="e">
        <f t="shared" si="15"/>
        <v>#DIV/0!</v>
      </c>
      <c r="P56" s="319">
        <f>G56*F56</f>
        <v>0</v>
      </c>
    </row>
    <row r="57" spans="1:16" ht="15.75" x14ac:dyDescent="0.2">
      <c r="A57" s="346" t="s">
        <v>1388</v>
      </c>
      <c r="B57" s="272" t="s">
        <v>1389</v>
      </c>
      <c r="C57" s="272" t="s">
        <v>1324</v>
      </c>
      <c r="D57" s="273" t="s">
        <v>1390</v>
      </c>
      <c r="E57" s="274" t="s">
        <v>14</v>
      </c>
      <c r="F57" s="268">
        <f>ROUND(T57*$T$12,2)</f>
        <v>0</v>
      </c>
      <c r="G57" s="275">
        <v>84.33</v>
      </c>
      <c r="H57" s="275">
        <v>0</v>
      </c>
      <c r="I57" s="275">
        <v>0</v>
      </c>
      <c r="J57" s="275">
        <v>0</v>
      </c>
      <c r="K57" s="269">
        <f>ROUND(G57*F57,2)</f>
        <v>0</v>
      </c>
      <c r="L57" s="364">
        <f>H57*F57</f>
        <v>0</v>
      </c>
      <c r="M57" s="344">
        <f t="shared" si="16"/>
        <v>0</v>
      </c>
      <c r="N57" s="345">
        <f>K57-M57</f>
        <v>0</v>
      </c>
      <c r="O57" s="325" t="e">
        <f t="shared" si="15"/>
        <v>#DIV/0!</v>
      </c>
      <c r="P57" s="319">
        <f>G57*F57</f>
        <v>0</v>
      </c>
    </row>
    <row r="58" spans="1:16" ht="15.75" x14ac:dyDescent="0.2">
      <c r="A58" s="348" t="s">
        <v>1391</v>
      </c>
      <c r="B58" s="276"/>
      <c r="C58" s="276"/>
      <c r="D58" s="277" t="s">
        <v>1392</v>
      </c>
      <c r="E58" s="278"/>
      <c r="F58" s="279">
        <f>K58</f>
        <v>0</v>
      </c>
      <c r="G58" s="279"/>
      <c r="H58" s="279"/>
      <c r="I58" s="279"/>
      <c r="J58" s="279"/>
      <c r="K58" s="280">
        <f>SUM(K59:K62)</f>
        <v>0</v>
      </c>
      <c r="L58" s="349"/>
      <c r="M58" s="349"/>
      <c r="N58" s="350">
        <f>SUM(N60:N62,N59)</f>
        <v>0</v>
      </c>
      <c r="O58" s="325" t="e">
        <f t="shared" si="15"/>
        <v>#DIV/0!</v>
      </c>
      <c r="P58" s="319"/>
    </row>
    <row r="59" spans="1:16" ht="15.75" x14ac:dyDescent="0.2">
      <c r="A59" s="346" t="s">
        <v>1393</v>
      </c>
      <c r="B59" s="272">
        <v>92510</v>
      </c>
      <c r="C59" s="272" t="s">
        <v>1324</v>
      </c>
      <c r="D59" s="273" t="s">
        <v>1384</v>
      </c>
      <c r="E59" s="274" t="s">
        <v>14</v>
      </c>
      <c r="F59" s="268">
        <f>ROUND(T59*$T$12,2)</f>
        <v>0</v>
      </c>
      <c r="G59" s="275">
        <v>111.8</v>
      </c>
      <c r="H59" s="275">
        <v>0</v>
      </c>
      <c r="I59" s="275">
        <v>0</v>
      </c>
      <c r="J59" s="275">
        <v>0</v>
      </c>
      <c r="K59" s="269">
        <f>ROUND(G59*F59,2)</f>
        <v>0</v>
      </c>
      <c r="L59" s="344">
        <f>H59*F59</f>
        <v>0</v>
      </c>
      <c r="M59" s="344">
        <f t="shared" si="16"/>
        <v>0</v>
      </c>
      <c r="N59" s="345">
        <f>F59*G59-M59</f>
        <v>0</v>
      </c>
      <c r="O59" s="325" t="e">
        <f t="shared" si="15"/>
        <v>#DIV/0!</v>
      </c>
      <c r="P59" s="319">
        <f>G59*F59</f>
        <v>0</v>
      </c>
    </row>
    <row r="60" spans="1:16" ht="25.5" x14ac:dyDescent="0.2">
      <c r="A60" s="346" t="s">
        <v>1394</v>
      </c>
      <c r="B60" s="272">
        <v>92793</v>
      </c>
      <c r="C60" s="272" t="s">
        <v>1324</v>
      </c>
      <c r="D60" s="273" t="s">
        <v>1372</v>
      </c>
      <c r="E60" s="274" t="s">
        <v>35</v>
      </c>
      <c r="F60" s="268">
        <f>ROUND(T60*$T$12,2)</f>
        <v>0</v>
      </c>
      <c r="G60" s="275">
        <v>135.38999999999999</v>
      </c>
      <c r="H60" s="275">
        <v>0</v>
      </c>
      <c r="I60" s="275">
        <v>0</v>
      </c>
      <c r="J60" s="275">
        <v>0</v>
      </c>
      <c r="K60" s="269">
        <f>ROUND(G60*F60,2)</f>
        <v>0</v>
      </c>
      <c r="L60" s="344">
        <f>H60*F60</f>
        <v>0</v>
      </c>
      <c r="M60" s="344">
        <f t="shared" si="16"/>
        <v>0</v>
      </c>
      <c r="N60" s="345">
        <f>F60*G60-M60</f>
        <v>0</v>
      </c>
      <c r="O60" s="325" t="e">
        <f t="shared" si="15"/>
        <v>#DIV/0!</v>
      </c>
      <c r="P60" s="319">
        <f>G60*F60</f>
        <v>0</v>
      </c>
    </row>
    <row r="61" spans="1:16" ht="25.5" x14ac:dyDescent="0.2">
      <c r="A61" s="346" t="s">
        <v>1395</v>
      </c>
      <c r="B61" s="272">
        <v>92791</v>
      </c>
      <c r="C61" s="272" t="s">
        <v>1324</v>
      </c>
      <c r="D61" s="273" t="s">
        <v>1373</v>
      </c>
      <c r="E61" s="274" t="s">
        <v>35</v>
      </c>
      <c r="F61" s="268">
        <f>ROUND(T61*$T$12,2)</f>
        <v>0</v>
      </c>
      <c r="G61" s="275">
        <v>95.93</v>
      </c>
      <c r="H61" s="275">
        <v>0</v>
      </c>
      <c r="I61" s="275">
        <v>0</v>
      </c>
      <c r="J61" s="275">
        <v>0</v>
      </c>
      <c r="K61" s="269">
        <f>ROUND(G61*F61,2)</f>
        <v>0</v>
      </c>
      <c r="L61" s="344">
        <f>H61*F61</f>
        <v>0</v>
      </c>
      <c r="M61" s="344">
        <f t="shared" si="16"/>
        <v>0</v>
      </c>
      <c r="N61" s="345">
        <f>F61*G61-M61</f>
        <v>0</v>
      </c>
      <c r="O61" s="325" t="e">
        <f t="shared" si="15"/>
        <v>#DIV/0!</v>
      </c>
      <c r="P61" s="319">
        <f>G61*F61</f>
        <v>0</v>
      </c>
    </row>
    <row r="62" spans="1:16" ht="15.75" x14ac:dyDescent="0.2">
      <c r="A62" s="346" t="s">
        <v>1396</v>
      </c>
      <c r="B62" s="272">
        <v>92720</v>
      </c>
      <c r="C62" s="272" t="s">
        <v>1324</v>
      </c>
      <c r="D62" s="273" t="s">
        <v>1375</v>
      </c>
      <c r="E62" s="274" t="s">
        <v>48</v>
      </c>
      <c r="F62" s="268">
        <f>ROUND(T62*$T$12,2)</f>
        <v>0</v>
      </c>
      <c r="G62" s="275">
        <v>6.59</v>
      </c>
      <c r="H62" s="275">
        <v>0</v>
      </c>
      <c r="I62" s="275">
        <v>0</v>
      </c>
      <c r="J62" s="275">
        <v>0</v>
      </c>
      <c r="K62" s="269">
        <f>ROUND(G62*F62,2)</f>
        <v>0</v>
      </c>
      <c r="L62" s="344">
        <f>H62*F62</f>
        <v>0</v>
      </c>
      <c r="M62" s="344">
        <f t="shared" si="16"/>
        <v>0</v>
      </c>
      <c r="N62" s="345">
        <f>F62*G62-M62</f>
        <v>0</v>
      </c>
      <c r="O62" s="325" t="e">
        <f t="shared" si="15"/>
        <v>#DIV/0!</v>
      </c>
      <c r="P62" s="319">
        <f>G62*F62</f>
        <v>0</v>
      </c>
    </row>
    <row r="63" spans="1:16" ht="15.75" x14ac:dyDescent="0.2">
      <c r="A63" s="348" t="s">
        <v>1397</v>
      </c>
      <c r="B63" s="276"/>
      <c r="C63" s="276"/>
      <c r="D63" s="277" t="s">
        <v>1398</v>
      </c>
      <c r="E63" s="278"/>
      <c r="F63" s="279">
        <f>K63</f>
        <v>0</v>
      </c>
      <c r="G63" s="279"/>
      <c r="H63" s="279"/>
      <c r="I63" s="279"/>
      <c r="J63" s="279"/>
      <c r="K63" s="280">
        <f>SUM(K64:K67)</f>
        <v>0</v>
      </c>
      <c r="L63" s="349"/>
      <c r="M63" s="349"/>
      <c r="N63" s="350">
        <f>SUM(N64:N67)</f>
        <v>0</v>
      </c>
      <c r="O63" s="325" t="e">
        <f t="shared" si="15"/>
        <v>#DIV/0!</v>
      </c>
      <c r="P63" s="319"/>
    </row>
    <row r="64" spans="1:16" ht="15.75" x14ac:dyDescent="0.2">
      <c r="A64" s="346" t="s">
        <v>1399</v>
      </c>
      <c r="B64" s="272">
        <v>92422</v>
      </c>
      <c r="C64" s="272" t="s">
        <v>1324</v>
      </c>
      <c r="D64" s="273" t="s">
        <v>1384</v>
      </c>
      <c r="E64" s="274" t="s">
        <v>14</v>
      </c>
      <c r="F64" s="268">
        <f>ROUND(T64*$T$12,2)</f>
        <v>0</v>
      </c>
      <c r="G64" s="275">
        <v>10.8</v>
      </c>
      <c r="H64" s="275">
        <v>0</v>
      </c>
      <c r="I64" s="275">
        <v>0</v>
      </c>
      <c r="J64" s="275">
        <v>0</v>
      </c>
      <c r="K64" s="269">
        <f>ROUND(G64*F64,2)</f>
        <v>0</v>
      </c>
      <c r="L64" s="344">
        <f>H64*F64</f>
        <v>0</v>
      </c>
      <c r="M64" s="344">
        <f t="shared" si="16"/>
        <v>0</v>
      </c>
      <c r="N64" s="345">
        <f>F64*G64-M64</f>
        <v>0</v>
      </c>
      <c r="O64" s="325" t="e">
        <f t="shared" si="15"/>
        <v>#DIV/0!</v>
      </c>
      <c r="P64" s="319">
        <f>G64*F64</f>
        <v>0</v>
      </c>
    </row>
    <row r="65" spans="1:16" ht="15.75" x14ac:dyDescent="0.2">
      <c r="A65" s="346" t="s">
        <v>1400</v>
      </c>
      <c r="B65" s="272" t="s">
        <v>1401</v>
      </c>
      <c r="C65" s="272" t="s">
        <v>1324</v>
      </c>
      <c r="D65" s="273" t="s">
        <v>1402</v>
      </c>
      <c r="E65" s="274" t="s">
        <v>48</v>
      </c>
      <c r="F65" s="268">
        <f>ROUND(T65*$T$12,2)</f>
        <v>0</v>
      </c>
      <c r="G65" s="275">
        <v>33.83</v>
      </c>
      <c r="H65" s="275">
        <v>0</v>
      </c>
      <c r="I65" s="275">
        <v>0</v>
      </c>
      <c r="J65" s="275">
        <v>0</v>
      </c>
      <c r="K65" s="269">
        <f>ROUND(G65*F65,2)</f>
        <v>0</v>
      </c>
      <c r="L65" s="344">
        <f>H65*F65</f>
        <v>0</v>
      </c>
      <c r="M65" s="344">
        <f t="shared" si="16"/>
        <v>0</v>
      </c>
      <c r="N65" s="345">
        <f>F65*G65-M65</f>
        <v>0</v>
      </c>
      <c r="O65" s="325" t="e">
        <f t="shared" si="15"/>
        <v>#DIV/0!</v>
      </c>
      <c r="P65" s="319">
        <f>G65*F65</f>
        <v>0</v>
      </c>
    </row>
    <row r="66" spans="1:16" ht="15.75" x14ac:dyDescent="0.2">
      <c r="A66" s="346" t="s">
        <v>1403</v>
      </c>
      <c r="B66" s="272">
        <v>85662</v>
      </c>
      <c r="C66" s="272" t="s">
        <v>1324</v>
      </c>
      <c r="D66" s="273" t="s">
        <v>1404</v>
      </c>
      <c r="E66" s="274" t="s">
        <v>14</v>
      </c>
      <c r="F66" s="268">
        <f>ROUND(T66*$T$12,2)</f>
        <v>0</v>
      </c>
      <c r="G66" s="275">
        <v>1001.47</v>
      </c>
      <c r="H66" s="275">
        <v>0</v>
      </c>
      <c r="I66" s="275">
        <v>0</v>
      </c>
      <c r="J66" s="275">
        <v>0</v>
      </c>
      <c r="K66" s="269">
        <f>ROUND(G66*F66,2)</f>
        <v>0</v>
      </c>
      <c r="L66" s="344">
        <f>H66*F66</f>
        <v>0</v>
      </c>
      <c r="M66" s="344">
        <f t="shared" si="16"/>
        <v>0</v>
      </c>
      <c r="N66" s="345">
        <f>F66*G66-M66</f>
        <v>0</v>
      </c>
      <c r="O66" s="325" t="e">
        <f t="shared" si="15"/>
        <v>#DIV/0!</v>
      </c>
      <c r="P66" s="319">
        <f>G66*F66</f>
        <v>0</v>
      </c>
    </row>
    <row r="67" spans="1:16" ht="15.75" x14ac:dyDescent="0.2">
      <c r="A67" s="346" t="s">
        <v>1405</v>
      </c>
      <c r="B67" s="272">
        <v>92720</v>
      </c>
      <c r="C67" s="272" t="s">
        <v>1324</v>
      </c>
      <c r="D67" s="273" t="s">
        <v>1375</v>
      </c>
      <c r="E67" s="274" t="s">
        <v>48</v>
      </c>
      <c r="F67" s="268">
        <f>ROUND(T67*$T$12,2)</f>
        <v>0</v>
      </c>
      <c r="G67" s="275">
        <v>27.07</v>
      </c>
      <c r="H67" s="275">
        <v>0</v>
      </c>
      <c r="I67" s="275">
        <v>0</v>
      </c>
      <c r="J67" s="275">
        <v>0</v>
      </c>
      <c r="K67" s="269">
        <f>ROUND(G67*F67,2)</f>
        <v>0</v>
      </c>
      <c r="L67" s="344">
        <f>H67*F67</f>
        <v>0</v>
      </c>
      <c r="M67" s="344">
        <f t="shared" si="16"/>
        <v>0</v>
      </c>
      <c r="N67" s="345">
        <f>F67*G67-M67</f>
        <v>0</v>
      </c>
      <c r="O67" s="325" t="e">
        <f t="shared" si="15"/>
        <v>#DIV/0!</v>
      </c>
      <c r="P67" s="319">
        <f>G67*F67</f>
        <v>0</v>
      </c>
    </row>
    <row r="68" spans="1:16" ht="15.75" x14ac:dyDescent="0.2">
      <c r="A68" s="348" t="s">
        <v>1406</v>
      </c>
      <c r="B68" s="276"/>
      <c r="C68" s="276"/>
      <c r="D68" s="277" t="s">
        <v>1407</v>
      </c>
      <c r="E68" s="278"/>
      <c r="F68" s="279">
        <f>K68</f>
        <v>0</v>
      </c>
      <c r="G68" s="279"/>
      <c r="H68" s="279"/>
      <c r="I68" s="279"/>
      <c r="J68" s="279"/>
      <c r="K68" s="280">
        <f>SUM(K69)</f>
        <v>0</v>
      </c>
      <c r="L68" s="349"/>
      <c r="M68" s="349"/>
      <c r="N68" s="350">
        <f>N69</f>
        <v>0</v>
      </c>
      <c r="O68" s="325" t="e">
        <f t="shared" si="15"/>
        <v>#DIV/0!</v>
      </c>
      <c r="P68" s="319"/>
    </row>
    <row r="69" spans="1:16" ht="15.75" x14ac:dyDescent="0.2">
      <c r="A69" s="346" t="s">
        <v>1408</v>
      </c>
      <c r="B69" s="272" t="s">
        <v>1409</v>
      </c>
      <c r="C69" s="272" t="s">
        <v>1324</v>
      </c>
      <c r="D69" s="273" t="s">
        <v>1410</v>
      </c>
      <c r="E69" s="274" t="s">
        <v>81</v>
      </c>
      <c r="F69" s="268">
        <f>ROUND(T69*$T$12,2)</f>
        <v>0</v>
      </c>
      <c r="G69" s="275">
        <v>33.9</v>
      </c>
      <c r="H69" s="275">
        <v>0</v>
      </c>
      <c r="I69" s="275">
        <v>0</v>
      </c>
      <c r="J69" s="275">
        <v>0</v>
      </c>
      <c r="K69" s="269">
        <f>ROUND(G69*F69,2)</f>
        <v>0</v>
      </c>
      <c r="L69" s="344">
        <f>H69*F69</f>
        <v>0</v>
      </c>
      <c r="M69" s="344">
        <f t="shared" si="16"/>
        <v>0</v>
      </c>
      <c r="N69" s="345">
        <f>F69*G69-M69</f>
        <v>0</v>
      </c>
      <c r="O69" s="325" t="e">
        <f t="shared" si="15"/>
        <v>#DIV/0!</v>
      </c>
      <c r="P69" s="319">
        <f>G69*F69</f>
        <v>0</v>
      </c>
    </row>
    <row r="70" spans="1:16" ht="15.75" x14ac:dyDescent="0.2">
      <c r="A70" s="341">
        <v>5</v>
      </c>
      <c r="B70" s="258"/>
      <c r="C70" s="258"/>
      <c r="D70" s="259" t="s">
        <v>1411</v>
      </c>
      <c r="E70" s="260"/>
      <c r="F70" s="261">
        <f>K70</f>
        <v>0</v>
      </c>
      <c r="G70" s="261"/>
      <c r="H70" s="261"/>
      <c r="I70" s="261"/>
      <c r="J70" s="261"/>
      <c r="K70" s="262">
        <f>K71+K73+K76</f>
        <v>0</v>
      </c>
      <c r="L70" s="342">
        <f>SUM(L71,L73,L76)</f>
        <v>0</v>
      </c>
      <c r="M70" s="342">
        <f>M74</f>
        <v>0</v>
      </c>
      <c r="N70" s="343">
        <f>SUM(N71,N73,N76)</f>
        <v>0</v>
      </c>
      <c r="O70" s="325" t="e">
        <f t="shared" si="15"/>
        <v>#DIV/0!</v>
      </c>
      <c r="P70" s="319"/>
    </row>
    <row r="71" spans="1:16" ht="15.75" x14ac:dyDescent="0.2">
      <c r="A71" s="348" t="s">
        <v>98</v>
      </c>
      <c r="B71" s="276"/>
      <c r="C71" s="276"/>
      <c r="D71" s="277" t="s">
        <v>1412</v>
      </c>
      <c r="E71" s="278"/>
      <c r="F71" s="279">
        <f>K71</f>
        <v>0</v>
      </c>
      <c r="G71" s="279"/>
      <c r="H71" s="279"/>
      <c r="I71" s="279"/>
      <c r="J71" s="279"/>
      <c r="K71" s="280">
        <f>SUM(K72)</f>
        <v>0</v>
      </c>
      <c r="L71" s="349"/>
      <c r="M71" s="349"/>
      <c r="N71" s="350">
        <f>N72</f>
        <v>0</v>
      </c>
      <c r="O71" s="325" t="e">
        <f t="shared" si="15"/>
        <v>#DIV/0!</v>
      </c>
      <c r="P71" s="319"/>
    </row>
    <row r="72" spans="1:16" ht="25.5" x14ac:dyDescent="0.2">
      <c r="A72" s="346" t="s">
        <v>100</v>
      </c>
      <c r="B72" s="272" t="s">
        <v>1413</v>
      </c>
      <c r="C72" s="272" t="s">
        <v>1324</v>
      </c>
      <c r="D72" s="273" t="s">
        <v>1414</v>
      </c>
      <c r="E72" s="274" t="s">
        <v>14</v>
      </c>
      <c r="F72" s="268">
        <f>ROUND(T72*$T$12,2)</f>
        <v>0</v>
      </c>
      <c r="G72" s="275">
        <v>134.72</v>
      </c>
      <c r="H72" s="275">
        <v>0</v>
      </c>
      <c r="I72" s="275">
        <v>0</v>
      </c>
      <c r="J72" s="275">
        <v>0</v>
      </c>
      <c r="K72" s="269">
        <f>ROUND(G72*F72,2)</f>
        <v>0</v>
      </c>
      <c r="L72" s="344">
        <f>H72*F72</f>
        <v>0</v>
      </c>
      <c r="M72" s="344">
        <f>L72</f>
        <v>0</v>
      </c>
      <c r="N72" s="345">
        <f>F72*G72-M72</f>
        <v>0</v>
      </c>
      <c r="O72" s="325" t="e">
        <f t="shared" si="15"/>
        <v>#DIV/0!</v>
      </c>
      <c r="P72" s="319">
        <f>G72*F72</f>
        <v>0</v>
      </c>
    </row>
    <row r="73" spans="1:16" ht="15.75" x14ac:dyDescent="0.2">
      <c r="A73" s="348" t="s">
        <v>116</v>
      </c>
      <c r="B73" s="276"/>
      <c r="C73" s="276"/>
      <c r="D73" s="277" t="s">
        <v>1415</v>
      </c>
      <c r="E73" s="278"/>
      <c r="F73" s="279">
        <f>K73</f>
        <v>0</v>
      </c>
      <c r="G73" s="279"/>
      <c r="H73" s="279"/>
      <c r="I73" s="279"/>
      <c r="J73" s="279"/>
      <c r="K73" s="280">
        <f>SUM(K74:K75)</f>
        <v>0</v>
      </c>
      <c r="L73" s="349">
        <f>SUM(L74)</f>
        <v>0</v>
      </c>
      <c r="M73" s="349"/>
      <c r="N73" s="350">
        <f>N74+N75</f>
        <v>0</v>
      </c>
      <c r="O73" s="325" t="e">
        <f t="shared" si="15"/>
        <v>#DIV/0!</v>
      </c>
      <c r="P73" s="319">
        <f>G73*F73</f>
        <v>0</v>
      </c>
    </row>
    <row r="74" spans="1:16" ht="25.5" x14ac:dyDescent="0.2">
      <c r="A74" s="346" t="s">
        <v>118</v>
      </c>
      <c r="B74" s="272">
        <v>87519</v>
      </c>
      <c r="C74" s="272" t="s">
        <v>1324</v>
      </c>
      <c r="D74" s="273" t="s">
        <v>1416</v>
      </c>
      <c r="E74" s="274" t="s">
        <v>14</v>
      </c>
      <c r="F74" s="268">
        <f>ROUND(T74*$T$12,2)</f>
        <v>0</v>
      </c>
      <c r="G74" s="275">
        <v>259.22000000000003</v>
      </c>
      <c r="H74" s="275">
        <v>0</v>
      </c>
      <c r="I74" s="275">
        <v>103.69</v>
      </c>
      <c r="J74" s="275">
        <f>G74-I74</f>
        <v>155.53000000000003</v>
      </c>
      <c r="K74" s="269">
        <f>ROUND(G74*F74,2)</f>
        <v>0</v>
      </c>
      <c r="L74" s="344">
        <f>H74*F74</f>
        <v>0</v>
      </c>
      <c r="M74" s="344">
        <f>I74*F74</f>
        <v>0</v>
      </c>
      <c r="N74" s="345">
        <f>F74*G74-M74</f>
        <v>0</v>
      </c>
      <c r="O74" s="325" t="e">
        <f t="shared" si="15"/>
        <v>#DIV/0!</v>
      </c>
      <c r="P74" s="319">
        <f>G74*F74</f>
        <v>0</v>
      </c>
    </row>
    <row r="75" spans="1:16" ht="25.5" x14ac:dyDescent="0.2">
      <c r="A75" s="346" t="s">
        <v>123</v>
      </c>
      <c r="B75" s="272" t="s">
        <v>1417</v>
      </c>
      <c r="C75" s="272" t="s">
        <v>1324</v>
      </c>
      <c r="D75" s="273" t="s">
        <v>1418</v>
      </c>
      <c r="E75" s="274" t="s">
        <v>81</v>
      </c>
      <c r="F75" s="268">
        <f>ROUND(T75*$T$12,2)</f>
        <v>0</v>
      </c>
      <c r="G75" s="275">
        <v>69.400000000000006</v>
      </c>
      <c r="H75" s="275">
        <v>0</v>
      </c>
      <c r="I75" s="275">
        <v>0</v>
      </c>
      <c r="J75" s="275">
        <v>0</v>
      </c>
      <c r="K75" s="269">
        <f>ROUND(G75*F75,2)</f>
        <v>0</v>
      </c>
      <c r="L75" s="344">
        <f>H75*F75</f>
        <v>0</v>
      </c>
      <c r="M75" s="344">
        <f>L75</f>
        <v>0</v>
      </c>
      <c r="N75" s="345">
        <f>F75*G75-M75</f>
        <v>0</v>
      </c>
      <c r="O75" s="325" t="e">
        <f t="shared" si="15"/>
        <v>#DIV/0!</v>
      </c>
      <c r="P75" s="319">
        <f>G75*F75</f>
        <v>0</v>
      </c>
    </row>
    <row r="76" spans="1:16" ht="15.75" x14ac:dyDescent="0.2">
      <c r="A76" s="348" t="s">
        <v>1419</v>
      </c>
      <c r="B76" s="276"/>
      <c r="C76" s="276"/>
      <c r="D76" s="277" t="s">
        <v>1420</v>
      </c>
      <c r="E76" s="278"/>
      <c r="F76" s="279">
        <f>K76</f>
        <v>0</v>
      </c>
      <c r="G76" s="279"/>
      <c r="H76" s="279"/>
      <c r="I76" s="279"/>
      <c r="J76" s="279"/>
      <c r="K76" s="280">
        <f>SUM(K77)</f>
        <v>0</v>
      </c>
      <c r="L76" s="349"/>
      <c r="M76" s="349"/>
      <c r="N76" s="350">
        <f>N77</f>
        <v>0</v>
      </c>
      <c r="O76" s="325" t="e">
        <f t="shared" si="15"/>
        <v>#DIV/0!</v>
      </c>
      <c r="P76" s="319"/>
    </row>
    <row r="77" spans="1:16" ht="25.5" x14ac:dyDescent="0.2">
      <c r="A77" s="346" t="s">
        <v>1421</v>
      </c>
      <c r="B77" s="272" t="s">
        <v>1422</v>
      </c>
      <c r="C77" s="272" t="s">
        <v>1324</v>
      </c>
      <c r="D77" s="273" t="s">
        <v>1423</v>
      </c>
      <c r="E77" s="274" t="s">
        <v>14</v>
      </c>
      <c r="F77" s="268">
        <f>ROUND(T77*$T$12,2)</f>
        <v>0</v>
      </c>
      <c r="G77" s="275">
        <v>148.08000000000001</v>
      </c>
      <c r="H77" s="275">
        <v>0</v>
      </c>
      <c r="I77" s="275">
        <v>0</v>
      </c>
      <c r="J77" s="275">
        <v>0</v>
      </c>
      <c r="K77" s="269">
        <f>ROUND(G77*F77,2)</f>
        <v>0</v>
      </c>
      <c r="L77" s="344">
        <f>H77*F77</f>
        <v>0</v>
      </c>
      <c r="M77" s="344">
        <f>L77</f>
        <v>0</v>
      </c>
      <c r="N77" s="345">
        <f>F77*G77-M77</f>
        <v>0</v>
      </c>
      <c r="O77" s="325" t="e">
        <f t="shared" si="15"/>
        <v>#DIV/0!</v>
      </c>
      <c r="P77" s="319">
        <f>G77*F77</f>
        <v>0</v>
      </c>
    </row>
    <row r="78" spans="1:16" ht="15.75" x14ac:dyDescent="0.2">
      <c r="A78" s="341">
        <v>6</v>
      </c>
      <c r="B78" s="258"/>
      <c r="C78" s="258"/>
      <c r="D78" s="259" t="s">
        <v>97</v>
      </c>
      <c r="E78" s="260"/>
      <c r="F78" s="261">
        <f>K78</f>
        <v>0</v>
      </c>
      <c r="G78" s="261"/>
      <c r="H78" s="261"/>
      <c r="I78" s="261"/>
      <c r="J78" s="261"/>
      <c r="K78" s="262">
        <f>K79+K84+K88+K91</f>
        <v>0</v>
      </c>
      <c r="L78" s="342"/>
      <c r="M78" s="342"/>
      <c r="N78" s="343">
        <f>SUM(N79,N84,N88,N91)</f>
        <v>0</v>
      </c>
      <c r="O78" s="325" t="e">
        <f t="shared" si="15"/>
        <v>#DIV/0!</v>
      </c>
      <c r="P78" s="319"/>
    </row>
    <row r="79" spans="1:16" ht="15.75" x14ac:dyDescent="0.2">
      <c r="A79" s="348" t="s">
        <v>186</v>
      </c>
      <c r="B79" s="276"/>
      <c r="C79" s="276"/>
      <c r="D79" s="277" t="s">
        <v>1424</v>
      </c>
      <c r="E79" s="278"/>
      <c r="F79" s="279">
        <f>K79</f>
        <v>0</v>
      </c>
      <c r="G79" s="279"/>
      <c r="H79" s="279"/>
      <c r="I79" s="279"/>
      <c r="J79" s="279"/>
      <c r="K79" s="280">
        <f>SUM(K80:K83)</f>
        <v>0</v>
      </c>
      <c r="L79" s="349"/>
      <c r="M79" s="349"/>
      <c r="N79" s="350">
        <f>SUM(N80:N83)</f>
        <v>0</v>
      </c>
      <c r="O79" s="325" t="e">
        <f t="shared" si="15"/>
        <v>#DIV/0!</v>
      </c>
      <c r="P79" s="319"/>
    </row>
    <row r="80" spans="1:16" ht="25.5" x14ac:dyDescent="0.2">
      <c r="A80" s="346" t="s">
        <v>1425</v>
      </c>
      <c r="B80" s="272">
        <v>90843</v>
      </c>
      <c r="C80" s="272" t="s">
        <v>1324</v>
      </c>
      <c r="D80" s="273" t="s">
        <v>1426</v>
      </c>
      <c r="E80" s="274" t="s">
        <v>102</v>
      </c>
      <c r="F80" s="268">
        <f>ROUND(T80*$T$12,2)</f>
        <v>0</v>
      </c>
      <c r="G80" s="275">
        <v>2</v>
      </c>
      <c r="H80" s="275">
        <v>0</v>
      </c>
      <c r="I80" s="275">
        <v>0</v>
      </c>
      <c r="J80" s="275">
        <v>0</v>
      </c>
      <c r="K80" s="269">
        <f>ROUND(G80*F80,2)</f>
        <v>0</v>
      </c>
      <c r="L80" s="344">
        <f>H80*F80</f>
        <v>0</v>
      </c>
      <c r="M80" s="344">
        <f>L80</f>
        <v>0</v>
      </c>
      <c r="N80" s="345">
        <f>F80*G80-M80</f>
        <v>0</v>
      </c>
      <c r="O80" s="325" t="e">
        <f t="shared" si="15"/>
        <v>#DIV/0!</v>
      </c>
      <c r="P80" s="319">
        <f t="shared" ref="P80:P87" si="17">G80*F80</f>
        <v>0</v>
      </c>
    </row>
    <row r="81" spans="1:16" ht="25.5" x14ac:dyDescent="0.2">
      <c r="A81" s="346" t="s">
        <v>1427</v>
      </c>
      <c r="B81" s="272">
        <v>90844</v>
      </c>
      <c r="C81" s="272" t="s">
        <v>1324</v>
      </c>
      <c r="D81" s="273" t="s">
        <v>1428</v>
      </c>
      <c r="E81" s="274" t="s">
        <v>102</v>
      </c>
      <c r="F81" s="268">
        <f>ROUND(T81*$T$12,2)</f>
        <v>0</v>
      </c>
      <c r="G81" s="275">
        <v>1</v>
      </c>
      <c r="H81" s="275">
        <v>0</v>
      </c>
      <c r="I81" s="275">
        <v>0</v>
      </c>
      <c r="J81" s="275">
        <v>0</v>
      </c>
      <c r="K81" s="269">
        <f>ROUND(G81*F81,2)</f>
        <v>0</v>
      </c>
      <c r="L81" s="344">
        <f>H81*F81</f>
        <v>0</v>
      </c>
      <c r="M81" s="344">
        <f>L81</f>
        <v>0</v>
      </c>
      <c r="N81" s="345">
        <f>F81*G81-M81</f>
        <v>0</v>
      </c>
      <c r="O81" s="325" t="e">
        <f t="shared" si="15"/>
        <v>#DIV/0!</v>
      </c>
      <c r="P81" s="319">
        <f t="shared" si="17"/>
        <v>0</v>
      </c>
    </row>
    <row r="82" spans="1:16" ht="25.5" x14ac:dyDescent="0.2">
      <c r="A82" s="346" t="s">
        <v>1429</v>
      </c>
      <c r="B82" s="272" t="s">
        <v>1430</v>
      </c>
      <c r="C82" s="272" t="s">
        <v>1324</v>
      </c>
      <c r="D82" s="273" t="s">
        <v>1431</v>
      </c>
      <c r="E82" s="274" t="s">
        <v>102</v>
      </c>
      <c r="F82" s="268">
        <f>ROUND(T82*$T$12,2)</f>
        <v>0</v>
      </c>
      <c r="G82" s="275">
        <v>4</v>
      </c>
      <c r="H82" s="275">
        <v>0</v>
      </c>
      <c r="I82" s="275">
        <v>0</v>
      </c>
      <c r="J82" s="275">
        <v>0</v>
      </c>
      <c r="K82" s="269">
        <f>ROUND(G82*F82,2)</f>
        <v>0</v>
      </c>
      <c r="L82" s="344">
        <f>H82*F82</f>
        <v>0</v>
      </c>
      <c r="M82" s="344">
        <f>L82</f>
        <v>0</v>
      </c>
      <c r="N82" s="345">
        <f>F82*G82-M82</f>
        <v>0</v>
      </c>
      <c r="O82" s="325" t="e">
        <f t="shared" si="15"/>
        <v>#DIV/0!</v>
      </c>
      <c r="P82" s="319">
        <f t="shared" si="17"/>
        <v>0</v>
      </c>
    </row>
    <row r="83" spans="1:16" ht="25.5" x14ac:dyDescent="0.2">
      <c r="A83" s="346" t="s">
        <v>1432</v>
      </c>
      <c r="B83" s="272" t="s">
        <v>1433</v>
      </c>
      <c r="C83" s="272" t="s">
        <v>1324</v>
      </c>
      <c r="D83" s="273" t="s">
        <v>1434</v>
      </c>
      <c r="E83" s="274" t="s">
        <v>102</v>
      </c>
      <c r="F83" s="268">
        <f>ROUND(T83*$T$12,2)</f>
        <v>0</v>
      </c>
      <c r="G83" s="275">
        <v>2</v>
      </c>
      <c r="H83" s="275">
        <v>0</v>
      </c>
      <c r="I83" s="275">
        <v>0</v>
      </c>
      <c r="J83" s="275">
        <v>0</v>
      </c>
      <c r="K83" s="269">
        <f>ROUND(G83*F83,2)</f>
        <v>0</v>
      </c>
      <c r="L83" s="344">
        <f>H83*F83</f>
        <v>0</v>
      </c>
      <c r="M83" s="344">
        <f>L83</f>
        <v>0</v>
      </c>
      <c r="N83" s="345">
        <f>F83*G83-M83</f>
        <v>0</v>
      </c>
      <c r="O83" s="325" t="e">
        <f t="shared" si="15"/>
        <v>#DIV/0!</v>
      </c>
      <c r="P83" s="319">
        <f t="shared" si="17"/>
        <v>0</v>
      </c>
    </row>
    <row r="84" spans="1:16" ht="15.75" x14ac:dyDescent="0.2">
      <c r="A84" s="348" t="s">
        <v>188</v>
      </c>
      <c r="B84" s="276"/>
      <c r="C84" s="276"/>
      <c r="D84" s="277" t="s">
        <v>1435</v>
      </c>
      <c r="E84" s="278"/>
      <c r="F84" s="279">
        <f>K84</f>
        <v>0</v>
      </c>
      <c r="G84" s="279"/>
      <c r="H84" s="279"/>
      <c r="I84" s="279"/>
      <c r="J84" s="279"/>
      <c r="K84" s="280">
        <f>SUM(K85:K87)</f>
        <v>0</v>
      </c>
      <c r="L84" s="349"/>
      <c r="M84" s="349"/>
      <c r="N84" s="350">
        <f>SUM(N85:N87)</f>
        <v>0</v>
      </c>
      <c r="O84" s="325" t="e">
        <f t="shared" si="15"/>
        <v>#DIV/0!</v>
      </c>
      <c r="P84" s="319">
        <f t="shared" si="17"/>
        <v>0</v>
      </c>
    </row>
    <row r="85" spans="1:16" ht="25.5" x14ac:dyDescent="0.2">
      <c r="A85" s="346" t="s">
        <v>1436</v>
      </c>
      <c r="B85" s="272"/>
      <c r="C85" s="272" t="s">
        <v>1339</v>
      </c>
      <c r="D85" s="273" t="s">
        <v>1437</v>
      </c>
      <c r="E85" s="274" t="s">
        <v>81</v>
      </c>
      <c r="F85" s="268">
        <f>ROUND(T85*$T$12,2)</f>
        <v>0</v>
      </c>
      <c r="G85" s="275">
        <v>11.6</v>
      </c>
      <c r="H85" s="275">
        <v>0</v>
      </c>
      <c r="I85" s="275">
        <v>0</v>
      </c>
      <c r="J85" s="275">
        <v>0</v>
      </c>
      <c r="K85" s="269">
        <f>ROUND(G85*F85,2)</f>
        <v>0</v>
      </c>
      <c r="L85" s="344">
        <f>H85*F85</f>
        <v>0</v>
      </c>
      <c r="M85" s="344">
        <f>L85</f>
        <v>0</v>
      </c>
      <c r="N85" s="345">
        <f>F85*G85-M85</f>
        <v>0</v>
      </c>
      <c r="O85" s="325" t="e">
        <f t="shared" si="15"/>
        <v>#DIV/0!</v>
      </c>
      <c r="P85" s="319">
        <f t="shared" si="17"/>
        <v>0</v>
      </c>
    </row>
    <row r="86" spans="1:16" ht="25.5" x14ac:dyDescent="0.2">
      <c r="A86" s="346" t="s">
        <v>1438</v>
      </c>
      <c r="B86" s="272"/>
      <c r="C86" s="272" t="s">
        <v>1339</v>
      </c>
      <c r="D86" s="273" t="s">
        <v>1439</v>
      </c>
      <c r="E86" s="274" t="s">
        <v>14</v>
      </c>
      <c r="F86" s="268">
        <f>ROUND(T86*$T$12,2)</f>
        <v>0</v>
      </c>
      <c r="G86" s="275">
        <v>4.3</v>
      </c>
      <c r="H86" s="275">
        <v>0</v>
      </c>
      <c r="I86" s="275">
        <v>0</v>
      </c>
      <c r="J86" s="275">
        <v>0</v>
      </c>
      <c r="K86" s="269">
        <f>ROUND(G86*F86,2)</f>
        <v>0</v>
      </c>
      <c r="L86" s="344">
        <f>H86*F86</f>
        <v>0</v>
      </c>
      <c r="M86" s="344">
        <f>L86</f>
        <v>0</v>
      </c>
      <c r="N86" s="345">
        <f>F86*G86-M86</f>
        <v>0</v>
      </c>
      <c r="O86" s="325" t="e">
        <f t="shared" si="15"/>
        <v>#DIV/0!</v>
      </c>
      <c r="P86" s="319">
        <f t="shared" si="17"/>
        <v>0</v>
      </c>
    </row>
    <row r="87" spans="1:16" ht="15.75" x14ac:dyDescent="0.2">
      <c r="A87" s="346" t="s">
        <v>1440</v>
      </c>
      <c r="B87" s="272" t="s">
        <v>1441</v>
      </c>
      <c r="C87" s="272" t="s">
        <v>1324</v>
      </c>
      <c r="D87" s="273" t="s">
        <v>1442</v>
      </c>
      <c r="E87" s="274" t="s">
        <v>102</v>
      </c>
      <c r="F87" s="268">
        <f>ROUND(T87*$T$12,2)</f>
        <v>0</v>
      </c>
      <c r="G87" s="275">
        <v>6</v>
      </c>
      <c r="H87" s="275">
        <v>0</v>
      </c>
      <c r="I87" s="275">
        <v>0</v>
      </c>
      <c r="J87" s="275">
        <v>0</v>
      </c>
      <c r="K87" s="269">
        <f>ROUND(G87*F87,2)</f>
        <v>0</v>
      </c>
      <c r="L87" s="344">
        <f>H87*F87</f>
        <v>0</v>
      </c>
      <c r="M87" s="344">
        <f>L87</f>
        <v>0</v>
      </c>
      <c r="N87" s="345">
        <f>F87*G87-M87</f>
        <v>0</v>
      </c>
      <c r="O87" s="325" t="e">
        <f t="shared" si="15"/>
        <v>#DIV/0!</v>
      </c>
      <c r="P87" s="319">
        <f t="shared" si="17"/>
        <v>0</v>
      </c>
    </row>
    <row r="88" spans="1:16" ht="15.75" x14ac:dyDescent="0.2">
      <c r="A88" s="348" t="s">
        <v>1443</v>
      </c>
      <c r="B88" s="276"/>
      <c r="C88" s="276"/>
      <c r="D88" s="277" t="s">
        <v>1444</v>
      </c>
      <c r="E88" s="278"/>
      <c r="F88" s="279">
        <f>K88</f>
        <v>0</v>
      </c>
      <c r="G88" s="279"/>
      <c r="H88" s="279"/>
      <c r="I88" s="279"/>
      <c r="J88" s="279"/>
      <c r="K88" s="280">
        <f>SUM(K89:K90)</f>
        <v>0</v>
      </c>
      <c r="L88" s="349"/>
      <c r="M88" s="349"/>
      <c r="N88" s="350">
        <f>SUM(N90,N89)</f>
        <v>0</v>
      </c>
      <c r="O88" s="325" t="e">
        <f t="shared" si="15"/>
        <v>#DIV/0!</v>
      </c>
      <c r="P88" s="319"/>
    </row>
    <row r="89" spans="1:16" ht="15.75" x14ac:dyDescent="0.2">
      <c r="A89" s="146" t="s">
        <v>1445</v>
      </c>
      <c r="B89" s="282">
        <v>68052</v>
      </c>
      <c r="C89" s="282" t="s">
        <v>1324</v>
      </c>
      <c r="D89" s="283" t="s">
        <v>1446</v>
      </c>
      <c r="E89" s="284" t="s">
        <v>14</v>
      </c>
      <c r="F89" s="268">
        <f>ROUND(T89*$T$12,2)</f>
        <v>0</v>
      </c>
      <c r="G89" s="285">
        <v>10.8</v>
      </c>
      <c r="H89" s="285">
        <v>0</v>
      </c>
      <c r="I89" s="285">
        <v>0</v>
      </c>
      <c r="J89" s="285">
        <v>0</v>
      </c>
      <c r="K89" s="269">
        <f>ROUND(G89*F89,2)</f>
        <v>0</v>
      </c>
      <c r="L89" s="344">
        <f>H89*F89</f>
        <v>0</v>
      </c>
      <c r="M89" s="344">
        <f>L89</f>
        <v>0</v>
      </c>
      <c r="N89" s="345">
        <f>F89*G89-M89</f>
        <v>0</v>
      </c>
      <c r="O89" s="325" t="e">
        <f t="shared" si="15"/>
        <v>#DIV/0!</v>
      </c>
      <c r="P89" s="319"/>
    </row>
    <row r="90" spans="1:16" ht="25.5" x14ac:dyDescent="0.2">
      <c r="A90" s="346" t="s">
        <v>1447</v>
      </c>
      <c r="B90" s="272">
        <v>85010</v>
      </c>
      <c r="C90" s="272" t="s">
        <v>1324</v>
      </c>
      <c r="D90" s="273" t="s">
        <v>1448</v>
      </c>
      <c r="E90" s="274" t="s">
        <v>14</v>
      </c>
      <c r="F90" s="268">
        <f>ROUND(T90*$T$12,2)</f>
        <v>0</v>
      </c>
      <c r="G90" s="275">
        <v>2.08</v>
      </c>
      <c r="H90" s="275">
        <v>0</v>
      </c>
      <c r="I90" s="275">
        <v>0</v>
      </c>
      <c r="J90" s="275">
        <v>0</v>
      </c>
      <c r="K90" s="269">
        <f>ROUND(G90*F90,2)</f>
        <v>0</v>
      </c>
      <c r="L90" s="344">
        <f>H90*F90</f>
        <v>0</v>
      </c>
      <c r="M90" s="344">
        <f>L90</f>
        <v>0</v>
      </c>
      <c r="N90" s="345">
        <f>F90*G90-M90</f>
        <v>0</v>
      </c>
      <c r="O90" s="325" t="e">
        <f t="shared" si="15"/>
        <v>#DIV/0!</v>
      </c>
      <c r="P90" s="319">
        <f>G90*F90</f>
        <v>0</v>
      </c>
    </row>
    <row r="91" spans="1:16" ht="15.75" x14ac:dyDescent="0.2">
      <c r="A91" s="348" t="s">
        <v>1449</v>
      </c>
      <c r="B91" s="276"/>
      <c r="C91" s="276"/>
      <c r="D91" s="277" t="s">
        <v>184</v>
      </c>
      <c r="E91" s="278"/>
      <c r="F91" s="279">
        <f>K91</f>
        <v>0</v>
      </c>
      <c r="G91" s="279"/>
      <c r="H91" s="279"/>
      <c r="I91" s="279"/>
      <c r="J91" s="279"/>
      <c r="K91" s="280">
        <f>SUM(K92)</f>
        <v>0</v>
      </c>
      <c r="L91" s="349"/>
      <c r="M91" s="349"/>
      <c r="N91" s="350">
        <f>N92</f>
        <v>0</v>
      </c>
      <c r="O91" s="325" t="e">
        <f t="shared" si="15"/>
        <v>#DIV/0!</v>
      </c>
      <c r="P91" s="319"/>
    </row>
    <row r="92" spans="1:16" ht="25.5" x14ac:dyDescent="0.2">
      <c r="A92" s="346" t="s">
        <v>1450</v>
      </c>
      <c r="B92" s="272" t="s">
        <v>1451</v>
      </c>
      <c r="C92" s="272" t="s">
        <v>1324</v>
      </c>
      <c r="D92" s="273" t="s">
        <v>1452</v>
      </c>
      <c r="E92" s="274" t="s">
        <v>14</v>
      </c>
      <c r="F92" s="268">
        <f>ROUND(T92*$T$12,2)</f>
        <v>0</v>
      </c>
      <c r="G92" s="275">
        <v>4.32</v>
      </c>
      <c r="H92" s="275">
        <v>0</v>
      </c>
      <c r="I92" s="275">
        <v>0</v>
      </c>
      <c r="J92" s="275">
        <v>0</v>
      </c>
      <c r="K92" s="269">
        <f>ROUND(G92*F92,2)</f>
        <v>0</v>
      </c>
      <c r="L92" s="344">
        <f>H92*F92</f>
        <v>0</v>
      </c>
      <c r="M92" s="344">
        <f>L92</f>
        <v>0</v>
      </c>
      <c r="N92" s="345">
        <f>F92*G92-M92</f>
        <v>0</v>
      </c>
      <c r="O92" s="325" t="e">
        <f t="shared" si="15"/>
        <v>#DIV/0!</v>
      </c>
      <c r="P92" s="319">
        <f>G92*F92</f>
        <v>0</v>
      </c>
    </row>
    <row r="93" spans="1:16" ht="15.75" x14ac:dyDescent="0.2">
      <c r="A93" s="341">
        <v>7</v>
      </c>
      <c r="B93" s="258"/>
      <c r="C93" s="258"/>
      <c r="D93" s="259" t="s">
        <v>1453</v>
      </c>
      <c r="E93" s="260"/>
      <c r="F93" s="261">
        <f>K93</f>
        <v>0</v>
      </c>
      <c r="G93" s="261"/>
      <c r="H93" s="261"/>
      <c r="I93" s="261"/>
      <c r="J93" s="261"/>
      <c r="K93" s="262">
        <f>SUM(K94:K95)</f>
        <v>0</v>
      </c>
      <c r="L93" s="342"/>
      <c r="M93" s="342"/>
      <c r="N93" s="343">
        <f>SUM(N94:N95)</f>
        <v>0</v>
      </c>
      <c r="O93" s="325" t="e">
        <f t="shared" si="15"/>
        <v>#DIV/0!</v>
      </c>
      <c r="P93" s="319"/>
    </row>
    <row r="94" spans="1:16" ht="25.5" x14ac:dyDescent="0.2">
      <c r="A94" s="346" t="s">
        <v>193</v>
      </c>
      <c r="B94" s="272" t="s">
        <v>1454</v>
      </c>
      <c r="C94" s="272" t="s">
        <v>1324</v>
      </c>
      <c r="D94" s="273" t="s">
        <v>1455</v>
      </c>
      <c r="E94" s="274" t="s">
        <v>14</v>
      </c>
      <c r="F94" s="268">
        <f>ROUND(T94*$T$12,2)</f>
        <v>0</v>
      </c>
      <c r="G94" s="275">
        <v>1030.4000000000001</v>
      </c>
      <c r="H94" s="275">
        <v>0</v>
      </c>
      <c r="I94" s="275">
        <v>0</v>
      </c>
      <c r="J94" s="275">
        <v>0</v>
      </c>
      <c r="K94" s="269">
        <f>ROUND(G94*F94,2)</f>
        <v>0</v>
      </c>
      <c r="L94" s="344">
        <f>H94*F94</f>
        <v>0</v>
      </c>
      <c r="M94" s="344">
        <f>L94</f>
        <v>0</v>
      </c>
      <c r="N94" s="345">
        <f>F94*G94-M94</f>
        <v>0</v>
      </c>
      <c r="O94" s="325" t="e">
        <f t="shared" si="15"/>
        <v>#DIV/0!</v>
      </c>
      <c r="P94" s="319">
        <f>G94*F94</f>
        <v>0</v>
      </c>
    </row>
    <row r="95" spans="1:16" ht="15.75" x14ac:dyDescent="0.2">
      <c r="A95" s="346" t="s">
        <v>195</v>
      </c>
      <c r="B95" s="272">
        <v>72112</v>
      </c>
      <c r="C95" s="272" t="s">
        <v>1324</v>
      </c>
      <c r="D95" s="273" t="s">
        <v>1456</v>
      </c>
      <c r="E95" s="274" t="s">
        <v>14</v>
      </c>
      <c r="F95" s="268">
        <f>ROUND(T95*$T$12,2)</f>
        <v>0</v>
      </c>
      <c r="G95" s="275">
        <v>980.4</v>
      </c>
      <c r="H95" s="275">
        <v>0</v>
      </c>
      <c r="I95" s="275">
        <v>0</v>
      </c>
      <c r="J95" s="275">
        <v>0</v>
      </c>
      <c r="K95" s="269">
        <f>ROUND(G95*F95,2)</f>
        <v>0</v>
      </c>
      <c r="L95" s="344">
        <f>H95*F95</f>
        <v>0</v>
      </c>
      <c r="M95" s="344">
        <f>L95</f>
        <v>0</v>
      </c>
      <c r="N95" s="345">
        <f>F95*G95-M95</f>
        <v>0</v>
      </c>
      <c r="O95" s="325" t="e">
        <f t="shared" si="15"/>
        <v>#DIV/0!</v>
      </c>
      <c r="P95" s="319">
        <f>G95*F95</f>
        <v>0</v>
      </c>
    </row>
    <row r="96" spans="1:16" ht="15.75" x14ac:dyDescent="0.2">
      <c r="A96" s="341">
        <v>8</v>
      </c>
      <c r="B96" s="258"/>
      <c r="C96" s="258"/>
      <c r="D96" s="259" t="s">
        <v>208</v>
      </c>
      <c r="E96" s="260"/>
      <c r="F96" s="261">
        <f>K96</f>
        <v>0</v>
      </c>
      <c r="G96" s="261"/>
      <c r="H96" s="261"/>
      <c r="I96" s="261"/>
      <c r="J96" s="261"/>
      <c r="K96" s="262">
        <f>SUM(K97:K98)</f>
        <v>0</v>
      </c>
      <c r="L96" s="342"/>
      <c r="M96" s="342"/>
      <c r="N96" s="343">
        <f>SUM(N97:N98)</f>
        <v>0</v>
      </c>
      <c r="O96" s="325" t="e">
        <f t="shared" si="15"/>
        <v>#DIV/0!</v>
      </c>
      <c r="P96" s="319"/>
    </row>
    <row r="97" spans="1:16" ht="15.75" x14ac:dyDescent="0.2">
      <c r="A97" s="346" t="s">
        <v>210</v>
      </c>
      <c r="B97" s="272" t="s">
        <v>1457</v>
      </c>
      <c r="C97" s="272" t="s">
        <v>1324</v>
      </c>
      <c r="D97" s="273" t="s">
        <v>1458</v>
      </c>
      <c r="E97" s="274" t="s">
        <v>14</v>
      </c>
      <c r="F97" s="268">
        <f>ROUND(T97*$T$12,2)</f>
        <v>0</v>
      </c>
      <c r="G97" s="275">
        <v>265.61</v>
      </c>
      <c r="H97" s="275">
        <v>0</v>
      </c>
      <c r="I97" s="275">
        <v>0</v>
      </c>
      <c r="J97" s="275">
        <v>0</v>
      </c>
      <c r="K97" s="269">
        <f>ROUND(G97*F97,2)</f>
        <v>0</v>
      </c>
      <c r="L97" s="344">
        <f>H97*F97</f>
        <v>0</v>
      </c>
      <c r="M97" s="344">
        <f>L97</f>
        <v>0</v>
      </c>
      <c r="N97" s="345">
        <f>F97*G97-M97</f>
        <v>0</v>
      </c>
      <c r="O97" s="325" t="e">
        <f t="shared" si="15"/>
        <v>#DIV/0!</v>
      </c>
      <c r="P97" s="319">
        <f>G97*F97</f>
        <v>0</v>
      </c>
    </row>
    <row r="98" spans="1:16" ht="25.5" x14ac:dyDescent="0.2">
      <c r="A98" s="346" t="s">
        <v>213</v>
      </c>
      <c r="B98" s="272">
        <v>68053</v>
      </c>
      <c r="C98" s="272" t="s">
        <v>1324</v>
      </c>
      <c r="D98" s="273" t="s">
        <v>1459</v>
      </c>
      <c r="E98" s="274" t="s">
        <v>14</v>
      </c>
      <c r="F98" s="268">
        <f>ROUND(T98*$T$12,2)</f>
        <v>0</v>
      </c>
      <c r="G98" s="275">
        <v>676.67</v>
      </c>
      <c r="H98" s="275">
        <v>0</v>
      </c>
      <c r="I98" s="275">
        <v>0</v>
      </c>
      <c r="J98" s="275">
        <v>0</v>
      </c>
      <c r="K98" s="269">
        <f>ROUND(G98*F98,2)</f>
        <v>0</v>
      </c>
      <c r="L98" s="344">
        <f>H98*F98</f>
        <v>0</v>
      </c>
      <c r="M98" s="344">
        <f>L98</f>
        <v>0</v>
      </c>
      <c r="N98" s="345">
        <f>F98*G98-M98</f>
        <v>0</v>
      </c>
      <c r="O98" s="325" t="e">
        <f t="shared" si="15"/>
        <v>#DIV/0!</v>
      </c>
      <c r="P98" s="319">
        <f>G98*F98</f>
        <v>0</v>
      </c>
    </row>
    <row r="99" spans="1:16" ht="15.75" x14ac:dyDescent="0.2">
      <c r="A99" s="341">
        <v>9</v>
      </c>
      <c r="B99" s="258"/>
      <c r="C99" s="258"/>
      <c r="D99" s="259" t="s">
        <v>1460</v>
      </c>
      <c r="E99" s="260"/>
      <c r="F99" s="261">
        <f>K99</f>
        <v>3988.19</v>
      </c>
      <c r="G99" s="261"/>
      <c r="H99" s="261"/>
      <c r="I99" s="261"/>
      <c r="J99" s="261"/>
      <c r="K99" s="262">
        <f>SUM(K100:K109)</f>
        <v>3988.19</v>
      </c>
      <c r="L99" s="342"/>
      <c r="M99" s="342"/>
      <c r="N99" s="343">
        <f>SUM(N100:N109)</f>
        <v>3988.1864000000005</v>
      </c>
      <c r="O99" s="325" t="e">
        <f t="shared" si="15"/>
        <v>#DIV/0!</v>
      </c>
      <c r="P99" s="319"/>
    </row>
    <row r="100" spans="1:16" ht="15.75" x14ac:dyDescent="0.2">
      <c r="A100" s="346" t="s">
        <v>223</v>
      </c>
      <c r="B100" s="272">
        <v>87905</v>
      </c>
      <c r="C100" s="272" t="s">
        <v>1324</v>
      </c>
      <c r="D100" s="273" t="s">
        <v>1461</v>
      </c>
      <c r="E100" s="274" t="s">
        <v>14</v>
      </c>
      <c r="F100" s="268">
        <f t="shared" ref="F100:F108" si="18">ROUND(T100*$T$12,2)</f>
        <v>0</v>
      </c>
      <c r="G100" s="275">
        <v>803.09</v>
      </c>
      <c r="H100" s="275">
        <v>0</v>
      </c>
      <c r="I100" s="275">
        <v>0</v>
      </c>
      <c r="J100" s="275">
        <v>0</v>
      </c>
      <c r="K100" s="269">
        <f t="shared" ref="K100:K109" si="19">ROUND(G100*F100,2)</f>
        <v>0</v>
      </c>
      <c r="L100" s="344">
        <f t="shared" ref="L100:L109" si="20">H100*F100</f>
        <v>0</v>
      </c>
      <c r="M100" s="344">
        <f t="shared" ref="M100:M109" si="21">L100</f>
        <v>0</v>
      </c>
      <c r="N100" s="345">
        <f t="shared" ref="N100:N109" si="22">F100*G100-M100</f>
        <v>0</v>
      </c>
      <c r="O100" s="325" t="e">
        <f t="shared" si="15"/>
        <v>#DIV/0!</v>
      </c>
      <c r="P100" s="319">
        <f t="shared" ref="P100:P109" si="23">G100*F100</f>
        <v>0</v>
      </c>
    </row>
    <row r="101" spans="1:16" ht="15.75" x14ac:dyDescent="0.2">
      <c r="A101" s="346" t="s">
        <v>239</v>
      </c>
      <c r="B101" s="272">
        <v>87882</v>
      </c>
      <c r="C101" s="272" t="s">
        <v>1324</v>
      </c>
      <c r="D101" s="273" t="s">
        <v>1462</v>
      </c>
      <c r="E101" s="274" t="s">
        <v>14</v>
      </c>
      <c r="F101" s="268">
        <f t="shared" si="18"/>
        <v>0</v>
      </c>
      <c r="G101" s="275">
        <v>84.33</v>
      </c>
      <c r="H101" s="275">
        <v>0</v>
      </c>
      <c r="I101" s="275">
        <v>0</v>
      </c>
      <c r="J101" s="275">
        <v>0</v>
      </c>
      <c r="K101" s="269">
        <f t="shared" si="19"/>
        <v>0</v>
      </c>
      <c r="L101" s="344">
        <f t="shared" si="20"/>
        <v>0</v>
      </c>
      <c r="M101" s="344">
        <f t="shared" si="21"/>
        <v>0</v>
      </c>
      <c r="N101" s="345">
        <f t="shared" si="22"/>
        <v>0</v>
      </c>
      <c r="O101" s="325" t="e">
        <f t="shared" si="15"/>
        <v>#DIV/0!</v>
      </c>
      <c r="P101" s="319">
        <f t="shared" si="23"/>
        <v>0</v>
      </c>
    </row>
    <row r="102" spans="1:16" ht="15.75" x14ac:dyDescent="0.2">
      <c r="A102" s="346" t="s">
        <v>1463</v>
      </c>
      <c r="B102" s="272">
        <v>87531</v>
      </c>
      <c r="C102" s="272" t="s">
        <v>1324</v>
      </c>
      <c r="D102" s="273" t="s">
        <v>1464</v>
      </c>
      <c r="E102" s="274" t="s">
        <v>14</v>
      </c>
      <c r="F102" s="268">
        <f t="shared" si="18"/>
        <v>0</v>
      </c>
      <c r="G102" s="275">
        <v>743.93</v>
      </c>
      <c r="H102" s="275">
        <v>0</v>
      </c>
      <c r="I102" s="275">
        <v>0</v>
      </c>
      <c r="J102" s="275">
        <v>0</v>
      </c>
      <c r="K102" s="269">
        <f t="shared" si="19"/>
        <v>0</v>
      </c>
      <c r="L102" s="344">
        <f t="shared" si="20"/>
        <v>0</v>
      </c>
      <c r="M102" s="344">
        <f t="shared" si="21"/>
        <v>0</v>
      </c>
      <c r="N102" s="345">
        <f t="shared" si="22"/>
        <v>0</v>
      </c>
      <c r="O102" s="325" t="e">
        <f t="shared" si="15"/>
        <v>#DIV/0!</v>
      </c>
      <c r="P102" s="319">
        <f t="shared" si="23"/>
        <v>0</v>
      </c>
    </row>
    <row r="103" spans="1:16" ht="15.75" x14ac:dyDescent="0.2">
      <c r="A103" s="346" t="s">
        <v>1465</v>
      </c>
      <c r="B103" s="272" t="s">
        <v>1466</v>
      </c>
      <c r="C103" s="272" t="s">
        <v>1324</v>
      </c>
      <c r="D103" s="273" t="s">
        <v>1467</v>
      </c>
      <c r="E103" s="274" t="s">
        <v>14</v>
      </c>
      <c r="F103" s="268">
        <f t="shared" si="18"/>
        <v>0</v>
      </c>
      <c r="G103" s="275">
        <v>445.04</v>
      </c>
      <c r="H103" s="275">
        <v>0</v>
      </c>
      <c r="I103" s="275">
        <v>0</v>
      </c>
      <c r="J103" s="275">
        <v>0</v>
      </c>
      <c r="K103" s="269">
        <f t="shared" si="19"/>
        <v>0</v>
      </c>
      <c r="L103" s="344">
        <f t="shared" si="20"/>
        <v>0</v>
      </c>
      <c r="M103" s="344">
        <f t="shared" si="21"/>
        <v>0</v>
      </c>
      <c r="N103" s="345">
        <f t="shared" si="22"/>
        <v>0</v>
      </c>
      <c r="O103" s="325" t="e">
        <f t="shared" si="15"/>
        <v>#DIV/0!</v>
      </c>
      <c r="P103" s="319">
        <f t="shared" si="23"/>
        <v>0</v>
      </c>
    </row>
    <row r="104" spans="1:16" ht="15.75" x14ac:dyDescent="0.2">
      <c r="A104" s="346" t="s">
        <v>1468</v>
      </c>
      <c r="B104" s="272" t="s">
        <v>1466</v>
      </c>
      <c r="C104" s="272" t="s">
        <v>1324</v>
      </c>
      <c r="D104" s="273" t="s">
        <v>1469</v>
      </c>
      <c r="E104" s="274" t="s">
        <v>14</v>
      </c>
      <c r="F104" s="268">
        <f t="shared" si="18"/>
        <v>0</v>
      </c>
      <c r="G104" s="275">
        <v>84.33</v>
      </c>
      <c r="H104" s="275">
        <v>0</v>
      </c>
      <c r="I104" s="275">
        <v>0</v>
      </c>
      <c r="J104" s="275">
        <v>0</v>
      </c>
      <c r="K104" s="269">
        <f t="shared" si="19"/>
        <v>0</v>
      </c>
      <c r="L104" s="344">
        <f t="shared" si="20"/>
        <v>0</v>
      </c>
      <c r="M104" s="344">
        <f t="shared" si="21"/>
        <v>0</v>
      </c>
      <c r="N104" s="345">
        <f t="shared" si="22"/>
        <v>0</v>
      </c>
      <c r="O104" s="325" t="e">
        <f t="shared" si="15"/>
        <v>#DIV/0!</v>
      </c>
      <c r="P104" s="319">
        <f t="shared" si="23"/>
        <v>0</v>
      </c>
    </row>
    <row r="105" spans="1:16" ht="15.75" x14ac:dyDescent="0.2">
      <c r="A105" s="346" t="s">
        <v>1470</v>
      </c>
      <c r="B105" s="272">
        <v>87905</v>
      </c>
      <c r="C105" s="272" t="s">
        <v>1324</v>
      </c>
      <c r="D105" s="273" t="s">
        <v>1471</v>
      </c>
      <c r="E105" s="274" t="s">
        <v>14</v>
      </c>
      <c r="F105" s="268">
        <f t="shared" si="18"/>
        <v>0</v>
      </c>
      <c r="G105" s="275">
        <v>140.33000000000001</v>
      </c>
      <c r="H105" s="275">
        <v>0</v>
      </c>
      <c r="I105" s="275">
        <v>0</v>
      </c>
      <c r="J105" s="275">
        <v>0</v>
      </c>
      <c r="K105" s="269">
        <f t="shared" si="19"/>
        <v>0</v>
      </c>
      <c r="L105" s="344">
        <f t="shared" si="20"/>
        <v>0</v>
      </c>
      <c r="M105" s="344">
        <f t="shared" si="21"/>
        <v>0</v>
      </c>
      <c r="N105" s="345">
        <f t="shared" si="22"/>
        <v>0</v>
      </c>
      <c r="O105" s="325" t="e">
        <f t="shared" si="15"/>
        <v>#DIV/0!</v>
      </c>
      <c r="P105" s="319">
        <f t="shared" si="23"/>
        <v>0</v>
      </c>
    </row>
    <row r="106" spans="1:16" ht="15.75" x14ac:dyDescent="0.2">
      <c r="A106" s="346" t="s">
        <v>1472</v>
      </c>
      <c r="B106" s="272">
        <v>87531</v>
      </c>
      <c r="C106" s="272" t="s">
        <v>1324</v>
      </c>
      <c r="D106" s="273" t="s">
        <v>1473</v>
      </c>
      <c r="E106" s="274" t="s">
        <v>14</v>
      </c>
      <c r="F106" s="268">
        <f t="shared" si="18"/>
        <v>0</v>
      </c>
      <c r="G106" s="275">
        <v>140.33000000000001</v>
      </c>
      <c r="H106" s="275">
        <v>0</v>
      </c>
      <c r="I106" s="275">
        <v>0</v>
      </c>
      <c r="J106" s="275">
        <v>0</v>
      </c>
      <c r="K106" s="269">
        <f t="shared" si="19"/>
        <v>0</v>
      </c>
      <c r="L106" s="344">
        <f t="shared" si="20"/>
        <v>0</v>
      </c>
      <c r="M106" s="344">
        <f t="shared" si="21"/>
        <v>0</v>
      </c>
      <c r="N106" s="345">
        <f t="shared" si="22"/>
        <v>0</v>
      </c>
      <c r="O106" s="325" t="e">
        <f t="shared" si="15"/>
        <v>#DIV/0!</v>
      </c>
      <c r="P106" s="319">
        <f t="shared" si="23"/>
        <v>0</v>
      </c>
    </row>
    <row r="107" spans="1:16" ht="25.5" x14ac:dyDescent="0.2">
      <c r="A107" s="346" t="s">
        <v>1474</v>
      </c>
      <c r="B107" s="272" t="s">
        <v>1466</v>
      </c>
      <c r="C107" s="272" t="s">
        <v>1324</v>
      </c>
      <c r="D107" s="273" t="s">
        <v>1475</v>
      </c>
      <c r="E107" s="274" t="s">
        <v>14</v>
      </c>
      <c r="F107" s="268">
        <f t="shared" si="18"/>
        <v>0</v>
      </c>
      <c r="G107" s="275">
        <v>140.33000000000001</v>
      </c>
      <c r="H107" s="275">
        <v>0</v>
      </c>
      <c r="I107" s="275">
        <v>0</v>
      </c>
      <c r="J107" s="275">
        <v>0</v>
      </c>
      <c r="K107" s="269">
        <f t="shared" si="19"/>
        <v>0</v>
      </c>
      <c r="L107" s="344">
        <f t="shared" si="20"/>
        <v>0</v>
      </c>
      <c r="M107" s="344">
        <f t="shared" si="21"/>
        <v>0</v>
      </c>
      <c r="N107" s="345">
        <f t="shared" si="22"/>
        <v>0</v>
      </c>
      <c r="O107" s="325" t="e">
        <f t="shared" si="15"/>
        <v>#DIV/0!</v>
      </c>
      <c r="P107" s="319">
        <f t="shared" si="23"/>
        <v>0</v>
      </c>
    </row>
    <row r="108" spans="1:16" ht="25.5" x14ac:dyDescent="0.2">
      <c r="A108" s="346" t="s">
        <v>1476</v>
      </c>
      <c r="B108" s="272">
        <v>87272</v>
      </c>
      <c r="C108" s="272" t="s">
        <v>1324</v>
      </c>
      <c r="D108" s="273" t="s">
        <v>1477</v>
      </c>
      <c r="E108" s="274" t="s">
        <v>14</v>
      </c>
      <c r="F108" s="268">
        <f t="shared" si="18"/>
        <v>0</v>
      </c>
      <c r="G108" s="275">
        <v>210.5</v>
      </c>
      <c r="H108" s="275">
        <v>0</v>
      </c>
      <c r="I108" s="275">
        <v>0</v>
      </c>
      <c r="J108" s="275">
        <v>0</v>
      </c>
      <c r="K108" s="269">
        <f t="shared" si="19"/>
        <v>0</v>
      </c>
      <c r="L108" s="344">
        <f t="shared" si="20"/>
        <v>0</v>
      </c>
      <c r="M108" s="344">
        <f t="shared" si="21"/>
        <v>0</v>
      </c>
      <c r="N108" s="345">
        <f t="shared" si="22"/>
        <v>0</v>
      </c>
      <c r="O108" s="325" t="e">
        <f t="shared" si="15"/>
        <v>#DIV/0!</v>
      </c>
      <c r="P108" s="319">
        <f t="shared" si="23"/>
        <v>0</v>
      </c>
    </row>
    <row r="109" spans="1:16" ht="25.5" x14ac:dyDescent="0.2">
      <c r="A109" s="346" t="s">
        <v>1478</v>
      </c>
      <c r="B109" s="272">
        <v>87267</v>
      </c>
      <c r="C109" s="272" t="s">
        <v>1324</v>
      </c>
      <c r="D109" s="273" t="s">
        <v>1479</v>
      </c>
      <c r="E109" s="274" t="s">
        <v>14</v>
      </c>
      <c r="F109" s="268">
        <v>46.64</v>
      </c>
      <c r="G109" s="275">
        <v>85.51</v>
      </c>
      <c r="H109" s="275">
        <v>0</v>
      </c>
      <c r="I109" s="275">
        <v>0</v>
      </c>
      <c r="J109" s="275">
        <v>0</v>
      </c>
      <c r="K109" s="269">
        <f t="shared" si="19"/>
        <v>3988.19</v>
      </c>
      <c r="L109" s="344">
        <f t="shared" si="20"/>
        <v>0</v>
      </c>
      <c r="M109" s="344">
        <f t="shared" si="21"/>
        <v>0</v>
      </c>
      <c r="N109" s="345">
        <f t="shared" si="22"/>
        <v>3988.1864000000005</v>
      </c>
      <c r="O109" s="325">
        <f t="shared" si="15"/>
        <v>0</v>
      </c>
      <c r="P109" s="319">
        <f t="shared" si="23"/>
        <v>3988.1864000000005</v>
      </c>
    </row>
    <row r="110" spans="1:16" ht="15.75" x14ac:dyDescent="0.2">
      <c r="A110" s="341">
        <v>10</v>
      </c>
      <c r="B110" s="258"/>
      <c r="C110" s="258"/>
      <c r="D110" s="259" t="s">
        <v>1480</v>
      </c>
      <c r="E110" s="260"/>
      <c r="F110" s="261">
        <f>K110</f>
        <v>0</v>
      </c>
      <c r="G110" s="261"/>
      <c r="H110" s="261"/>
      <c r="I110" s="261"/>
      <c r="J110" s="261"/>
      <c r="K110" s="262">
        <f>+K111+K117</f>
        <v>0</v>
      </c>
      <c r="L110" s="342"/>
      <c r="M110" s="342"/>
      <c r="N110" s="343">
        <f>SUM(N111,N117)</f>
        <v>0</v>
      </c>
      <c r="O110" s="325" t="e">
        <f t="shared" si="15"/>
        <v>#DIV/0!</v>
      </c>
      <c r="P110" s="319"/>
    </row>
    <row r="111" spans="1:16" ht="15.75" x14ac:dyDescent="0.2">
      <c r="A111" s="348" t="s">
        <v>254</v>
      </c>
      <c r="B111" s="276"/>
      <c r="C111" s="276"/>
      <c r="D111" s="277" t="s">
        <v>1481</v>
      </c>
      <c r="E111" s="278"/>
      <c r="F111" s="279">
        <f>K111</f>
        <v>0</v>
      </c>
      <c r="G111" s="279"/>
      <c r="H111" s="279"/>
      <c r="I111" s="279"/>
      <c r="J111" s="279"/>
      <c r="K111" s="280">
        <f>SUM(K112:K116)</f>
        <v>0</v>
      </c>
      <c r="L111" s="349"/>
      <c r="M111" s="349"/>
      <c r="N111" s="350">
        <f>SUM(N112:N116)</f>
        <v>0</v>
      </c>
      <c r="O111" s="325" t="e">
        <f t="shared" si="15"/>
        <v>#DIV/0!</v>
      </c>
      <c r="P111" s="319"/>
    </row>
    <row r="112" spans="1:16" ht="15.75" x14ac:dyDescent="0.2">
      <c r="A112" s="346" t="s">
        <v>1482</v>
      </c>
      <c r="B112" s="272"/>
      <c r="C112" s="272" t="s">
        <v>1339</v>
      </c>
      <c r="D112" s="273" t="s">
        <v>1483</v>
      </c>
      <c r="E112" s="274" t="s">
        <v>14</v>
      </c>
      <c r="F112" s="268">
        <f>ROUND(T112*$T$12,2)</f>
        <v>0</v>
      </c>
      <c r="G112" s="275">
        <v>64.91</v>
      </c>
      <c r="H112" s="275">
        <v>0</v>
      </c>
      <c r="I112" s="275">
        <v>0</v>
      </c>
      <c r="J112" s="275">
        <v>0</v>
      </c>
      <c r="K112" s="269">
        <f>ROUND(G112*F112,2)</f>
        <v>0</v>
      </c>
      <c r="L112" s="344">
        <f>H112*F112</f>
        <v>0</v>
      </c>
      <c r="M112" s="344">
        <f>L112</f>
        <v>0</v>
      </c>
      <c r="N112" s="345">
        <f>F112*G112-M112</f>
        <v>0</v>
      </c>
      <c r="O112" s="325" t="e">
        <f t="shared" ref="O112:O175" si="24">M112/P112</f>
        <v>#DIV/0!</v>
      </c>
      <c r="P112" s="319">
        <f>G112*F112</f>
        <v>0</v>
      </c>
    </row>
    <row r="113" spans="1:16" ht="15.75" x14ac:dyDescent="0.2">
      <c r="A113" s="346" t="s">
        <v>1484</v>
      </c>
      <c r="B113" s="272">
        <v>87630</v>
      </c>
      <c r="C113" s="272" t="s">
        <v>1324</v>
      </c>
      <c r="D113" s="273" t="s">
        <v>1485</v>
      </c>
      <c r="E113" s="274" t="s">
        <v>14</v>
      </c>
      <c r="F113" s="268">
        <f>ROUND(T113*$T$12,2)</f>
        <v>0</v>
      </c>
      <c r="G113" s="275">
        <v>64.91</v>
      </c>
      <c r="H113" s="275">
        <v>0</v>
      </c>
      <c r="I113" s="275">
        <v>0</v>
      </c>
      <c r="J113" s="275">
        <v>0</v>
      </c>
      <c r="K113" s="269">
        <f>ROUND(G113*F113,2)</f>
        <v>0</v>
      </c>
      <c r="L113" s="344">
        <f>H113*F113</f>
        <v>0</v>
      </c>
      <c r="M113" s="344">
        <f>L113</f>
        <v>0</v>
      </c>
      <c r="N113" s="345">
        <f>F113*G113-M113</f>
        <v>0</v>
      </c>
      <c r="O113" s="325" t="e">
        <f t="shared" si="24"/>
        <v>#DIV/0!</v>
      </c>
      <c r="P113" s="319">
        <f>G113*F113</f>
        <v>0</v>
      </c>
    </row>
    <row r="114" spans="1:16" ht="25.5" x14ac:dyDescent="0.2">
      <c r="A114" s="346" t="s">
        <v>1486</v>
      </c>
      <c r="B114" s="272">
        <v>72136</v>
      </c>
      <c r="C114" s="272" t="s">
        <v>1324</v>
      </c>
      <c r="D114" s="273" t="s">
        <v>1487</v>
      </c>
      <c r="E114" s="274" t="s">
        <v>14</v>
      </c>
      <c r="F114" s="268">
        <f>ROUND(T114*$T$12,2)</f>
        <v>0</v>
      </c>
      <c r="G114" s="275">
        <v>676.67</v>
      </c>
      <c r="H114" s="275">
        <v>0</v>
      </c>
      <c r="I114" s="275">
        <v>0</v>
      </c>
      <c r="J114" s="275">
        <v>0</v>
      </c>
      <c r="K114" s="269">
        <f>ROUND(G114*F114,2)</f>
        <v>0</v>
      </c>
      <c r="L114" s="344">
        <f>H114*F114</f>
        <v>0</v>
      </c>
      <c r="M114" s="344">
        <f>L114</f>
        <v>0</v>
      </c>
      <c r="N114" s="345">
        <f>F114*G114-M114</f>
        <v>0</v>
      </c>
      <c r="O114" s="325" t="e">
        <f t="shared" si="24"/>
        <v>#DIV/0!</v>
      </c>
      <c r="P114" s="319">
        <f>G114*F114</f>
        <v>0</v>
      </c>
    </row>
    <row r="115" spans="1:16" ht="25.5" x14ac:dyDescent="0.2">
      <c r="A115" s="346" t="s">
        <v>1488</v>
      </c>
      <c r="B115" s="272">
        <v>87251</v>
      </c>
      <c r="C115" s="272" t="s">
        <v>1324</v>
      </c>
      <c r="D115" s="273" t="s">
        <v>1489</v>
      </c>
      <c r="E115" s="274" t="s">
        <v>14</v>
      </c>
      <c r="F115" s="268">
        <f>ROUND(T115*$T$12,2)</f>
        <v>0</v>
      </c>
      <c r="G115" s="275">
        <v>64.91</v>
      </c>
      <c r="H115" s="275">
        <v>0</v>
      </c>
      <c r="I115" s="275">
        <v>0</v>
      </c>
      <c r="J115" s="275">
        <v>0</v>
      </c>
      <c r="K115" s="269">
        <f>ROUND(G115*F115,2)</f>
        <v>0</v>
      </c>
      <c r="L115" s="344">
        <f>H115*F115</f>
        <v>0</v>
      </c>
      <c r="M115" s="344">
        <f>L115</f>
        <v>0</v>
      </c>
      <c r="N115" s="345">
        <f>F115*G115-M115</f>
        <v>0</v>
      </c>
      <c r="O115" s="325" t="e">
        <f t="shared" si="24"/>
        <v>#DIV/0!</v>
      </c>
      <c r="P115" s="319">
        <f>G115*F115</f>
        <v>0</v>
      </c>
    </row>
    <row r="116" spans="1:16" ht="15.75" x14ac:dyDescent="0.2">
      <c r="A116" s="346" t="s">
        <v>1490</v>
      </c>
      <c r="B116" s="272"/>
      <c r="C116" s="272" t="s">
        <v>1339</v>
      </c>
      <c r="D116" s="273" t="s">
        <v>1491</v>
      </c>
      <c r="E116" s="274" t="s">
        <v>81</v>
      </c>
      <c r="F116" s="268">
        <f>ROUND(T116*$T$12,2)</f>
        <v>0</v>
      </c>
      <c r="G116" s="275">
        <v>2.7</v>
      </c>
      <c r="H116" s="275">
        <v>0</v>
      </c>
      <c r="I116" s="275">
        <v>0</v>
      </c>
      <c r="J116" s="275">
        <v>0</v>
      </c>
      <c r="K116" s="269">
        <f>ROUND(G116*F116,2)</f>
        <v>0</v>
      </c>
      <c r="L116" s="344">
        <f>H116*F116</f>
        <v>0</v>
      </c>
      <c r="M116" s="344">
        <f>L116</f>
        <v>0</v>
      </c>
      <c r="N116" s="345">
        <f>F116*G116-M116</f>
        <v>0</v>
      </c>
      <c r="O116" s="325" t="e">
        <f t="shared" si="24"/>
        <v>#DIV/0!</v>
      </c>
      <c r="P116" s="319">
        <f>G116*F116</f>
        <v>0</v>
      </c>
    </row>
    <row r="117" spans="1:16" ht="15.75" x14ac:dyDescent="0.2">
      <c r="A117" s="348" t="s">
        <v>256</v>
      </c>
      <c r="B117" s="276"/>
      <c r="C117" s="276"/>
      <c r="D117" s="277" t="s">
        <v>1256</v>
      </c>
      <c r="E117" s="278"/>
      <c r="F117" s="279">
        <f>K117</f>
        <v>0</v>
      </c>
      <c r="G117" s="279"/>
      <c r="H117" s="279"/>
      <c r="I117" s="279"/>
      <c r="J117" s="279"/>
      <c r="K117" s="280">
        <f>SUM(K118:K120)</f>
        <v>0</v>
      </c>
      <c r="L117" s="349"/>
      <c r="M117" s="349"/>
      <c r="N117" s="350">
        <f>SUM(N118:N120)</f>
        <v>0</v>
      </c>
      <c r="O117" s="325" t="e">
        <f t="shared" si="24"/>
        <v>#DIV/0!</v>
      </c>
      <c r="P117" s="319"/>
    </row>
    <row r="118" spans="1:16" ht="15.75" x14ac:dyDescent="0.2">
      <c r="A118" s="346" t="s">
        <v>1492</v>
      </c>
      <c r="B118" s="272">
        <v>85181</v>
      </c>
      <c r="C118" s="272" t="s">
        <v>1324</v>
      </c>
      <c r="D118" s="273" t="s">
        <v>1493</v>
      </c>
      <c r="E118" s="274" t="s">
        <v>14</v>
      </c>
      <c r="F118" s="268">
        <f>ROUND(T118*$T$12,2)</f>
        <v>0</v>
      </c>
      <c r="G118" s="275">
        <v>9.7899999999999991</v>
      </c>
      <c r="H118" s="275">
        <v>0</v>
      </c>
      <c r="I118" s="275">
        <v>0</v>
      </c>
      <c r="J118" s="275">
        <v>0</v>
      </c>
      <c r="K118" s="269">
        <f>ROUND(G118*F118,2)</f>
        <v>0</v>
      </c>
      <c r="L118" s="344">
        <f>H118*F118</f>
        <v>0</v>
      </c>
      <c r="M118" s="344">
        <f>L118</f>
        <v>0</v>
      </c>
      <c r="N118" s="345">
        <f>F118*G118-M118</f>
        <v>0</v>
      </c>
      <c r="O118" s="325" t="e">
        <f t="shared" si="24"/>
        <v>#DIV/0!</v>
      </c>
      <c r="P118" s="319">
        <f>G118*F118</f>
        <v>0</v>
      </c>
    </row>
    <row r="119" spans="1:16" ht="15.75" x14ac:dyDescent="0.2">
      <c r="A119" s="346" t="s">
        <v>1494</v>
      </c>
      <c r="B119" s="272">
        <v>5652</v>
      </c>
      <c r="C119" s="272" t="s">
        <v>1324</v>
      </c>
      <c r="D119" s="273" t="s">
        <v>1495</v>
      </c>
      <c r="E119" s="274" t="s">
        <v>48</v>
      </c>
      <c r="F119" s="268">
        <f>ROUND(T119*$T$12,2)</f>
        <v>0</v>
      </c>
      <c r="G119" s="275">
        <v>1.82</v>
      </c>
      <c r="H119" s="275">
        <v>0</v>
      </c>
      <c r="I119" s="275">
        <v>0</v>
      </c>
      <c r="J119" s="275">
        <v>0</v>
      </c>
      <c r="K119" s="269">
        <f>ROUND(G119*F119,2)</f>
        <v>0</v>
      </c>
      <c r="L119" s="344">
        <f>H119*F119</f>
        <v>0</v>
      </c>
      <c r="M119" s="344">
        <f>L119</f>
        <v>0</v>
      </c>
      <c r="N119" s="345">
        <f>F119*G119-M119</f>
        <v>0</v>
      </c>
      <c r="O119" s="325" t="e">
        <f t="shared" si="24"/>
        <v>#DIV/0!</v>
      </c>
      <c r="P119" s="319">
        <f>G119*F119</f>
        <v>0</v>
      </c>
    </row>
    <row r="120" spans="1:16" ht="25.5" x14ac:dyDescent="0.2">
      <c r="A120" s="346" t="s">
        <v>1496</v>
      </c>
      <c r="B120" s="272"/>
      <c r="C120" s="272" t="s">
        <v>1339</v>
      </c>
      <c r="D120" s="273" t="s">
        <v>1497</v>
      </c>
      <c r="E120" s="274" t="s">
        <v>14</v>
      </c>
      <c r="F120" s="268">
        <f>ROUND(T120*$T$12,2)</f>
        <v>0</v>
      </c>
      <c r="G120" s="275">
        <v>5.85</v>
      </c>
      <c r="H120" s="275">
        <v>0</v>
      </c>
      <c r="I120" s="275">
        <v>0</v>
      </c>
      <c r="J120" s="275">
        <v>0</v>
      </c>
      <c r="K120" s="269">
        <f>ROUND(G120*F120,2)</f>
        <v>0</v>
      </c>
      <c r="L120" s="344">
        <f>H120*F120</f>
        <v>0</v>
      </c>
      <c r="M120" s="344">
        <f>L120</f>
        <v>0</v>
      </c>
      <c r="N120" s="345">
        <f>F120*G120-M120</f>
        <v>0</v>
      </c>
      <c r="O120" s="325" t="e">
        <f t="shared" si="24"/>
        <v>#DIV/0!</v>
      </c>
      <c r="P120" s="319">
        <f>G120*F120</f>
        <v>0</v>
      </c>
    </row>
    <row r="121" spans="1:16" ht="15.75" x14ac:dyDescent="0.2">
      <c r="A121" s="341">
        <v>11</v>
      </c>
      <c r="B121" s="258"/>
      <c r="C121" s="258"/>
      <c r="D121" s="259" t="s">
        <v>1498</v>
      </c>
      <c r="E121" s="260"/>
      <c r="F121" s="261">
        <f>K121</f>
        <v>0</v>
      </c>
      <c r="G121" s="261"/>
      <c r="H121" s="261"/>
      <c r="I121" s="261"/>
      <c r="J121" s="261"/>
      <c r="K121" s="262">
        <f>SUM(K122:K129)</f>
        <v>0</v>
      </c>
      <c r="L121" s="342"/>
      <c r="M121" s="342"/>
      <c r="N121" s="343">
        <f>SUM(N122:N129)</f>
        <v>0</v>
      </c>
      <c r="O121" s="325" t="e">
        <f t="shared" si="24"/>
        <v>#DIV/0!</v>
      </c>
      <c r="P121" s="319"/>
    </row>
    <row r="122" spans="1:16" ht="15.75" x14ac:dyDescent="0.2">
      <c r="A122" s="346" t="s">
        <v>274</v>
      </c>
      <c r="B122" s="272"/>
      <c r="C122" s="272" t="s">
        <v>1339</v>
      </c>
      <c r="D122" s="273" t="s">
        <v>1499</v>
      </c>
      <c r="E122" s="274" t="s">
        <v>14</v>
      </c>
      <c r="F122" s="268">
        <f t="shared" ref="F122:F129" si="25">ROUND(T122*$T$12,2)</f>
        <v>0</v>
      </c>
      <c r="G122" s="275">
        <v>529.37</v>
      </c>
      <c r="H122" s="275">
        <v>0</v>
      </c>
      <c r="I122" s="275">
        <v>0</v>
      </c>
      <c r="J122" s="275">
        <v>0</v>
      </c>
      <c r="K122" s="269">
        <f t="shared" ref="K122:K129" si="26">ROUND(G122*F122,2)</f>
        <v>0</v>
      </c>
      <c r="L122" s="344">
        <f t="shared" ref="L122:L129" si="27">H122*F122</f>
        <v>0</v>
      </c>
      <c r="M122" s="344">
        <f t="shared" ref="M122:M129" si="28">L122</f>
        <v>0</v>
      </c>
      <c r="N122" s="345">
        <f t="shared" ref="N122:N129" si="29">F122*G122-M122</f>
        <v>0</v>
      </c>
      <c r="O122" s="325" t="e">
        <f t="shared" si="24"/>
        <v>#DIV/0!</v>
      </c>
      <c r="P122" s="319">
        <f t="shared" ref="P122:P129" si="30">G122*F122</f>
        <v>0</v>
      </c>
    </row>
    <row r="123" spans="1:16" ht="15.75" x14ac:dyDescent="0.2">
      <c r="A123" s="346" t="s">
        <v>276</v>
      </c>
      <c r="B123" s="272">
        <v>88489</v>
      </c>
      <c r="C123" s="272" t="s">
        <v>1324</v>
      </c>
      <c r="D123" s="273" t="s">
        <v>1500</v>
      </c>
      <c r="E123" s="274" t="s">
        <v>14</v>
      </c>
      <c r="F123" s="268">
        <f t="shared" si="25"/>
        <v>0</v>
      </c>
      <c r="G123" s="275">
        <v>445.04</v>
      </c>
      <c r="H123" s="275">
        <v>0</v>
      </c>
      <c r="I123" s="275">
        <v>0</v>
      </c>
      <c r="J123" s="275">
        <v>0</v>
      </c>
      <c r="K123" s="269">
        <f t="shared" si="26"/>
        <v>0</v>
      </c>
      <c r="L123" s="344">
        <f t="shared" si="27"/>
        <v>0</v>
      </c>
      <c r="M123" s="344">
        <f t="shared" si="28"/>
        <v>0</v>
      </c>
      <c r="N123" s="345">
        <f t="shared" si="29"/>
        <v>0</v>
      </c>
      <c r="O123" s="325" t="e">
        <f t="shared" si="24"/>
        <v>#DIV/0!</v>
      </c>
      <c r="P123" s="319">
        <f t="shared" si="30"/>
        <v>0</v>
      </c>
    </row>
    <row r="124" spans="1:16" ht="15.75" x14ac:dyDescent="0.2">
      <c r="A124" s="346" t="s">
        <v>278</v>
      </c>
      <c r="B124" s="272">
        <v>88486</v>
      </c>
      <c r="C124" s="272" t="s">
        <v>1324</v>
      </c>
      <c r="D124" s="273" t="s">
        <v>1501</v>
      </c>
      <c r="E124" s="274" t="s">
        <v>14</v>
      </c>
      <c r="F124" s="268">
        <f t="shared" si="25"/>
        <v>0</v>
      </c>
      <c r="G124" s="275">
        <v>84.33</v>
      </c>
      <c r="H124" s="275">
        <v>0</v>
      </c>
      <c r="I124" s="275">
        <v>0</v>
      </c>
      <c r="J124" s="275">
        <v>0</v>
      </c>
      <c r="K124" s="269">
        <f t="shared" si="26"/>
        <v>0</v>
      </c>
      <c r="L124" s="344">
        <f t="shared" si="27"/>
        <v>0</v>
      </c>
      <c r="M124" s="344">
        <f t="shared" si="28"/>
        <v>0</v>
      </c>
      <c r="N124" s="345">
        <f t="shared" si="29"/>
        <v>0</v>
      </c>
      <c r="O124" s="325" t="e">
        <f t="shared" si="24"/>
        <v>#DIV/0!</v>
      </c>
      <c r="P124" s="319">
        <f t="shared" si="30"/>
        <v>0</v>
      </c>
    </row>
    <row r="125" spans="1:16" ht="15.75" x14ac:dyDescent="0.2">
      <c r="A125" s="346" t="s">
        <v>281</v>
      </c>
      <c r="B125" s="272">
        <v>72815</v>
      </c>
      <c r="C125" s="272" t="s">
        <v>1324</v>
      </c>
      <c r="D125" s="273" t="s">
        <v>1502</v>
      </c>
      <c r="E125" s="274" t="s">
        <v>14</v>
      </c>
      <c r="F125" s="268">
        <f t="shared" si="25"/>
        <v>0</v>
      </c>
      <c r="G125" s="275">
        <v>483.8</v>
      </c>
      <c r="H125" s="275">
        <v>0</v>
      </c>
      <c r="I125" s="275">
        <v>0</v>
      </c>
      <c r="J125" s="275">
        <v>0</v>
      </c>
      <c r="K125" s="269">
        <f t="shared" si="26"/>
        <v>0</v>
      </c>
      <c r="L125" s="344">
        <f t="shared" si="27"/>
        <v>0</v>
      </c>
      <c r="M125" s="344">
        <f t="shared" si="28"/>
        <v>0</v>
      </c>
      <c r="N125" s="345">
        <f t="shared" si="29"/>
        <v>0</v>
      </c>
      <c r="O125" s="325" t="e">
        <f t="shared" si="24"/>
        <v>#DIV/0!</v>
      </c>
      <c r="P125" s="319">
        <f t="shared" si="30"/>
        <v>0</v>
      </c>
    </row>
    <row r="126" spans="1:16" ht="15.75" x14ac:dyDescent="0.2">
      <c r="A126" s="346" t="s">
        <v>1503</v>
      </c>
      <c r="B126" s="272">
        <v>41595</v>
      </c>
      <c r="C126" s="272" t="s">
        <v>1324</v>
      </c>
      <c r="D126" s="273" t="s">
        <v>1504</v>
      </c>
      <c r="E126" s="274" t="s">
        <v>81</v>
      </c>
      <c r="F126" s="268">
        <f t="shared" si="25"/>
        <v>0</v>
      </c>
      <c r="G126" s="275">
        <v>275.60000000000002</v>
      </c>
      <c r="H126" s="275">
        <v>0</v>
      </c>
      <c r="I126" s="275">
        <v>0</v>
      </c>
      <c r="J126" s="275">
        <v>0</v>
      </c>
      <c r="K126" s="269">
        <f t="shared" si="26"/>
        <v>0</v>
      </c>
      <c r="L126" s="344">
        <f t="shared" si="27"/>
        <v>0</v>
      </c>
      <c r="M126" s="344">
        <f t="shared" si="28"/>
        <v>0</v>
      </c>
      <c r="N126" s="345">
        <f t="shared" si="29"/>
        <v>0</v>
      </c>
      <c r="O126" s="325" t="e">
        <f t="shared" si="24"/>
        <v>#DIV/0!</v>
      </c>
      <c r="P126" s="319">
        <f t="shared" si="30"/>
        <v>0</v>
      </c>
    </row>
    <row r="127" spans="1:16" ht="15.75" x14ac:dyDescent="0.2">
      <c r="A127" s="346" t="s">
        <v>1505</v>
      </c>
      <c r="B127" s="272" t="s">
        <v>1506</v>
      </c>
      <c r="C127" s="272" t="s">
        <v>1324</v>
      </c>
      <c r="D127" s="273" t="s">
        <v>1507</v>
      </c>
      <c r="E127" s="274" t="s">
        <v>14</v>
      </c>
      <c r="F127" s="268">
        <f t="shared" si="25"/>
        <v>0</v>
      </c>
      <c r="G127" s="275">
        <v>366.82</v>
      </c>
      <c r="H127" s="275">
        <v>0</v>
      </c>
      <c r="I127" s="275">
        <v>0</v>
      </c>
      <c r="J127" s="275">
        <v>0</v>
      </c>
      <c r="K127" s="269">
        <f t="shared" si="26"/>
        <v>0</v>
      </c>
      <c r="L127" s="344">
        <f t="shared" si="27"/>
        <v>0</v>
      </c>
      <c r="M127" s="344">
        <f t="shared" si="28"/>
        <v>0</v>
      </c>
      <c r="N127" s="345">
        <f t="shared" si="29"/>
        <v>0</v>
      </c>
      <c r="O127" s="325" t="e">
        <f t="shared" si="24"/>
        <v>#DIV/0!</v>
      </c>
      <c r="P127" s="319">
        <f t="shared" si="30"/>
        <v>0</v>
      </c>
    </row>
    <row r="128" spans="1:16" ht="15.75" x14ac:dyDescent="0.2">
      <c r="A128" s="346" t="s">
        <v>1508</v>
      </c>
      <c r="B128" s="272" t="s">
        <v>1509</v>
      </c>
      <c r="C128" s="272" t="s">
        <v>1324</v>
      </c>
      <c r="D128" s="273" t="s">
        <v>1510</v>
      </c>
      <c r="E128" s="274" t="s">
        <v>14</v>
      </c>
      <c r="F128" s="268">
        <f t="shared" si="25"/>
        <v>0</v>
      </c>
      <c r="G128" s="275">
        <v>567.82000000000005</v>
      </c>
      <c r="H128" s="275">
        <v>0</v>
      </c>
      <c r="I128" s="275">
        <v>0</v>
      </c>
      <c r="J128" s="275">
        <v>0</v>
      </c>
      <c r="K128" s="269">
        <f t="shared" si="26"/>
        <v>0</v>
      </c>
      <c r="L128" s="344">
        <f t="shared" si="27"/>
        <v>0</v>
      </c>
      <c r="M128" s="344">
        <f t="shared" si="28"/>
        <v>0</v>
      </c>
      <c r="N128" s="345">
        <f t="shared" si="29"/>
        <v>0</v>
      </c>
      <c r="O128" s="325" t="e">
        <f t="shared" si="24"/>
        <v>#DIV/0!</v>
      </c>
      <c r="P128" s="319">
        <f t="shared" si="30"/>
        <v>0</v>
      </c>
    </row>
    <row r="129" spans="1:16" ht="15.75" x14ac:dyDescent="0.2">
      <c r="A129" s="346" t="s">
        <v>1511</v>
      </c>
      <c r="B129" s="272" t="s">
        <v>1512</v>
      </c>
      <c r="C129" s="272" t="s">
        <v>1324</v>
      </c>
      <c r="D129" s="273" t="s">
        <v>1513</v>
      </c>
      <c r="E129" s="274" t="s">
        <v>14</v>
      </c>
      <c r="F129" s="268">
        <f t="shared" si="25"/>
        <v>0</v>
      </c>
      <c r="G129" s="275">
        <v>1030.4000000000001</v>
      </c>
      <c r="H129" s="275">
        <v>0</v>
      </c>
      <c r="I129" s="275">
        <v>0</v>
      </c>
      <c r="J129" s="275">
        <v>0</v>
      </c>
      <c r="K129" s="269">
        <f t="shared" si="26"/>
        <v>0</v>
      </c>
      <c r="L129" s="344">
        <f t="shared" si="27"/>
        <v>0</v>
      </c>
      <c r="M129" s="344">
        <f t="shared" si="28"/>
        <v>0</v>
      </c>
      <c r="N129" s="345">
        <f t="shared" si="29"/>
        <v>0</v>
      </c>
      <c r="O129" s="325" t="e">
        <f t="shared" si="24"/>
        <v>#DIV/0!</v>
      </c>
      <c r="P129" s="319">
        <f t="shared" si="30"/>
        <v>0</v>
      </c>
    </row>
    <row r="130" spans="1:16" ht="15.75" x14ac:dyDescent="0.2">
      <c r="A130" s="341">
        <v>12</v>
      </c>
      <c r="B130" s="258"/>
      <c r="C130" s="258"/>
      <c r="D130" s="259" t="s">
        <v>1514</v>
      </c>
      <c r="E130" s="260"/>
      <c r="F130" s="261">
        <f>K130</f>
        <v>0</v>
      </c>
      <c r="G130" s="261"/>
      <c r="H130" s="261"/>
      <c r="I130" s="261"/>
      <c r="J130" s="261"/>
      <c r="K130" s="262">
        <f>K131+K153</f>
        <v>0</v>
      </c>
      <c r="L130" s="342"/>
      <c r="M130" s="342"/>
      <c r="N130" s="343">
        <f>SUM(N131,N153)</f>
        <v>0</v>
      </c>
      <c r="O130" s="325" t="e">
        <f t="shared" si="24"/>
        <v>#DIV/0!</v>
      </c>
      <c r="P130" s="319"/>
    </row>
    <row r="131" spans="1:16" ht="15.75" x14ac:dyDescent="0.2">
      <c r="A131" s="348" t="s">
        <v>1515</v>
      </c>
      <c r="B131" s="276"/>
      <c r="C131" s="276"/>
      <c r="D131" s="277" t="s">
        <v>1516</v>
      </c>
      <c r="E131" s="278"/>
      <c r="F131" s="279">
        <f>K131</f>
        <v>0</v>
      </c>
      <c r="G131" s="279"/>
      <c r="H131" s="279"/>
      <c r="I131" s="279"/>
      <c r="J131" s="279"/>
      <c r="K131" s="280">
        <f>SUM(K132:K152)</f>
        <v>0</v>
      </c>
      <c r="L131" s="349"/>
      <c r="M131" s="349"/>
      <c r="N131" s="350">
        <f>SUM(N132:N152)</f>
        <v>0</v>
      </c>
      <c r="O131" s="325" t="e">
        <f t="shared" si="24"/>
        <v>#DIV/0!</v>
      </c>
      <c r="P131" s="319"/>
    </row>
    <row r="132" spans="1:16" ht="15.75" x14ac:dyDescent="0.2">
      <c r="A132" s="346" t="s">
        <v>1517</v>
      </c>
      <c r="B132" s="272">
        <v>89401</v>
      </c>
      <c r="C132" s="272" t="s">
        <v>1324</v>
      </c>
      <c r="D132" s="273" t="s">
        <v>1518</v>
      </c>
      <c r="E132" s="274" t="s">
        <v>81</v>
      </c>
      <c r="F132" s="268">
        <f t="shared" ref="F132:F152" si="31">ROUND(T132*$T$12,2)</f>
        <v>0</v>
      </c>
      <c r="G132" s="275">
        <v>12</v>
      </c>
      <c r="H132" s="275">
        <v>0</v>
      </c>
      <c r="I132" s="275">
        <v>0</v>
      </c>
      <c r="J132" s="275">
        <v>0</v>
      </c>
      <c r="K132" s="269">
        <f t="shared" ref="K132:K152" si="32">ROUND(G132*F132,2)</f>
        <v>0</v>
      </c>
      <c r="L132" s="344">
        <f t="shared" ref="L132:L152" si="33">H132*F132</f>
        <v>0</v>
      </c>
      <c r="M132" s="344">
        <f t="shared" ref="M132:M196" si="34">L132</f>
        <v>0</v>
      </c>
      <c r="N132" s="345">
        <f t="shared" ref="N132:N152" si="35">F132*G132-M132</f>
        <v>0</v>
      </c>
      <c r="O132" s="325" t="e">
        <f t="shared" si="24"/>
        <v>#DIV/0!</v>
      </c>
      <c r="P132" s="319">
        <f t="shared" ref="P132:P152" si="36">G132*F132</f>
        <v>0</v>
      </c>
    </row>
    <row r="133" spans="1:16" ht="15.75" x14ac:dyDescent="0.2">
      <c r="A133" s="346" t="s">
        <v>1519</v>
      </c>
      <c r="B133" s="272">
        <v>89446</v>
      </c>
      <c r="C133" s="272" t="s">
        <v>1324</v>
      </c>
      <c r="D133" s="273" t="s">
        <v>1520</v>
      </c>
      <c r="E133" s="274" t="s">
        <v>81</v>
      </c>
      <c r="F133" s="268">
        <f t="shared" si="31"/>
        <v>0</v>
      </c>
      <c r="G133" s="275">
        <v>42</v>
      </c>
      <c r="H133" s="275">
        <v>0</v>
      </c>
      <c r="I133" s="275">
        <v>0</v>
      </c>
      <c r="J133" s="275">
        <v>0</v>
      </c>
      <c r="K133" s="269">
        <f t="shared" si="32"/>
        <v>0</v>
      </c>
      <c r="L133" s="344">
        <f t="shared" si="33"/>
        <v>0</v>
      </c>
      <c r="M133" s="344">
        <f t="shared" si="34"/>
        <v>0</v>
      </c>
      <c r="N133" s="345">
        <f t="shared" si="35"/>
        <v>0</v>
      </c>
      <c r="O133" s="325" t="e">
        <f t="shared" si="24"/>
        <v>#DIV/0!</v>
      </c>
      <c r="P133" s="319">
        <f t="shared" si="36"/>
        <v>0</v>
      </c>
    </row>
    <row r="134" spans="1:16" ht="15.75" x14ac:dyDescent="0.2">
      <c r="A134" s="346" t="s">
        <v>1521</v>
      </c>
      <c r="B134" s="272">
        <v>89447</v>
      </c>
      <c r="C134" s="272" t="s">
        <v>1324</v>
      </c>
      <c r="D134" s="273" t="s">
        <v>1522</v>
      </c>
      <c r="E134" s="274" t="s">
        <v>81</v>
      </c>
      <c r="F134" s="268">
        <f t="shared" si="31"/>
        <v>0</v>
      </c>
      <c r="G134" s="275">
        <v>28</v>
      </c>
      <c r="H134" s="275">
        <v>0</v>
      </c>
      <c r="I134" s="275">
        <v>0</v>
      </c>
      <c r="J134" s="275">
        <v>0</v>
      </c>
      <c r="K134" s="269">
        <f t="shared" si="32"/>
        <v>0</v>
      </c>
      <c r="L134" s="344">
        <f t="shared" si="33"/>
        <v>0</v>
      </c>
      <c r="M134" s="344">
        <f t="shared" si="34"/>
        <v>0</v>
      </c>
      <c r="N134" s="345">
        <f t="shared" si="35"/>
        <v>0</v>
      </c>
      <c r="O134" s="325" t="e">
        <f t="shared" si="24"/>
        <v>#DIV/0!</v>
      </c>
      <c r="P134" s="319">
        <f t="shared" si="36"/>
        <v>0</v>
      </c>
    </row>
    <row r="135" spans="1:16" ht="15.75" x14ac:dyDescent="0.2">
      <c r="A135" s="346" t="s">
        <v>1523</v>
      </c>
      <c r="B135" s="272">
        <v>89448</v>
      </c>
      <c r="C135" s="272" t="s">
        <v>1324</v>
      </c>
      <c r="D135" s="273" t="s">
        <v>1524</v>
      </c>
      <c r="E135" s="274" t="s">
        <v>81</v>
      </c>
      <c r="F135" s="268">
        <f t="shared" si="31"/>
        <v>0</v>
      </c>
      <c r="G135" s="275">
        <v>30</v>
      </c>
      <c r="H135" s="275">
        <v>0</v>
      </c>
      <c r="I135" s="275">
        <v>0</v>
      </c>
      <c r="J135" s="275">
        <v>0</v>
      </c>
      <c r="K135" s="269">
        <f t="shared" si="32"/>
        <v>0</v>
      </c>
      <c r="L135" s="344">
        <f t="shared" si="33"/>
        <v>0</v>
      </c>
      <c r="M135" s="344">
        <f t="shared" si="34"/>
        <v>0</v>
      </c>
      <c r="N135" s="345">
        <f t="shared" si="35"/>
        <v>0</v>
      </c>
      <c r="O135" s="325" t="e">
        <f t="shared" si="24"/>
        <v>#DIV/0!</v>
      </c>
      <c r="P135" s="319">
        <f t="shared" si="36"/>
        <v>0</v>
      </c>
    </row>
    <row r="136" spans="1:16" ht="15.75" x14ac:dyDescent="0.2">
      <c r="A136" s="346" t="s">
        <v>1525</v>
      </c>
      <c r="B136" s="272">
        <v>89449</v>
      </c>
      <c r="C136" s="272" t="s">
        <v>1324</v>
      </c>
      <c r="D136" s="273" t="s">
        <v>1526</v>
      </c>
      <c r="E136" s="274" t="s">
        <v>81</v>
      </c>
      <c r="F136" s="268">
        <f t="shared" si="31"/>
        <v>0</v>
      </c>
      <c r="G136" s="275">
        <v>36</v>
      </c>
      <c r="H136" s="275">
        <v>0</v>
      </c>
      <c r="I136" s="275">
        <v>0</v>
      </c>
      <c r="J136" s="275">
        <v>0</v>
      </c>
      <c r="K136" s="269">
        <f t="shared" si="32"/>
        <v>0</v>
      </c>
      <c r="L136" s="344">
        <f t="shared" si="33"/>
        <v>0</v>
      </c>
      <c r="M136" s="344">
        <f t="shared" si="34"/>
        <v>0</v>
      </c>
      <c r="N136" s="345">
        <f t="shared" si="35"/>
        <v>0</v>
      </c>
      <c r="O136" s="325" t="e">
        <f t="shared" si="24"/>
        <v>#DIV/0!</v>
      </c>
      <c r="P136" s="319">
        <f t="shared" si="36"/>
        <v>0</v>
      </c>
    </row>
    <row r="137" spans="1:16" ht="15.75" x14ac:dyDescent="0.2">
      <c r="A137" s="346" t="s">
        <v>1527</v>
      </c>
      <c r="B137" s="272">
        <v>89408</v>
      </c>
      <c r="C137" s="272" t="s">
        <v>1324</v>
      </c>
      <c r="D137" s="273" t="s">
        <v>1528</v>
      </c>
      <c r="E137" s="274" t="s">
        <v>102</v>
      </c>
      <c r="F137" s="268">
        <f t="shared" si="31"/>
        <v>0</v>
      </c>
      <c r="G137" s="275">
        <v>15</v>
      </c>
      <c r="H137" s="275">
        <v>0</v>
      </c>
      <c r="I137" s="275">
        <v>0</v>
      </c>
      <c r="J137" s="275">
        <v>0</v>
      </c>
      <c r="K137" s="269">
        <f t="shared" si="32"/>
        <v>0</v>
      </c>
      <c r="L137" s="344">
        <f t="shared" si="33"/>
        <v>0</v>
      </c>
      <c r="M137" s="344">
        <f t="shared" si="34"/>
        <v>0</v>
      </c>
      <c r="N137" s="345">
        <f t="shared" si="35"/>
        <v>0</v>
      </c>
      <c r="O137" s="325" t="e">
        <f t="shared" si="24"/>
        <v>#DIV/0!</v>
      </c>
      <c r="P137" s="319">
        <f t="shared" si="36"/>
        <v>0</v>
      </c>
    </row>
    <row r="138" spans="1:16" ht="15.75" x14ac:dyDescent="0.2">
      <c r="A138" s="346" t="s">
        <v>1529</v>
      </c>
      <c r="B138" s="272">
        <v>89492</v>
      </c>
      <c r="C138" s="272" t="s">
        <v>1324</v>
      </c>
      <c r="D138" s="273" t="s">
        <v>1530</v>
      </c>
      <c r="E138" s="274" t="s">
        <v>102</v>
      </c>
      <c r="F138" s="268">
        <f t="shared" si="31"/>
        <v>0</v>
      </c>
      <c r="G138" s="275">
        <v>8</v>
      </c>
      <c r="H138" s="275">
        <v>0</v>
      </c>
      <c r="I138" s="275">
        <v>0</v>
      </c>
      <c r="J138" s="275">
        <v>0</v>
      </c>
      <c r="K138" s="269">
        <f t="shared" si="32"/>
        <v>0</v>
      </c>
      <c r="L138" s="344">
        <f t="shared" si="33"/>
        <v>0</v>
      </c>
      <c r="M138" s="344">
        <f t="shared" si="34"/>
        <v>0</v>
      </c>
      <c r="N138" s="345">
        <f t="shared" si="35"/>
        <v>0</v>
      </c>
      <c r="O138" s="325" t="e">
        <f t="shared" si="24"/>
        <v>#DIV/0!</v>
      </c>
      <c r="P138" s="319">
        <f t="shared" si="36"/>
        <v>0</v>
      </c>
    </row>
    <row r="139" spans="1:16" ht="15.75" x14ac:dyDescent="0.2">
      <c r="A139" s="346" t="s">
        <v>1531</v>
      </c>
      <c r="B139" s="272">
        <v>89501</v>
      </c>
      <c r="C139" s="272" t="s">
        <v>1324</v>
      </c>
      <c r="D139" s="273" t="s">
        <v>1532</v>
      </c>
      <c r="E139" s="274" t="s">
        <v>102</v>
      </c>
      <c r="F139" s="268">
        <f t="shared" si="31"/>
        <v>0</v>
      </c>
      <c r="G139" s="275">
        <v>6</v>
      </c>
      <c r="H139" s="275">
        <v>0</v>
      </c>
      <c r="I139" s="275">
        <v>0</v>
      </c>
      <c r="J139" s="275">
        <v>0</v>
      </c>
      <c r="K139" s="269">
        <f t="shared" si="32"/>
        <v>0</v>
      </c>
      <c r="L139" s="344">
        <f t="shared" si="33"/>
        <v>0</v>
      </c>
      <c r="M139" s="344">
        <f t="shared" si="34"/>
        <v>0</v>
      </c>
      <c r="N139" s="345">
        <f t="shared" si="35"/>
        <v>0</v>
      </c>
      <c r="O139" s="325" t="e">
        <f t="shared" si="24"/>
        <v>#DIV/0!</v>
      </c>
      <c r="P139" s="319">
        <f t="shared" si="36"/>
        <v>0</v>
      </c>
    </row>
    <row r="140" spans="1:16" ht="25.5" x14ac:dyDescent="0.2">
      <c r="A140" s="346" t="s">
        <v>1533</v>
      </c>
      <c r="B140" s="272">
        <v>90373</v>
      </c>
      <c r="C140" s="272" t="s">
        <v>1324</v>
      </c>
      <c r="D140" s="273" t="s">
        <v>1534</v>
      </c>
      <c r="E140" s="274" t="s">
        <v>102</v>
      </c>
      <c r="F140" s="268">
        <f t="shared" si="31"/>
        <v>0</v>
      </c>
      <c r="G140" s="275">
        <v>2</v>
      </c>
      <c r="H140" s="275">
        <v>0</v>
      </c>
      <c r="I140" s="275">
        <v>0</v>
      </c>
      <c r="J140" s="275">
        <v>0</v>
      </c>
      <c r="K140" s="269">
        <f t="shared" si="32"/>
        <v>0</v>
      </c>
      <c r="L140" s="344">
        <f t="shared" si="33"/>
        <v>0</v>
      </c>
      <c r="M140" s="344">
        <f t="shared" si="34"/>
        <v>0</v>
      </c>
      <c r="N140" s="345">
        <f t="shared" si="35"/>
        <v>0</v>
      </c>
      <c r="O140" s="325" t="e">
        <f t="shared" si="24"/>
        <v>#DIV/0!</v>
      </c>
      <c r="P140" s="319">
        <f t="shared" si="36"/>
        <v>0</v>
      </c>
    </row>
    <row r="141" spans="1:16" ht="15.75" x14ac:dyDescent="0.2">
      <c r="A141" s="346" t="s">
        <v>1535</v>
      </c>
      <c r="B141" s="272"/>
      <c r="C141" s="272" t="s">
        <v>1339</v>
      </c>
      <c r="D141" s="273" t="s">
        <v>1536</v>
      </c>
      <c r="E141" s="274" t="s">
        <v>102</v>
      </c>
      <c r="F141" s="268">
        <f t="shared" si="31"/>
        <v>0</v>
      </c>
      <c r="G141" s="275">
        <v>4</v>
      </c>
      <c r="H141" s="275">
        <v>0</v>
      </c>
      <c r="I141" s="275">
        <v>0</v>
      </c>
      <c r="J141" s="275">
        <v>0</v>
      </c>
      <c r="K141" s="269">
        <f t="shared" si="32"/>
        <v>0</v>
      </c>
      <c r="L141" s="344">
        <f t="shared" si="33"/>
        <v>0</v>
      </c>
      <c r="M141" s="344">
        <f t="shared" si="34"/>
        <v>0</v>
      </c>
      <c r="N141" s="345">
        <f t="shared" si="35"/>
        <v>0</v>
      </c>
      <c r="O141" s="325" t="e">
        <f t="shared" si="24"/>
        <v>#DIV/0!</v>
      </c>
      <c r="P141" s="319">
        <f t="shared" si="36"/>
        <v>0</v>
      </c>
    </row>
    <row r="142" spans="1:16" ht="25.5" x14ac:dyDescent="0.2">
      <c r="A142" s="346" t="s">
        <v>1537</v>
      </c>
      <c r="B142" s="272">
        <v>90373</v>
      </c>
      <c r="C142" s="272" t="s">
        <v>1324</v>
      </c>
      <c r="D142" s="273" t="s">
        <v>1538</v>
      </c>
      <c r="E142" s="274" t="s">
        <v>102</v>
      </c>
      <c r="F142" s="268">
        <f t="shared" si="31"/>
        <v>0</v>
      </c>
      <c r="G142" s="275">
        <v>16</v>
      </c>
      <c r="H142" s="275">
        <v>0</v>
      </c>
      <c r="I142" s="275">
        <v>0</v>
      </c>
      <c r="J142" s="275">
        <v>0</v>
      </c>
      <c r="K142" s="269">
        <f t="shared" si="32"/>
        <v>0</v>
      </c>
      <c r="L142" s="344">
        <f t="shared" si="33"/>
        <v>0</v>
      </c>
      <c r="M142" s="344">
        <f t="shared" si="34"/>
        <v>0</v>
      </c>
      <c r="N142" s="345">
        <f t="shared" si="35"/>
        <v>0</v>
      </c>
      <c r="O142" s="325" t="e">
        <f t="shared" si="24"/>
        <v>#DIV/0!</v>
      </c>
      <c r="P142" s="319">
        <f t="shared" si="36"/>
        <v>0</v>
      </c>
    </row>
    <row r="143" spans="1:16" ht="15.75" x14ac:dyDescent="0.2">
      <c r="A143" s="346" t="s">
        <v>1539</v>
      </c>
      <c r="B143" s="272">
        <v>89622</v>
      </c>
      <c r="C143" s="272" t="s">
        <v>1324</v>
      </c>
      <c r="D143" s="273" t="s">
        <v>1540</v>
      </c>
      <c r="E143" s="274" t="s">
        <v>102</v>
      </c>
      <c r="F143" s="268">
        <f t="shared" si="31"/>
        <v>0</v>
      </c>
      <c r="G143" s="275">
        <v>4</v>
      </c>
      <c r="H143" s="275">
        <v>0</v>
      </c>
      <c r="I143" s="275">
        <v>0</v>
      </c>
      <c r="J143" s="275">
        <v>0</v>
      </c>
      <c r="K143" s="269">
        <f t="shared" si="32"/>
        <v>0</v>
      </c>
      <c r="L143" s="344">
        <f t="shared" si="33"/>
        <v>0</v>
      </c>
      <c r="M143" s="344">
        <f t="shared" si="34"/>
        <v>0</v>
      </c>
      <c r="N143" s="345">
        <f t="shared" si="35"/>
        <v>0</v>
      </c>
      <c r="O143" s="325" t="e">
        <f t="shared" si="24"/>
        <v>#DIV/0!</v>
      </c>
      <c r="P143" s="319">
        <f t="shared" si="36"/>
        <v>0</v>
      </c>
    </row>
    <row r="144" spans="1:16" ht="15.75" x14ac:dyDescent="0.2">
      <c r="A144" s="346" t="s">
        <v>1541</v>
      </c>
      <c r="B144" s="272">
        <v>89626</v>
      </c>
      <c r="C144" s="272" t="s">
        <v>1324</v>
      </c>
      <c r="D144" s="273" t="s">
        <v>1542</v>
      </c>
      <c r="E144" s="274" t="s">
        <v>102</v>
      </c>
      <c r="F144" s="268">
        <f t="shared" si="31"/>
        <v>0</v>
      </c>
      <c r="G144" s="275">
        <v>2</v>
      </c>
      <c r="H144" s="275">
        <v>0</v>
      </c>
      <c r="I144" s="275">
        <v>0</v>
      </c>
      <c r="J144" s="275">
        <v>0</v>
      </c>
      <c r="K144" s="269">
        <f t="shared" si="32"/>
        <v>0</v>
      </c>
      <c r="L144" s="344">
        <f t="shared" si="33"/>
        <v>0</v>
      </c>
      <c r="M144" s="344">
        <f t="shared" si="34"/>
        <v>0</v>
      </c>
      <c r="N144" s="345">
        <f t="shared" si="35"/>
        <v>0</v>
      </c>
      <c r="O144" s="325" t="e">
        <f t="shared" si="24"/>
        <v>#DIV/0!</v>
      </c>
      <c r="P144" s="319">
        <f t="shared" si="36"/>
        <v>0</v>
      </c>
    </row>
    <row r="145" spans="1:16" ht="15.75" x14ac:dyDescent="0.2">
      <c r="A145" s="346" t="s">
        <v>1543</v>
      </c>
      <c r="B145" s="272">
        <v>89534</v>
      </c>
      <c r="C145" s="272" t="s">
        <v>1324</v>
      </c>
      <c r="D145" s="273" t="s">
        <v>1544</v>
      </c>
      <c r="E145" s="274" t="s">
        <v>102</v>
      </c>
      <c r="F145" s="268">
        <f t="shared" si="31"/>
        <v>0</v>
      </c>
      <c r="G145" s="275">
        <v>8</v>
      </c>
      <c r="H145" s="275">
        <v>0</v>
      </c>
      <c r="I145" s="275">
        <v>0</v>
      </c>
      <c r="J145" s="275">
        <v>0</v>
      </c>
      <c r="K145" s="269">
        <f t="shared" si="32"/>
        <v>0</v>
      </c>
      <c r="L145" s="344">
        <f t="shared" si="33"/>
        <v>0</v>
      </c>
      <c r="M145" s="344">
        <f t="shared" si="34"/>
        <v>0</v>
      </c>
      <c r="N145" s="345">
        <f t="shared" si="35"/>
        <v>0</v>
      </c>
      <c r="O145" s="325" t="e">
        <f t="shared" si="24"/>
        <v>#DIV/0!</v>
      </c>
      <c r="P145" s="319">
        <f t="shared" si="36"/>
        <v>0</v>
      </c>
    </row>
    <row r="146" spans="1:16" ht="15.75" x14ac:dyDescent="0.2">
      <c r="A146" s="346" t="s">
        <v>1545</v>
      </c>
      <c r="B146" s="272">
        <v>89386</v>
      </c>
      <c r="C146" s="272" t="s">
        <v>1324</v>
      </c>
      <c r="D146" s="273" t="s">
        <v>1546</v>
      </c>
      <c r="E146" s="274" t="s">
        <v>102</v>
      </c>
      <c r="F146" s="268">
        <f t="shared" si="31"/>
        <v>0</v>
      </c>
      <c r="G146" s="275">
        <v>4</v>
      </c>
      <c r="H146" s="275">
        <v>0</v>
      </c>
      <c r="I146" s="275">
        <v>0</v>
      </c>
      <c r="J146" s="275">
        <v>0</v>
      </c>
      <c r="K146" s="269">
        <f t="shared" si="32"/>
        <v>0</v>
      </c>
      <c r="L146" s="344">
        <f t="shared" si="33"/>
        <v>0</v>
      </c>
      <c r="M146" s="344">
        <f t="shared" si="34"/>
        <v>0</v>
      </c>
      <c r="N146" s="345">
        <f t="shared" si="35"/>
        <v>0</v>
      </c>
      <c r="O146" s="325" t="e">
        <f t="shared" si="24"/>
        <v>#DIV/0!</v>
      </c>
      <c r="P146" s="319">
        <f t="shared" si="36"/>
        <v>0</v>
      </c>
    </row>
    <row r="147" spans="1:16" ht="15.75" x14ac:dyDescent="0.2">
      <c r="A147" s="346" t="s">
        <v>1547</v>
      </c>
      <c r="B147" s="272">
        <v>89433</v>
      </c>
      <c r="C147" s="272" t="s">
        <v>1324</v>
      </c>
      <c r="D147" s="273" t="s">
        <v>1548</v>
      </c>
      <c r="E147" s="274" t="s">
        <v>102</v>
      </c>
      <c r="F147" s="268">
        <f t="shared" si="31"/>
        <v>0</v>
      </c>
      <c r="G147" s="275">
        <v>4</v>
      </c>
      <c r="H147" s="275">
        <v>0</v>
      </c>
      <c r="I147" s="275">
        <v>0</v>
      </c>
      <c r="J147" s="275">
        <v>0</v>
      </c>
      <c r="K147" s="269">
        <f t="shared" si="32"/>
        <v>0</v>
      </c>
      <c r="L147" s="344">
        <f t="shared" si="33"/>
        <v>0</v>
      </c>
      <c r="M147" s="344">
        <f t="shared" si="34"/>
        <v>0</v>
      </c>
      <c r="N147" s="345">
        <f t="shared" si="35"/>
        <v>0</v>
      </c>
      <c r="O147" s="325" t="e">
        <f t="shared" si="24"/>
        <v>#DIV/0!</v>
      </c>
      <c r="P147" s="319">
        <f t="shared" si="36"/>
        <v>0</v>
      </c>
    </row>
    <row r="148" spans="1:16" ht="15.75" x14ac:dyDescent="0.2">
      <c r="A148" s="346" t="s">
        <v>1549</v>
      </c>
      <c r="B148" s="272">
        <v>89605</v>
      </c>
      <c r="C148" s="272" t="s">
        <v>1324</v>
      </c>
      <c r="D148" s="273" t="s">
        <v>1550</v>
      </c>
      <c r="E148" s="274" t="s">
        <v>102</v>
      </c>
      <c r="F148" s="268">
        <f t="shared" si="31"/>
        <v>0</v>
      </c>
      <c r="G148" s="275">
        <v>2</v>
      </c>
      <c r="H148" s="275">
        <v>0</v>
      </c>
      <c r="I148" s="275">
        <v>0</v>
      </c>
      <c r="J148" s="275">
        <v>0</v>
      </c>
      <c r="K148" s="269">
        <f t="shared" si="32"/>
        <v>0</v>
      </c>
      <c r="L148" s="344">
        <f t="shared" si="33"/>
        <v>0</v>
      </c>
      <c r="M148" s="344">
        <f t="shared" si="34"/>
        <v>0</v>
      </c>
      <c r="N148" s="345">
        <f t="shared" si="35"/>
        <v>0</v>
      </c>
      <c r="O148" s="325" t="e">
        <f t="shared" si="24"/>
        <v>#DIV/0!</v>
      </c>
      <c r="P148" s="319">
        <f t="shared" si="36"/>
        <v>0</v>
      </c>
    </row>
    <row r="149" spans="1:16" ht="15.75" x14ac:dyDescent="0.2">
      <c r="A149" s="346" t="s">
        <v>1551</v>
      </c>
      <c r="B149" s="272">
        <v>90375</v>
      </c>
      <c r="C149" s="272" t="s">
        <v>1324</v>
      </c>
      <c r="D149" s="273" t="s">
        <v>1552</v>
      </c>
      <c r="E149" s="274" t="s">
        <v>102</v>
      </c>
      <c r="F149" s="268">
        <f t="shared" si="31"/>
        <v>0</v>
      </c>
      <c r="G149" s="275">
        <v>2</v>
      </c>
      <c r="H149" s="275">
        <v>0</v>
      </c>
      <c r="I149" s="275">
        <v>0</v>
      </c>
      <c r="J149" s="275">
        <v>0</v>
      </c>
      <c r="K149" s="269">
        <f t="shared" si="32"/>
        <v>0</v>
      </c>
      <c r="L149" s="344">
        <f t="shared" si="33"/>
        <v>0</v>
      </c>
      <c r="M149" s="344">
        <f t="shared" si="34"/>
        <v>0</v>
      </c>
      <c r="N149" s="345">
        <f t="shared" si="35"/>
        <v>0</v>
      </c>
      <c r="O149" s="325" t="e">
        <f t="shared" si="24"/>
        <v>#DIV/0!</v>
      </c>
      <c r="P149" s="319">
        <f t="shared" si="36"/>
        <v>0</v>
      </c>
    </row>
    <row r="150" spans="1:16" ht="15.75" x14ac:dyDescent="0.2">
      <c r="A150" s="346" t="s">
        <v>1553</v>
      </c>
      <c r="B150" s="272">
        <v>90375</v>
      </c>
      <c r="C150" s="272" t="s">
        <v>1324</v>
      </c>
      <c r="D150" s="273" t="s">
        <v>1554</v>
      </c>
      <c r="E150" s="274" t="s">
        <v>102</v>
      </c>
      <c r="F150" s="268">
        <f t="shared" si="31"/>
        <v>0</v>
      </c>
      <c r="G150" s="275">
        <v>4</v>
      </c>
      <c r="H150" s="275">
        <v>0</v>
      </c>
      <c r="I150" s="275">
        <v>0</v>
      </c>
      <c r="J150" s="275">
        <v>0</v>
      </c>
      <c r="K150" s="269">
        <f t="shared" si="32"/>
        <v>0</v>
      </c>
      <c r="L150" s="344">
        <f t="shared" si="33"/>
        <v>0</v>
      </c>
      <c r="M150" s="344">
        <f t="shared" si="34"/>
        <v>0</v>
      </c>
      <c r="N150" s="345">
        <f t="shared" si="35"/>
        <v>0</v>
      </c>
      <c r="O150" s="325" t="e">
        <f t="shared" si="24"/>
        <v>#DIV/0!</v>
      </c>
      <c r="P150" s="319">
        <f t="shared" si="36"/>
        <v>0</v>
      </c>
    </row>
    <row r="151" spans="1:16" ht="15.75" x14ac:dyDescent="0.2">
      <c r="A151" s="346" t="s">
        <v>1555</v>
      </c>
      <c r="B151" s="272">
        <v>89375</v>
      </c>
      <c r="C151" s="272" t="s">
        <v>1324</v>
      </c>
      <c r="D151" s="273" t="s">
        <v>1556</v>
      </c>
      <c r="E151" s="274" t="s">
        <v>102</v>
      </c>
      <c r="F151" s="268">
        <f t="shared" si="31"/>
        <v>0</v>
      </c>
      <c r="G151" s="275">
        <v>6</v>
      </c>
      <c r="H151" s="275">
        <v>0</v>
      </c>
      <c r="I151" s="275">
        <v>0</v>
      </c>
      <c r="J151" s="275">
        <v>0</v>
      </c>
      <c r="K151" s="269">
        <f t="shared" si="32"/>
        <v>0</v>
      </c>
      <c r="L151" s="344">
        <f t="shared" si="33"/>
        <v>0</v>
      </c>
      <c r="M151" s="344">
        <f t="shared" si="34"/>
        <v>0</v>
      </c>
      <c r="N151" s="345">
        <f t="shared" si="35"/>
        <v>0</v>
      </c>
      <c r="O151" s="325" t="e">
        <f t="shared" si="24"/>
        <v>#DIV/0!</v>
      </c>
      <c r="P151" s="319">
        <f t="shared" si="36"/>
        <v>0</v>
      </c>
    </row>
    <row r="152" spans="1:16" ht="15.75" x14ac:dyDescent="0.2">
      <c r="A152" s="346" t="s">
        <v>1557</v>
      </c>
      <c r="B152" s="272">
        <v>89594</v>
      </c>
      <c r="C152" s="272" t="s">
        <v>1324</v>
      </c>
      <c r="D152" s="273" t="s">
        <v>1558</v>
      </c>
      <c r="E152" s="274" t="s">
        <v>102</v>
      </c>
      <c r="F152" s="268">
        <f t="shared" si="31"/>
        <v>0</v>
      </c>
      <c r="G152" s="275">
        <v>2</v>
      </c>
      <c r="H152" s="275">
        <v>0</v>
      </c>
      <c r="I152" s="275">
        <v>0</v>
      </c>
      <c r="J152" s="275">
        <v>0</v>
      </c>
      <c r="K152" s="269">
        <f t="shared" si="32"/>
        <v>0</v>
      </c>
      <c r="L152" s="344">
        <f t="shared" si="33"/>
        <v>0</v>
      </c>
      <c r="M152" s="344">
        <f t="shared" si="34"/>
        <v>0</v>
      </c>
      <c r="N152" s="345">
        <f t="shared" si="35"/>
        <v>0</v>
      </c>
      <c r="O152" s="325" t="e">
        <f t="shared" si="24"/>
        <v>#DIV/0!</v>
      </c>
      <c r="P152" s="319">
        <f t="shared" si="36"/>
        <v>0</v>
      </c>
    </row>
    <row r="153" spans="1:16" ht="15.75" x14ac:dyDescent="0.2">
      <c r="A153" s="348" t="s">
        <v>290</v>
      </c>
      <c r="B153" s="276"/>
      <c r="C153" s="276"/>
      <c r="D153" s="277" t="s">
        <v>1559</v>
      </c>
      <c r="E153" s="278"/>
      <c r="F153" s="279">
        <f>K153</f>
        <v>0</v>
      </c>
      <c r="G153" s="279"/>
      <c r="H153" s="279"/>
      <c r="I153" s="279"/>
      <c r="J153" s="279"/>
      <c r="K153" s="280">
        <f>SUM(K154:K168)</f>
        <v>0</v>
      </c>
      <c r="L153" s="349"/>
      <c r="M153" s="349"/>
      <c r="N153" s="350">
        <f>SUM(N154:N168)</f>
        <v>0</v>
      </c>
      <c r="O153" s="325" t="e">
        <f t="shared" si="24"/>
        <v>#DIV/0!</v>
      </c>
      <c r="P153" s="319"/>
    </row>
    <row r="154" spans="1:16" ht="15.75" x14ac:dyDescent="0.2">
      <c r="A154" s="346" t="s">
        <v>1560</v>
      </c>
      <c r="B154" s="272">
        <v>89353</v>
      </c>
      <c r="C154" s="272" t="s">
        <v>1324</v>
      </c>
      <c r="D154" s="273" t="s">
        <v>1561</v>
      </c>
      <c r="E154" s="274" t="s">
        <v>102</v>
      </c>
      <c r="F154" s="268">
        <f t="shared" ref="F154:F168" si="37">ROUND(T154*$T$12,2)</f>
        <v>0</v>
      </c>
      <c r="G154" s="275">
        <v>1</v>
      </c>
      <c r="H154" s="275">
        <v>0</v>
      </c>
      <c r="I154" s="275">
        <v>0</v>
      </c>
      <c r="J154" s="275">
        <v>0</v>
      </c>
      <c r="K154" s="269">
        <f t="shared" ref="K154:K168" si="38">ROUND(G154*F154,2)</f>
        <v>0</v>
      </c>
      <c r="L154" s="344">
        <f t="shared" ref="L154:L168" si="39">H154*F154</f>
        <v>0</v>
      </c>
      <c r="M154" s="344">
        <f t="shared" si="34"/>
        <v>0</v>
      </c>
      <c r="N154" s="345">
        <f t="shared" ref="N154:N168" si="40">F154*G154-M154</f>
        <v>0</v>
      </c>
      <c r="O154" s="325" t="e">
        <f t="shared" si="24"/>
        <v>#DIV/0!</v>
      </c>
      <c r="P154" s="319">
        <f t="shared" ref="P154:P168" si="41">G154*F154</f>
        <v>0</v>
      </c>
    </row>
    <row r="155" spans="1:16" ht="15.75" x14ac:dyDescent="0.2">
      <c r="A155" s="346" t="s">
        <v>1562</v>
      </c>
      <c r="B155" s="272" t="s">
        <v>1563</v>
      </c>
      <c r="C155" s="272" t="s">
        <v>1324</v>
      </c>
      <c r="D155" s="273" t="s">
        <v>1564</v>
      </c>
      <c r="E155" s="274" t="s">
        <v>102</v>
      </c>
      <c r="F155" s="268">
        <f t="shared" si="37"/>
        <v>0</v>
      </c>
      <c r="G155" s="275">
        <v>2</v>
      </c>
      <c r="H155" s="275">
        <v>0</v>
      </c>
      <c r="I155" s="275">
        <v>0</v>
      </c>
      <c r="J155" s="275">
        <v>0</v>
      </c>
      <c r="K155" s="269">
        <f t="shared" si="38"/>
        <v>0</v>
      </c>
      <c r="L155" s="344">
        <f t="shared" si="39"/>
        <v>0</v>
      </c>
      <c r="M155" s="344">
        <f t="shared" si="34"/>
        <v>0</v>
      </c>
      <c r="N155" s="345">
        <f t="shared" si="40"/>
        <v>0</v>
      </c>
      <c r="O155" s="325" t="e">
        <f t="shared" si="24"/>
        <v>#DIV/0!</v>
      </c>
      <c r="P155" s="319">
        <f t="shared" si="41"/>
        <v>0</v>
      </c>
    </row>
    <row r="156" spans="1:16" ht="15.75" x14ac:dyDescent="0.2">
      <c r="A156" s="346" t="s">
        <v>1565</v>
      </c>
      <c r="B156" s="272" t="s">
        <v>1566</v>
      </c>
      <c r="C156" s="272" t="s">
        <v>1324</v>
      </c>
      <c r="D156" s="273" t="s">
        <v>1567</v>
      </c>
      <c r="E156" s="274" t="s">
        <v>102</v>
      </c>
      <c r="F156" s="268">
        <f t="shared" si="37"/>
        <v>0</v>
      </c>
      <c r="G156" s="275">
        <v>2</v>
      </c>
      <c r="H156" s="275">
        <v>0</v>
      </c>
      <c r="I156" s="275">
        <v>0</v>
      </c>
      <c r="J156" s="275">
        <v>0</v>
      </c>
      <c r="K156" s="269">
        <f t="shared" si="38"/>
        <v>0</v>
      </c>
      <c r="L156" s="344">
        <f t="shared" si="39"/>
        <v>0</v>
      </c>
      <c r="M156" s="344">
        <f t="shared" si="34"/>
        <v>0</v>
      </c>
      <c r="N156" s="345">
        <f t="shared" si="40"/>
        <v>0</v>
      </c>
      <c r="O156" s="325" t="e">
        <f t="shared" si="24"/>
        <v>#DIV/0!</v>
      </c>
      <c r="P156" s="319">
        <f t="shared" si="41"/>
        <v>0</v>
      </c>
    </row>
    <row r="157" spans="1:16" ht="15.75" x14ac:dyDescent="0.2">
      <c r="A157" s="346" t="s">
        <v>1568</v>
      </c>
      <c r="B157" s="272" t="s">
        <v>1569</v>
      </c>
      <c r="C157" s="272" t="s">
        <v>1324</v>
      </c>
      <c r="D157" s="273" t="s">
        <v>1570</v>
      </c>
      <c r="E157" s="274" t="s">
        <v>102</v>
      </c>
      <c r="F157" s="268">
        <f t="shared" si="37"/>
        <v>0</v>
      </c>
      <c r="G157" s="275">
        <v>2</v>
      </c>
      <c r="H157" s="275">
        <v>0</v>
      </c>
      <c r="I157" s="275">
        <v>0</v>
      </c>
      <c r="J157" s="275">
        <v>0</v>
      </c>
      <c r="K157" s="269">
        <f t="shared" si="38"/>
        <v>0</v>
      </c>
      <c r="L157" s="344">
        <f t="shared" si="39"/>
        <v>0</v>
      </c>
      <c r="M157" s="344">
        <f t="shared" si="34"/>
        <v>0</v>
      </c>
      <c r="N157" s="345">
        <f t="shared" si="40"/>
        <v>0</v>
      </c>
      <c r="O157" s="325" t="e">
        <f t="shared" si="24"/>
        <v>#DIV/0!</v>
      </c>
      <c r="P157" s="319">
        <f t="shared" si="41"/>
        <v>0</v>
      </c>
    </row>
    <row r="158" spans="1:16" ht="15.75" x14ac:dyDescent="0.2">
      <c r="A158" s="346" t="s">
        <v>1571</v>
      </c>
      <c r="B158" s="272" t="s">
        <v>1572</v>
      </c>
      <c r="C158" s="272" t="s">
        <v>1324</v>
      </c>
      <c r="D158" s="273" t="s">
        <v>1573</v>
      </c>
      <c r="E158" s="274" t="s">
        <v>102</v>
      </c>
      <c r="F158" s="268">
        <f t="shared" si="37"/>
        <v>0</v>
      </c>
      <c r="G158" s="275">
        <v>2</v>
      </c>
      <c r="H158" s="275">
        <v>0</v>
      </c>
      <c r="I158" s="275">
        <v>0</v>
      </c>
      <c r="J158" s="275">
        <v>0</v>
      </c>
      <c r="K158" s="269">
        <f t="shared" si="38"/>
        <v>0</v>
      </c>
      <c r="L158" s="344">
        <f t="shared" si="39"/>
        <v>0</v>
      </c>
      <c r="M158" s="344">
        <f t="shared" si="34"/>
        <v>0</v>
      </c>
      <c r="N158" s="345">
        <f t="shared" si="40"/>
        <v>0</v>
      </c>
      <c r="O158" s="325" t="e">
        <f t="shared" si="24"/>
        <v>#DIV/0!</v>
      </c>
      <c r="P158" s="319">
        <f t="shared" si="41"/>
        <v>0</v>
      </c>
    </row>
    <row r="159" spans="1:16" ht="15.75" x14ac:dyDescent="0.2">
      <c r="A159" s="346" t="s">
        <v>1574</v>
      </c>
      <c r="B159" s="272">
        <v>89987</v>
      </c>
      <c r="C159" s="272" t="s">
        <v>1324</v>
      </c>
      <c r="D159" s="273" t="s">
        <v>1575</v>
      </c>
      <c r="E159" s="274" t="s">
        <v>102</v>
      </c>
      <c r="F159" s="268">
        <f t="shared" si="37"/>
        <v>0</v>
      </c>
      <c r="G159" s="275">
        <v>2</v>
      </c>
      <c r="H159" s="275">
        <v>0</v>
      </c>
      <c r="I159" s="275">
        <v>0</v>
      </c>
      <c r="J159" s="275">
        <v>0</v>
      </c>
      <c r="K159" s="269">
        <f t="shared" si="38"/>
        <v>0</v>
      </c>
      <c r="L159" s="344">
        <f t="shared" si="39"/>
        <v>0</v>
      </c>
      <c r="M159" s="344">
        <f t="shared" si="34"/>
        <v>0</v>
      </c>
      <c r="N159" s="345">
        <f t="shared" si="40"/>
        <v>0</v>
      </c>
      <c r="O159" s="325" t="e">
        <f t="shared" si="24"/>
        <v>#DIV/0!</v>
      </c>
      <c r="P159" s="319">
        <f t="shared" si="41"/>
        <v>0</v>
      </c>
    </row>
    <row r="160" spans="1:16" ht="15.75" x14ac:dyDescent="0.2">
      <c r="A160" s="346" t="s">
        <v>1576</v>
      </c>
      <c r="B160" s="272">
        <v>89985</v>
      </c>
      <c r="C160" s="272" t="s">
        <v>1324</v>
      </c>
      <c r="D160" s="273" t="s">
        <v>1577</v>
      </c>
      <c r="E160" s="274" t="s">
        <v>102</v>
      </c>
      <c r="F160" s="268">
        <f t="shared" si="37"/>
        <v>0</v>
      </c>
      <c r="G160" s="275">
        <v>8</v>
      </c>
      <c r="H160" s="275">
        <v>0</v>
      </c>
      <c r="I160" s="275">
        <v>0</v>
      </c>
      <c r="J160" s="275">
        <v>0</v>
      </c>
      <c r="K160" s="269">
        <f t="shared" si="38"/>
        <v>0</v>
      </c>
      <c r="L160" s="344">
        <f t="shared" si="39"/>
        <v>0</v>
      </c>
      <c r="M160" s="344">
        <f t="shared" si="34"/>
        <v>0</v>
      </c>
      <c r="N160" s="345">
        <f t="shared" si="40"/>
        <v>0</v>
      </c>
      <c r="O160" s="325" t="e">
        <f t="shared" si="24"/>
        <v>#DIV/0!</v>
      </c>
      <c r="P160" s="319">
        <f t="shared" si="41"/>
        <v>0</v>
      </c>
    </row>
    <row r="161" spans="1:16" ht="15.75" x14ac:dyDescent="0.2">
      <c r="A161" s="346" t="s">
        <v>1578</v>
      </c>
      <c r="B161" s="272">
        <v>89538</v>
      </c>
      <c r="C161" s="272" t="s">
        <v>1324</v>
      </c>
      <c r="D161" s="273" t="s">
        <v>1579</v>
      </c>
      <c r="E161" s="274" t="s">
        <v>102</v>
      </c>
      <c r="F161" s="268">
        <f t="shared" si="37"/>
        <v>0</v>
      </c>
      <c r="G161" s="275">
        <v>12</v>
      </c>
      <c r="H161" s="275">
        <v>0</v>
      </c>
      <c r="I161" s="275">
        <v>0</v>
      </c>
      <c r="J161" s="275">
        <v>0</v>
      </c>
      <c r="K161" s="269">
        <f t="shared" si="38"/>
        <v>0</v>
      </c>
      <c r="L161" s="344">
        <f t="shared" si="39"/>
        <v>0</v>
      </c>
      <c r="M161" s="344">
        <f t="shared" si="34"/>
        <v>0</v>
      </c>
      <c r="N161" s="345">
        <f t="shared" si="40"/>
        <v>0</v>
      </c>
      <c r="O161" s="325" t="e">
        <f t="shared" si="24"/>
        <v>#DIV/0!</v>
      </c>
      <c r="P161" s="319">
        <f t="shared" si="41"/>
        <v>0</v>
      </c>
    </row>
    <row r="162" spans="1:16" ht="15.75" x14ac:dyDescent="0.2">
      <c r="A162" s="346" t="s">
        <v>1580</v>
      </c>
      <c r="B162" s="272">
        <v>89553</v>
      </c>
      <c r="C162" s="272" t="s">
        <v>1324</v>
      </c>
      <c r="D162" s="273" t="s">
        <v>1581</v>
      </c>
      <c r="E162" s="274" t="s">
        <v>102</v>
      </c>
      <c r="F162" s="268">
        <f t="shared" si="37"/>
        <v>0</v>
      </c>
      <c r="G162" s="275">
        <v>4</v>
      </c>
      <c r="H162" s="275">
        <v>0</v>
      </c>
      <c r="I162" s="275">
        <v>0</v>
      </c>
      <c r="J162" s="275">
        <v>0</v>
      </c>
      <c r="K162" s="269">
        <f t="shared" si="38"/>
        <v>0</v>
      </c>
      <c r="L162" s="344">
        <f t="shared" si="39"/>
        <v>0</v>
      </c>
      <c r="M162" s="344">
        <f t="shared" si="34"/>
        <v>0</v>
      </c>
      <c r="N162" s="345">
        <f t="shared" si="40"/>
        <v>0</v>
      </c>
      <c r="O162" s="325" t="e">
        <f t="shared" si="24"/>
        <v>#DIV/0!</v>
      </c>
      <c r="P162" s="319">
        <f t="shared" si="41"/>
        <v>0</v>
      </c>
    </row>
    <row r="163" spans="1:16" ht="15.75" x14ac:dyDescent="0.2">
      <c r="A163" s="346" t="s">
        <v>1582</v>
      </c>
      <c r="B163" s="272">
        <v>89570</v>
      </c>
      <c r="C163" s="272" t="s">
        <v>1324</v>
      </c>
      <c r="D163" s="273" t="s">
        <v>1583</v>
      </c>
      <c r="E163" s="274" t="s">
        <v>102</v>
      </c>
      <c r="F163" s="268">
        <f t="shared" si="37"/>
        <v>0</v>
      </c>
      <c r="G163" s="275">
        <v>4</v>
      </c>
      <c r="H163" s="275">
        <v>0</v>
      </c>
      <c r="I163" s="275">
        <v>0</v>
      </c>
      <c r="J163" s="275">
        <v>0</v>
      </c>
      <c r="K163" s="269">
        <f t="shared" si="38"/>
        <v>0</v>
      </c>
      <c r="L163" s="344">
        <f t="shared" si="39"/>
        <v>0</v>
      </c>
      <c r="M163" s="344">
        <f t="shared" si="34"/>
        <v>0</v>
      </c>
      <c r="N163" s="345">
        <f t="shared" si="40"/>
        <v>0</v>
      </c>
      <c r="O163" s="325" t="e">
        <f t="shared" si="24"/>
        <v>#DIV/0!</v>
      </c>
      <c r="P163" s="319">
        <f t="shared" si="41"/>
        <v>0</v>
      </c>
    </row>
    <row r="164" spans="1:16" ht="15.75" x14ac:dyDescent="0.2">
      <c r="A164" s="346" t="s">
        <v>1584</v>
      </c>
      <c r="B164" s="272">
        <v>89596</v>
      </c>
      <c r="C164" s="272" t="s">
        <v>1324</v>
      </c>
      <c r="D164" s="273" t="s">
        <v>1585</v>
      </c>
      <c r="E164" s="274" t="s">
        <v>102</v>
      </c>
      <c r="F164" s="268">
        <f t="shared" si="37"/>
        <v>0</v>
      </c>
      <c r="G164" s="275">
        <v>4</v>
      </c>
      <c r="H164" s="275">
        <v>0</v>
      </c>
      <c r="I164" s="275">
        <v>0</v>
      </c>
      <c r="J164" s="275">
        <v>0</v>
      </c>
      <c r="K164" s="269">
        <f t="shared" si="38"/>
        <v>0</v>
      </c>
      <c r="L164" s="344">
        <f t="shared" si="39"/>
        <v>0</v>
      </c>
      <c r="M164" s="344">
        <f t="shared" si="34"/>
        <v>0</v>
      </c>
      <c r="N164" s="345">
        <f t="shared" si="40"/>
        <v>0</v>
      </c>
      <c r="O164" s="325" t="e">
        <f t="shared" si="24"/>
        <v>#DIV/0!</v>
      </c>
      <c r="P164" s="319">
        <f t="shared" si="41"/>
        <v>0</v>
      </c>
    </row>
    <row r="165" spans="1:16" ht="15.75" x14ac:dyDescent="0.2">
      <c r="A165" s="346" t="s">
        <v>1586</v>
      </c>
      <c r="B165" s="272">
        <v>86884</v>
      </c>
      <c r="C165" s="272" t="s">
        <v>1324</v>
      </c>
      <c r="D165" s="273" t="s">
        <v>1587</v>
      </c>
      <c r="E165" s="274" t="s">
        <v>102</v>
      </c>
      <c r="F165" s="268">
        <f t="shared" si="37"/>
        <v>0</v>
      </c>
      <c r="G165" s="275">
        <v>10</v>
      </c>
      <c r="H165" s="275">
        <v>0</v>
      </c>
      <c r="I165" s="275">
        <v>0</v>
      </c>
      <c r="J165" s="275">
        <v>0</v>
      </c>
      <c r="K165" s="269">
        <f t="shared" si="38"/>
        <v>0</v>
      </c>
      <c r="L165" s="344">
        <f t="shared" si="39"/>
        <v>0</v>
      </c>
      <c r="M165" s="344">
        <f t="shared" si="34"/>
        <v>0</v>
      </c>
      <c r="N165" s="345">
        <f t="shared" si="40"/>
        <v>0</v>
      </c>
      <c r="O165" s="325" t="e">
        <f t="shared" si="24"/>
        <v>#DIV/0!</v>
      </c>
      <c r="P165" s="319">
        <f t="shared" si="41"/>
        <v>0</v>
      </c>
    </row>
    <row r="166" spans="1:16" ht="15.75" x14ac:dyDescent="0.2">
      <c r="A166" s="346" t="s">
        <v>1588</v>
      </c>
      <c r="B166" s="272">
        <v>72789</v>
      </c>
      <c r="C166" s="272" t="s">
        <v>1324</v>
      </c>
      <c r="D166" s="273" t="s">
        <v>1589</v>
      </c>
      <c r="E166" s="274" t="s">
        <v>102</v>
      </c>
      <c r="F166" s="268">
        <f t="shared" si="37"/>
        <v>0</v>
      </c>
      <c r="G166" s="275">
        <v>3</v>
      </c>
      <c r="H166" s="275">
        <v>0</v>
      </c>
      <c r="I166" s="275">
        <v>0</v>
      </c>
      <c r="J166" s="275">
        <v>0</v>
      </c>
      <c r="K166" s="269">
        <f t="shared" si="38"/>
        <v>0</v>
      </c>
      <c r="L166" s="344">
        <f t="shared" si="39"/>
        <v>0</v>
      </c>
      <c r="M166" s="344">
        <f t="shared" si="34"/>
        <v>0</v>
      </c>
      <c r="N166" s="345">
        <f t="shared" si="40"/>
        <v>0</v>
      </c>
      <c r="O166" s="325" t="e">
        <f t="shared" si="24"/>
        <v>#DIV/0!</v>
      </c>
      <c r="P166" s="319">
        <f t="shared" si="41"/>
        <v>0</v>
      </c>
    </row>
    <row r="167" spans="1:16" ht="15.75" x14ac:dyDescent="0.2">
      <c r="A167" s="346" t="s">
        <v>1590</v>
      </c>
      <c r="B167" s="272">
        <v>72792</v>
      </c>
      <c r="C167" s="272" t="s">
        <v>1324</v>
      </c>
      <c r="D167" s="273" t="s">
        <v>1591</v>
      </c>
      <c r="E167" s="274" t="s">
        <v>102</v>
      </c>
      <c r="F167" s="268">
        <f t="shared" si="37"/>
        <v>0</v>
      </c>
      <c r="G167" s="275">
        <v>2</v>
      </c>
      <c r="H167" s="275">
        <v>0</v>
      </c>
      <c r="I167" s="275">
        <v>0</v>
      </c>
      <c r="J167" s="275">
        <v>0</v>
      </c>
      <c r="K167" s="269">
        <f t="shared" si="38"/>
        <v>0</v>
      </c>
      <c r="L167" s="344">
        <f t="shared" si="39"/>
        <v>0</v>
      </c>
      <c r="M167" s="344">
        <f t="shared" si="34"/>
        <v>0</v>
      </c>
      <c r="N167" s="345">
        <f t="shared" si="40"/>
        <v>0</v>
      </c>
      <c r="O167" s="325" t="e">
        <f t="shared" si="24"/>
        <v>#DIV/0!</v>
      </c>
      <c r="P167" s="319">
        <f t="shared" si="41"/>
        <v>0</v>
      </c>
    </row>
    <row r="168" spans="1:16" ht="15.75" x14ac:dyDescent="0.2">
      <c r="A168" s="346" t="s">
        <v>1592</v>
      </c>
      <c r="B168" s="272"/>
      <c r="C168" s="272" t="s">
        <v>1339</v>
      </c>
      <c r="D168" s="273" t="s">
        <v>1593</v>
      </c>
      <c r="E168" s="274" t="s">
        <v>102</v>
      </c>
      <c r="F168" s="268">
        <f t="shared" si="37"/>
        <v>0</v>
      </c>
      <c r="G168" s="275">
        <v>1</v>
      </c>
      <c r="H168" s="275">
        <v>0</v>
      </c>
      <c r="I168" s="275">
        <v>0</v>
      </c>
      <c r="J168" s="275">
        <v>0</v>
      </c>
      <c r="K168" s="269">
        <f t="shared" si="38"/>
        <v>0</v>
      </c>
      <c r="L168" s="344">
        <f t="shared" si="39"/>
        <v>0</v>
      </c>
      <c r="M168" s="344">
        <f t="shared" si="34"/>
        <v>0</v>
      </c>
      <c r="N168" s="345">
        <f t="shared" si="40"/>
        <v>0</v>
      </c>
      <c r="O168" s="325" t="e">
        <f t="shared" si="24"/>
        <v>#DIV/0!</v>
      </c>
      <c r="P168" s="319">
        <f t="shared" si="41"/>
        <v>0</v>
      </c>
    </row>
    <row r="169" spans="1:16" ht="15.75" x14ac:dyDescent="0.2">
      <c r="A169" s="341">
        <v>13</v>
      </c>
      <c r="B169" s="258"/>
      <c r="C169" s="258"/>
      <c r="D169" s="259" t="s">
        <v>1594</v>
      </c>
      <c r="E169" s="260"/>
      <c r="F169" s="261">
        <f>K169</f>
        <v>0</v>
      </c>
      <c r="G169" s="261"/>
      <c r="H169" s="261"/>
      <c r="I169" s="261"/>
      <c r="J169" s="261"/>
      <c r="K169" s="262">
        <f>K170+K182</f>
        <v>0</v>
      </c>
      <c r="L169" s="342"/>
      <c r="M169" s="342"/>
      <c r="N169" s="343">
        <f>SUM(N170,N182)</f>
        <v>0</v>
      </c>
      <c r="O169" s="325" t="e">
        <f t="shared" si="24"/>
        <v>#DIV/0!</v>
      </c>
      <c r="P169" s="319"/>
    </row>
    <row r="170" spans="1:16" ht="15.75" x14ac:dyDescent="0.2">
      <c r="A170" s="348" t="s">
        <v>306</v>
      </c>
      <c r="B170" s="276"/>
      <c r="C170" s="276"/>
      <c r="D170" s="277" t="s">
        <v>1516</v>
      </c>
      <c r="E170" s="278"/>
      <c r="F170" s="279">
        <f>K170</f>
        <v>0</v>
      </c>
      <c r="G170" s="279"/>
      <c r="H170" s="279"/>
      <c r="I170" s="279"/>
      <c r="J170" s="279"/>
      <c r="K170" s="280">
        <f>SUM(K172:K181)</f>
        <v>0</v>
      </c>
      <c r="L170" s="349"/>
      <c r="M170" s="349"/>
      <c r="N170" s="350">
        <f>SUM(N171:N181)</f>
        <v>0</v>
      </c>
      <c r="O170" s="325" t="e">
        <f t="shared" si="24"/>
        <v>#DIV/0!</v>
      </c>
      <c r="P170" s="319"/>
    </row>
    <row r="171" spans="1:16" ht="15.75" x14ac:dyDescent="0.2">
      <c r="A171" s="346" t="s">
        <v>1595</v>
      </c>
      <c r="B171" s="272">
        <v>89711</v>
      </c>
      <c r="C171" s="272" t="s">
        <v>1324</v>
      </c>
      <c r="D171" s="273" t="s">
        <v>1596</v>
      </c>
      <c r="E171" s="274" t="s">
        <v>81</v>
      </c>
      <c r="F171" s="268">
        <f t="shared" ref="F171:F181" si="42">ROUND(T171*$T$12,2)</f>
        <v>0</v>
      </c>
      <c r="G171" s="275">
        <v>47.5</v>
      </c>
      <c r="H171" s="275">
        <v>0</v>
      </c>
      <c r="I171" s="275">
        <v>0</v>
      </c>
      <c r="J171" s="275">
        <v>0</v>
      </c>
      <c r="K171" s="269">
        <f t="shared" ref="K171:K181" si="43">ROUND(G171*F171,2)</f>
        <v>0</v>
      </c>
      <c r="L171" s="344">
        <f t="shared" ref="L171:L181" si="44">H171*F171</f>
        <v>0</v>
      </c>
      <c r="M171" s="344">
        <f t="shared" si="34"/>
        <v>0</v>
      </c>
      <c r="N171" s="345">
        <f t="shared" ref="N171:N181" si="45">F171*G171-M171</f>
        <v>0</v>
      </c>
      <c r="O171" s="325" t="e">
        <f t="shared" si="24"/>
        <v>#DIV/0!</v>
      </c>
      <c r="P171" s="319">
        <f t="shared" ref="P171:P181" si="46">G171*F171</f>
        <v>0</v>
      </c>
    </row>
    <row r="172" spans="1:16" ht="15.75" x14ac:dyDescent="0.2">
      <c r="A172" s="346" t="s">
        <v>1597</v>
      </c>
      <c r="B172" s="272">
        <v>89712</v>
      </c>
      <c r="C172" s="272" t="s">
        <v>1324</v>
      </c>
      <c r="D172" s="273" t="s">
        <v>1598</v>
      </c>
      <c r="E172" s="274" t="s">
        <v>81</v>
      </c>
      <c r="F172" s="268">
        <f t="shared" si="42"/>
        <v>0</v>
      </c>
      <c r="G172" s="275">
        <v>21.5</v>
      </c>
      <c r="H172" s="275">
        <v>0</v>
      </c>
      <c r="I172" s="275">
        <v>0</v>
      </c>
      <c r="J172" s="275">
        <v>0</v>
      </c>
      <c r="K172" s="269">
        <f t="shared" si="43"/>
        <v>0</v>
      </c>
      <c r="L172" s="344">
        <f t="shared" si="44"/>
        <v>0</v>
      </c>
      <c r="M172" s="344">
        <f t="shared" si="34"/>
        <v>0</v>
      </c>
      <c r="N172" s="345">
        <f t="shared" si="45"/>
        <v>0</v>
      </c>
      <c r="O172" s="325" t="e">
        <f t="shared" si="24"/>
        <v>#DIV/0!</v>
      </c>
      <c r="P172" s="319">
        <f t="shared" si="46"/>
        <v>0</v>
      </c>
    </row>
    <row r="173" spans="1:16" ht="15.75" x14ac:dyDescent="0.2">
      <c r="A173" s="346" t="s">
        <v>1599</v>
      </c>
      <c r="B173" s="272">
        <v>89714</v>
      </c>
      <c r="C173" s="272" t="s">
        <v>1324</v>
      </c>
      <c r="D173" s="273" t="s">
        <v>1600</v>
      </c>
      <c r="E173" s="274" t="s">
        <v>81</v>
      </c>
      <c r="F173" s="268">
        <f t="shared" si="42"/>
        <v>0</v>
      </c>
      <c r="G173" s="275">
        <v>36</v>
      </c>
      <c r="H173" s="275">
        <v>0</v>
      </c>
      <c r="I173" s="275">
        <v>0</v>
      </c>
      <c r="J173" s="275">
        <v>0</v>
      </c>
      <c r="K173" s="269">
        <f t="shared" si="43"/>
        <v>0</v>
      </c>
      <c r="L173" s="344">
        <f t="shared" si="44"/>
        <v>0</v>
      </c>
      <c r="M173" s="344">
        <f t="shared" si="34"/>
        <v>0</v>
      </c>
      <c r="N173" s="345">
        <f t="shared" si="45"/>
        <v>0</v>
      </c>
      <c r="O173" s="325" t="e">
        <f t="shared" si="24"/>
        <v>#DIV/0!</v>
      </c>
      <c r="P173" s="319">
        <f t="shared" si="46"/>
        <v>0</v>
      </c>
    </row>
    <row r="174" spans="1:16" ht="15.75" x14ac:dyDescent="0.2">
      <c r="A174" s="346" t="s">
        <v>1601</v>
      </c>
      <c r="B174" s="272">
        <v>89726</v>
      </c>
      <c r="C174" s="272" t="s">
        <v>1324</v>
      </c>
      <c r="D174" s="273" t="s">
        <v>1602</v>
      </c>
      <c r="E174" s="274" t="s">
        <v>102</v>
      </c>
      <c r="F174" s="268">
        <f t="shared" si="42"/>
        <v>0</v>
      </c>
      <c r="G174" s="275">
        <v>7</v>
      </c>
      <c r="H174" s="275">
        <v>0</v>
      </c>
      <c r="I174" s="275">
        <v>0</v>
      </c>
      <c r="J174" s="275">
        <v>0</v>
      </c>
      <c r="K174" s="269">
        <f t="shared" si="43"/>
        <v>0</v>
      </c>
      <c r="L174" s="344">
        <f t="shared" si="44"/>
        <v>0</v>
      </c>
      <c r="M174" s="344">
        <f t="shared" si="34"/>
        <v>0</v>
      </c>
      <c r="N174" s="345">
        <f t="shared" si="45"/>
        <v>0</v>
      </c>
      <c r="O174" s="325" t="e">
        <f t="shared" si="24"/>
        <v>#DIV/0!</v>
      </c>
      <c r="P174" s="319">
        <f t="shared" si="46"/>
        <v>0</v>
      </c>
    </row>
    <row r="175" spans="1:16" ht="15.75" x14ac:dyDescent="0.2">
      <c r="A175" s="346" t="s">
        <v>1603</v>
      </c>
      <c r="B175" s="272">
        <v>89744</v>
      </c>
      <c r="C175" s="272" t="s">
        <v>1324</v>
      </c>
      <c r="D175" s="273" t="s">
        <v>1604</v>
      </c>
      <c r="E175" s="274" t="s">
        <v>102</v>
      </c>
      <c r="F175" s="268">
        <f t="shared" si="42"/>
        <v>0</v>
      </c>
      <c r="G175" s="275">
        <v>6</v>
      </c>
      <c r="H175" s="275">
        <v>0</v>
      </c>
      <c r="I175" s="275">
        <v>0</v>
      </c>
      <c r="J175" s="275">
        <v>0</v>
      </c>
      <c r="K175" s="269">
        <f t="shared" si="43"/>
        <v>0</v>
      </c>
      <c r="L175" s="344">
        <f t="shared" si="44"/>
        <v>0</v>
      </c>
      <c r="M175" s="344">
        <f t="shared" si="34"/>
        <v>0</v>
      </c>
      <c r="N175" s="345">
        <f t="shared" si="45"/>
        <v>0</v>
      </c>
      <c r="O175" s="325" t="e">
        <f t="shared" si="24"/>
        <v>#DIV/0!</v>
      </c>
      <c r="P175" s="319">
        <f t="shared" si="46"/>
        <v>0</v>
      </c>
    </row>
    <row r="176" spans="1:16" ht="15.75" x14ac:dyDescent="0.2">
      <c r="A176" s="346" t="s">
        <v>1605</v>
      </c>
      <c r="B176" s="272">
        <v>89724</v>
      </c>
      <c r="C176" s="272" t="s">
        <v>1324</v>
      </c>
      <c r="D176" s="273" t="s">
        <v>1606</v>
      </c>
      <c r="E176" s="274" t="s">
        <v>102</v>
      </c>
      <c r="F176" s="268">
        <f t="shared" si="42"/>
        <v>0</v>
      </c>
      <c r="G176" s="275">
        <v>10</v>
      </c>
      <c r="H176" s="275">
        <v>0</v>
      </c>
      <c r="I176" s="275">
        <v>0</v>
      </c>
      <c r="J176" s="275">
        <v>0</v>
      </c>
      <c r="K176" s="269">
        <f t="shared" si="43"/>
        <v>0</v>
      </c>
      <c r="L176" s="344">
        <f t="shared" si="44"/>
        <v>0</v>
      </c>
      <c r="M176" s="344">
        <f t="shared" si="34"/>
        <v>0</v>
      </c>
      <c r="N176" s="345">
        <f t="shared" si="45"/>
        <v>0</v>
      </c>
      <c r="O176" s="325" t="e">
        <f t="shared" ref="O176:O239" si="47">M176/P176</f>
        <v>#DIV/0!</v>
      </c>
      <c r="P176" s="319">
        <f t="shared" si="46"/>
        <v>0</v>
      </c>
    </row>
    <row r="177" spans="1:16" ht="15.75" x14ac:dyDescent="0.2">
      <c r="A177" s="346" t="s">
        <v>1607</v>
      </c>
      <c r="B177" s="272">
        <v>89827</v>
      </c>
      <c r="C177" s="272" t="s">
        <v>1324</v>
      </c>
      <c r="D177" s="273" t="s">
        <v>1608</v>
      </c>
      <c r="E177" s="274" t="s">
        <v>102</v>
      </c>
      <c r="F177" s="268">
        <f t="shared" si="42"/>
        <v>0</v>
      </c>
      <c r="G177" s="275">
        <v>6</v>
      </c>
      <c r="H177" s="275">
        <v>0</v>
      </c>
      <c r="I177" s="275">
        <v>0</v>
      </c>
      <c r="J177" s="275">
        <v>0</v>
      </c>
      <c r="K177" s="269">
        <f t="shared" si="43"/>
        <v>0</v>
      </c>
      <c r="L177" s="344">
        <f t="shared" si="44"/>
        <v>0</v>
      </c>
      <c r="M177" s="344">
        <f t="shared" si="34"/>
        <v>0</v>
      </c>
      <c r="N177" s="345">
        <f t="shared" si="45"/>
        <v>0</v>
      </c>
      <c r="O177" s="325" t="e">
        <f t="shared" si="47"/>
        <v>#DIV/0!</v>
      </c>
      <c r="P177" s="319">
        <f t="shared" si="46"/>
        <v>0</v>
      </c>
    </row>
    <row r="178" spans="1:16" ht="15.75" x14ac:dyDescent="0.2">
      <c r="A178" s="346" t="s">
        <v>1609</v>
      </c>
      <c r="B178" s="272">
        <v>89834</v>
      </c>
      <c r="C178" s="272" t="s">
        <v>1324</v>
      </c>
      <c r="D178" s="273" t="s">
        <v>1610</v>
      </c>
      <c r="E178" s="274" t="s">
        <v>102</v>
      </c>
      <c r="F178" s="268">
        <f t="shared" si="42"/>
        <v>0</v>
      </c>
      <c r="G178" s="275">
        <v>5</v>
      </c>
      <c r="H178" s="275">
        <v>0</v>
      </c>
      <c r="I178" s="275">
        <v>0</v>
      </c>
      <c r="J178" s="275">
        <v>0</v>
      </c>
      <c r="K178" s="269">
        <f t="shared" si="43"/>
        <v>0</v>
      </c>
      <c r="L178" s="344">
        <f t="shared" si="44"/>
        <v>0</v>
      </c>
      <c r="M178" s="344">
        <f t="shared" si="34"/>
        <v>0</v>
      </c>
      <c r="N178" s="345">
        <f t="shared" si="45"/>
        <v>0</v>
      </c>
      <c r="O178" s="325" t="e">
        <f t="shared" si="47"/>
        <v>#DIV/0!</v>
      </c>
      <c r="P178" s="319">
        <f t="shared" si="46"/>
        <v>0</v>
      </c>
    </row>
    <row r="179" spans="1:16" ht="15.75" x14ac:dyDescent="0.2">
      <c r="A179" s="346" t="s">
        <v>1611</v>
      </c>
      <c r="B179" s="272">
        <v>89797</v>
      </c>
      <c r="C179" s="272" t="s">
        <v>1324</v>
      </c>
      <c r="D179" s="273" t="s">
        <v>1612</v>
      </c>
      <c r="E179" s="274" t="s">
        <v>102</v>
      </c>
      <c r="F179" s="268">
        <f t="shared" si="42"/>
        <v>0</v>
      </c>
      <c r="G179" s="275">
        <v>5</v>
      </c>
      <c r="H179" s="275">
        <v>0</v>
      </c>
      <c r="I179" s="275">
        <v>0</v>
      </c>
      <c r="J179" s="275">
        <v>0</v>
      </c>
      <c r="K179" s="269">
        <f t="shared" si="43"/>
        <v>0</v>
      </c>
      <c r="L179" s="344">
        <f t="shared" si="44"/>
        <v>0</v>
      </c>
      <c r="M179" s="344">
        <f t="shared" si="34"/>
        <v>0</v>
      </c>
      <c r="N179" s="345">
        <f t="shared" si="45"/>
        <v>0</v>
      </c>
      <c r="O179" s="325" t="e">
        <f t="shared" si="47"/>
        <v>#DIV/0!</v>
      </c>
      <c r="P179" s="319">
        <f t="shared" si="46"/>
        <v>0</v>
      </c>
    </row>
    <row r="180" spans="1:16" ht="15.75" x14ac:dyDescent="0.2">
      <c r="A180" s="346" t="s">
        <v>1613</v>
      </c>
      <c r="B180" s="272">
        <v>89852</v>
      </c>
      <c r="C180" s="272" t="s">
        <v>1324</v>
      </c>
      <c r="D180" s="273" t="s">
        <v>1614</v>
      </c>
      <c r="E180" s="274" t="s">
        <v>102</v>
      </c>
      <c r="F180" s="268">
        <f t="shared" si="42"/>
        <v>0</v>
      </c>
      <c r="G180" s="275">
        <v>1</v>
      </c>
      <c r="H180" s="275">
        <v>0</v>
      </c>
      <c r="I180" s="275">
        <v>0</v>
      </c>
      <c r="J180" s="275">
        <v>0</v>
      </c>
      <c r="K180" s="269">
        <f t="shared" si="43"/>
        <v>0</v>
      </c>
      <c r="L180" s="344">
        <f t="shared" si="44"/>
        <v>0</v>
      </c>
      <c r="M180" s="344">
        <f t="shared" si="34"/>
        <v>0</v>
      </c>
      <c r="N180" s="345">
        <f t="shared" si="45"/>
        <v>0</v>
      </c>
      <c r="O180" s="325" t="e">
        <f t="shared" si="47"/>
        <v>#DIV/0!</v>
      </c>
      <c r="P180" s="319">
        <f t="shared" si="46"/>
        <v>0</v>
      </c>
    </row>
    <row r="181" spans="1:16" ht="15.75" x14ac:dyDescent="0.2">
      <c r="A181" s="346" t="s">
        <v>1615</v>
      </c>
      <c r="B181" s="272">
        <v>89728</v>
      </c>
      <c r="C181" s="272" t="s">
        <v>1324</v>
      </c>
      <c r="D181" s="273" t="s">
        <v>1616</v>
      </c>
      <c r="E181" s="274" t="s">
        <v>102</v>
      </c>
      <c r="F181" s="268">
        <f t="shared" si="42"/>
        <v>0</v>
      </c>
      <c r="G181" s="275">
        <v>16</v>
      </c>
      <c r="H181" s="275">
        <v>0</v>
      </c>
      <c r="I181" s="275">
        <v>0</v>
      </c>
      <c r="J181" s="275">
        <v>0</v>
      </c>
      <c r="K181" s="269">
        <f t="shared" si="43"/>
        <v>0</v>
      </c>
      <c r="L181" s="344">
        <f t="shared" si="44"/>
        <v>0</v>
      </c>
      <c r="M181" s="344">
        <f t="shared" si="34"/>
        <v>0</v>
      </c>
      <c r="N181" s="345">
        <f t="shared" si="45"/>
        <v>0</v>
      </c>
      <c r="O181" s="325" t="e">
        <f t="shared" si="47"/>
        <v>#DIV/0!</v>
      </c>
      <c r="P181" s="319">
        <f t="shared" si="46"/>
        <v>0</v>
      </c>
    </row>
    <row r="182" spans="1:16" ht="15.75" x14ac:dyDescent="0.2">
      <c r="A182" s="348" t="s">
        <v>309</v>
      </c>
      <c r="B182" s="276"/>
      <c r="C182" s="276"/>
      <c r="D182" s="277" t="s">
        <v>1617</v>
      </c>
      <c r="E182" s="278"/>
      <c r="F182" s="279">
        <f>K182</f>
        <v>0</v>
      </c>
      <c r="G182" s="279"/>
      <c r="H182" s="279"/>
      <c r="I182" s="279"/>
      <c r="J182" s="279"/>
      <c r="K182" s="280">
        <f>SUM(K183:K190)</f>
        <v>0</v>
      </c>
      <c r="L182" s="349"/>
      <c r="M182" s="349"/>
      <c r="N182" s="350">
        <f>SUM(N183:N190)</f>
        <v>0</v>
      </c>
      <c r="O182" s="325" t="e">
        <f t="shared" si="47"/>
        <v>#DIV/0!</v>
      </c>
      <c r="P182" s="319"/>
    </row>
    <row r="183" spans="1:16" ht="15.75" x14ac:dyDescent="0.2">
      <c r="A183" s="346" t="s">
        <v>1618</v>
      </c>
      <c r="B183" s="272"/>
      <c r="C183" s="272" t="s">
        <v>1339</v>
      </c>
      <c r="D183" s="273" t="s">
        <v>1619</v>
      </c>
      <c r="E183" s="274" t="s">
        <v>102</v>
      </c>
      <c r="F183" s="268">
        <f t="shared" ref="F183:F190" si="48">ROUND(T183*$T$12,2)</f>
        <v>0</v>
      </c>
      <c r="G183" s="275">
        <v>6</v>
      </c>
      <c r="H183" s="275">
        <v>0</v>
      </c>
      <c r="I183" s="275">
        <v>0</v>
      </c>
      <c r="J183" s="275">
        <v>0</v>
      </c>
      <c r="K183" s="269">
        <f t="shared" ref="K183:K190" si="49">ROUND(G183*F183,2)</f>
        <v>0</v>
      </c>
      <c r="L183" s="344">
        <f t="shared" ref="L183:L190" si="50">H183*F183</f>
        <v>0</v>
      </c>
      <c r="M183" s="344">
        <f t="shared" si="34"/>
        <v>0</v>
      </c>
      <c r="N183" s="345">
        <f t="shared" ref="N183:N190" si="51">F183*G183-M183</f>
        <v>0</v>
      </c>
      <c r="O183" s="325" t="e">
        <f t="shared" si="47"/>
        <v>#DIV/0!</v>
      </c>
      <c r="P183" s="319">
        <f t="shared" ref="P183:P190" si="52">G183*F183</f>
        <v>0</v>
      </c>
    </row>
    <row r="184" spans="1:16" ht="15.75" x14ac:dyDescent="0.2">
      <c r="A184" s="346" t="s">
        <v>1620</v>
      </c>
      <c r="B184" s="272" t="s">
        <v>1621</v>
      </c>
      <c r="C184" s="272" t="s">
        <v>1324</v>
      </c>
      <c r="D184" s="273" t="s">
        <v>1622</v>
      </c>
      <c r="E184" s="274" t="s">
        <v>102</v>
      </c>
      <c r="F184" s="268">
        <f t="shared" si="48"/>
        <v>0</v>
      </c>
      <c r="G184" s="275">
        <v>2</v>
      </c>
      <c r="H184" s="275">
        <v>0</v>
      </c>
      <c r="I184" s="275">
        <v>0</v>
      </c>
      <c r="J184" s="275">
        <v>0</v>
      </c>
      <c r="K184" s="269">
        <f t="shared" si="49"/>
        <v>0</v>
      </c>
      <c r="L184" s="344">
        <f t="shared" si="50"/>
        <v>0</v>
      </c>
      <c r="M184" s="344">
        <f t="shared" si="34"/>
        <v>0</v>
      </c>
      <c r="N184" s="345">
        <f t="shared" si="51"/>
        <v>0</v>
      </c>
      <c r="O184" s="325" t="e">
        <f t="shared" si="47"/>
        <v>#DIV/0!</v>
      </c>
      <c r="P184" s="319">
        <f t="shared" si="52"/>
        <v>0</v>
      </c>
    </row>
    <row r="185" spans="1:16" ht="15.75" x14ac:dyDescent="0.2">
      <c r="A185" s="346" t="s">
        <v>1623</v>
      </c>
      <c r="B185" s="272">
        <v>89710</v>
      </c>
      <c r="C185" s="272" t="s">
        <v>1324</v>
      </c>
      <c r="D185" s="273" t="s">
        <v>1624</v>
      </c>
      <c r="E185" s="274" t="s">
        <v>102</v>
      </c>
      <c r="F185" s="268">
        <f t="shared" si="48"/>
        <v>0</v>
      </c>
      <c r="G185" s="275">
        <v>6</v>
      </c>
      <c r="H185" s="275">
        <v>0</v>
      </c>
      <c r="I185" s="275">
        <v>0</v>
      </c>
      <c r="J185" s="275">
        <v>0</v>
      </c>
      <c r="K185" s="269">
        <f t="shared" si="49"/>
        <v>0</v>
      </c>
      <c r="L185" s="344">
        <f t="shared" si="50"/>
        <v>0</v>
      </c>
      <c r="M185" s="344">
        <f t="shared" si="34"/>
        <v>0</v>
      </c>
      <c r="N185" s="345">
        <f t="shared" si="51"/>
        <v>0</v>
      </c>
      <c r="O185" s="325" t="e">
        <f t="shared" si="47"/>
        <v>#DIV/0!</v>
      </c>
      <c r="P185" s="319">
        <f t="shared" si="52"/>
        <v>0</v>
      </c>
    </row>
    <row r="186" spans="1:16" ht="15.75" x14ac:dyDescent="0.2">
      <c r="A186" s="346" t="s">
        <v>1625</v>
      </c>
      <c r="B186" s="272">
        <v>89798</v>
      </c>
      <c r="C186" s="272" t="s">
        <v>1324</v>
      </c>
      <c r="D186" s="273" t="s">
        <v>1626</v>
      </c>
      <c r="E186" s="274" t="s">
        <v>81</v>
      </c>
      <c r="F186" s="268">
        <f t="shared" si="48"/>
        <v>0</v>
      </c>
      <c r="G186" s="275">
        <v>8</v>
      </c>
      <c r="H186" s="275">
        <v>0</v>
      </c>
      <c r="I186" s="275">
        <v>0</v>
      </c>
      <c r="J186" s="275">
        <v>0</v>
      </c>
      <c r="K186" s="269">
        <f t="shared" si="49"/>
        <v>0</v>
      </c>
      <c r="L186" s="344">
        <f t="shared" si="50"/>
        <v>0</v>
      </c>
      <c r="M186" s="344">
        <f t="shared" si="34"/>
        <v>0</v>
      </c>
      <c r="N186" s="345">
        <f t="shared" si="51"/>
        <v>0</v>
      </c>
      <c r="O186" s="325" t="e">
        <f t="shared" si="47"/>
        <v>#DIV/0!</v>
      </c>
      <c r="P186" s="319">
        <f t="shared" si="52"/>
        <v>0</v>
      </c>
    </row>
    <row r="187" spans="1:16" ht="15.75" x14ac:dyDescent="0.2">
      <c r="A187" s="346" t="s">
        <v>1627</v>
      </c>
      <c r="B187" s="272">
        <v>86882</v>
      </c>
      <c r="C187" s="272" t="s">
        <v>1324</v>
      </c>
      <c r="D187" s="273" t="s">
        <v>1628</v>
      </c>
      <c r="E187" s="274" t="s">
        <v>102</v>
      </c>
      <c r="F187" s="268">
        <f t="shared" si="48"/>
        <v>0</v>
      </c>
      <c r="G187" s="275">
        <v>8</v>
      </c>
      <c r="H187" s="275">
        <v>0</v>
      </c>
      <c r="I187" s="275">
        <v>0</v>
      </c>
      <c r="J187" s="275">
        <v>0</v>
      </c>
      <c r="K187" s="269">
        <f t="shared" si="49"/>
        <v>0</v>
      </c>
      <c r="L187" s="344">
        <f t="shared" si="50"/>
        <v>0</v>
      </c>
      <c r="M187" s="344">
        <f t="shared" si="34"/>
        <v>0</v>
      </c>
      <c r="N187" s="345">
        <f t="shared" si="51"/>
        <v>0</v>
      </c>
      <c r="O187" s="325" t="e">
        <f t="shared" si="47"/>
        <v>#DIV/0!</v>
      </c>
      <c r="P187" s="319">
        <f t="shared" si="52"/>
        <v>0</v>
      </c>
    </row>
    <row r="188" spans="1:16" ht="15.75" x14ac:dyDescent="0.2">
      <c r="A188" s="146" t="s">
        <v>1629</v>
      </c>
      <c r="B188" s="282" t="s">
        <v>1630</v>
      </c>
      <c r="C188" s="282" t="s">
        <v>1324</v>
      </c>
      <c r="D188" s="283" t="s">
        <v>1631</v>
      </c>
      <c r="E188" s="284" t="s">
        <v>102</v>
      </c>
      <c r="F188" s="268">
        <f t="shared" si="48"/>
        <v>0</v>
      </c>
      <c r="G188" s="285">
        <v>8</v>
      </c>
      <c r="H188" s="275">
        <v>0</v>
      </c>
      <c r="I188" s="275">
        <v>0</v>
      </c>
      <c r="J188" s="275">
        <v>0</v>
      </c>
      <c r="K188" s="269">
        <f t="shared" si="49"/>
        <v>0</v>
      </c>
      <c r="L188" s="344">
        <f t="shared" si="50"/>
        <v>0</v>
      </c>
      <c r="M188" s="344">
        <f t="shared" si="34"/>
        <v>0</v>
      </c>
      <c r="N188" s="345">
        <f t="shared" si="51"/>
        <v>0</v>
      </c>
      <c r="O188" s="325" t="e">
        <f t="shared" si="47"/>
        <v>#DIV/0!</v>
      </c>
      <c r="P188" s="319">
        <f t="shared" si="52"/>
        <v>0</v>
      </c>
    </row>
    <row r="189" spans="1:16" ht="15.75" x14ac:dyDescent="0.2">
      <c r="A189" s="146" t="s">
        <v>1632</v>
      </c>
      <c r="B189" s="282" t="s">
        <v>1633</v>
      </c>
      <c r="C189" s="282" t="s">
        <v>1324</v>
      </c>
      <c r="D189" s="283" t="s">
        <v>1634</v>
      </c>
      <c r="E189" s="284" t="s">
        <v>102</v>
      </c>
      <c r="F189" s="268">
        <f t="shared" si="48"/>
        <v>0</v>
      </c>
      <c r="G189" s="285">
        <v>1</v>
      </c>
      <c r="H189" s="275">
        <v>0</v>
      </c>
      <c r="I189" s="275">
        <v>0</v>
      </c>
      <c r="J189" s="275">
        <v>0</v>
      </c>
      <c r="K189" s="269">
        <f t="shared" si="49"/>
        <v>0</v>
      </c>
      <c r="L189" s="344">
        <f t="shared" si="50"/>
        <v>0</v>
      </c>
      <c r="M189" s="344">
        <f t="shared" si="34"/>
        <v>0</v>
      </c>
      <c r="N189" s="345">
        <f t="shared" si="51"/>
        <v>0</v>
      </c>
      <c r="O189" s="325" t="e">
        <f t="shared" si="47"/>
        <v>#DIV/0!</v>
      </c>
      <c r="P189" s="319">
        <f t="shared" si="52"/>
        <v>0</v>
      </c>
    </row>
    <row r="190" spans="1:16" ht="15.75" x14ac:dyDescent="0.2">
      <c r="A190" s="146" t="s">
        <v>1635</v>
      </c>
      <c r="B190" s="282" t="s">
        <v>1636</v>
      </c>
      <c r="C190" s="282" t="s">
        <v>1324</v>
      </c>
      <c r="D190" s="283" t="s">
        <v>1637</v>
      </c>
      <c r="E190" s="284" t="s">
        <v>102</v>
      </c>
      <c r="F190" s="268">
        <f t="shared" si="48"/>
        <v>0</v>
      </c>
      <c r="G190" s="285">
        <v>1</v>
      </c>
      <c r="H190" s="275">
        <v>0</v>
      </c>
      <c r="I190" s="275">
        <v>0</v>
      </c>
      <c r="J190" s="275">
        <v>0</v>
      </c>
      <c r="K190" s="269">
        <f t="shared" si="49"/>
        <v>0</v>
      </c>
      <c r="L190" s="344">
        <f t="shared" si="50"/>
        <v>0</v>
      </c>
      <c r="M190" s="344">
        <f t="shared" si="34"/>
        <v>0</v>
      </c>
      <c r="N190" s="345">
        <f t="shared" si="51"/>
        <v>0</v>
      </c>
      <c r="O190" s="325" t="e">
        <f t="shared" si="47"/>
        <v>#DIV/0!</v>
      </c>
      <c r="P190" s="319">
        <f t="shared" si="52"/>
        <v>0</v>
      </c>
    </row>
    <row r="191" spans="1:16" ht="15.75" x14ac:dyDescent="0.2">
      <c r="A191" s="351">
        <v>14</v>
      </c>
      <c r="B191" s="286"/>
      <c r="C191" s="286"/>
      <c r="D191" s="287" t="s">
        <v>656</v>
      </c>
      <c r="E191" s="288"/>
      <c r="F191" s="261">
        <f>K191</f>
        <v>0</v>
      </c>
      <c r="G191" s="289"/>
      <c r="H191" s="261"/>
      <c r="I191" s="261"/>
      <c r="J191" s="261"/>
      <c r="K191" s="262">
        <f>SUM(K192:K194)</f>
        <v>0</v>
      </c>
      <c r="L191" s="342"/>
      <c r="M191" s="342"/>
      <c r="N191" s="343">
        <f>SUM(N192:N194)</f>
        <v>0</v>
      </c>
      <c r="O191" s="325" t="e">
        <f t="shared" si="47"/>
        <v>#DIV/0!</v>
      </c>
      <c r="P191" s="319"/>
    </row>
    <row r="192" spans="1:16" ht="15.75" x14ac:dyDescent="0.2">
      <c r="A192" s="146" t="s">
        <v>355</v>
      </c>
      <c r="B192" s="282">
        <v>83688</v>
      </c>
      <c r="C192" s="282" t="s">
        <v>1324</v>
      </c>
      <c r="D192" s="283" t="s">
        <v>1638</v>
      </c>
      <c r="E192" s="284" t="s">
        <v>81</v>
      </c>
      <c r="F192" s="268">
        <f>ROUND(T192*$T$12,2)</f>
        <v>0</v>
      </c>
      <c r="G192" s="285">
        <v>76.400000000000006</v>
      </c>
      <c r="H192" s="285">
        <v>0</v>
      </c>
      <c r="I192" s="285">
        <v>0</v>
      </c>
      <c r="J192" s="285">
        <v>0</v>
      </c>
      <c r="K192" s="269">
        <f>ROUND(G192*F192,2)</f>
        <v>0</v>
      </c>
      <c r="L192" s="344">
        <f>H192*F192</f>
        <v>0</v>
      </c>
      <c r="M192" s="344">
        <f t="shared" si="34"/>
        <v>0</v>
      </c>
      <c r="N192" s="345">
        <f>F192*G192-M192</f>
        <v>0</v>
      </c>
      <c r="O192" s="325" t="e">
        <f t="shared" si="47"/>
        <v>#DIV/0!</v>
      </c>
      <c r="P192" s="319">
        <f>G192*F192</f>
        <v>0</v>
      </c>
    </row>
    <row r="193" spans="1:16" ht="15.75" x14ac:dyDescent="0.2">
      <c r="A193" s="146" t="s">
        <v>1639</v>
      </c>
      <c r="B193" s="282"/>
      <c r="C193" s="282" t="s">
        <v>1339</v>
      </c>
      <c r="D193" s="283" t="s">
        <v>1640</v>
      </c>
      <c r="E193" s="284" t="s">
        <v>102</v>
      </c>
      <c r="F193" s="268">
        <f>ROUND(T193*$T$12,2)</f>
        <v>0</v>
      </c>
      <c r="G193" s="285">
        <v>8</v>
      </c>
      <c r="H193" s="285">
        <v>0</v>
      </c>
      <c r="I193" s="285">
        <v>0</v>
      </c>
      <c r="J193" s="285">
        <v>0</v>
      </c>
      <c r="K193" s="269">
        <f>ROUND(G193*F193,2)</f>
        <v>0</v>
      </c>
      <c r="L193" s="344">
        <f>H193*F193</f>
        <v>0</v>
      </c>
      <c r="M193" s="344">
        <f t="shared" si="34"/>
        <v>0</v>
      </c>
      <c r="N193" s="345">
        <f>F193*G193-M193</f>
        <v>0</v>
      </c>
      <c r="O193" s="325" t="e">
        <f t="shared" si="47"/>
        <v>#DIV/0!</v>
      </c>
      <c r="P193" s="319">
        <f>G193*F193</f>
        <v>0</v>
      </c>
    </row>
    <row r="194" spans="1:16" ht="15.75" x14ac:dyDescent="0.2">
      <c r="A194" s="146" t="s">
        <v>1641</v>
      </c>
      <c r="B194" s="282">
        <v>88549</v>
      </c>
      <c r="C194" s="282" t="s">
        <v>1324</v>
      </c>
      <c r="D194" s="283" t="s">
        <v>1642</v>
      </c>
      <c r="E194" s="284" t="s">
        <v>48</v>
      </c>
      <c r="F194" s="268">
        <f>ROUND(T194*$T$12,2)</f>
        <v>0</v>
      </c>
      <c r="G194" s="285">
        <v>1.87</v>
      </c>
      <c r="H194" s="285">
        <v>0</v>
      </c>
      <c r="I194" s="285">
        <v>0</v>
      </c>
      <c r="J194" s="285">
        <v>0</v>
      </c>
      <c r="K194" s="269">
        <f>ROUND(G194*F194,2)</f>
        <v>0</v>
      </c>
      <c r="L194" s="344">
        <f>H194*F194</f>
        <v>0</v>
      </c>
      <c r="M194" s="344">
        <f t="shared" si="34"/>
        <v>0</v>
      </c>
      <c r="N194" s="345">
        <f>F194*G194-M194</f>
        <v>0</v>
      </c>
      <c r="O194" s="325" t="e">
        <f t="shared" si="47"/>
        <v>#DIV/0!</v>
      </c>
      <c r="P194" s="319">
        <f>G194*F194</f>
        <v>0</v>
      </c>
    </row>
    <row r="195" spans="1:16" ht="15.75" x14ac:dyDescent="0.2">
      <c r="A195" s="351">
        <v>15</v>
      </c>
      <c r="B195" s="286"/>
      <c r="C195" s="286"/>
      <c r="D195" s="287" t="s">
        <v>1643</v>
      </c>
      <c r="E195" s="288"/>
      <c r="F195" s="261">
        <f>K195</f>
        <v>0</v>
      </c>
      <c r="G195" s="289"/>
      <c r="H195" s="261"/>
      <c r="I195" s="261"/>
      <c r="J195" s="261"/>
      <c r="K195" s="262">
        <f>SUM(K196:K208)</f>
        <v>0</v>
      </c>
      <c r="L195" s="342"/>
      <c r="M195" s="342"/>
      <c r="N195" s="343">
        <f>SUM(N196:N208)</f>
        <v>0</v>
      </c>
      <c r="O195" s="325" t="e">
        <f t="shared" si="47"/>
        <v>#DIV/0!</v>
      </c>
      <c r="P195" s="319"/>
    </row>
    <row r="196" spans="1:16" ht="15.75" x14ac:dyDescent="0.2">
      <c r="A196" s="146" t="s">
        <v>494</v>
      </c>
      <c r="B196" s="282">
        <v>6021</v>
      </c>
      <c r="C196" s="282" t="s">
        <v>1324</v>
      </c>
      <c r="D196" s="283" t="s">
        <v>1644</v>
      </c>
      <c r="E196" s="284" t="s">
        <v>102</v>
      </c>
      <c r="F196" s="268">
        <f t="shared" ref="F196:F208" si="53">ROUND(T196*$T$12,2)</f>
        <v>0</v>
      </c>
      <c r="G196" s="285">
        <v>6</v>
      </c>
      <c r="H196" s="285">
        <v>0</v>
      </c>
      <c r="I196" s="285">
        <v>0</v>
      </c>
      <c r="J196" s="285">
        <v>0</v>
      </c>
      <c r="K196" s="269">
        <f t="shared" ref="K196:K208" si="54">ROUND(G196*F196,2)</f>
        <v>0</v>
      </c>
      <c r="L196" s="344">
        <f t="shared" ref="L196:L208" si="55">H196*F196</f>
        <v>0</v>
      </c>
      <c r="M196" s="344">
        <f t="shared" si="34"/>
        <v>0</v>
      </c>
      <c r="N196" s="345">
        <f t="shared" ref="N196:N208" si="56">F196*G196-M196</f>
        <v>0</v>
      </c>
      <c r="O196" s="325" t="e">
        <f t="shared" si="47"/>
        <v>#DIV/0!</v>
      </c>
      <c r="P196" s="319">
        <f t="shared" ref="P196:P208" si="57">G196*F196</f>
        <v>0</v>
      </c>
    </row>
    <row r="197" spans="1:16" ht="25.5" x14ac:dyDescent="0.2">
      <c r="A197" s="146" t="s">
        <v>496</v>
      </c>
      <c r="B197" s="282">
        <v>40729</v>
      </c>
      <c r="C197" s="282" t="s">
        <v>1324</v>
      </c>
      <c r="D197" s="283" t="s">
        <v>1645</v>
      </c>
      <c r="E197" s="284" t="s">
        <v>102</v>
      </c>
      <c r="F197" s="268">
        <f t="shared" si="53"/>
        <v>0</v>
      </c>
      <c r="G197" s="285">
        <v>6</v>
      </c>
      <c r="H197" s="285">
        <v>0</v>
      </c>
      <c r="I197" s="285">
        <v>0</v>
      </c>
      <c r="J197" s="285">
        <v>0</v>
      </c>
      <c r="K197" s="269">
        <f t="shared" si="54"/>
        <v>0</v>
      </c>
      <c r="L197" s="344">
        <f t="shared" si="55"/>
        <v>0</v>
      </c>
      <c r="M197" s="344">
        <f t="shared" ref="M197:M208" si="58">L197</f>
        <v>0</v>
      </c>
      <c r="N197" s="345">
        <f t="shared" si="56"/>
        <v>0</v>
      </c>
      <c r="O197" s="325" t="e">
        <f t="shared" si="47"/>
        <v>#DIV/0!</v>
      </c>
      <c r="P197" s="319">
        <f t="shared" si="57"/>
        <v>0</v>
      </c>
    </row>
    <row r="198" spans="1:16" ht="15.75" x14ac:dyDescent="0.2">
      <c r="A198" s="146" t="s">
        <v>498</v>
      </c>
      <c r="B198" s="282">
        <v>86901</v>
      </c>
      <c r="C198" s="282" t="s">
        <v>1324</v>
      </c>
      <c r="D198" s="283" t="s">
        <v>1646</v>
      </c>
      <c r="E198" s="284" t="s">
        <v>102</v>
      </c>
      <c r="F198" s="268">
        <f t="shared" si="53"/>
        <v>0</v>
      </c>
      <c r="G198" s="285">
        <v>6</v>
      </c>
      <c r="H198" s="285">
        <v>0</v>
      </c>
      <c r="I198" s="285">
        <v>0</v>
      </c>
      <c r="J198" s="285">
        <v>0</v>
      </c>
      <c r="K198" s="269">
        <f t="shared" si="54"/>
        <v>0</v>
      </c>
      <c r="L198" s="344">
        <f t="shared" si="55"/>
        <v>0</v>
      </c>
      <c r="M198" s="344">
        <f t="shared" si="58"/>
        <v>0</v>
      </c>
      <c r="N198" s="345">
        <f t="shared" si="56"/>
        <v>0</v>
      </c>
      <c r="O198" s="325" t="e">
        <f t="shared" si="47"/>
        <v>#DIV/0!</v>
      </c>
      <c r="P198" s="319">
        <f t="shared" si="57"/>
        <v>0</v>
      </c>
    </row>
    <row r="199" spans="1:16" ht="25.5" x14ac:dyDescent="0.2">
      <c r="A199" s="146" t="s">
        <v>500</v>
      </c>
      <c r="B199" s="282">
        <v>86942</v>
      </c>
      <c r="C199" s="282" t="s">
        <v>1324</v>
      </c>
      <c r="D199" s="283" t="s">
        <v>1647</v>
      </c>
      <c r="E199" s="284" t="s">
        <v>102</v>
      </c>
      <c r="F199" s="268">
        <f t="shared" si="53"/>
        <v>0</v>
      </c>
      <c r="G199" s="285">
        <v>2</v>
      </c>
      <c r="H199" s="285">
        <v>0</v>
      </c>
      <c r="I199" s="285">
        <v>0</v>
      </c>
      <c r="J199" s="285">
        <v>0</v>
      </c>
      <c r="K199" s="269">
        <f t="shared" si="54"/>
        <v>0</v>
      </c>
      <c r="L199" s="344">
        <f t="shared" si="55"/>
        <v>0</v>
      </c>
      <c r="M199" s="344">
        <f t="shared" si="58"/>
        <v>0</v>
      </c>
      <c r="N199" s="345">
        <f t="shared" si="56"/>
        <v>0</v>
      </c>
      <c r="O199" s="325" t="e">
        <f t="shared" si="47"/>
        <v>#DIV/0!</v>
      </c>
      <c r="P199" s="319">
        <f t="shared" si="57"/>
        <v>0</v>
      </c>
    </row>
    <row r="200" spans="1:16" ht="25.5" x14ac:dyDescent="0.2">
      <c r="A200" s="146" t="s">
        <v>502</v>
      </c>
      <c r="B200" s="282"/>
      <c r="C200" s="282" t="s">
        <v>1339</v>
      </c>
      <c r="D200" s="283" t="s">
        <v>1648</v>
      </c>
      <c r="E200" s="284" t="s">
        <v>102</v>
      </c>
      <c r="F200" s="268">
        <f t="shared" si="53"/>
        <v>0</v>
      </c>
      <c r="G200" s="285">
        <v>2</v>
      </c>
      <c r="H200" s="285">
        <v>0</v>
      </c>
      <c r="I200" s="285">
        <v>0</v>
      </c>
      <c r="J200" s="285">
        <v>0</v>
      </c>
      <c r="K200" s="269">
        <f t="shared" si="54"/>
        <v>0</v>
      </c>
      <c r="L200" s="344">
        <f t="shared" si="55"/>
        <v>0</v>
      </c>
      <c r="M200" s="344">
        <f t="shared" si="58"/>
        <v>0</v>
      </c>
      <c r="N200" s="345">
        <f t="shared" si="56"/>
        <v>0</v>
      </c>
      <c r="O200" s="325" t="e">
        <f t="shared" si="47"/>
        <v>#DIV/0!</v>
      </c>
      <c r="P200" s="319">
        <f t="shared" si="57"/>
        <v>0</v>
      </c>
    </row>
    <row r="201" spans="1:16" ht="25.5" x14ac:dyDescent="0.2">
      <c r="A201" s="146" t="s">
        <v>504</v>
      </c>
      <c r="B201" s="282">
        <v>86906</v>
      </c>
      <c r="C201" s="282" t="s">
        <v>1324</v>
      </c>
      <c r="D201" s="283" t="s">
        <v>1649</v>
      </c>
      <c r="E201" s="284" t="s">
        <v>102</v>
      </c>
      <c r="F201" s="268">
        <f t="shared" si="53"/>
        <v>0</v>
      </c>
      <c r="G201" s="285">
        <v>8</v>
      </c>
      <c r="H201" s="285">
        <v>0</v>
      </c>
      <c r="I201" s="285">
        <v>0</v>
      </c>
      <c r="J201" s="285">
        <v>0</v>
      </c>
      <c r="K201" s="269">
        <f t="shared" si="54"/>
        <v>0</v>
      </c>
      <c r="L201" s="344">
        <f t="shared" si="55"/>
        <v>0</v>
      </c>
      <c r="M201" s="344">
        <f t="shared" si="58"/>
        <v>0</v>
      </c>
      <c r="N201" s="345">
        <f t="shared" si="56"/>
        <v>0</v>
      </c>
      <c r="O201" s="325" t="e">
        <f t="shared" si="47"/>
        <v>#DIV/0!</v>
      </c>
      <c r="P201" s="319">
        <f t="shared" si="57"/>
        <v>0</v>
      </c>
    </row>
    <row r="202" spans="1:16" ht="15.75" x14ac:dyDescent="0.2">
      <c r="A202" s="146" t="s">
        <v>506</v>
      </c>
      <c r="B202" s="282">
        <v>86914</v>
      </c>
      <c r="C202" s="282" t="s">
        <v>1324</v>
      </c>
      <c r="D202" s="283" t="s">
        <v>1650</v>
      </c>
      <c r="E202" s="284" t="s">
        <v>102</v>
      </c>
      <c r="F202" s="268">
        <f t="shared" si="53"/>
        <v>0</v>
      </c>
      <c r="G202" s="285">
        <v>2</v>
      </c>
      <c r="H202" s="285">
        <v>0</v>
      </c>
      <c r="I202" s="285">
        <v>0</v>
      </c>
      <c r="J202" s="285">
        <v>0</v>
      </c>
      <c r="K202" s="269">
        <f t="shared" si="54"/>
        <v>0</v>
      </c>
      <c r="L202" s="344">
        <f t="shared" si="55"/>
        <v>0</v>
      </c>
      <c r="M202" s="344">
        <f t="shared" si="58"/>
        <v>0</v>
      </c>
      <c r="N202" s="345">
        <f t="shared" si="56"/>
        <v>0</v>
      </c>
      <c r="O202" s="325" t="e">
        <f t="shared" si="47"/>
        <v>#DIV/0!</v>
      </c>
      <c r="P202" s="319">
        <f t="shared" si="57"/>
        <v>0</v>
      </c>
    </row>
    <row r="203" spans="1:16" ht="25.5" x14ac:dyDescent="0.2">
      <c r="A203" s="146" t="s">
        <v>508</v>
      </c>
      <c r="B203" s="282">
        <v>9535</v>
      </c>
      <c r="C203" s="282" t="s">
        <v>1324</v>
      </c>
      <c r="D203" s="283" t="s">
        <v>1651</v>
      </c>
      <c r="E203" s="284" t="s">
        <v>102</v>
      </c>
      <c r="F203" s="268">
        <f t="shared" si="53"/>
        <v>0</v>
      </c>
      <c r="G203" s="285">
        <v>6</v>
      </c>
      <c r="H203" s="285">
        <v>0</v>
      </c>
      <c r="I203" s="285">
        <v>0</v>
      </c>
      <c r="J203" s="285">
        <v>0</v>
      </c>
      <c r="K203" s="269">
        <f t="shared" si="54"/>
        <v>0</v>
      </c>
      <c r="L203" s="344">
        <f t="shared" si="55"/>
        <v>0</v>
      </c>
      <c r="M203" s="344">
        <f t="shared" si="58"/>
        <v>0</v>
      </c>
      <c r="N203" s="345">
        <f t="shared" si="56"/>
        <v>0</v>
      </c>
      <c r="O203" s="325" t="e">
        <f t="shared" si="47"/>
        <v>#DIV/0!</v>
      </c>
      <c r="P203" s="319">
        <f t="shared" si="57"/>
        <v>0</v>
      </c>
    </row>
    <row r="204" spans="1:16" ht="25.5" x14ac:dyDescent="0.2">
      <c r="A204" s="146" t="s">
        <v>511</v>
      </c>
      <c r="B204" s="282"/>
      <c r="C204" s="282" t="s">
        <v>1339</v>
      </c>
      <c r="D204" s="283" t="s">
        <v>1652</v>
      </c>
      <c r="E204" s="284" t="s">
        <v>102</v>
      </c>
      <c r="F204" s="268">
        <f t="shared" si="53"/>
        <v>0</v>
      </c>
      <c r="G204" s="285">
        <v>6</v>
      </c>
      <c r="H204" s="285">
        <v>0</v>
      </c>
      <c r="I204" s="285">
        <v>0</v>
      </c>
      <c r="J204" s="285">
        <v>0</v>
      </c>
      <c r="K204" s="269">
        <f t="shared" si="54"/>
        <v>0</v>
      </c>
      <c r="L204" s="344">
        <f t="shared" si="55"/>
        <v>0</v>
      </c>
      <c r="M204" s="344">
        <f t="shared" si="58"/>
        <v>0</v>
      </c>
      <c r="N204" s="345">
        <f t="shared" si="56"/>
        <v>0</v>
      </c>
      <c r="O204" s="325" t="e">
        <f t="shared" si="47"/>
        <v>#DIV/0!</v>
      </c>
      <c r="P204" s="319">
        <f t="shared" si="57"/>
        <v>0</v>
      </c>
    </row>
    <row r="205" spans="1:16" ht="15.75" x14ac:dyDescent="0.2">
      <c r="A205" s="146" t="s">
        <v>513</v>
      </c>
      <c r="B205" s="282"/>
      <c r="C205" s="282" t="s">
        <v>1339</v>
      </c>
      <c r="D205" s="283" t="s">
        <v>1653</v>
      </c>
      <c r="E205" s="284" t="s">
        <v>102</v>
      </c>
      <c r="F205" s="268">
        <f t="shared" si="53"/>
        <v>0</v>
      </c>
      <c r="G205" s="285">
        <v>4</v>
      </c>
      <c r="H205" s="285">
        <v>0</v>
      </c>
      <c r="I205" s="285">
        <v>0</v>
      </c>
      <c r="J205" s="285">
        <v>0</v>
      </c>
      <c r="K205" s="269">
        <f t="shared" si="54"/>
        <v>0</v>
      </c>
      <c r="L205" s="344">
        <f t="shared" si="55"/>
        <v>0</v>
      </c>
      <c r="M205" s="344">
        <f t="shared" si="58"/>
        <v>0</v>
      </c>
      <c r="N205" s="345">
        <f t="shared" si="56"/>
        <v>0</v>
      </c>
      <c r="O205" s="325" t="e">
        <f t="shared" si="47"/>
        <v>#DIV/0!</v>
      </c>
      <c r="P205" s="319">
        <f t="shared" si="57"/>
        <v>0</v>
      </c>
    </row>
    <row r="206" spans="1:16" ht="15.75" x14ac:dyDescent="0.2">
      <c r="A206" s="146" t="s">
        <v>515</v>
      </c>
      <c r="B206" s="282"/>
      <c r="C206" s="282" t="s">
        <v>1339</v>
      </c>
      <c r="D206" s="283" t="s">
        <v>1654</v>
      </c>
      <c r="E206" s="284" t="s">
        <v>102</v>
      </c>
      <c r="F206" s="268">
        <f t="shared" si="53"/>
        <v>0</v>
      </c>
      <c r="G206" s="285">
        <v>4</v>
      </c>
      <c r="H206" s="285">
        <v>0</v>
      </c>
      <c r="I206" s="285">
        <v>0</v>
      </c>
      <c r="J206" s="285">
        <v>0</v>
      </c>
      <c r="K206" s="269">
        <f t="shared" si="54"/>
        <v>0</v>
      </c>
      <c r="L206" s="344">
        <f t="shared" si="55"/>
        <v>0</v>
      </c>
      <c r="M206" s="344">
        <f t="shared" si="58"/>
        <v>0</v>
      </c>
      <c r="N206" s="345">
        <f t="shared" si="56"/>
        <v>0</v>
      </c>
      <c r="O206" s="325" t="e">
        <f t="shared" si="47"/>
        <v>#DIV/0!</v>
      </c>
      <c r="P206" s="319">
        <f t="shared" si="57"/>
        <v>0</v>
      </c>
    </row>
    <row r="207" spans="1:16" ht="25.5" x14ac:dyDescent="0.2">
      <c r="A207" s="146" t="s">
        <v>517</v>
      </c>
      <c r="B207" s="282"/>
      <c r="C207" s="282" t="s">
        <v>1339</v>
      </c>
      <c r="D207" s="283" t="s">
        <v>1655</v>
      </c>
      <c r="E207" s="284" t="s">
        <v>102</v>
      </c>
      <c r="F207" s="268">
        <f t="shared" si="53"/>
        <v>0</v>
      </c>
      <c r="G207" s="285">
        <v>6</v>
      </c>
      <c r="H207" s="285">
        <v>0</v>
      </c>
      <c r="I207" s="285">
        <v>0</v>
      </c>
      <c r="J207" s="285">
        <v>0</v>
      </c>
      <c r="K207" s="269">
        <f t="shared" si="54"/>
        <v>0</v>
      </c>
      <c r="L207" s="344">
        <f t="shared" si="55"/>
        <v>0</v>
      </c>
      <c r="M207" s="344">
        <f t="shared" si="58"/>
        <v>0</v>
      </c>
      <c r="N207" s="345">
        <f t="shared" si="56"/>
        <v>0</v>
      </c>
      <c r="O207" s="325" t="e">
        <f t="shared" si="47"/>
        <v>#DIV/0!</v>
      </c>
      <c r="P207" s="319">
        <f t="shared" si="57"/>
        <v>0</v>
      </c>
    </row>
    <row r="208" spans="1:16" ht="15.75" x14ac:dyDescent="0.2">
      <c r="A208" s="146" t="s">
        <v>519</v>
      </c>
      <c r="B208" s="282"/>
      <c r="C208" s="282" t="s">
        <v>1339</v>
      </c>
      <c r="D208" s="283" t="s">
        <v>1656</v>
      </c>
      <c r="E208" s="284" t="s">
        <v>102</v>
      </c>
      <c r="F208" s="268">
        <f t="shared" si="53"/>
        <v>0</v>
      </c>
      <c r="G208" s="285">
        <v>2</v>
      </c>
      <c r="H208" s="285">
        <v>0</v>
      </c>
      <c r="I208" s="285">
        <v>0</v>
      </c>
      <c r="J208" s="285">
        <v>0</v>
      </c>
      <c r="K208" s="269">
        <f t="shared" si="54"/>
        <v>0</v>
      </c>
      <c r="L208" s="344">
        <f t="shared" si="55"/>
        <v>0</v>
      </c>
      <c r="M208" s="344">
        <f t="shared" si="58"/>
        <v>0</v>
      </c>
      <c r="N208" s="345">
        <f t="shared" si="56"/>
        <v>0</v>
      </c>
      <c r="O208" s="325" t="e">
        <f t="shared" si="47"/>
        <v>#DIV/0!</v>
      </c>
      <c r="P208" s="319">
        <f t="shared" si="57"/>
        <v>0</v>
      </c>
    </row>
    <row r="209" spans="1:16" ht="15.75" x14ac:dyDescent="0.2">
      <c r="A209" s="351">
        <v>16</v>
      </c>
      <c r="B209" s="286"/>
      <c r="C209" s="286"/>
      <c r="D209" s="287" t="s">
        <v>1657</v>
      </c>
      <c r="E209" s="288"/>
      <c r="F209" s="261">
        <f>K209</f>
        <v>0</v>
      </c>
      <c r="G209" s="289"/>
      <c r="H209" s="261"/>
      <c r="I209" s="261"/>
      <c r="J209" s="261"/>
      <c r="K209" s="262">
        <f>SUM(K210:K214)</f>
        <v>0</v>
      </c>
      <c r="L209" s="342"/>
      <c r="M209" s="342"/>
      <c r="N209" s="343">
        <f>SUM(N210:N214)</f>
        <v>0</v>
      </c>
      <c r="O209" s="325" t="e">
        <f t="shared" si="47"/>
        <v>#DIV/0!</v>
      </c>
      <c r="P209" s="319"/>
    </row>
    <row r="210" spans="1:16" ht="15.75" x14ac:dyDescent="0.2">
      <c r="A210" s="146" t="s">
        <v>616</v>
      </c>
      <c r="B210" s="282"/>
      <c r="C210" s="282" t="s">
        <v>1339</v>
      </c>
      <c r="D210" s="283" t="s">
        <v>1658</v>
      </c>
      <c r="E210" s="284" t="s">
        <v>102</v>
      </c>
      <c r="F210" s="268">
        <f>ROUND(T210*$T$12,2)</f>
        <v>0</v>
      </c>
      <c r="G210" s="285">
        <v>2</v>
      </c>
      <c r="H210" s="285">
        <v>0</v>
      </c>
      <c r="I210" s="285">
        <v>0</v>
      </c>
      <c r="J210" s="285">
        <v>0</v>
      </c>
      <c r="K210" s="269">
        <f>ROUND(G210*F210,2)</f>
        <v>0</v>
      </c>
      <c r="L210" s="344">
        <f>H210*F210</f>
        <v>0</v>
      </c>
      <c r="M210" s="344">
        <f>L210</f>
        <v>0</v>
      </c>
      <c r="N210" s="345">
        <f>F210*G210-M210</f>
        <v>0</v>
      </c>
      <c r="O210" s="325" t="e">
        <f t="shared" si="47"/>
        <v>#DIV/0!</v>
      </c>
      <c r="P210" s="319">
        <f>G210*F210</f>
        <v>0</v>
      </c>
    </row>
    <row r="211" spans="1:16" ht="15.75" x14ac:dyDescent="0.2">
      <c r="A211" s="146" t="s">
        <v>618</v>
      </c>
      <c r="B211" s="282"/>
      <c r="C211" s="282" t="s">
        <v>1339</v>
      </c>
      <c r="D211" s="283" t="s">
        <v>1659</v>
      </c>
      <c r="E211" s="284" t="s">
        <v>102</v>
      </c>
      <c r="F211" s="268">
        <f>ROUND(T211*$T$12,2)</f>
        <v>0</v>
      </c>
      <c r="G211" s="285">
        <v>2</v>
      </c>
      <c r="H211" s="285">
        <v>0</v>
      </c>
      <c r="I211" s="285">
        <v>0</v>
      </c>
      <c r="J211" s="285">
        <v>0</v>
      </c>
      <c r="K211" s="269">
        <f>ROUND(G211*F211,2)</f>
        <v>0</v>
      </c>
      <c r="L211" s="344">
        <f>H211*F211</f>
        <v>0</v>
      </c>
      <c r="M211" s="344">
        <f>L211</f>
        <v>0</v>
      </c>
      <c r="N211" s="345">
        <f>F211*G211-M211</f>
        <v>0</v>
      </c>
      <c r="O211" s="325" t="e">
        <f t="shared" si="47"/>
        <v>#DIV/0!</v>
      </c>
      <c r="P211" s="319">
        <f>G211*F211</f>
        <v>0</v>
      </c>
    </row>
    <row r="212" spans="1:16" ht="15.75" x14ac:dyDescent="0.2">
      <c r="A212" s="146" t="s">
        <v>620</v>
      </c>
      <c r="B212" s="282"/>
      <c r="C212" s="282" t="s">
        <v>1339</v>
      </c>
      <c r="D212" s="283" t="s">
        <v>1660</v>
      </c>
      <c r="E212" s="284" t="s">
        <v>102</v>
      </c>
      <c r="F212" s="268">
        <f>ROUND(T212*$T$12,2)</f>
        <v>0</v>
      </c>
      <c r="G212" s="285">
        <v>2</v>
      </c>
      <c r="H212" s="285">
        <v>0</v>
      </c>
      <c r="I212" s="285">
        <v>0</v>
      </c>
      <c r="J212" s="285">
        <v>0</v>
      </c>
      <c r="K212" s="269">
        <f>ROUND(G212*F212,2)</f>
        <v>0</v>
      </c>
      <c r="L212" s="344">
        <f>H212*F212</f>
        <v>0</v>
      </c>
      <c r="M212" s="344">
        <f>L212</f>
        <v>0</v>
      </c>
      <c r="N212" s="345">
        <f>F212*G212-M212</f>
        <v>0</v>
      </c>
      <c r="O212" s="325" t="e">
        <f t="shared" si="47"/>
        <v>#DIV/0!</v>
      </c>
      <c r="P212" s="319">
        <f>G212*F212</f>
        <v>0</v>
      </c>
    </row>
    <row r="213" spans="1:16" ht="15.75" x14ac:dyDescent="0.2">
      <c r="A213" s="146" t="s">
        <v>1661</v>
      </c>
      <c r="B213" s="282"/>
      <c r="C213" s="282" t="s">
        <v>1339</v>
      </c>
      <c r="D213" s="283" t="s">
        <v>1662</v>
      </c>
      <c r="E213" s="284" t="s">
        <v>102</v>
      </c>
      <c r="F213" s="268">
        <f>ROUND(T213*$T$12,2)</f>
        <v>0</v>
      </c>
      <c r="G213" s="285">
        <v>2</v>
      </c>
      <c r="H213" s="285">
        <v>0</v>
      </c>
      <c r="I213" s="285">
        <v>0</v>
      </c>
      <c r="J213" s="285">
        <v>0</v>
      </c>
      <c r="K213" s="269">
        <f>ROUND(G213*F213,2)</f>
        <v>0</v>
      </c>
      <c r="L213" s="344">
        <f>H213*F213</f>
        <v>0</v>
      </c>
      <c r="M213" s="344">
        <f>L213</f>
        <v>0</v>
      </c>
      <c r="N213" s="345">
        <f>F213*G213-M213</f>
        <v>0</v>
      </c>
      <c r="O213" s="325" t="e">
        <f t="shared" si="47"/>
        <v>#DIV/0!</v>
      </c>
      <c r="P213" s="319">
        <f>G213*F213</f>
        <v>0</v>
      </c>
    </row>
    <row r="214" spans="1:16" ht="15.75" x14ac:dyDescent="0.2">
      <c r="A214" s="146" t="s">
        <v>1663</v>
      </c>
      <c r="B214" s="282"/>
      <c r="C214" s="282" t="s">
        <v>1339</v>
      </c>
      <c r="D214" s="283" t="s">
        <v>1664</v>
      </c>
      <c r="E214" s="284" t="s">
        <v>102</v>
      </c>
      <c r="F214" s="268">
        <f>ROUND(T214*$T$12,2)</f>
        <v>0</v>
      </c>
      <c r="G214" s="285">
        <v>2</v>
      </c>
      <c r="H214" s="285">
        <v>0</v>
      </c>
      <c r="I214" s="285">
        <v>0</v>
      </c>
      <c r="J214" s="285">
        <v>0</v>
      </c>
      <c r="K214" s="269">
        <f>ROUND(G214*F214,2)</f>
        <v>0</v>
      </c>
      <c r="L214" s="344">
        <f>H214*F214</f>
        <v>0</v>
      </c>
      <c r="M214" s="344">
        <f>L214</f>
        <v>0</v>
      </c>
      <c r="N214" s="345">
        <f>F214*G214-M214</f>
        <v>0</v>
      </c>
      <c r="O214" s="325" t="e">
        <f t="shared" si="47"/>
        <v>#DIV/0!</v>
      </c>
      <c r="P214" s="319">
        <f>G214*F214</f>
        <v>0</v>
      </c>
    </row>
    <row r="215" spans="1:16" ht="15.75" x14ac:dyDescent="0.2">
      <c r="A215" s="351">
        <v>17</v>
      </c>
      <c r="B215" s="286"/>
      <c r="C215" s="286"/>
      <c r="D215" s="287" t="s">
        <v>1665</v>
      </c>
      <c r="E215" s="288"/>
      <c r="F215" s="261">
        <f>K215</f>
        <v>0</v>
      </c>
      <c r="G215" s="289"/>
      <c r="H215" s="261"/>
      <c r="I215" s="261"/>
      <c r="J215" s="261"/>
      <c r="K215" s="262">
        <f>K216+K226+K248+K253</f>
        <v>0</v>
      </c>
      <c r="L215" s="342"/>
      <c r="M215" s="342"/>
      <c r="N215" s="343">
        <f>SUM(N216,N226,N248,N253)</f>
        <v>0</v>
      </c>
      <c r="O215" s="325" t="e">
        <f t="shared" si="47"/>
        <v>#DIV/0!</v>
      </c>
      <c r="P215" s="319"/>
    </row>
    <row r="216" spans="1:16" ht="15.75" x14ac:dyDescent="0.2">
      <c r="A216" s="352" t="s">
        <v>625</v>
      </c>
      <c r="B216" s="290"/>
      <c r="C216" s="290"/>
      <c r="D216" s="291" t="s">
        <v>1666</v>
      </c>
      <c r="E216" s="292"/>
      <c r="F216" s="279">
        <f>K216</f>
        <v>0</v>
      </c>
      <c r="G216" s="293"/>
      <c r="H216" s="279"/>
      <c r="I216" s="279"/>
      <c r="J216" s="279"/>
      <c r="K216" s="280">
        <f>SUM(K217:K225)</f>
        <v>0</v>
      </c>
      <c r="L216" s="349"/>
      <c r="M216" s="349"/>
      <c r="N216" s="350">
        <f>SUM(N217:N225)</f>
        <v>0</v>
      </c>
      <c r="O216" s="325" t="e">
        <f t="shared" si="47"/>
        <v>#DIV/0!</v>
      </c>
      <c r="P216" s="319"/>
    </row>
    <row r="217" spans="1:16" ht="15.75" x14ac:dyDescent="0.2">
      <c r="A217" s="146" t="s">
        <v>1667</v>
      </c>
      <c r="B217" s="282">
        <v>83463</v>
      </c>
      <c r="C217" s="282" t="s">
        <v>1324</v>
      </c>
      <c r="D217" s="283" t="s">
        <v>1668</v>
      </c>
      <c r="E217" s="284" t="s">
        <v>102</v>
      </c>
      <c r="F217" s="268">
        <f t="shared" ref="F217:F225" si="59">ROUND(T217*$T$12,2)</f>
        <v>0</v>
      </c>
      <c r="G217" s="285">
        <v>1</v>
      </c>
      <c r="H217" s="285">
        <v>0</v>
      </c>
      <c r="I217" s="285">
        <v>0</v>
      </c>
      <c r="J217" s="285">
        <v>0</v>
      </c>
      <c r="K217" s="269">
        <f t="shared" ref="K217:K225" si="60">ROUND(G217*F217,2)</f>
        <v>0</v>
      </c>
      <c r="L217" s="344">
        <f t="shared" ref="L217:L225" si="61">H217*F217</f>
        <v>0</v>
      </c>
      <c r="M217" s="344">
        <f t="shared" ref="M217:M225" si="62">L217</f>
        <v>0</v>
      </c>
      <c r="N217" s="345">
        <f t="shared" ref="N217:N225" si="63">F217*G217-M217</f>
        <v>0</v>
      </c>
      <c r="O217" s="325" t="e">
        <f t="shared" si="47"/>
        <v>#DIV/0!</v>
      </c>
      <c r="P217" s="319">
        <f t="shared" ref="P217:P225" si="64">G217*F217</f>
        <v>0</v>
      </c>
    </row>
    <row r="218" spans="1:16" ht="15.75" x14ac:dyDescent="0.2">
      <c r="A218" s="146" t="s">
        <v>1669</v>
      </c>
      <c r="B218" s="282" t="s">
        <v>1670</v>
      </c>
      <c r="C218" s="282" t="s">
        <v>1324</v>
      </c>
      <c r="D218" s="283" t="s">
        <v>1671</v>
      </c>
      <c r="E218" s="284" t="s">
        <v>102</v>
      </c>
      <c r="F218" s="268">
        <f t="shared" si="59"/>
        <v>0</v>
      </c>
      <c r="G218" s="285">
        <v>1</v>
      </c>
      <c r="H218" s="285">
        <v>0</v>
      </c>
      <c r="I218" s="285">
        <v>0</v>
      </c>
      <c r="J218" s="285">
        <v>0</v>
      </c>
      <c r="K218" s="269">
        <f t="shared" si="60"/>
        <v>0</v>
      </c>
      <c r="L218" s="344">
        <f t="shared" si="61"/>
        <v>0</v>
      </c>
      <c r="M218" s="344">
        <f t="shared" si="62"/>
        <v>0</v>
      </c>
      <c r="N218" s="345">
        <f t="shared" si="63"/>
        <v>0</v>
      </c>
      <c r="O218" s="325" t="e">
        <f t="shared" si="47"/>
        <v>#DIV/0!</v>
      </c>
      <c r="P218" s="319">
        <f t="shared" si="64"/>
        <v>0</v>
      </c>
    </row>
    <row r="219" spans="1:16" ht="15.75" x14ac:dyDescent="0.2">
      <c r="A219" s="146" t="s">
        <v>1672</v>
      </c>
      <c r="B219" s="282" t="s">
        <v>1673</v>
      </c>
      <c r="C219" s="282" t="s">
        <v>1343</v>
      </c>
      <c r="D219" s="283" t="s">
        <v>1674</v>
      </c>
      <c r="E219" s="284" t="s">
        <v>102</v>
      </c>
      <c r="F219" s="268">
        <f t="shared" si="59"/>
        <v>0</v>
      </c>
      <c r="G219" s="285">
        <v>1</v>
      </c>
      <c r="H219" s="285">
        <v>0</v>
      </c>
      <c r="I219" s="285">
        <v>0</v>
      </c>
      <c r="J219" s="285">
        <v>0</v>
      </c>
      <c r="K219" s="269">
        <f t="shared" si="60"/>
        <v>0</v>
      </c>
      <c r="L219" s="344">
        <f t="shared" si="61"/>
        <v>0</v>
      </c>
      <c r="M219" s="344">
        <f t="shared" si="62"/>
        <v>0</v>
      </c>
      <c r="N219" s="345">
        <f t="shared" si="63"/>
        <v>0</v>
      </c>
      <c r="O219" s="325" t="e">
        <f t="shared" si="47"/>
        <v>#DIV/0!</v>
      </c>
      <c r="P219" s="319">
        <f t="shared" si="64"/>
        <v>0</v>
      </c>
    </row>
    <row r="220" spans="1:16" ht="15.75" x14ac:dyDescent="0.2">
      <c r="A220" s="146" t="s">
        <v>1675</v>
      </c>
      <c r="B220" s="282" t="s">
        <v>1676</v>
      </c>
      <c r="C220" s="282" t="s">
        <v>1324</v>
      </c>
      <c r="D220" s="283" t="s">
        <v>1677</v>
      </c>
      <c r="E220" s="284" t="s">
        <v>102</v>
      </c>
      <c r="F220" s="268">
        <f t="shared" si="59"/>
        <v>0</v>
      </c>
      <c r="G220" s="285">
        <v>7</v>
      </c>
      <c r="H220" s="285">
        <v>0</v>
      </c>
      <c r="I220" s="285">
        <v>0</v>
      </c>
      <c r="J220" s="285">
        <v>0</v>
      </c>
      <c r="K220" s="269">
        <f t="shared" si="60"/>
        <v>0</v>
      </c>
      <c r="L220" s="344">
        <f t="shared" si="61"/>
        <v>0</v>
      </c>
      <c r="M220" s="344">
        <f t="shared" si="62"/>
        <v>0</v>
      </c>
      <c r="N220" s="345">
        <f t="shared" si="63"/>
        <v>0</v>
      </c>
      <c r="O220" s="325" t="e">
        <f t="shared" si="47"/>
        <v>#DIV/0!</v>
      </c>
      <c r="P220" s="319">
        <f t="shared" si="64"/>
        <v>0</v>
      </c>
    </row>
    <row r="221" spans="1:16" ht="15.75" x14ac:dyDescent="0.2">
      <c r="A221" s="146" t="s">
        <v>1678</v>
      </c>
      <c r="B221" s="282" t="s">
        <v>1676</v>
      </c>
      <c r="C221" s="282" t="s">
        <v>1324</v>
      </c>
      <c r="D221" s="283" t="s">
        <v>1679</v>
      </c>
      <c r="E221" s="284" t="s">
        <v>102</v>
      </c>
      <c r="F221" s="268">
        <f t="shared" si="59"/>
        <v>0</v>
      </c>
      <c r="G221" s="285">
        <v>5</v>
      </c>
      <c r="H221" s="285">
        <v>0</v>
      </c>
      <c r="I221" s="285">
        <v>0</v>
      </c>
      <c r="J221" s="285">
        <v>0</v>
      </c>
      <c r="K221" s="269">
        <f t="shared" si="60"/>
        <v>0</v>
      </c>
      <c r="L221" s="344">
        <f t="shared" si="61"/>
        <v>0</v>
      </c>
      <c r="M221" s="344">
        <f t="shared" si="62"/>
        <v>0</v>
      </c>
      <c r="N221" s="345">
        <f t="shared" si="63"/>
        <v>0</v>
      </c>
      <c r="O221" s="325" t="e">
        <f t="shared" si="47"/>
        <v>#DIV/0!</v>
      </c>
      <c r="P221" s="319">
        <f t="shared" si="64"/>
        <v>0</v>
      </c>
    </row>
    <row r="222" spans="1:16" ht="15.75" x14ac:dyDescent="0.2">
      <c r="A222" s="146" t="s">
        <v>1680</v>
      </c>
      <c r="B222" s="282" t="s">
        <v>1676</v>
      </c>
      <c r="C222" s="282" t="s">
        <v>1324</v>
      </c>
      <c r="D222" s="283" t="s">
        <v>1681</v>
      </c>
      <c r="E222" s="284" t="s">
        <v>102</v>
      </c>
      <c r="F222" s="268">
        <f t="shared" si="59"/>
        <v>0</v>
      </c>
      <c r="G222" s="285">
        <v>8</v>
      </c>
      <c r="H222" s="285">
        <v>0</v>
      </c>
      <c r="I222" s="285">
        <v>0</v>
      </c>
      <c r="J222" s="285">
        <v>0</v>
      </c>
      <c r="K222" s="269">
        <f t="shared" si="60"/>
        <v>0</v>
      </c>
      <c r="L222" s="344">
        <f t="shared" si="61"/>
        <v>0</v>
      </c>
      <c r="M222" s="344">
        <f t="shared" si="62"/>
        <v>0</v>
      </c>
      <c r="N222" s="345">
        <f t="shared" si="63"/>
        <v>0</v>
      </c>
      <c r="O222" s="325" t="e">
        <f t="shared" si="47"/>
        <v>#DIV/0!</v>
      </c>
      <c r="P222" s="319">
        <f t="shared" si="64"/>
        <v>0</v>
      </c>
    </row>
    <row r="223" spans="1:16" ht="15.75" x14ac:dyDescent="0.2">
      <c r="A223" s="146" t="s">
        <v>1682</v>
      </c>
      <c r="B223" s="282" t="s">
        <v>1683</v>
      </c>
      <c r="C223" s="282" t="s">
        <v>1324</v>
      </c>
      <c r="D223" s="283" t="s">
        <v>1684</v>
      </c>
      <c r="E223" s="284" t="s">
        <v>102</v>
      </c>
      <c r="F223" s="268">
        <f t="shared" si="59"/>
        <v>0</v>
      </c>
      <c r="G223" s="285">
        <v>2</v>
      </c>
      <c r="H223" s="285">
        <v>0</v>
      </c>
      <c r="I223" s="285">
        <v>0</v>
      </c>
      <c r="J223" s="285">
        <v>0</v>
      </c>
      <c r="K223" s="269">
        <f t="shared" si="60"/>
        <v>0</v>
      </c>
      <c r="L223" s="344">
        <f t="shared" si="61"/>
        <v>0</v>
      </c>
      <c r="M223" s="344">
        <f t="shared" si="62"/>
        <v>0</v>
      </c>
      <c r="N223" s="345">
        <f t="shared" si="63"/>
        <v>0</v>
      </c>
      <c r="O223" s="325" t="e">
        <f t="shared" si="47"/>
        <v>#DIV/0!</v>
      </c>
      <c r="P223" s="319">
        <f t="shared" si="64"/>
        <v>0</v>
      </c>
    </row>
    <row r="224" spans="1:16" ht="15.75" x14ac:dyDescent="0.2">
      <c r="A224" s="146" t="s">
        <v>1685</v>
      </c>
      <c r="B224" s="282" t="s">
        <v>1686</v>
      </c>
      <c r="C224" s="282" t="s">
        <v>1324</v>
      </c>
      <c r="D224" s="283" t="s">
        <v>1687</v>
      </c>
      <c r="E224" s="284" t="s">
        <v>102</v>
      </c>
      <c r="F224" s="268">
        <f t="shared" si="59"/>
        <v>0</v>
      </c>
      <c r="G224" s="285">
        <v>1</v>
      </c>
      <c r="H224" s="285">
        <v>0</v>
      </c>
      <c r="I224" s="285">
        <v>0</v>
      </c>
      <c r="J224" s="285">
        <v>0</v>
      </c>
      <c r="K224" s="269">
        <f t="shared" si="60"/>
        <v>0</v>
      </c>
      <c r="L224" s="344">
        <f t="shared" si="61"/>
        <v>0</v>
      </c>
      <c r="M224" s="344">
        <f t="shared" si="62"/>
        <v>0</v>
      </c>
      <c r="N224" s="345">
        <f t="shared" si="63"/>
        <v>0</v>
      </c>
      <c r="O224" s="325" t="e">
        <f t="shared" si="47"/>
        <v>#DIV/0!</v>
      </c>
      <c r="P224" s="319">
        <f t="shared" si="64"/>
        <v>0</v>
      </c>
    </row>
    <row r="225" spans="1:16" ht="25.5" x14ac:dyDescent="0.2">
      <c r="A225" s="146" t="s">
        <v>1688</v>
      </c>
      <c r="B225" s="282"/>
      <c r="C225" s="282" t="s">
        <v>1339</v>
      </c>
      <c r="D225" s="283" t="s">
        <v>1689</v>
      </c>
      <c r="E225" s="284" t="s">
        <v>102</v>
      </c>
      <c r="F225" s="268">
        <f t="shared" si="59"/>
        <v>0</v>
      </c>
      <c r="G225" s="285">
        <v>4</v>
      </c>
      <c r="H225" s="285">
        <v>0</v>
      </c>
      <c r="I225" s="285">
        <v>0</v>
      </c>
      <c r="J225" s="285">
        <v>0</v>
      </c>
      <c r="K225" s="269">
        <f t="shared" si="60"/>
        <v>0</v>
      </c>
      <c r="L225" s="344">
        <f t="shared" si="61"/>
        <v>0</v>
      </c>
      <c r="M225" s="344">
        <f t="shared" si="62"/>
        <v>0</v>
      </c>
      <c r="N225" s="345">
        <f t="shared" si="63"/>
        <v>0</v>
      </c>
      <c r="O225" s="325" t="e">
        <f t="shared" si="47"/>
        <v>#DIV/0!</v>
      </c>
      <c r="P225" s="319">
        <f t="shared" si="64"/>
        <v>0</v>
      </c>
    </row>
    <row r="226" spans="1:16" ht="15.75" x14ac:dyDescent="0.2">
      <c r="A226" s="352" t="s">
        <v>631</v>
      </c>
      <c r="B226" s="290"/>
      <c r="C226" s="290"/>
      <c r="D226" s="291" t="s">
        <v>1690</v>
      </c>
      <c r="E226" s="292"/>
      <c r="F226" s="279">
        <f>K226</f>
        <v>0</v>
      </c>
      <c r="G226" s="293"/>
      <c r="H226" s="279"/>
      <c r="I226" s="279"/>
      <c r="J226" s="279"/>
      <c r="K226" s="280">
        <f>SUM(K227:K247)</f>
        <v>0</v>
      </c>
      <c r="L226" s="349"/>
      <c r="M226" s="349"/>
      <c r="N226" s="350">
        <f>SUM(N227:N247)</f>
        <v>0</v>
      </c>
      <c r="O226" s="325" t="e">
        <f t="shared" si="47"/>
        <v>#DIV/0!</v>
      </c>
      <c r="P226" s="319"/>
    </row>
    <row r="227" spans="1:16" ht="15.75" x14ac:dyDescent="0.2">
      <c r="A227" s="146" t="s">
        <v>1691</v>
      </c>
      <c r="B227" s="282">
        <v>91854</v>
      </c>
      <c r="C227" s="282" t="s">
        <v>1324</v>
      </c>
      <c r="D227" s="283" t="s">
        <v>1692</v>
      </c>
      <c r="E227" s="284" t="s">
        <v>81</v>
      </c>
      <c r="F227" s="268">
        <f t="shared" ref="F227:F247" si="65">ROUND(T227*$T$12,2)</f>
        <v>0</v>
      </c>
      <c r="G227" s="285">
        <v>28</v>
      </c>
      <c r="H227" s="285">
        <v>0</v>
      </c>
      <c r="I227" s="285">
        <v>0</v>
      </c>
      <c r="J227" s="285">
        <v>0</v>
      </c>
      <c r="K227" s="269">
        <f t="shared" ref="K227:K247" si="66">ROUND(G227*F227,2)</f>
        <v>0</v>
      </c>
      <c r="L227" s="344">
        <f t="shared" ref="L227:L247" si="67">H227*F227</f>
        <v>0</v>
      </c>
      <c r="M227" s="344">
        <f t="shared" ref="M227:M247" si="68">L227</f>
        <v>0</v>
      </c>
      <c r="N227" s="345">
        <f t="shared" ref="N227:N247" si="69">F227*G227-M227</f>
        <v>0</v>
      </c>
      <c r="O227" s="325" t="e">
        <f t="shared" si="47"/>
        <v>#DIV/0!</v>
      </c>
      <c r="P227" s="319">
        <f t="shared" ref="P227:P252" si="70">G227*F227</f>
        <v>0</v>
      </c>
    </row>
    <row r="228" spans="1:16" ht="15.75" x14ac:dyDescent="0.2">
      <c r="A228" s="146" t="s">
        <v>1693</v>
      </c>
      <c r="B228" s="282">
        <v>91856</v>
      </c>
      <c r="C228" s="282" t="s">
        <v>1324</v>
      </c>
      <c r="D228" s="283" t="s">
        <v>1694</v>
      </c>
      <c r="E228" s="284" t="s">
        <v>81</v>
      </c>
      <c r="F228" s="268">
        <f t="shared" si="65"/>
        <v>0</v>
      </c>
      <c r="G228" s="285">
        <v>18</v>
      </c>
      <c r="H228" s="285">
        <v>0</v>
      </c>
      <c r="I228" s="285">
        <v>0</v>
      </c>
      <c r="J228" s="285">
        <v>0</v>
      </c>
      <c r="K228" s="269">
        <f t="shared" si="66"/>
        <v>0</v>
      </c>
      <c r="L228" s="344">
        <f t="shared" si="67"/>
        <v>0</v>
      </c>
      <c r="M228" s="344">
        <f t="shared" si="68"/>
        <v>0</v>
      </c>
      <c r="N228" s="345">
        <f t="shared" si="69"/>
        <v>0</v>
      </c>
      <c r="O228" s="325" t="e">
        <f t="shared" si="47"/>
        <v>#DIV/0!</v>
      </c>
      <c r="P228" s="319">
        <f t="shared" si="70"/>
        <v>0</v>
      </c>
    </row>
    <row r="229" spans="1:16" ht="15.75" x14ac:dyDescent="0.2">
      <c r="A229" s="146" t="s">
        <v>1695</v>
      </c>
      <c r="B229" s="282">
        <v>91873</v>
      </c>
      <c r="C229" s="282" t="s">
        <v>1324</v>
      </c>
      <c r="D229" s="283" t="s">
        <v>1696</v>
      </c>
      <c r="E229" s="284" t="s">
        <v>81</v>
      </c>
      <c r="F229" s="268">
        <f t="shared" si="65"/>
        <v>0</v>
      </c>
      <c r="G229" s="285">
        <v>18</v>
      </c>
      <c r="H229" s="285">
        <v>0</v>
      </c>
      <c r="I229" s="285">
        <v>0</v>
      </c>
      <c r="J229" s="285">
        <v>0</v>
      </c>
      <c r="K229" s="269">
        <f t="shared" si="66"/>
        <v>0</v>
      </c>
      <c r="L229" s="344">
        <f t="shared" si="67"/>
        <v>0</v>
      </c>
      <c r="M229" s="344">
        <f t="shared" si="68"/>
        <v>0</v>
      </c>
      <c r="N229" s="345">
        <f t="shared" si="69"/>
        <v>0</v>
      </c>
      <c r="O229" s="325" t="e">
        <f t="shared" si="47"/>
        <v>#DIV/0!</v>
      </c>
      <c r="P229" s="319">
        <f t="shared" si="70"/>
        <v>0</v>
      </c>
    </row>
    <row r="230" spans="1:16" ht="15.75" x14ac:dyDescent="0.2">
      <c r="A230" s="146" t="s">
        <v>1697</v>
      </c>
      <c r="B230" s="282">
        <v>72308</v>
      </c>
      <c r="C230" s="282" t="s">
        <v>1324</v>
      </c>
      <c r="D230" s="283" t="s">
        <v>1698</v>
      </c>
      <c r="E230" s="284" t="s">
        <v>81</v>
      </c>
      <c r="F230" s="268">
        <f t="shared" si="65"/>
        <v>0</v>
      </c>
      <c r="G230" s="285">
        <v>82</v>
      </c>
      <c r="H230" s="285">
        <v>0</v>
      </c>
      <c r="I230" s="285">
        <v>0</v>
      </c>
      <c r="J230" s="285">
        <v>0</v>
      </c>
      <c r="K230" s="269">
        <f t="shared" si="66"/>
        <v>0</v>
      </c>
      <c r="L230" s="344">
        <f t="shared" si="67"/>
        <v>0</v>
      </c>
      <c r="M230" s="344">
        <f t="shared" si="68"/>
        <v>0</v>
      </c>
      <c r="N230" s="345">
        <f t="shared" si="69"/>
        <v>0</v>
      </c>
      <c r="O230" s="325" t="e">
        <f t="shared" si="47"/>
        <v>#DIV/0!</v>
      </c>
      <c r="P230" s="319">
        <f t="shared" si="70"/>
        <v>0</v>
      </c>
    </row>
    <row r="231" spans="1:16" ht="15.75" x14ac:dyDescent="0.2">
      <c r="A231" s="146" t="s">
        <v>1699</v>
      </c>
      <c r="B231" s="282">
        <v>72309</v>
      </c>
      <c r="C231" s="282" t="s">
        <v>1324</v>
      </c>
      <c r="D231" s="283" t="s">
        <v>1700</v>
      </c>
      <c r="E231" s="284" t="s">
        <v>81</v>
      </c>
      <c r="F231" s="268">
        <f t="shared" si="65"/>
        <v>0</v>
      </c>
      <c r="G231" s="285">
        <v>13</v>
      </c>
      <c r="H231" s="285">
        <v>0</v>
      </c>
      <c r="I231" s="285">
        <v>0</v>
      </c>
      <c r="J231" s="285">
        <v>0</v>
      </c>
      <c r="K231" s="269">
        <f t="shared" si="66"/>
        <v>0</v>
      </c>
      <c r="L231" s="344">
        <f t="shared" si="67"/>
        <v>0</v>
      </c>
      <c r="M231" s="344">
        <f t="shared" si="68"/>
        <v>0</v>
      </c>
      <c r="N231" s="345">
        <f t="shared" si="69"/>
        <v>0</v>
      </c>
      <c r="O231" s="325" t="e">
        <f t="shared" si="47"/>
        <v>#DIV/0!</v>
      </c>
      <c r="P231" s="319">
        <f t="shared" si="70"/>
        <v>0</v>
      </c>
    </row>
    <row r="232" spans="1:16" ht="15.75" x14ac:dyDescent="0.2">
      <c r="A232" s="146" t="s">
        <v>1701</v>
      </c>
      <c r="B232" s="282">
        <v>72310</v>
      </c>
      <c r="C232" s="282" t="s">
        <v>1324</v>
      </c>
      <c r="D232" s="283" t="s">
        <v>1702</v>
      </c>
      <c r="E232" s="284" t="s">
        <v>81</v>
      </c>
      <c r="F232" s="268">
        <f t="shared" si="65"/>
        <v>0</v>
      </c>
      <c r="G232" s="285">
        <v>30</v>
      </c>
      <c r="H232" s="285">
        <v>0</v>
      </c>
      <c r="I232" s="285">
        <v>0</v>
      </c>
      <c r="J232" s="285">
        <v>0</v>
      </c>
      <c r="K232" s="269">
        <f t="shared" si="66"/>
        <v>0</v>
      </c>
      <c r="L232" s="344">
        <f t="shared" si="67"/>
        <v>0</v>
      </c>
      <c r="M232" s="344">
        <f t="shared" si="68"/>
        <v>0</v>
      </c>
      <c r="N232" s="345">
        <f t="shared" si="69"/>
        <v>0</v>
      </c>
      <c r="O232" s="325" t="e">
        <f t="shared" si="47"/>
        <v>#DIV/0!</v>
      </c>
      <c r="P232" s="319">
        <f t="shared" si="70"/>
        <v>0</v>
      </c>
    </row>
    <row r="233" spans="1:16" ht="15.75" x14ac:dyDescent="0.2">
      <c r="A233" s="146" t="s">
        <v>1703</v>
      </c>
      <c r="B233" s="282" t="s">
        <v>1704</v>
      </c>
      <c r="C233" s="282" t="s">
        <v>1324</v>
      </c>
      <c r="D233" s="283" t="s">
        <v>1705</v>
      </c>
      <c r="E233" s="284" t="s">
        <v>102</v>
      </c>
      <c r="F233" s="268">
        <f t="shared" si="65"/>
        <v>0</v>
      </c>
      <c r="G233" s="285">
        <v>5</v>
      </c>
      <c r="H233" s="285">
        <v>0</v>
      </c>
      <c r="I233" s="285">
        <v>0</v>
      </c>
      <c r="J233" s="285">
        <v>0</v>
      </c>
      <c r="K233" s="269">
        <f t="shared" si="66"/>
        <v>0</v>
      </c>
      <c r="L233" s="344">
        <f t="shared" si="67"/>
        <v>0</v>
      </c>
      <c r="M233" s="344">
        <f t="shared" si="68"/>
        <v>0</v>
      </c>
      <c r="N233" s="345">
        <f t="shared" si="69"/>
        <v>0</v>
      </c>
      <c r="O233" s="325" t="e">
        <f t="shared" si="47"/>
        <v>#DIV/0!</v>
      </c>
      <c r="P233" s="319">
        <f t="shared" si="70"/>
        <v>0</v>
      </c>
    </row>
    <row r="234" spans="1:16" ht="15.75" x14ac:dyDescent="0.2">
      <c r="A234" s="146" t="s">
        <v>1706</v>
      </c>
      <c r="B234" s="282" t="s">
        <v>1707</v>
      </c>
      <c r="C234" s="282" t="s">
        <v>1324</v>
      </c>
      <c r="D234" s="283" t="s">
        <v>1708</v>
      </c>
      <c r="E234" s="284" t="s">
        <v>102</v>
      </c>
      <c r="F234" s="268">
        <f t="shared" si="65"/>
        <v>0</v>
      </c>
      <c r="G234" s="285">
        <v>5</v>
      </c>
      <c r="H234" s="285">
        <v>0</v>
      </c>
      <c r="I234" s="285">
        <v>0</v>
      </c>
      <c r="J234" s="285">
        <v>0</v>
      </c>
      <c r="K234" s="269">
        <f t="shared" si="66"/>
        <v>0</v>
      </c>
      <c r="L234" s="344">
        <f t="shared" si="67"/>
        <v>0</v>
      </c>
      <c r="M234" s="344">
        <f t="shared" si="68"/>
        <v>0</v>
      </c>
      <c r="N234" s="345">
        <f t="shared" si="69"/>
        <v>0</v>
      </c>
      <c r="O234" s="325" t="e">
        <f t="shared" si="47"/>
        <v>#DIV/0!</v>
      </c>
      <c r="P234" s="319">
        <f t="shared" si="70"/>
        <v>0</v>
      </c>
    </row>
    <row r="235" spans="1:16" ht="15.75" x14ac:dyDescent="0.2">
      <c r="A235" s="146" t="s">
        <v>1709</v>
      </c>
      <c r="B235" s="282" t="s">
        <v>1704</v>
      </c>
      <c r="C235" s="282" t="s">
        <v>1324</v>
      </c>
      <c r="D235" s="283" t="s">
        <v>1710</v>
      </c>
      <c r="E235" s="284" t="s">
        <v>102</v>
      </c>
      <c r="F235" s="268">
        <f t="shared" si="65"/>
        <v>0</v>
      </c>
      <c r="G235" s="285">
        <v>4</v>
      </c>
      <c r="H235" s="285">
        <v>0</v>
      </c>
      <c r="I235" s="285">
        <v>0</v>
      </c>
      <c r="J235" s="285">
        <v>0</v>
      </c>
      <c r="K235" s="269">
        <f t="shared" si="66"/>
        <v>0</v>
      </c>
      <c r="L235" s="344">
        <f t="shared" si="67"/>
        <v>0</v>
      </c>
      <c r="M235" s="344">
        <f t="shared" si="68"/>
        <v>0</v>
      </c>
      <c r="N235" s="345">
        <f t="shared" si="69"/>
        <v>0</v>
      </c>
      <c r="O235" s="325" t="e">
        <f t="shared" si="47"/>
        <v>#DIV/0!</v>
      </c>
      <c r="P235" s="319">
        <f t="shared" si="70"/>
        <v>0</v>
      </c>
    </row>
    <row r="236" spans="1:16" ht="15.75" x14ac:dyDescent="0.2">
      <c r="A236" s="146" t="s">
        <v>1711</v>
      </c>
      <c r="B236" s="282" t="s">
        <v>1712</v>
      </c>
      <c r="C236" s="282" t="s">
        <v>1324</v>
      </c>
      <c r="D236" s="283" t="s">
        <v>1713</v>
      </c>
      <c r="E236" s="284" t="s">
        <v>102</v>
      </c>
      <c r="F236" s="268">
        <f t="shared" si="65"/>
        <v>0</v>
      </c>
      <c r="G236" s="285">
        <v>1</v>
      </c>
      <c r="H236" s="285">
        <v>0</v>
      </c>
      <c r="I236" s="285">
        <v>0</v>
      </c>
      <c r="J236" s="285">
        <v>0</v>
      </c>
      <c r="K236" s="269">
        <f t="shared" si="66"/>
        <v>0</v>
      </c>
      <c r="L236" s="344">
        <f t="shared" si="67"/>
        <v>0</v>
      </c>
      <c r="M236" s="344">
        <f t="shared" si="68"/>
        <v>0</v>
      </c>
      <c r="N236" s="345">
        <f t="shared" si="69"/>
        <v>0</v>
      </c>
      <c r="O236" s="325" t="e">
        <f t="shared" si="47"/>
        <v>#DIV/0!</v>
      </c>
      <c r="P236" s="319">
        <f t="shared" si="70"/>
        <v>0</v>
      </c>
    </row>
    <row r="237" spans="1:16" ht="15.75" x14ac:dyDescent="0.2">
      <c r="A237" s="146" t="s">
        <v>1714</v>
      </c>
      <c r="B237" s="282" t="s">
        <v>1715</v>
      </c>
      <c r="C237" s="282" t="s">
        <v>1343</v>
      </c>
      <c r="D237" s="283" t="s">
        <v>1716</v>
      </c>
      <c r="E237" s="284" t="s">
        <v>102</v>
      </c>
      <c r="F237" s="268">
        <f t="shared" si="65"/>
        <v>0</v>
      </c>
      <c r="G237" s="285">
        <v>50</v>
      </c>
      <c r="H237" s="285">
        <v>0</v>
      </c>
      <c r="I237" s="285">
        <v>0</v>
      </c>
      <c r="J237" s="285">
        <v>0</v>
      </c>
      <c r="K237" s="269">
        <f t="shared" si="66"/>
        <v>0</v>
      </c>
      <c r="L237" s="344">
        <f t="shared" si="67"/>
        <v>0</v>
      </c>
      <c r="M237" s="344">
        <f t="shared" si="68"/>
        <v>0</v>
      </c>
      <c r="N237" s="345">
        <f t="shared" si="69"/>
        <v>0</v>
      </c>
      <c r="O237" s="325" t="e">
        <f t="shared" si="47"/>
        <v>#DIV/0!</v>
      </c>
      <c r="P237" s="319">
        <f t="shared" si="70"/>
        <v>0</v>
      </c>
    </row>
    <row r="238" spans="1:16" ht="15.75" x14ac:dyDescent="0.2">
      <c r="A238" s="146" t="s">
        <v>1717</v>
      </c>
      <c r="B238" s="282" t="s">
        <v>1715</v>
      </c>
      <c r="C238" s="282" t="s">
        <v>1343</v>
      </c>
      <c r="D238" s="283" t="s">
        <v>1718</v>
      </c>
      <c r="E238" s="284" t="s">
        <v>102</v>
      </c>
      <c r="F238" s="268">
        <f t="shared" si="65"/>
        <v>0</v>
      </c>
      <c r="G238" s="285">
        <v>4</v>
      </c>
      <c r="H238" s="285">
        <v>0</v>
      </c>
      <c r="I238" s="285">
        <v>0</v>
      </c>
      <c r="J238" s="285">
        <v>0</v>
      </c>
      <c r="K238" s="269">
        <f t="shared" si="66"/>
        <v>0</v>
      </c>
      <c r="L238" s="344">
        <f t="shared" si="67"/>
        <v>0</v>
      </c>
      <c r="M238" s="344">
        <f t="shared" si="68"/>
        <v>0</v>
      </c>
      <c r="N238" s="345">
        <f t="shared" si="69"/>
        <v>0</v>
      </c>
      <c r="O238" s="325" t="e">
        <f t="shared" si="47"/>
        <v>#DIV/0!</v>
      </c>
      <c r="P238" s="319">
        <f t="shared" si="70"/>
        <v>0</v>
      </c>
    </row>
    <row r="239" spans="1:16" ht="15.75" x14ac:dyDescent="0.2">
      <c r="A239" s="146" t="s">
        <v>1719</v>
      </c>
      <c r="B239" s="282" t="s">
        <v>1715</v>
      </c>
      <c r="C239" s="282" t="s">
        <v>1343</v>
      </c>
      <c r="D239" s="283" t="s">
        <v>1720</v>
      </c>
      <c r="E239" s="284" t="s">
        <v>102</v>
      </c>
      <c r="F239" s="268">
        <f t="shared" si="65"/>
        <v>0</v>
      </c>
      <c r="G239" s="285">
        <v>4</v>
      </c>
      <c r="H239" s="285">
        <v>0</v>
      </c>
      <c r="I239" s="285">
        <v>0</v>
      </c>
      <c r="J239" s="285">
        <v>0</v>
      </c>
      <c r="K239" s="269">
        <f t="shared" si="66"/>
        <v>0</v>
      </c>
      <c r="L239" s="344">
        <f t="shared" si="67"/>
        <v>0</v>
      </c>
      <c r="M239" s="344">
        <f t="shared" si="68"/>
        <v>0</v>
      </c>
      <c r="N239" s="345">
        <f t="shared" si="69"/>
        <v>0</v>
      </c>
      <c r="O239" s="325" t="e">
        <f t="shared" si="47"/>
        <v>#DIV/0!</v>
      </c>
      <c r="P239" s="319">
        <f t="shared" si="70"/>
        <v>0</v>
      </c>
    </row>
    <row r="240" spans="1:16" ht="15.75" x14ac:dyDescent="0.2">
      <c r="A240" s="146" t="s">
        <v>1721</v>
      </c>
      <c r="B240" s="282">
        <v>73542</v>
      </c>
      <c r="C240" s="282" t="s">
        <v>1324</v>
      </c>
      <c r="D240" s="283" t="s">
        <v>1722</v>
      </c>
      <c r="E240" s="284" t="s">
        <v>1723</v>
      </c>
      <c r="F240" s="268">
        <f t="shared" si="65"/>
        <v>0</v>
      </c>
      <c r="G240" s="285">
        <v>15</v>
      </c>
      <c r="H240" s="285">
        <v>0</v>
      </c>
      <c r="I240" s="285">
        <v>0</v>
      </c>
      <c r="J240" s="285">
        <v>0</v>
      </c>
      <c r="K240" s="269">
        <f t="shared" si="66"/>
        <v>0</v>
      </c>
      <c r="L240" s="344">
        <f t="shared" si="67"/>
        <v>0</v>
      </c>
      <c r="M240" s="344">
        <f t="shared" si="68"/>
        <v>0</v>
      </c>
      <c r="N240" s="345">
        <f t="shared" si="69"/>
        <v>0</v>
      </c>
      <c r="O240" s="325" t="e">
        <f t="shared" ref="O240:O284" si="71">M240/P240</f>
        <v>#DIV/0!</v>
      </c>
      <c r="P240" s="319">
        <f t="shared" si="70"/>
        <v>0</v>
      </c>
    </row>
    <row r="241" spans="1:16" ht="15.75" x14ac:dyDescent="0.2">
      <c r="A241" s="146" t="s">
        <v>1724</v>
      </c>
      <c r="B241" s="282">
        <v>84158</v>
      </c>
      <c r="C241" s="282" t="s">
        <v>1324</v>
      </c>
      <c r="D241" s="283" t="s">
        <v>1725</v>
      </c>
      <c r="E241" s="284" t="s">
        <v>1723</v>
      </c>
      <c r="F241" s="268">
        <f t="shared" si="65"/>
        <v>0</v>
      </c>
      <c r="G241" s="285">
        <v>2</v>
      </c>
      <c r="H241" s="285">
        <v>0</v>
      </c>
      <c r="I241" s="285">
        <v>0</v>
      </c>
      <c r="J241" s="285">
        <v>0</v>
      </c>
      <c r="K241" s="269">
        <f t="shared" si="66"/>
        <v>0</v>
      </c>
      <c r="L241" s="344">
        <f t="shared" si="67"/>
        <v>0</v>
      </c>
      <c r="M241" s="344">
        <f t="shared" si="68"/>
        <v>0</v>
      </c>
      <c r="N241" s="345">
        <f t="shared" si="69"/>
        <v>0</v>
      </c>
      <c r="O241" s="325" t="e">
        <f t="shared" si="71"/>
        <v>#DIV/0!</v>
      </c>
      <c r="P241" s="319">
        <f t="shared" si="70"/>
        <v>0</v>
      </c>
    </row>
    <row r="242" spans="1:16" ht="15.75" x14ac:dyDescent="0.2">
      <c r="A242" s="146" t="s">
        <v>1726</v>
      </c>
      <c r="B242" s="282">
        <v>84159</v>
      </c>
      <c r="C242" s="282" t="s">
        <v>1324</v>
      </c>
      <c r="D242" s="283" t="s">
        <v>1727</v>
      </c>
      <c r="E242" s="284" t="s">
        <v>1723</v>
      </c>
      <c r="F242" s="268">
        <f t="shared" si="65"/>
        <v>0</v>
      </c>
      <c r="G242" s="285">
        <v>1</v>
      </c>
      <c r="H242" s="285">
        <v>0</v>
      </c>
      <c r="I242" s="285">
        <v>0</v>
      </c>
      <c r="J242" s="285">
        <v>0</v>
      </c>
      <c r="K242" s="269">
        <f t="shared" si="66"/>
        <v>0</v>
      </c>
      <c r="L242" s="344">
        <f t="shared" si="67"/>
        <v>0</v>
      </c>
      <c r="M242" s="344">
        <f t="shared" si="68"/>
        <v>0</v>
      </c>
      <c r="N242" s="345">
        <f t="shared" si="69"/>
        <v>0</v>
      </c>
      <c r="O242" s="325" t="e">
        <f t="shared" si="71"/>
        <v>#DIV/0!</v>
      </c>
      <c r="P242" s="319">
        <f t="shared" si="70"/>
        <v>0</v>
      </c>
    </row>
    <row r="243" spans="1:16" ht="15.75" x14ac:dyDescent="0.2">
      <c r="A243" s="146" t="s">
        <v>1728</v>
      </c>
      <c r="B243" s="282">
        <v>92695</v>
      </c>
      <c r="C243" s="282" t="s">
        <v>1324</v>
      </c>
      <c r="D243" s="283" t="s">
        <v>1729</v>
      </c>
      <c r="E243" s="284" t="s">
        <v>102</v>
      </c>
      <c r="F243" s="268">
        <f t="shared" si="65"/>
        <v>0</v>
      </c>
      <c r="G243" s="285">
        <v>15</v>
      </c>
      <c r="H243" s="285">
        <v>0</v>
      </c>
      <c r="I243" s="285">
        <v>0</v>
      </c>
      <c r="J243" s="285">
        <v>0</v>
      </c>
      <c r="K243" s="269">
        <f t="shared" si="66"/>
        <v>0</v>
      </c>
      <c r="L243" s="344">
        <f t="shared" si="67"/>
        <v>0</v>
      </c>
      <c r="M243" s="344">
        <f t="shared" si="68"/>
        <v>0</v>
      </c>
      <c r="N243" s="345">
        <f t="shared" si="69"/>
        <v>0</v>
      </c>
      <c r="O243" s="325" t="e">
        <f t="shared" si="71"/>
        <v>#DIV/0!</v>
      </c>
      <c r="P243" s="319">
        <f t="shared" si="70"/>
        <v>0</v>
      </c>
    </row>
    <row r="244" spans="1:16" ht="15.75" x14ac:dyDescent="0.2">
      <c r="A244" s="146" t="s">
        <v>1730</v>
      </c>
      <c r="B244" s="282">
        <v>92697</v>
      </c>
      <c r="C244" s="282" t="s">
        <v>1324</v>
      </c>
      <c r="D244" s="283" t="s">
        <v>1731</v>
      </c>
      <c r="E244" s="284" t="s">
        <v>102</v>
      </c>
      <c r="F244" s="268">
        <f t="shared" si="65"/>
        <v>0</v>
      </c>
      <c r="G244" s="285">
        <v>2</v>
      </c>
      <c r="H244" s="285">
        <v>0</v>
      </c>
      <c r="I244" s="285">
        <v>0</v>
      </c>
      <c r="J244" s="285">
        <v>0</v>
      </c>
      <c r="K244" s="269">
        <f t="shared" si="66"/>
        <v>0</v>
      </c>
      <c r="L244" s="344">
        <f t="shared" si="67"/>
        <v>0</v>
      </c>
      <c r="M244" s="344">
        <f t="shared" si="68"/>
        <v>0</v>
      </c>
      <c r="N244" s="345">
        <f t="shared" si="69"/>
        <v>0</v>
      </c>
      <c r="O244" s="325" t="e">
        <f t="shared" si="71"/>
        <v>#DIV/0!</v>
      </c>
      <c r="P244" s="319">
        <f t="shared" si="70"/>
        <v>0</v>
      </c>
    </row>
    <row r="245" spans="1:16" ht="15.75" x14ac:dyDescent="0.2">
      <c r="A245" s="146" t="s">
        <v>1732</v>
      </c>
      <c r="B245" s="282">
        <v>92662</v>
      </c>
      <c r="C245" s="282" t="s">
        <v>1324</v>
      </c>
      <c r="D245" s="283" t="s">
        <v>1733</v>
      </c>
      <c r="E245" s="284" t="s">
        <v>102</v>
      </c>
      <c r="F245" s="268">
        <f t="shared" si="65"/>
        <v>0</v>
      </c>
      <c r="G245" s="285">
        <v>1</v>
      </c>
      <c r="H245" s="285">
        <v>0</v>
      </c>
      <c r="I245" s="285">
        <v>0</v>
      </c>
      <c r="J245" s="285">
        <v>0</v>
      </c>
      <c r="K245" s="269">
        <f t="shared" si="66"/>
        <v>0</v>
      </c>
      <c r="L245" s="344">
        <f t="shared" si="67"/>
        <v>0</v>
      </c>
      <c r="M245" s="344">
        <f t="shared" si="68"/>
        <v>0</v>
      </c>
      <c r="N245" s="345">
        <f t="shared" si="69"/>
        <v>0</v>
      </c>
      <c r="O245" s="325" t="e">
        <f t="shared" si="71"/>
        <v>#DIV/0!</v>
      </c>
      <c r="P245" s="319">
        <f t="shared" si="70"/>
        <v>0</v>
      </c>
    </row>
    <row r="246" spans="1:16" ht="15.75" x14ac:dyDescent="0.2">
      <c r="A246" s="146" t="s">
        <v>1734</v>
      </c>
      <c r="B246" s="282">
        <v>92868</v>
      </c>
      <c r="C246" s="282" t="s">
        <v>1324</v>
      </c>
      <c r="D246" s="283" t="s">
        <v>1735</v>
      </c>
      <c r="E246" s="284" t="s">
        <v>102</v>
      </c>
      <c r="F246" s="268">
        <f t="shared" si="65"/>
        <v>0</v>
      </c>
      <c r="G246" s="285">
        <v>16</v>
      </c>
      <c r="H246" s="285">
        <v>0</v>
      </c>
      <c r="I246" s="285">
        <v>0</v>
      </c>
      <c r="J246" s="285">
        <v>0</v>
      </c>
      <c r="K246" s="269">
        <f t="shared" si="66"/>
        <v>0</v>
      </c>
      <c r="L246" s="344">
        <f t="shared" si="67"/>
        <v>0</v>
      </c>
      <c r="M246" s="344">
        <f t="shared" si="68"/>
        <v>0</v>
      </c>
      <c r="N246" s="345">
        <f t="shared" si="69"/>
        <v>0</v>
      </c>
      <c r="O246" s="325" t="e">
        <f t="shared" si="71"/>
        <v>#DIV/0!</v>
      </c>
      <c r="P246" s="319">
        <f t="shared" si="70"/>
        <v>0</v>
      </c>
    </row>
    <row r="247" spans="1:16" ht="25.5" x14ac:dyDescent="0.2">
      <c r="A247" s="146" t="s">
        <v>1736</v>
      </c>
      <c r="B247" s="282">
        <v>92865</v>
      </c>
      <c r="C247" s="282" t="s">
        <v>1324</v>
      </c>
      <c r="D247" s="283" t="s">
        <v>1737</v>
      </c>
      <c r="E247" s="284" t="s">
        <v>102</v>
      </c>
      <c r="F247" s="268">
        <f t="shared" si="65"/>
        <v>0</v>
      </c>
      <c r="G247" s="285">
        <v>7</v>
      </c>
      <c r="H247" s="285">
        <v>0</v>
      </c>
      <c r="I247" s="285">
        <v>0</v>
      </c>
      <c r="J247" s="285">
        <v>0</v>
      </c>
      <c r="K247" s="269">
        <f t="shared" si="66"/>
        <v>0</v>
      </c>
      <c r="L247" s="344">
        <f t="shared" si="67"/>
        <v>0</v>
      </c>
      <c r="M247" s="344">
        <f t="shared" si="68"/>
        <v>0</v>
      </c>
      <c r="N247" s="345">
        <f t="shared" si="69"/>
        <v>0</v>
      </c>
      <c r="O247" s="325" t="e">
        <f t="shared" si="71"/>
        <v>#DIV/0!</v>
      </c>
      <c r="P247" s="319">
        <f t="shared" si="70"/>
        <v>0</v>
      </c>
    </row>
    <row r="248" spans="1:16" ht="15.75" x14ac:dyDescent="0.2">
      <c r="A248" s="352" t="s">
        <v>634</v>
      </c>
      <c r="B248" s="290"/>
      <c r="C248" s="290"/>
      <c r="D248" s="291" t="s">
        <v>1738</v>
      </c>
      <c r="E248" s="292"/>
      <c r="F248" s="279">
        <f>K248</f>
        <v>0</v>
      </c>
      <c r="G248" s="293"/>
      <c r="H248" s="279"/>
      <c r="I248" s="279"/>
      <c r="J248" s="279"/>
      <c r="K248" s="280">
        <f>SUM(K249:K252)</f>
        <v>0</v>
      </c>
      <c r="L248" s="349"/>
      <c r="M248" s="349"/>
      <c r="N248" s="350">
        <f>SUM(N249:N252)</f>
        <v>0</v>
      </c>
      <c r="O248" s="325" t="e">
        <f t="shared" si="71"/>
        <v>#DIV/0!</v>
      </c>
      <c r="P248" s="319">
        <f t="shared" si="70"/>
        <v>0</v>
      </c>
    </row>
    <row r="249" spans="1:16" ht="15.75" x14ac:dyDescent="0.2">
      <c r="A249" s="146" t="s">
        <v>1739</v>
      </c>
      <c r="B249" s="282">
        <v>91926</v>
      </c>
      <c r="C249" s="282" t="s">
        <v>1324</v>
      </c>
      <c r="D249" s="283" t="s">
        <v>1740</v>
      </c>
      <c r="E249" s="284" t="s">
        <v>81</v>
      </c>
      <c r="F249" s="268">
        <f>ROUND(T249*$T$12,2)</f>
        <v>0</v>
      </c>
      <c r="G249" s="285">
        <v>190</v>
      </c>
      <c r="H249" s="285">
        <v>0</v>
      </c>
      <c r="I249" s="285">
        <v>0</v>
      </c>
      <c r="J249" s="285">
        <v>0</v>
      </c>
      <c r="K249" s="269">
        <f>ROUND(G249*F249,2)</f>
        <v>0</v>
      </c>
      <c r="L249" s="344">
        <f>H249*F249</f>
        <v>0</v>
      </c>
      <c r="M249" s="344">
        <f>L249</f>
        <v>0</v>
      </c>
      <c r="N249" s="345">
        <f>F249*G249-M249</f>
        <v>0</v>
      </c>
      <c r="O249" s="325" t="e">
        <f t="shared" si="71"/>
        <v>#DIV/0!</v>
      </c>
      <c r="P249" s="319">
        <f t="shared" si="70"/>
        <v>0</v>
      </c>
    </row>
    <row r="250" spans="1:16" ht="15.75" x14ac:dyDescent="0.2">
      <c r="A250" s="146" t="s">
        <v>1741</v>
      </c>
      <c r="B250" s="282">
        <v>91928</v>
      </c>
      <c r="C250" s="282" t="s">
        <v>1324</v>
      </c>
      <c r="D250" s="283" t="s">
        <v>1742</v>
      </c>
      <c r="E250" s="284" t="s">
        <v>81</v>
      </c>
      <c r="F250" s="268">
        <f>ROUND(T250*$T$12,2)</f>
        <v>0</v>
      </c>
      <c r="G250" s="285">
        <v>820</v>
      </c>
      <c r="H250" s="285">
        <v>0</v>
      </c>
      <c r="I250" s="285">
        <v>0</v>
      </c>
      <c r="J250" s="285">
        <v>0</v>
      </c>
      <c r="K250" s="269">
        <f>ROUND(G250*F250,2)</f>
        <v>0</v>
      </c>
      <c r="L250" s="344">
        <f>H250*F250</f>
        <v>0</v>
      </c>
      <c r="M250" s="344">
        <f>L250</f>
        <v>0</v>
      </c>
      <c r="N250" s="345">
        <f>F250*G250-M250</f>
        <v>0</v>
      </c>
      <c r="O250" s="325" t="e">
        <f t="shared" si="71"/>
        <v>#DIV/0!</v>
      </c>
      <c r="P250" s="319">
        <f t="shared" si="70"/>
        <v>0</v>
      </c>
    </row>
    <row r="251" spans="1:16" ht="15.75" x14ac:dyDescent="0.2">
      <c r="A251" s="146" t="s">
        <v>1743</v>
      </c>
      <c r="B251" s="282">
        <v>91934</v>
      </c>
      <c r="C251" s="282" t="s">
        <v>1324</v>
      </c>
      <c r="D251" s="283" t="s">
        <v>1744</v>
      </c>
      <c r="E251" s="284" t="s">
        <v>81</v>
      </c>
      <c r="F251" s="268">
        <f>ROUND(T251*$T$12,2)</f>
        <v>0</v>
      </c>
      <c r="G251" s="285">
        <v>14</v>
      </c>
      <c r="H251" s="285">
        <v>0</v>
      </c>
      <c r="I251" s="285">
        <v>0</v>
      </c>
      <c r="J251" s="285">
        <v>0</v>
      </c>
      <c r="K251" s="269">
        <f>ROUND(G251*F251,2)</f>
        <v>0</v>
      </c>
      <c r="L251" s="344">
        <f>H251*F251</f>
        <v>0</v>
      </c>
      <c r="M251" s="344">
        <f>L251</f>
        <v>0</v>
      </c>
      <c r="N251" s="345">
        <f>F251*G251-M251</f>
        <v>0</v>
      </c>
      <c r="O251" s="325" t="e">
        <f t="shared" si="71"/>
        <v>#DIV/0!</v>
      </c>
      <c r="P251" s="319">
        <f t="shared" si="70"/>
        <v>0</v>
      </c>
    </row>
    <row r="252" spans="1:16" ht="15.75" x14ac:dyDescent="0.2">
      <c r="A252" s="146" t="s">
        <v>1745</v>
      </c>
      <c r="B252" s="282">
        <v>92985</v>
      </c>
      <c r="C252" s="282" t="s">
        <v>1324</v>
      </c>
      <c r="D252" s="283" t="s">
        <v>1746</v>
      </c>
      <c r="E252" s="284" t="s">
        <v>81</v>
      </c>
      <c r="F252" s="268">
        <f>ROUND(T252*$T$12,2)</f>
        <v>0</v>
      </c>
      <c r="G252" s="285">
        <v>41</v>
      </c>
      <c r="H252" s="285">
        <v>0</v>
      </c>
      <c r="I252" s="285">
        <v>0</v>
      </c>
      <c r="J252" s="285">
        <v>0</v>
      </c>
      <c r="K252" s="269">
        <f>ROUND(G252*F252,2)</f>
        <v>0</v>
      </c>
      <c r="L252" s="344">
        <f>H252*F252</f>
        <v>0</v>
      </c>
      <c r="M252" s="344">
        <f>L252</f>
        <v>0</v>
      </c>
      <c r="N252" s="345">
        <f>F252*G252-M252</f>
        <v>0</v>
      </c>
      <c r="O252" s="325" t="e">
        <f t="shared" si="71"/>
        <v>#DIV/0!</v>
      </c>
      <c r="P252" s="319">
        <f t="shared" si="70"/>
        <v>0</v>
      </c>
    </row>
    <row r="253" spans="1:16" ht="15.75" x14ac:dyDescent="0.2">
      <c r="A253" s="352" t="s">
        <v>640</v>
      </c>
      <c r="B253" s="290"/>
      <c r="C253" s="290"/>
      <c r="D253" s="291" t="s">
        <v>1747</v>
      </c>
      <c r="E253" s="292"/>
      <c r="F253" s="279">
        <f>K253</f>
        <v>0</v>
      </c>
      <c r="G253" s="293"/>
      <c r="H253" s="279"/>
      <c r="I253" s="279"/>
      <c r="J253" s="279"/>
      <c r="K253" s="280">
        <f>SUM(K254:K259)</f>
        <v>0</v>
      </c>
      <c r="L253" s="349"/>
      <c r="M253" s="349"/>
      <c r="N253" s="350">
        <f>SUM(N254:N259)</f>
        <v>0</v>
      </c>
      <c r="O253" s="325" t="e">
        <f t="shared" si="71"/>
        <v>#DIV/0!</v>
      </c>
      <c r="P253" s="319"/>
    </row>
    <row r="254" spans="1:16" ht="15.75" x14ac:dyDescent="0.2">
      <c r="A254" s="146" t="s">
        <v>1748</v>
      </c>
      <c r="B254" s="282">
        <v>92000</v>
      </c>
      <c r="C254" s="282" t="s">
        <v>1324</v>
      </c>
      <c r="D254" s="283" t="s">
        <v>1749</v>
      </c>
      <c r="E254" s="284" t="s">
        <v>102</v>
      </c>
      <c r="F254" s="268">
        <f t="shared" ref="F254:F259" si="72">ROUND(T254*$T$12,2)</f>
        <v>0</v>
      </c>
      <c r="G254" s="285">
        <v>4</v>
      </c>
      <c r="H254" s="285">
        <v>0</v>
      </c>
      <c r="I254" s="285">
        <v>0</v>
      </c>
      <c r="J254" s="285">
        <v>0</v>
      </c>
      <c r="K254" s="269">
        <f t="shared" ref="K254:K259" si="73">ROUND(G254*F254,2)</f>
        <v>0</v>
      </c>
      <c r="L254" s="344">
        <f t="shared" ref="L254:L259" si="74">H254*F254</f>
        <v>0</v>
      </c>
      <c r="M254" s="344">
        <f t="shared" ref="M254:M259" si="75">L254</f>
        <v>0</v>
      </c>
      <c r="N254" s="345">
        <f t="shared" ref="N254:N259" si="76">F254*G254-M254</f>
        <v>0</v>
      </c>
      <c r="O254" s="325" t="e">
        <f t="shared" si="71"/>
        <v>#DIV/0!</v>
      </c>
      <c r="P254" s="319">
        <f t="shared" ref="P254:P268" si="77">G254*F254</f>
        <v>0</v>
      </c>
    </row>
    <row r="255" spans="1:16" ht="15.75" x14ac:dyDescent="0.2">
      <c r="A255" s="146" t="s">
        <v>1750</v>
      </c>
      <c r="B255" s="282">
        <v>92001</v>
      </c>
      <c r="C255" s="282" t="s">
        <v>1324</v>
      </c>
      <c r="D255" s="283" t="s">
        <v>1751</v>
      </c>
      <c r="E255" s="284" t="s">
        <v>102</v>
      </c>
      <c r="F255" s="268">
        <f t="shared" si="72"/>
        <v>0</v>
      </c>
      <c r="G255" s="285">
        <v>1</v>
      </c>
      <c r="H255" s="285">
        <v>0</v>
      </c>
      <c r="I255" s="285">
        <v>0</v>
      </c>
      <c r="J255" s="285">
        <v>0</v>
      </c>
      <c r="K255" s="269">
        <f t="shared" si="73"/>
        <v>0</v>
      </c>
      <c r="L255" s="344">
        <f t="shared" si="74"/>
        <v>0</v>
      </c>
      <c r="M255" s="344">
        <f t="shared" si="75"/>
        <v>0</v>
      </c>
      <c r="N255" s="345">
        <f t="shared" si="76"/>
        <v>0</v>
      </c>
      <c r="O255" s="325" t="e">
        <f t="shared" si="71"/>
        <v>#DIV/0!</v>
      </c>
      <c r="P255" s="319">
        <f t="shared" si="77"/>
        <v>0</v>
      </c>
    </row>
    <row r="256" spans="1:16" ht="25.5" x14ac:dyDescent="0.2">
      <c r="A256" s="146" t="s">
        <v>1752</v>
      </c>
      <c r="B256" s="282">
        <v>91953</v>
      </c>
      <c r="C256" s="282" t="s">
        <v>1324</v>
      </c>
      <c r="D256" s="283" t="s">
        <v>1753</v>
      </c>
      <c r="E256" s="284" t="s">
        <v>102</v>
      </c>
      <c r="F256" s="268">
        <f t="shared" si="72"/>
        <v>0</v>
      </c>
      <c r="G256" s="285">
        <v>7</v>
      </c>
      <c r="H256" s="285">
        <v>0</v>
      </c>
      <c r="I256" s="285">
        <v>0</v>
      </c>
      <c r="J256" s="285">
        <v>0</v>
      </c>
      <c r="K256" s="269">
        <f t="shared" si="73"/>
        <v>0</v>
      </c>
      <c r="L256" s="344">
        <f t="shared" si="74"/>
        <v>0</v>
      </c>
      <c r="M256" s="344">
        <f t="shared" si="75"/>
        <v>0</v>
      </c>
      <c r="N256" s="345">
        <f t="shared" si="76"/>
        <v>0</v>
      </c>
      <c r="O256" s="325" t="e">
        <f t="shared" si="71"/>
        <v>#DIV/0!</v>
      </c>
      <c r="P256" s="319">
        <f t="shared" si="77"/>
        <v>0</v>
      </c>
    </row>
    <row r="257" spans="1:16" ht="15.75" x14ac:dyDescent="0.2">
      <c r="A257" s="146" t="s">
        <v>1754</v>
      </c>
      <c r="B257" s="282" t="s">
        <v>1755</v>
      </c>
      <c r="C257" s="282" t="s">
        <v>1324</v>
      </c>
      <c r="D257" s="283" t="s">
        <v>1756</v>
      </c>
      <c r="E257" s="284" t="s">
        <v>102</v>
      </c>
      <c r="F257" s="268">
        <f t="shared" si="72"/>
        <v>0</v>
      </c>
      <c r="G257" s="285">
        <v>1</v>
      </c>
      <c r="H257" s="285">
        <v>0</v>
      </c>
      <c r="I257" s="285">
        <v>0</v>
      </c>
      <c r="J257" s="285">
        <v>0</v>
      </c>
      <c r="K257" s="269">
        <f t="shared" si="73"/>
        <v>0</v>
      </c>
      <c r="L257" s="344">
        <f t="shared" si="74"/>
        <v>0</v>
      </c>
      <c r="M257" s="344">
        <f t="shared" si="75"/>
        <v>0</v>
      </c>
      <c r="N257" s="345">
        <f t="shared" si="76"/>
        <v>0</v>
      </c>
      <c r="O257" s="325" t="e">
        <f t="shared" si="71"/>
        <v>#DIV/0!</v>
      </c>
      <c r="P257" s="319">
        <f t="shared" si="77"/>
        <v>0</v>
      </c>
    </row>
    <row r="258" spans="1:16" ht="15.75" x14ac:dyDescent="0.2">
      <c r="A258" s="146" t="s">
        <v>1757</v>
      </c>
      <c r="B258" s="282" t="s">
        <v>1758</v>
      </c>
      <c r="C258" s="282" t="s">
        <v>1324</v>
      </c>
      <c r="D258" s="283" t="s">
        <v>1759</v>
      </c>
      <c r="E258" s="284" t="s">
        <v>102</v>
      </c>
      <c r="F258" s="268">
        <f t="shared" si="72"/>
        <v>0</v>
      </c>
      <c r="G258" s="285">
        <v>6</v>
      </c>
      <c r="H258" s="285">
        <v>0</v>
      </c>
      <c r="I258" s="285">
        <v>0</v>
      </c>
      <c r="J258" s="285">
        <v>0</v>
      </c>
      <c r="K258" s="269">
        <f t="shared" si="73"/>
        <v>0</v>
      </c>
      <c r="L258" s="344">
        <f t="shared" si="74"/>
        <v>0</v>
      </c>
      <c r="M258" s="344">
        <f t="shared" si="75"/>
        <v>0</v>
      </c>
      <c r="N258" s="345">
        <f t="shared" si="76"/>
        <v>0</v>
      </c>
      <c r="O258" s="325" t="e">
        <f t="shared" si="71"/>
        <v>#DIV/0!</v>
      </c>
      <c r="P258" s="319">
        <f t="shared" si="77"/>
        <v>0</v>
      </c>
    </row>
    <row r="259" spans="1:16" ht="25.5" x14ac:dyDescent="0.2">
      <c r="A259" s="146" t="s">
        <v>1760</v>
      </c>
      <c r="B259" s="282"/>
      <c r="C259" s="282" t="s">
        <v>1339</v>
      </c>
      <c r="D259" s="283" t="s">
        <v>1761</v>
      </c>
      <c r="E259" s="284" t="s">
        <v>102</v>
      </c>
      <c r="F259" s="268">
        <f t="shared" si="72"/>
        <v>0</v>
      </c>
      <c r="G259" s="285">
        <v>20</v>
      </c>
      <c r="H259" s="285">
        <v>0</v>
      </c>
      <c r="I259" s="285">
        <v>0</v>
      </c>
      <c r="J259" s="285">
        <v>0</v>
      </c>
      <c r="K259" s="269">
        <f t="shared" si="73"/>
        <v>0</v>
      </c>
      <c r="L259" s="344">
        <f t="shared" si="74"/>
        <v>0</v>
      </c>
      <c r="M259" s="344">
        <f t="shared" si="75"/>
        <v>0</v>
      </c>
      <c r="N259" s="345">
        <f t="shared" si="76"/>
        <v>0</v>
      </c>
      <c r="O259" s="325" t="e">
        <f t="shared" si="71"/>
        <v>#DIV/0!</v>
      </c>
      <c r="P259" s="319">
        <f t="shared" si="77"/>
        <v>0</v>
      </c>
    </row>
    <row r="260" spans="1:16" ht="15.75" x14ac:dyDescent="0.2">
      <c r="A260" s="351">
        <v>18</v>
      </c>
      <c r="B260" s="286"/>
      <c r="C260" s="286"/>
      <c r="D260" s="287" t="s">
        <v>1762</v>
      </c>
      <c r="E260" s="288"/>
      <c r="F260" s="261">
        <f>K260</f>
        <v>0</v>
      </c>
      <c r="G260" s="289"/>
      <c r="H260" s="261"/>
      <c r="I260" s="261"/>
      <c r="J260" s="261"/>
      <c r="K260" s="262">
        <f>SUM(K261:K268)</f>
        <v>0</v>
      </c>
      <c r="L260" s="342"/>
      <c r="M260" s="342"/>
      <c r="N260" s="343">
        <f>SUM(N261:N268)</f>
        <v>0</v>
      </c>
      <c r="O260" s="325" t="e">
        <f t="shared" si="71"/>
        <v>#DIV/0!</v>
      </c>
      <c r="P260" s="319">
        <f t="shared" si="77"/>
        <v>0</v>
      </c>
    </row>
    <row r="261" spans="1:16" ht="25.5" x14ac:dyDescent="0.2">
      <c r="A261" s="146" t="s">
        <v>657</v>
      </c>
      <c r="B261" s="282"/>
      <c r="C261" s="282" t="s">
        <v>1339</v>
      </c>
      <c r="D261" s="283" t="s">
        <v>1763</v>
      </c>
      <c r="E261" s="284" t="s">
        <v>102</v>
      </c>
      <c r="F261" s="268">
        <f t="shared" ref="F261:F268" si="78">ROUND(T261*$T$12,2)</f>
        <v>0</v>
      </c>
      <c r="G261" s="285">
        <v>7</v>
      </c>
      <c r="H261" s="285">
        <v>0</v>
      </c>
      <c r="I261" s="285">
        <v>0</v>
      </c>
      <c r="J261" s="285">
        <v>0</v>
      </c>
      <c r="K261" s="269">
        <f t="shared" ref="K261:K268" si="79">ROUND(G261*F261,2)</f>
        <v>0</v>
      </c>
      <c r="L261" s="344">
        <f t="shared" ref="L261:L268" si="80">H261*F261</f>
        <v>0</v>
      </c>
      <c r="M261" s="344">
        <f t="shared" ref="M261:M268" si="81">L261</f>
        <v>0</v>
      </c>
      <c r="N261" s="345">
        <f t="shared" ref="N261:N268" si="82">F261*G261-M261</f>
        <v>0</v>
      </c>
      <c r="O261" s="325" t="e">
        <f t="shared" si="71"/>
        <v>#DIV/0!</v>
      </c>
      <c r="P261" s="319">
        <f t="shared" si="77"/>
        <v>0</v>
      </c>
    </row>
    <row r="262" spans="1:16" ht="15.75" x14ac:dyDescent="0.2">
      <c r="A262" s="146" t="s">
        <v>664</v>
      </c>
      <c r="B262" s="282"/>
      <c r="C262" s="282" t="s">
        <v>1339</v>
      </c>
      <c r="D262" s="283" t="s">
        <v>1764</v>
      </c>
      <c r="E262" s="284" t="s">
        <v>102</v>
      </c>
      <c r="F262" s="268">
        <f t="shared" si="78"/>
        <v>0</v>
      </c>
      <c r="G262" s="285">
        <v>1</v>
      </c>
      <c r="H262" s="285">
        <v>0</v>
      </c>
      <c r="I262" s="285">
        <v>0</v>
      </c>
      <c r="J262" s="285">
        <v>0</v>
      </c>
      <c r="K262" s="269">
        <f t="shared" si="79"/>
        <v>0</v>
      </c>
      <c r="L262" s="344">
        <f t="shared" si="80"/>
        <v>0</v>
      </c>
      <c r="M262" s="344">
        <f t="shared" si="81"/>
        <v>0</v>
      </c>
      <c r="N262" s="345">
        <f t="shared" si="82"/>
        <v>0</v>
      </c>
      <c r="O262" s="325" t="e">
        <f t="shared" si="71"/>
        <v>#DIV/0!</v>
      </c>
      <c r="P262" s="319">
        <f t="shared" si="77"/>
        <v>0</v>
      </c>
    </row>
    <row r="263" spans="1:16" ht="15.75" x14ac:dyDescent="0.2">
      <c r="A263" s="146" t="s">
        <v>668</v>
      </c>
      <c r="B263" s="282">
        <v>72929</v>
      </c>
      <c r="C263" s="282" t="s">
        <v>1324</v>
      </c>
      <c r="D263" s="283" t="s">
        <v>1765</v>
      </c>
      <c r="E263" s="284" t="s">
        <v>81</v>
      </c>
      <c r="F263" s="268">
        <f t="shared" si="78"/>
        <v>0</v>
      </c>
      <c r="G263" s="285">
        <v>39.200000000000003</v>
      </c>
      <c r="H263" s="285">
        <v>0</v>
      </c>
      <c r="I263" s="285">
        <v>0</v>
      </c>
      <c r="J263" s="285">
        <v>0</v>
      </c>
      <c r="K263" s="269">
        <f t="shared" si="79"/>
        <v>0</v>
      </c>
      <c r="L263" s="344">
        <f t="shared" si="80"/>
        <v>0</v>
      </c>
      <c r="M263" s="344">
        <f t="shared" si="81"/>
        <v>0</v>
      </c>
      <c r="N263" s="345">
        <f t="shared" si="82"/>
        <v>0</v>
      </c>
      <c r="O263" s="325" t="e">
        <f t="shared" si="71"/>
        <v>#DIV/0!</v>
      </c>
      <c r="P263" s="319">
        <f t="shared" si="77"/>
        <v>0</v>
      </c>
    </row>
    <row r="264" spans="1:16" ht="15.75" x14ac:dyDescent="0.2">
      <c r="A264" s="146" t="s">
        <v>671</v>
      </c>
      <c r="B264" s="282">
        <v>72930</v>
      </c>
      <c r="C264" s="282" t="s">
        <v>1324</v>
      </c>
      <c r="D264" s="283" t="s">
        <v>1766</v>
      </c>
      <c r="E264" s="284" t="s">
        <v>81</v>
      </c>
      <c r="F264" s="268">
        <f t="shared" si="78"/>
        <v>0</v>
      </c>
      <c r="G264" s="285">
        <v>126.32</v>
      </c>
      <c r="H264" s="285">
        <v>0</v>
      </c>
      <c r="I264" s="285">
        <v>0</v>
      </c>
      <c r="J264" s="285">
        <v>0</v>
      </c>
      <c r="K264" s="269">
        <f t="shared" si="79"/>
        <v>0</v>
      </c>
      <c r="L264" s="344">
        <f t="shared" si="80"/>
        <v>0</v>
      </c>
      <c r="M264" s="344">
        <f t="shared" si="81"/>
        <v>0</v>
      </c>
      <c r="N264" s="345">
        <f t="shared" si="82"/>
        <v>0</v>
      </c>
      <c r="O264" s="325" t="e">
        <f t="shared" si="71"/>
        <v>#DIV/0!</v>
      </c>
      <c r="P264" s="319">
        <f t="shared" si="77"/>
        <v>0</v>
      </c>
    </row>
    <row r="265" spans="1:16" ht="15.75" x14ac:dyDescent="0.2">
      <c r="A265" s="146" t="s">
        <v>679</v>
      </c>
      <c r="B265" s="282">
        <v>93008</v>
      </c>
      <c r="C265" s="282" t="s">
        <v>1324</v>
      </c>
      <c r="D265" s="283" t="s">
        <v>1767</v>
      </c>
      <c r="E265" s="284" t="s">
        <v>81</v>
      </c>
      <c r="F265" s="268">
        <f t="shared" si="78"/>
        <v>0</v>
      </c>
      <c r="G265" s="285">
        <v>21</v>
      </c>
      <c r="H265" s="285">
        <v>0</v>
      </c>
      <c r="I265" s="285">
        <v>0</v>
      </c>
      <c r="J265" s="285">
        <v>0</v>
      </c>
      <c r="K265" s="269">
        <f t="shared" si="79"/>
        <v>0</v>
      </c>
      <c r="L265" s="344">
        <f t="shared" si="80"/>
        <v>0</v>
      </c>
      <c r="M265" s="344">
        <f t="shared" si="81"/>
        <v>0</v>
      </c>
      <c r="N265" s="345">
        <f t="shared" si="82"/>
        <v>0</v>
      </c>
      <c r="O265" s="325" t="e">
        <f t="shared" si="71"/>
        <v>#DIV/0!</v>
      </c>
      <c r="P265" s="319">
        <f t="shared" si="77"/>
        <v>0</v>
      </c>
    </row>
    <row r="266" spans="1:16" ht="15.75" x14ac:dyDescent="0.2">
      <c r="A266" s="146" t="s">
        <v>1768</v>
      </c>
      <c r="B266" s="282"/>
      <c r="C266" s="282" t="s">
        <v>1769</v>
      </c>
      <c r="D266" s="283" t="s">
        <v>1770</v>
      </c>
      <c r="E266" s="284" t="s">
        <v>102</v>
      </c>
      <c r="F266" s="268">
        <f t="shared" si="78"/>
        <v>0</v>
      </c>
      <c r="G266" s="285">
        <v>7</v>
      </c>
      <c r="H266" s="285">
        <v>0</v>
      </c>
      <c r="I266" s="285">
        <v>0</v>
      </c>
      <c r="J266" s="285">
        <v>0</v>
      </c>
      <c r="K266" s="269">
        <f t="shared" si="79"/>
        <v>0</v>
      </c>
      <c r="L266" s="344">
        <f t="shared" si="80"/>
        <v>0</v>
      </c>
      <c r="M266" s="344">
        <f t="shared" si="81"/>
        <v>0</v>
      </c>
      <c r="N266" s="345">
        <f t="shared" si="82"/>
        <v>0</v>
      </c>
      <c r="O266" s="325" t="e">
        <f t="shared" si="71"/>
        <v>#DIV/0!</v>
      </c>
      <c r="P266" s="319">
        <f t="shared" si="77"/>
        <v>0</v>
      </c>
    </row>
    <row r="267" spans="1:16" ht="15.75" x14ac:dyDescent="0.2">
      <c r="A267" s="146" t="s">
        <v>1771</v>
      </c>
      <c r="B267" s="282"/>
      <c r="C267" s="282" t="s">
        <v>1769</v>
      </c>
      <c r="D267" s="283" t="s">
        <v>1772</v>
      </c>
      <c r="E267" s="284" t="s">
        <v>102</v>
      </c>
      <c r="F267" s="268">
        <f t="shared" si="78"/>
        <v>0</v>
      </c>
      <c r="G267" s="285">
        <v>7</v>
      </c>
      <c r="H267" s="285">
        <v>0</v>
      </c>
      <c r="I267" s="285">
        <v>0</v>
      </c>
      <c r="J267" s="285">
        <v>0</v>
      </c>
      <c r="K267" s="269">
        <f t="shared" si="79"/>
        <v>0</v>
      </c>
      <c r="L267" s="344">
        <f t="shared" si="80"/>
        <v>0</v>
      </c>
      <c r="M267" s="344">
        <f t="shared" si="81"/>
        <v>0</v>
      </c>
      <c r="N267" s="345">
        <f t="shared" si="82"/>
        <v>0</v>
      </c>
      <c r="O267" s="325" t="e">
        <f t="shared" si="71"/>
        <v>#DIV/0!</v>
      </c>
      <c r="P267" s="319">
        <f t="shared" si="77"/>
        <v>0</v>
      </c>
    </row>
    <row r="268" spans="1:16" ht="15.75" x14ac:dyDescent="0.2">
      <c r="A268" s="146" t="s">
        <v>1773</v>
      </c>
      <c r="B268" s="282">
        <v>72262</v>
      </c>
      <c r="C268" s="282" t="s">
        <v>1324</v>
      </c>
      <c r="D268" s="283" t="s">
        <v>1774</v>
      </c>
      <c r="E268" s="284" t="s">
        <v>102</v>
      </c>
      <c r="F268" s="268">
        <f t="shared" si="78"/>
        <v>0</v>
      </c>
      <c r="G268" s="285">
        <v>7</v>
      </c>
      <c r="H268" s="285">
        <v>0</v>
      </c>
      <c r="I268" s="285">
        <v>0</v>
      </c>
      <c r="J268" s="285">
        <v>0</v>
      </c>
      <c r="K268" s="269">
        <f t="shared" si="79"/>
        <v>0</v>
      </c>
      <c r="L268" s="344">
        <f t="shared" si="80"/>
        <v>0</v>
      </c>
      <c r="M268" s="344">
        <f t="shared" si="81"/>
        <v>0</v>
      </c>
      <c r="N268" s="345">
        <f t="shared" si="82"/>
        <v>0</v>
      </c>
      <c r="O268" s="325" t="e">
        <f t="shared" si="71"/>
        <v>#DIV/0!</v>
      </c>
      <c r="P268" s="319">
        <f t="shared" si="77"/>
        <v>0</v>
      </c>
    </row>
    <row r="269" spans="1:16" ht="15.75" x14ac:dyDescent="0.2">
      <c r="A269" s="351">
        <v>19</v>
      </c>
      <c r="B269" s="286"/>
      <c r="C269" s="286"/>
      <c r="D269" s="287" t="s">
        <v>304</v>
      </c>
      <c r="E269" s="288"/>
      <c r="F269" s="261">
        <f>K269</f>
        <v>0</v>
      </c>
      <c r="G269" s="289"/>
      <c r="H269" s="261"/>
      <c r="I269" s="261"/>
      <c r="J269" s="261"/>
      <c r="K269" s="262">
        <f>K270+K276</f>
        <v>0</v>
      </c>
      <c r="L269" s="342"/>
      <c r="M269" s="342"/>
      <c r="N269" s="343">
        <f>SUM(N270,N276)</f>
        <v>0</v>
      </c>
      <c r="O269" s="325" t="e">
        <f t="shared" si="71"/>
        <v>#DIV/0!</v>
      </c>
      <c r="P269" s="319"/>
    </row>
    <row r="270" spans="1:16" ht="15.75" x14ac:dyDescent="0.2">
      <c r="A270" s="352" t="s">
        <v>685</v>
      </c>
      <c r="B270" s="290"/>
      <c r="C270" s="290"/>
      <c r="D270" s="291" t="s">
        <v>1775</v>
      </c>
      <c r="E270" s="292"/>
      <c r="F270" s="279">
        <f>K270</f>
        <v>0</v>
      </c>
      <c r="G270" s="293"/>
      <c r="H270" s="279"/>
      <c r="I270" s="279"/>
      <c r="J270" s="279"/>
      <c r="K270" s="280">
        <f>SUM(K271:K275)</f>
        <v>0</v>
      </c>
      <c r="L270" s="349"/>
      <c r="M270" s="349"/>
      <c r="N270" s="350">
        <f>SUM(N271:N275)</f>
        <v>0</v>
      </c>
      <c r="O270" s="325" t="e">
        <f t="shared" si="71"/>
        <v>#DIV/0!</v>
      </c>
      <c r="P270" s="319"/>
    </row>
    <row r="271" spans="1:16" ht="15.75" x14ac:dyDescent="0.2">
      <c r="A271" s="146" t="s">
        <v>1776</v>
      </c>
      <c r="B271" s="282"/>
      <c r="C271" s="282" t="s">
        <v>1339</v>
      </c>
      <c r="D271" s="283" t="s">
        <v>1777</v>
      </c>
      <c r="E271" s="284" t="s">
        <v>14</v>
      </c>
      <c r="F271" s="268">
        <f>ROUND(T271*$T$12,2)</f>
        <v>0</v>
      </c>
      <c r="G271" s="285">
        <v>2.5</v>
      </c>
      <c r="H271" s="285">
        <v>0</v>
      </c>
      <c r="I271" s="285">
        <v>0</v>
      </c>
      <c r="J271" s="285">
        <v>0</v>
      </c>
      <c r="K271" s="269">
        <f>ROUND(G271*F271,2)</f>
        <v>0</v>
      </c>
      <c r="L271" s="344">
        <f>H271*F271</f>
        <v>0</v>
      </c>
      <c r="M271" s="344">
        <f>L271</f>
        <v>0</v>
      </c>
      <c r="N271" s="345">
        <f>F271*G271-M271</f>
        <v>0</v>
      </c>
      <c r="O271" s="325" t="e">
        <f t="shared" si="71"/>
        <v>#DIV/0!</v>
      </c>
      <c r="P271" s="319">
        <f t="shared" ref="P271:P278" si="83">G271*F271</f>
        <v>0</v>
      </c>
    </row>
    <row r="272" spans="1:16" ht="15.75" x14ac:dyDescent="0.2">
      <c r="A272" s="146" t="s">
        <v>1778</v>
      </c>
      <c r="B272" s="282"/>
      <c r="C272" s="282" t="s">
        <v>1339</v>
      </c>
      <c r="D272" s="283" t="s">
        <v>1779</v>
      </c>
      <c r="E272" s="284" t="s">
        <v>102</v>
      </c>
      <c r="F272" s="268">
        <f>ROUND(T272*$T$12,2)</f>
        <v>0</v>
      </c>
      <c r="G272" s="285">
        <v>1</v>
      </c>
      <c r="H272" s="285">
        <v>0</v>
      </c>
      <c r="I272" s="285">
        <v>0</v>
      </c>
      <c r="J272" s="285">
        <v>0</v>
      </c>
      <c r="K272" s="269">
        <f>ROUND(G272*F272,2)</f>
        <v>0</v>
      </c>
      <c r="L272" s="344">
        <f>H272*F272</f>
        <v>0</v>
      </c>
      <c r="M272" s="344">
        <f>L272</f>
        <v>0</v>
      </c>
      <c r="N272" s="345">
        <f>F272*G272-M272</f>
        <v>0</v>
      </c>
      <c r="O272" s="325" t="e">
        <f t="shared" si="71"/>
        <v>#DIV/0!</v>
      </c>
      <c r="P272" s="319">
        <f t="shared" si="83"/>
        <v>0</v>
      </c>
    </row>
    <row r="273" spans="1:16" ht="15.75" x14ac:dyDescent="0.2">
      <c r="A273" s="146" t="s">
        <v>1780</v>
      </c>
      <c r="B273" s="282"/>
      <c r="C273" s="282" t="s">
        <v>1339</v>
      </c>
      <c r="D273" s="283" t="s">
        <v>1781</v>
      </c>
      <c r="E273" s="284" t="s">
        <v>102</v>
      </c>
      <c r="F273" s="268">
        <f>ROUND(T273*$T$12,2)</f>
        <v>0</v>
      </c>
      <c r="G273" s="285">
        <v>1</v>
      </c>
      <c r="H273" s="285">
        <v>0</v>
      </c>
      <c r="I273" s="285">
        <v>0</v>
      </c>
      <c r="J273" s="285">
        <v>0</v>
      </c>
      <c r="K273" s="269">
        <f>ROUND(G273*F273,2)</f>
        <v>0</v>
      </c>
      <c r="L273" s="344">
        <f>H273*F273</f>
        <v>0</v>
      </c>
      <c r="M273" s="344">
        <f>L273</f>
        <v>0</v>
      </c>
      <c r="N273" s="345">
        <f>F273*G273-M273</f>
        <v>0</v>
      </c>
      <c r="O273" s="325" t="e">
        <f t="shared" si="71"/>
        <v>#DIV/0!</v>
      </c>
      <c r="P273" s="319">
        <f t="shared" si="83"/>
        <v>0</v>
      </c>
    </row>
    <row r="274" spans="1:16" ht="15.75" x14ac:dyDescent="0.2">
      <c r="A274" s="146" t="s">
        <v>1782</v>
      </c>
      <c r="B274" s="282"/>
      <c r="C274" s="282" t="s">
        <v>1339</v>
      </c>
      <c r="D274" s="283" t="s">
        <v>1783</v>
      </c>
      <c r="E274" s="284" t="s">
        <v>102</v>
      </c>
      <c r="F274" s="268">
        <f>ROUND(T274*$T$12,2)</f>
        <v>0</v>
      </c>
      <c r="G274" s="285">
        <v>1</v>
      </c>
      <c r="H274" s="285">
        <v>0</v>
      </c>
      <c r="I274" s="285">
        <v>0</v>
      </c>
      <c r="J274" s="285">
        <v>0</v>
      </c>
      <c r="K274" s="269">
        <f>ROUND(G274*F274,2)</f>
        <v>0</v>
      </c>
      <c r="L274" s="344">
        <f>H274*F274</f>
        <v>0</v>
      </c>
      <c r="M274" s="344">
        <f>L274</f>
        <v>0</v>
      </c>
      <c r="N274" s="345">
        <f>F274*G274-M274</f>
        <v>0</v>
      </c>
      <c r="O274" s="325" t="e">
        <f t="shared" si="71"/>
        <v>#DIV/0!</v>
      </c>
      <c r="P274" s="319">
        <f t="shared" si="83"/>
        <v>0</v>
      </c>
    </row>
    <row r="275" spans="1:16" ht="15.75" x14ac:dyDescent="0.2">
      <c r="A275" s="146" t="s">
        <v>1784</v>
      </c>
      <c r="B275" s="282">
        <v>84862</v>
      </c>
      <c r="C275" s="282" t="s">
        <v>1324</v>
      </c>
      <c r="D275" s="283" t="s">
        <v>1785</v>
      </c>
      <c r="E275" s="284" t="s">
        <v>81</v>
      </c>
      <c r="F275" s="268">
        <f>ROUND(T275*$T$12,2)</f>
        <v>0</v>
      </c>
      <c r="G275" s="285">
        <v>9.6</v>
      </c>
      <c r="H275" s="285">
        <v>0</v>
      </c>
      <c r="I275" s="285">
        <v>0</v>
      </c>
      <c r="J275" s="285">
        <v>0</v>
      </c>
      <c r="K275" s="269">
        <f>ROUND(G275*F275,2)</f>
        <v>0</v>
      </c>
      <c r="L275" s="344">
        <f>H275*F275</f>
        <v>0</v>
      </c>
      <c r="M275" s="344">
        <f>L275</f>
        <v>0</v>
      </c>
      <c r="N275" s="345">
        <f>F275*G275-M275</f>
        <v>0</v>
      </c>
      <c r="O275" s="325" t="e">
        <f t="shared" si="71"/>
        <v>#DIV/0!</v>
      </c>
      <c r="P275" s="319">
        <f t="shared" si="83"/>
        <v>0</v>
      </c>
    </row>
    <row r="276" spans="1:16" ht="15.75" x14ac:dyDescent="0.2">
      <c r="A276" s="352" t="s">
        <v>691</v>
      </c>
      <c r="B276" s="290"/>
      <c r="C276" s="290"/>
      <c r="D276" s="291" t="s">
        <v>1786</v>
      </c>
      <c r="E276" s="292"/>
      <c r="F276" s="279">
        <f>K276</f>
        <v>0</v>
      </c>
      <c r="G276" s="293"/>
      <c r="H276" s="279"/>
      <c r="I276" s="279"/>
      <c r="J276" s="279"/>
      <c r="K276" s="280">
        <f>SUM(K277:K278)</f>
        <v>0</v>
      </c>
      <c r="L276" s="349"/>
      <c r="M276" s="349"/>
      <c r="N276" s="350">
        <f>SUM(N277:N278)</f>
        <v>0</v>
      </c>
      <c r="O276" s="325" t="e">
        <f t="shared" si="71"/>
        <v>#DIV/0!</v>
      </c>
      <c r="P276" s="319">
        <f t="shared" si="83"/>
        <v>0</v>
      </c>
    </row>
    <row r="277" spans="1:16" ht="25.5" x14ac:dyDescent="0.2">
      <c r="A277" s="146" t="s">
        <v>1787</v>
      </c>
      <c r="B277" s="282" t="s">
        <v>1788</v>
      </c>
      <c r="C277" s="282" t="s">
        <v>1324</v>
      </c>
      <c r="D277" s="283" t="s">
        <v>1789</v>
      </c>
      <c r="E277" s="284" t="s">
        <v>14</v>
      </c>
      <c r="F277" s="268">
        <f>ROUND(T277*$T$12,2)</f>
        <v>0</v>
      </c>
      <c r="G277" s="285">
        <v>201</v>
      </c>
      <c r="H277" s="285">
        <v>0</v>
      </c>
      <c r="I277" s="285">
        <v>0</v>
      </c>
      <c r="J277" s="285">
        <v>0</v>
      </c>
      <c r="K277" s="269">
        <f>ROUND(G277*F277,2)</f>
        <v>0</v>
      </c>
      <c r="L277" s="344">
        <f>H277*F277</f>
        <v>0</v>
      </c>
      <c r="M277" s="344">
        <f>L277</f>
        <v>0</v>
      </c>
      <c r="N277" s="345">
        <f>F277*G277-M277</f>
        <v>0</v>
      </c>
      <c r="O277" s="325" t="e">
        <f t="shared" si="71"/>
        <v>#DIV/0!</v>
      </c>
      <c r="P277" s="319">
        <f t="shared" si="83"/>
        <v>0</v>
      </c>
    </row>
    <row r="278" spans="1:16" ht="15.75" x14ac:dyDescent="0.2">
      <c r="A278" s="146" t="s">
        <v>1790</v>
      </c>
      <c r="B278" s="282"/>
      <c r="C278" s="282" t="s">
        <v>1339</v>
      </c>
      <c r="D278" s="283" t="s">
        <v>1791</v>
      </c>
      <c r="E278" s="284" t="s">
        <v>102</v>
      </c>
      <c r="F278" s="268">
        <f>ROUND(T278*$T$12,2)</f>
        <v>0</v>
      </c>
      <c r="G278" s="285">
        <v>4</v>
      </c>
      <c r="H278" s="285">
        <v>0</v>
      </c>
      <c r="I278" s="285">
        <v>0</v>
      </c>
      <c r="J278" s="285">
        <v>0</v>
      </c>
      <c r="K278" s="269">
        <f>ROUND(G278*F278,2)</f>
        <v>0</v>
      </c>
      <c r="L278" s="344">
        <f>H278*F278</f>
        <v>0</v>
      </c>
      <c r="M278" s="344">
        <f>L278</f>
        <v>0</v>
      </c>
      <c r="N278" s="345">
        <f>F278*G278-M278</f>
        <v>0</v>
      </c>
      <c r="O278" s="325" t="e">
        <f t="shared" si="71"/>
        <v>#DIV/0!</v>
      </c>
      <c r="P278" s="319">
        <f t="shared" si="83"/>
        <v>0</v>
      </c>
    </row>
    <row r="279" spans="1:16" ht="15.75" x14ac:dyDescent="0.2">
      <c r="A279" s="351">
        <v>20</v>
      </c>
      <c r="B279" s="286"/>
      <c r="C279" s="286"/>
      <c r="D279" s="287" t="s">
        <v>1232</v>
      </c>
      <c r="E279" s="288"/>
      <c r="F279" s="261">
        <f>K279</f>
        <v>0</v>
      </c>
      <c r="G279" s="289"/>
      <c r="H279" s="261"/>
      <c r="I279" s="261"/>
      <c r="J279" s="261"/>
      <c r="K279" s="294">
        <f>SUM(K280:K284)</f>
        <v>0</v>
      </c>
      <c r="L279" s="342"/>
      <c r="M279" s="342"/>
      <c r="N279" s="343">
        <f>SUM(N280:N284)</f>
        <v>0</v>
      </c>
      <c r="O279" s="325" t="e">
        <f t="shared" si="71"/>
        <v>#DIV/0!</v>
      </c>
      <c r="P279" s="319"/>
    </row>
    <row r="280" spans="1:16" ht="15.75" x14ac:dyDescent="0.2">
      <c r="A280" s="146" t="s">
        <v>719</v>
      </c>
      <c r="B280" s="282" t="s">
        <v>1792</v>
      </c>
      <c r="C280" s="282" t="s">
        <v>1324</v>
      </c>
      <c r="D280" s="283" t="s">
        <v>1793</v>
      </c>
      <c r="E280" s="284" t="s">
        <v>14</v>
      </c>
      <c r="F280" s="268">
        <f>ROUND(T280*$T$12,2)</f>
        <v>0</v>
      </c>
      <c r="G280" s="285">
        <v>296.01</v>
      </c>
      <c r="H280" s="285">
        <v>0</v>
      </c>
      <c r="I280" s="285">
        <v>0</v>
      </c>
      <c r="J280" s="285">
        <v>0</v>
      </c>
      <c r="K280" s="269">
        <f>ROUND(G280*F280,2)</f>
        <v>0</v>
      </c>
      <c r="L280" s="344">
        <f>H280*F280</f>
        <v>0</v>
      </c>
      <c r="M280" s="344">
        <f>L280</f>
        <v>0</v>
      </c>
      <c r="N280" s="345">
        <f>F280*G280-M280</f>
        <v>0</v>
      </c>
      <c r="O280" s="325" t="e">
        <f t="shared" si="71"/>
        <v>#DIV/0!</v>
      </c>
      <c r="P280" s="319">
        <f>G280*F280</f>
        <v>0</v>
      </c>
    </row>
    <row r="281" spans="1:16" ht="15.75" x14ac:dyDescent="0.2">
      <c r="A281" s="146" t="s">
        <v>726</v>
      </c>
      <c r="B281" s="282" t="s">
        <v>1794</v>
      </c>
      <c r="C281" s="282" t="s">
        <v>1324</v>
      </c>
      <c r="D281" s="283" t="s">
        <v>1795</v>
      </c>
      <c r="E281" s="284" t="s">
        <v>14</v>
      </c>
      <c r="F281" s="268">
        <f>ROUND(T281*$T$12,2)</f>
        <v>0</v>
      </c>
      <c r="G281" s="285">
        <v>21.9</v>
      </c>
      <c r="H281" s="285">
        <v>0</v>
      </c>
      <c r="I281" s="285">
        <v>0</v>
      </c>
      <c r="J281" s="285">
        <v>0</v>
      </c>
      <c r="K281" s="269">
        <f>ROUND(G281*F281,2)</f>
        <v>0</v>
      </c>
      <c r="L281" s="344">
        <f>H281*F281</f>
        <v>0</v>
      </c>
      <c r="M281" s="344">
        <f>L281</f>
        <v>0</v>
      </c>
      <c r="N281" s="345">
        <f>F281*G281-M281</f>
        <v>0</v>
      </c>
      <c r="O281" s="325" t="e">
        <f t="shared" si="71"/>
        <v>#DIV/0!</v>
      </c>
      <c r="P281" s="319">
        <f>G281*F281</f>
        <v>0</v>
      </c>
    </row>
    <row r="282" spans="1:16" ht="15.75" x14ac:dyDescent="0.2">
      <c r="A282" s="146" t="s">
        <v>730</v>
      </c>
      <c r="B282" s="282" t="s">
        <v>1796</v>
      </c>
      <c r="C282" s="282" t="s">
        <v>1324</v>
      </c>
      <c r="D282" s="283" t="s">
        <v>1797</v>
      </c>
      <c r="E282" s="284" t="s">
        <v>14</v>
      </c>
      <c r="F282" s="268">
        <f>ROUND(T282*$T$12,2)</f>
        <v>0</v>
      </c>
      <c r="G282" s="285">
        <v>64.91</v>
      </c>
      <c r="H282" s="285">
        <v>0</v>
      </c>
      <c r="I282" s="285">
        <v>0</v>
      </c>
      <c r="J282" s="285">
        <v>0</v>
      </c>
      <c r="K282" s="269">
        <f>ROUND(G282*F282,2)</f>
        <v>0</v>
      </c>
      <c r="L282" s="344">
        <f>H282*F282</f>
        <v>0</v>
      </c>
      <c r="M282" s="344">
        <f>L282</f>
        <v>0</v>
      </c>
      <c r="N282" s="345">
        <f>F282*G282-M282</f>
        <v>0</v>
      </c>
      <c r="O282" s="325" t="e">
        <f t="shared" si="71"/>
        <v>#DIV/0!</v>
      </c>
      <c r="P282" s="319">
        <f>G282*F282</f>
        <v>0</v>
      </c>
    </row>
    <row r="283" spans="1:16" ht="15.75" x14ac:dyDescent="0.2">
      <c r="A283" s="146" t="s">
        <v>739</v>
      </c>
      <c r="B283" s="282" t="s">
        <v>1798</v>
      </c>
      <c r="C283" s="282" t="s">
        <v>1324</v>
      </c>
      <c r="D283" s="283" t="s">
        <v>1799</v>
      </c>
      <c r="E283" s="284" t="s">
        <v>14</v>
      </c>
      <c r="F283" s="268">
        <f>ROUND(T283*$T$12,2)</f>
        <v>0</v>
      </c>
      <c r="G283" s="285">
        <v>676.67</v>
      </c>
      <c r="H283" s="285">
        <v>0</v>
      </c>
      <c r="I283" s="285">
        <v>0</v>
      </c>
      <c r="J283" s="285">
        <v>0</v>
      </c>
      <c r="K283" s="269">
        <f>ROUND(G283*F283,2)</f>
        <v>0</v>
      </c>
      <c r="L283" s="344">
        <f>H283*F283</f>
        <v>0</v>
      </c>
      <c r="M283" s="344">
        <f>L283</f>
        <v>0</v>
      </c>
      <c r="N283" s="345">
        <f>F283*G283-M283</f>
        <v>0</v>
      </c>
      <c r="O283" s="325" t="e">
        <f t="shared" si="71"/>
        <v>#DIV/0!</v>
      </c>
      <c r="P283" s="319">
        <f>G283*F283</f>
        <v>0</v>
      </c>
    </row>
    <row r="284" spans="1:16" ht="16.5" thickBot="1" x14ac:dyDescent="0.25">
      <c r="A284" s="353" t="s">
        <v>743</v>
      </c>
      <c r="B284" s="354">
        <v>84122</v>
      </c>
      <c r="C284" s="354" t="s">
        <v>1324</v>
      </c>
      <c r="D284" s="355" t="s">
        <v>1800</v>
      </c>
      <c r="E284" s="356" t="s">
        <v>102</v>
      </c>
      <c r="F284" s="357">
        <f>ROUND(T284*$T$12,2)</f>
        <v>0</v>
      </c>
      <c r="G284" s="358">
        <v>1</v>
      </c>
      <c r="H284" s="358">
        <v>0</v>
      </c>
      <c r="I284" s="358">
        <v>0</v>
      </c>
      <c r="J284" s="358">
        <v>0</v>
      </c>
      <c r="K284" s="359">
        <f>ROUND(G284*F284,2)</f>
        <v>0</v>
      </c>
      <c r="L284" s="360">
        <f>H284*F284</f>
        <v>0</v>
      </c>
      <c r="M284" s="360">
        <f>L284</f>
        <v>0</v>
      </c>
      <c r="N284" s="361">
        <f>F284*G284-M284</f>
        <v>0</v>
      </c>
      <c r="O284" s="325" t="e">
        <f t="shared" si="71"/>
        <v>#DIV/0!</v>
      </c>
      <c r="P284" s="319">
        <f>G284*F284</f>
        <v>0</v>
      </c>
    </row>
  </sheetData>
  <mergeCells count="9">
    <mergeCell ref="B9:N9"/>
    <mergeCell ref="A10:N10"/>
    <mergeCell ref="B34:C34"/>
    <mergeCell ref="C2:N2"/>
    <mergeCell ref="C3:N3"/>
    <mergeCell ref="A4:A6"/>
    <mergeCell ref="C4:N4"/>
    <mergeCell ref="E6:G6"/>
    <mergeCell ref="B8:K8"/>
  </mergeCells>
  <conditionalFormatting sqref="K52:N52 F52 K58:N58 F58 K63:N63 F63 K68:N68 F68 K70:N71 F70:F71 K73:N73 F73 K76:N76 F76 K78:N79 F78:F79 K84:N84 F84 K88:N88 F88 K91:N91 F91 K93:N93 F93 K96:N96 F96 K99:N99 F99 K110:N111 F110:F111 K117:N117 F117 K121:N121 F121 K130:N131 F130:F131 K153:N153 F153 K169:N170 F169:F170 K182:N182 F182 K191:N191 F191 K195:N195 F195 K209:N209 F209 K215:N216 F215:F216 K226:N226 F226 K248:N248 F248 K253:N253 F253 K260:N260 F260 K269:N270 F269:F270 K276:N276 F276 K279:N279 F279 A90:E284 A16:E33 K46:N47 F46:F47 G27:H31 G90:J284 F40:N40 A14:N14 F32:N34 F26:N26 G16:H25 A35:E88 G35:I39 G41:I45 G46:J52 G57:J88 G53:H56 J53:J56">
    <cfRule type="expression" dxfId="943" priority="5">
      <formula>$D14&lt;&gt;0</formula>
    </cfRule>
    <cfRule type="expression" dxfId="942" priority="6">
      <formula>$P14=1</formula>
    </cfRule>
  </conditionalFormatting>
  <conditionalFormatting sqref="A34:B34 D34:E34">
    <cfRule type="expression" dxfId="941" priority="3">
      <formula>$D34&lt;&gt;0</formula>
    </cfRule>
    <cfRule type="expression" dxfId="940" priority="4">
      <formula>$O34=1</formula>
    </cfRule>
  </conditionalFormatting>
  <conditionalFormatting sqref="I53:I56">
    <cfRule type="expression" dxfId="939" priority="1">
      <formula>$D53&lt;&gt;0</formula>
    </cfRule>
    <cfRule type="expression" dxfId="938" priority="2">
      <formula>$P53=1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U298"/>
  <sheetViews>
    <sheetView showGridLines="0" topLeftCell="C1" zoomScaleNormal="100" zoomScaleSheetLayoutView="80" workbookViewId="0">
      <selection activeCell="J12" sqref="J12:J283"/>
    </sheetView>
  </sheetViews>
  <sheetFormatPr defaultColWidth="9.33203125" defaultRowHeight="12.75" x14ac:dyDescent="0.2"/>
  <cols>
    <col min="1" max="1" width="12.5" style="66" customWidth="1"/>
    <col min="2" max="2" width="11.33203125" style="66" customWidth="1"/>
    <col min="3" max="3" width="11.5" style="71" customWidth="1"/>
    <col min="4" max="4" width="78.83203125" style="66" customWidth="1"/>
    <col min="5" max="5" width="8.83203125" style="66" customWidth="1"/>
    <col min="6" max="6" width="16.83203125" style="66" customWidth="1"/>
    <col min="7" max="7" width="15.83203125" style="66" customWidth="1"/>
    <col min="8" max="8" width="22.1640625" style="75" customWidth="1"/>
    <col min="9" max="9" width="18.6640625" style="78" customWidth="1"/>
    <col min="10" max="10" width="22.33203125" style="66" bestFit="1" customWidth="1"/>
    <col min="11" max="11" width="17" style="66" customWidth="1"/>
    <col min="12" max="12" width="2.1640625" style="66" customWidth="1"/>
    <col min="13" max="13" width="12.83203125" style="66" customWidth="1"/>
    <col min="14" max="14" width="18.6640625" style="86" customWidth="1"/>
    <col min="15" max="15" width="17" style="78" customWidth="1"/>
    <col min="16" max="16" width="16.6640625" style="66" customWidth="1"/>
    <col min="17" max="17" width="12.5" style="66" customWidth="1"/>
    <col min="18" max="20" width="9.33203125" style="66"/>
    <col min="21" max="21" width="12" style="66" bestFit="1" customWidth="1"/>
    <col min="22" max="16384" width="9.33203125" style="66"/>
  </cols>
  <sheetData>
    <row r="1" spans="1:21" s="51" customFormat="1" ht="23.25" x14ac:dyDescent="0.2">
      <c r="A1" s="102"/>
      <c r="B1" s="103"/>
      <c r="C1" s="104"/>
      <c r="D1" s="104"/>
      <c r="E1" s="864" t="s">
        <v>1806</v>
      </c>
      <c r="F1" s="865"/>
      <c r="G1" s="865"/>
      <c r="H1" s="865"/>
      <c r="I1" s="865"/>
      <c r="J1" s="865"/>
      <c r="K1" s="865"/>
      <c r="L1" s="865"/>
      <c r="M1" s="865"/>
      <c r="N1" s="865"/>
      <c r="O1" s="865"/>
      <c r="P1" s="865"/>
      <c r="Q1" s="866"/>
    </row>
    <row r="2" spans="1:21" s="51" customFormat="1" ht="23.25" x14ac:dyDescent="0.2">
      <c r="A2" s="105"/>
      <c r="B2" s="62"/>
      <c r="C2" s="62"/>
      <c r="D2" s="62"/>
      <c r="E2" s="867"/>
      <c r="F2" s="868"/>
      <c r="G2" s="868"/>
      <c r="H2" s="868"/>
      <c r="I2" s="868"/>
      <c r="J2" s="868"/>
      <c r="K2" s="868"/>
      <c r="L2" s="868"/>
      <c r="M2" s="868"/>
      <c r="N2" s="868"/>
      <c r="O2" s="868"/>
      <c r="P2" s="868"/>
      <c r="Q2" s="869"/>
    </row>
    <row r="3" spans="1:21" s="51" customFormat="1" ht="23.25" x14ac:dyDescent="0.2">
      <c r="A3" s="105"/>
      <c r="B3" s="62"/>
      <c r="C3" s="62"/>
      <c r="D3" s="62"/>
      <c r="E3" s="867"/>
      <c r="F3" s="868"/>
      <c r="G3" s="868"/>
      <c r="H3" s="868"/>
      <c r="I3" s="868"/>
      <c r="J3" s="868"/>
      <c r="K3" s="868"/>
      <c r="L3" s="868"/>
      <c r="M3" s="868"/>
      <c r="N3" s="868"/>
      <c r="O3" s="868"/>
      <c r="P3" s="868"/>
      <c r="Q3" s="869"/>
    </row>
    <row r="4" spans="1:21" s="51" customFormat="1" ht="23.25" x14ac:dyDescent="0.2">
      <c r="A4" s="105"/>
      <c r="B4" s="62"/>
      <c r="C4" s="62"/>
      <c r="D4" s="62"/>
      <c r="E4" s="867"/>
      <c r="F4" s="868"/>
      <c r="G4" s="868"/>
      <c r="H4" s="868"/>
      <c r="I4" s="868"/>
      <c r="J4" s="868"/>
      <c r="K4" s="868"/>
      <c r="L4" s="868"/>
      <c r="M4" s="868"/>
      <c r="N4" s="868"/>
      <c r="O4" s="868"/>
      <c r="P4" s="868"/>
      <c r="Q4" s="869"/>
    </row>
    <row r="5" spans="1:21" s="51" customFormat="1" ht="23.25" x14ac:dyDescent="0.2">
      <c r="A5" s="105"/>
      <c r="B5" s="62"/>
      <c r="C5" s="62"/>
      <c r="D5" s="62"/>
      <c r="E5" s="867"/>
      <c r="F5" s="868"/>
      <c r="G5" s="868"/>
      <c r="H5" s="868"/>
      <c r="I5" s="868"/>
      <c r="J5" s="868"/>
      <c r="K5" s="868"/>
      <c r="L5" s="868"/>
      <c r="M5" s="868"/>
      <c r="N5" s="868"/>
      <c r="O5" s="868"/>
      <c r="P5" s="868"/>
      <c r="Q5" s="869"/>
    </row>
    <row r="6" spans="1:21" s="51" customFormat="1" ht="25.5" x14ac:dyDescent="0.2">
      <c r="A6" s="870" t="s">
        <v>1320</v>
      </c>
      <c r="B6" s="857"/>
      <c r="C6" s="857"/>
      <c r="D6" s="857"/>
      <c r="E6" s="857" t="s">
        <v>1286</v>
      </c>
      <c r="F6" s="857"/>
      <c r="G6" s="89"/>
      <c r="H6" s="79" t="s">
        <v>1323</v>
      </c>
      <c r="I6" s="74" t="s">
        <v>1287</v>
      </c>
      <c r="J6" s="64">
        <f>N283</f>
        <v>19735.7376</v>
      </c>
      <c r="K6" s="63" t="s">
        <v>1288</v>
      </c>
      <c r="L6" s="89"/>
      <c r="M6" s="54">
        <f>J6/$H$7</f>
        <v>2.9709200623407754E-2</v>
      </c>
      <c r="N6" s="87" t="s">
        <v>1310</v>
      </c>
      <c r="O6" s="871">
        <v>43658</v>
      </c>
      <c r="P6" s="871"/>
      <c r="Q6" s="872"/>
      <c r="U6" s="64">
        <v>44898.842499999999</v>
      </c>
    </row>
    <row r="7" spans="1:21" s="51" customFormat="1" ht="25.5" x14ac:dyDescent="0.2">
      <c r="A7" s="873" t="s">
        <v>1321</v>
      </c>
      <c r="B7" s="858"/>
      <c r="C7" s="858"/>
      <c r="D7" s="858"/>
      <c r="E7" s="858" t="s">
        <v>1289</v>
      </c>
      <c r="F7" s="858"/>
      <c r="G7" s="89"/>
      <c r="H7" s="90">
        <v>664297.16</v>
      </c>
      <c r="I7" s="74" t="s">
        <v>1290</v>
      </c>
      <c r="J7" s="64">
        <f>107914.24+J6</f>
        <v>127649.97760000001</v>
      </c>
      <c r="K7" s="63" t="s">
        <v>1309</v>
      </c>
      <c r="L7" s="89"/>
      <c r="M7" s="54">
        <f>J7/$H$7</f>
        <v>0.19215794570008399</v>
      </c>
      <c r="N7" s="91" t="s">
        <v>1291</v>
      </c>
      <c r="O7" s="871">
        <v>43951</v>
      </c>
      <c r="P7" s="871"/>
      <c r="Q7" s="872"/>
      <c r="U7" s="64">
        <v>152813.08250000002</v>
      </c>
    </row>
    <row r="8" spans="1:21" s="51" customFormat="1" ht="25.5" x14ac:dyDescent="0.2">
      <c r="A8" s="98" t="s">
        <v>1319</v>
      </c>
      <c r="B8" s="857" t="s">
        <v>1322</v>
      </c>
      <c r="C8" s="857"/>
      <c r="D8" s="857"/>
      <c r="E8" s="858" t="s">
        <v>1292</v>
      </c>
      <c r="F8" s="858"/>
      <c r="G8" s="89"/>
      <c r="H8" s="83">
        <v>43899</v>
      </c>
      <c r="I8" s="80" t="s">
        <v>1293</v>
      </c>
      <c r="J8" s="64">
        <f>H7-J7</f>
        <v>536647.18240000005</v>
      </c>
      <c r="K8" s="63" t="s">
        <v>1294</v>
      </c>
      <c r="L8" s="89"/>
      <c r="M8" s="859" t="s">
        <v>1294</v>
      </c>
      <c r="N8" s="859"/>
      <c r="O8" s="859" t="s">
        <v>1807</v>
      </c>
      <c r="P8" s="859"/>
      <c r="Q8" s="860"/>
      <c r="U8" s="64">
        <v>511484.07750000001</v>
      </c>
    </row>
    <row r="9" spans="1:21" s="51" customFormat="1" x14ac:dyDescent="0.2">
      <c r="A9" s="861"/>
      <c r="B9" s="862"/>
      <c r="C9" s="862"/>
      <c r="D9" s="863"/>
      <c r="E9" s="92"/>
      <c r="F9" s="89"/>
      <c r="G9" s="89"/>
      <c r="H9" s="93"/>
      <c r="I9" s="93"/>
      <c r="J9" s="89"/>
      <c r="K9" s="89"/>
      <c r="L9" s="89"/>
      <c r="M9" s="94"/>
      <c r="N9" s="95"/>
      <c r="O9" s="93"/>
      <c r="P9" s="89"/>
      <c r="Q9" s="99"/>
      <c r="U9" s="64"/>
    </row>
    <row r="10" spans="1:21" s="51" customFormat="1" ht="12" x14ac:dyDescent="0.2">
      <c r="A10" s="861"/>
      <c r="B10" s="862"/>
      <c r="C10" s="862"/>
      <c r="D10" s="863"/>
      <c r="E10" s="92"/>
      <c r="F10" s="89"/>
      <c r="G10" s="89"/>
      <c r="H10" s="93"/>
      <c r="I10" s="96"/>
      <c r="J10" s="89"/>
      <c r="K10" s="89"/>
      <c r="L10" s="89"/>
      <c r="M10" s="94"/>
      <c r="N10" s="95"/>
      <c r="O10" s="93"/>
      <c r="P10" s="89"/>
      <c r="Q10" s="99"/>
    </row>
    <row r="11" spans="1:21" ht="38.25" x14ac:dyDescent="0.2">
      <c r="A11" s="100" t="s">
        <v>1325</v>
      </c>
      <c r="B11" s="58" t="s">
        <v>1326</v>
      </c>
      <c r="C11" s="55" t="s">
        <v>1327</v>
      </c>
      <c r="D11" s="56" t="s">
        <v>5</v>
      </c>
      <c r="E11" s="55" t="s">
        <v>6</v>
      </c>
      <c r="F11" s="55" t="s">
        <v>7</v>
      </c>
      <c r="G11" s="65" t="s">
        <v>1316</v>
      </c>
      <c r="H11" s="81" t="s">
        <v>1317</v>
      </c>
      <c r="I11" s="81" t="s">
        <v>1318</v>
      </c>
      <c r="J11" s="57" t="s">
        <v>1282</v>
      </c>
      <c r="K11" s="55" t="s">
        <v>1283</v>
      </c>
      <c r="L11" s="55"/>
      <c r="M11" s="55" t="s">
        <v>1295</v>
      </c>
      <c r="N11" s="84" t="s">
        <v>1284</v>
      </c>
      <c r="O11" s="76" t="s">
        <v>1285</v>
      </c>
      <c r="P11" s="55" t="s">
        <v>1295</v>
      </c>
      <c r="Q11" s="101" t="s">
        <v>1296</v>
      </c>
    </row>
    <row r="12" spans="1:21" x14ac:dyDescent="0.2">
      <c r="A12" s="100"/>
      <c r="B12" s="58"/>
      <c r="C12" s="55"/>
      <c r="D12" s="56"/>
      <c r="E12" s="55"/>
      <c r="F12" s="55"/>
      <c r="G12" s="65"/>
      <c r="H12" s="81"/>
      <c r="I12" s="81"/>
      <c r="J12" s="57"/>
      <c r="K12" s="55"/>
      <c r="L12" s="55"/>
      <c r="M12" s="55"/>
      <c r="N12" s="84"/>
      <c r="O12" s="76"/>
      <c r="P12" s="55"/>
      <c r="Q12" s="101"/>
    </row>
    <row r="13" spans="1:21" s="124" customFormat="1" x14ac:dyDescent="0.2">
      <c r="A13" s="113">
        <v>1</v>
      </c>
      <c r="B13" s="114"/>
      <c r="C13" s="114"/>
      <c r="D13" s="115" t="s">
        <v>9</v>
      </c>
      <c r="E13" s="112"/>
      <c r="F13" s="116">
        <f>SUM(F14:F24)</f>
        <v>2411.4</v>
      </c>
      <c r="G13" s="117"/>
      <c r="H13" s="118">
        <f>SUM(H14:H24)</f>
        <v>5181.8600000000006</v>
      </c>
      <c r="I13" s="119">
        <f>SUM(I14:I24)</f>
        <v>32660.889999999992</v>
      </c>
      <c r="J13" s="120">
        <v>0</v>
      </c>
      <c r="K13" s="121">
        <f>SUM(K14:K24)</f>
        <v>2411.4</v>
      </c>
      <c r="L13" s="117"/>
      <c r="M13" s="120">
        <v>0</v>
      </c>
      <c r="N13" s="122">
        <v>0</v>
      </c>
      <c r="O13" s="119">
        <f>SUM(O14:O24)</f>
        <v>32660.889999999992</v>
      </c>
      <c r="P13" s="120">
        <v>0</v>
      </c>
      <c r="Q13" s="123">
        <f>O13/I13</f>
        <v>1</v>
      </c>
    </row>
    <row r="14" spans="1:21" s="67" customFormat="1" x14ac:dyDescent="0.2">
      <c r="A14" s="125" t="s">
        <v>10</v>
      </c>
      <c r="B14" s="126" t="s">
        <v>1328</v>
      </c>
      <c r="C14" s="126" t="s">
        <v>1324</v>
      </c>
      <c r="D14" s="127" t="s">
        <v>1329</v>
      </c>
      <c r="E14" s="128" t="s">
        <v>14</v>
      </c>
      <c r="F14" s="128">
        <v>10</v>
      </c>
      <c r="G14" s="129"/>
      <c r="H14" s="130">
        <v>232.25</v>
      </c>
      <c r="I14" s="131">
        <f>ROUND(F14*H14,2)</f>
        <v>2322.5</v>
      </c>
      <c r="J14" s="132">
        <v>0</v>
      </c>
      <c r="K14" s="133">
        <f>F14</f>
        <v>10</v>
      </c>
      <c r="L14" s="129"/>
      <c r="M14" s="132">
        <v>0</v>
      </c>
      <c r="N14" s="134">
        <v>0</v>
      </c>
      <c r="O14" s="135">
        <f>I14</f>
        <v>2322.5</v>
      </c>
      <c r="P14" s="132">
        <v>0</v>
      </c>
      <c r="Q14" s="136">
        <f>O14/I14</f>
        <v>1</v>
      </c>
    </row>
    <row r="15" spans="1:21" s="67" customFormat="1" x14ac:dyDescent="0.2">
      <c r="A15" s="125" t="s">
        <v>1330</v>
      </c>
      <c r="B15" s="126" t="s">
        <v>1331</v>
      </c>
      <c r="C15" s="126" t="s">
        <v>1324</v>
      </c>
      <c r="D15" s="127" t="s">
        <v>1332</v>
      </c>
      <c r="E15" s="128" t="s">
        <v>14</v>
      </c>
      <c r="F15" s="128">
        <v>312.39999999999998</v>
      </c>
      <c r="G15" s="137">
        <v>595.62</v>
      </c>
      <c r="H15" s="130">
        <v>39.78</v>
      </c>
      <c r="I15" s="131">
        <f t="shared" ref="I15:I24" si="0">ROUND(F15*H15,2)</f>
        <v>12427.27</v>
      </c>
      <c r="J15" s="132">
        <v>0</v>
      </c>
      <c r="K15" s="133">
        <f t="shared" ref="K15:K24" si="1">F15</f>
        <v>312.39999999999998</v>
      </c>
      <c r="L15" s="137"/>
      <c r="M15" s="132">
        <v>0</v>
      </c>
      <c r="N15" s="134">
        <v>0</v>
      </c>
      <c r="O15" s="135">
        <f t="shared" ref="O15:O24" si="2">I15</f>
        <v>12427.27</v>
      </c>
      <c r="P15" s="132">
        <v>0</v>
      </c>
      <c r="Q15" s="136">
        <f>O15/I15</f>
        <v>1</v>
      </c>
    </row>
    <row r="16" spans="1:21" s="67" customFormat="1" ht="21" customHeight="1" x14ac:dyDescent="0.2">
      <c r="A16" s="125" t="s">
        <v>1333</v>
      </c>
      <c r="B16" s="126">
        <v>9540</v>
      </c>
      <c r="C16" s="126" t="s">
        <v>1324</v>
      </c>
      <c r="D16" s="127" t="s">
        <v>1334</v>
      </c>
      <c r="E16" s="128" t="s">
        <v>102</v>
      </c>
      <c r="F16" s="128">
        <v>1</v>
      </c>
      <c r="G16" s="137">
        <v>256.73</v>
      </c>
      <c r="H16" s="130">
        <v>783.05</v>
      </c>
      <c r="I16" s="131">
        <f t="shared" si="0"/>
        <v>783.05</v>
      </c>
      <c r="J16" s="507">
        <f>H16/G16</f>
        <v>3.0500915358547886</v>
      </c>
      <c r="K16" s="133">
        <f t="shared" si="1"/>
        <v>1</v>
      </c>
      <c r="L16" s="137"/>
      <c r="M16" s="132">
        <v>0</v>
      </c>
      <c r="N16" s="134">
        <v>0</v>
      </c>
      <c r="O16" s="135">
        <f t="shared" si="2"/>
        <v>783.05</v>
      </c>
      <c r="P16" s="132">
        <v>0</v>
      </c>
      <c r="Q16" s="136">
        <f t="shared" ref="Q16:Q75" si="3">O16/I16</f>
        <v>1</v>
      </c>
    </row>
    <row r="17" spans="1:17" s="67" customFormat="1" x14ac:dyDescent="0.2">
      <c r="A17" s="125" t="s">
        <v>1335</v>
      </c>
      <c r="B17" s="126" t="s">
        <v>1336</v>
      </c>
      <c r="C17" s="126" t="s">
        <v>1324</v>
      </c>
      <c r="D17" s="127" t="s">
        <v>1337</v>
      </c>
      <c r="E17" s="128" t="s">
        <v>102</v>
      </c>
      <c r="F17" s="128">
        <v>1</v>
      </c>
      <c r="G17" s="137">
        <v>49.62</v>
      </c>
      <c r="H17" s="130">
        <v>1344.39</v>
      </c>
      <c r="I17" s="131">
        <f t="shared" si="0"/>
        <v>1344.39</v>
      </c>
      <c r="J17" s="132">
        <v>0</v>
      </c>
      <c r="K17" s="133">
        <f t="shared" si="1"/>
        <v>1</v>
      </c>
      <c r="L17" s="137"/>
      <c r="M17" s="132">
        <v>0</v>
      </c>
      <c r="N17" s="134">
        <v>0</v>
      </c>
      <c r="O17" s="135">
        <f t="shared" si="2"/>
        <v>1344.39</v>
      </c>
      <c r="P17" s="132">
        <v>0</v>
      </c>
      <c r="Q17" s="136">
        <f t="shared" si="3"/>
        <v>1</v>
      </c>
    </row>
    <row r="18" spans="1:17" s="67" customFormat="1" x14ac:dyDescent="0.2">
      <c r="A18" s="125" t="s">
        <v>1338</v>
      </c>
      <c r="B18" s="126"/>
      <c r="C18" s="126" t="s">
        <v>1339</v>
      </c>
      <c r="D18" s="127" t="s">
        <v>1340</v>
      </c>
      <c r="E18" s="128" t="s">
        <v>102</v>
      </c>
      <c r="F18" s="128">
        <v>1</v>
      </c>
      <c r="G18" s="137">
        <v>5.2</v>
      </c>
      <c r="H18" s="130">
        <v>823.61</v>
      </c>
      <c r="I18" s="131">
        <f>ROUND(F18*H18,2)</f>
        <v>823.61</v>
      </c>
      <c r="J18" s="132">
        <v>0</v>
      </c>
      <c r="K18" s="133">
        <f t="shared" si="1"/>
        <v>1</v>
      </c>
      <c r="L18" s="137"/>
      <c r="M18" s="132">
        <v>0</v>
      </c>
      <c r="N18" s="134">
        <v>0</v>
      </c>
      <c r="O18" s="135">
        <f t="shared" si="2"/>
        <v>823.61</v>
      </c>
      <c r="P18" s="132">
        <v>0</v>
      </c>
      <c r="Q18" s="136">
        <f t="shared" si="3"/>
        <v>1</v>
      </c>
    </row>
    <row r="19" spans="1:17" s="67" customFormat="1" x14ac:dyDescent="0.2">
      <c r="A19" s="125" t="s">
        <v>1341</v>
      </c>
      <c r="B19" s="126" t="s">
        <v>1342</v>
      </c>
      <c r="C19" s="126" t="s">
        <v>1343</v>
      </c>
      <c r="D19" s="127" t="s">
        <v>1344</v>
      </c>
      <c r="E19" s="128" t="s">
        <v>102</v>
      </c>
      <c r="F19" s="128">
        <v>1</v>
      </c>
      <c r="G19" s="138"/>
      <c r="H19" s="130">
        <v>174.71</v>
      </c>
      <c r="I19" s="131">
        <f t="shared" si="0"/>
        <v>174.71</v>
      </c>
      <c r="J19" s="132">
        <v>0</v>
      </c>
      <c r="K19" s="133">
        <f t="shared" si="1"/>
        <v>1</v>
      </c>
      <c r="L19" s="138"/>
      <c r="M19" s="132">
        <v>0</v>
      </c>
      <c r="N19" s="134">
        <v>0</v>
      </c>
      <c r="O19" s="135">
        <f t="shared" si="2"/>
        <v>174.71</v>
      </c>
      <c r="P19" s="132">
        <v>0</v>
      </c>
      <c r="Q19" s="136">
        <f t="shared" si="3"/>
        <v>1</v>
      </c>
    </row>
    <row r="20" spans="1:17" s="67" customFormat="1" ht="25.5" x14ac:dyDescent="0.2">
      <c r="A20" s="125" t="s">
        <v>1345</v>
      </c>
      <c r="B20" s="126" t="s">
        <v>1346</v>
      </c>
      <c r="C20" s="126" t="s">
        <v>1324</v>
      </c>
      <c r="D20" s="127" t="s">
        <v>1347</v>
      </c>
      <c r="E20" s="128" t="s">
        <v>102</v>
      </c>
      <c r="F20" s="128">
        <v>1</v>
      </c>
      <c r="G20" s="129"/>
      <c r="H20" s="130">
        <v>1343.12</v>
      </c>
      <c r="I20" s="131">
        <f t="shared" si="0"/>
        <v>1343.12</v>
      </c>
      <c r="J20" s="132">
        <v>0</v>
      </c>
      <c r="K20" s="133">
        <f t="shared" si="1"/>
        <v>1</v>
      </c>
      <c r="L20" s="129"/>
      <c r="M20" s="132">
        <v>0</v>
      </c>
      <c r="N20" s="134">
        <v>0</v>
      </c>
      <c r="O20" s="135">
        <f t="shared" si="2"/>
        <v>1343.12</v>
      </c>
      <c r="P20" s="132">
        <v>0</v>
      </c>
      <c r="Q20" s="136">
        <f t="shared" si="3"/>
        <v>1</v>
      </c>
    </row>
    <row r="21" spans="1:17" s="67" customFormat="1" x14ac:dyDescent="0.2">
      <c r="A21" s="125" t="s">
        <v>1348</v>
      </c>
      <c r="B21" s="126" t="s">
        <v>1349</v>
      </c>
      <c r="C21" s="126" t="s">
        <v>1324</v>
      </c>
      <c r="D21" s="127" t="s">
        <v>1350</v>
      </c>
      <c r="E21" s="128" t="s">
        <v>14</v>
      </c>
      <c r="F21" s="128">
        <v>20</v>
      </c>
      <c r="G21" s="129"/>
      <c r="H21" s="130">
        <v>390.47</v>
      </c>
      <c r="I21" s="131">
        <f>ROUND(F21*H21,2)</f>
        <v>7809.4</v>
      </c>
      <c r="J21" s="132">
        <v>0</v>
      </c>
      <c r="K21" s="133">
        <f t="shared" si="1"/>
        <v>20</v>
      </c>
      <c r="L21" s="129"/>
      <c r="M21" s="132">
        <v>0</v>
      </c>
      <c r="N21" s="134">
        <v>0</v>
      </c>
      <c r="O21" s="135">
        <f t="shared" si="2"/>
        <v>7809.4</v>
      </c>
      <c r="P21" s="132">
        <v>0</v>
      </c>
      <c r="Q21" s="136">
        <f t="shared" si="3"/>
        <v>1</v>
      </c>
    </row>
    <row r="22" spans="1:17" s="67" customFormat="1" x14ac:dyDescent="0.2">
      <c r="A22" s="125" t="s">
        <v>1351</v>
      </c>
      <c r="B22" s="126" t="s">
        <v>1352</v>
      </c>
      <c r="C22" s="126" t="s">
        <v>1324</v>
      </c>
      <c r="D22" s="127" t="s">
        <v>1353</v>
      </c>
      <c r="E22" s="128" t="s">
        <v>14</v>
      </c>
      <c r="F22" s="128">
        <v>785</v>
      </c>
      <c r="G22" s="137">
        <v>302.64</v>
      </c>
      <c r="H22" s="130">
        <v>4.0999999999999996</v>
      </c>
      <c r="I22" s="131">
        <f t="shared" si="0"/>
        <v>3218.5</v>
      </c>
      <c r="J22" s="132">
        <v>0</v>
      </c>
      <c r="K22" s="133">
        <f t="shared" si="1"/>
        <v>785</v>
      </c>
      <c r="L22" s="137"/>
      <c r="M22" s="132">
        <v>0</v>
      </c>
      <c r="N22" s="134">
        <v>0</v>
      </c>
      <c r="O22" s="135">
        <f t="shared" si="2"/>
        <v>3218.5</v>
      </c>
      <c r="P22" s="132">
        <v>0</v>
      </c>
      <c r="Q22" s="136">
        <f t="shared" si="3"/>
        <v>1</v>
      </c>
    </row>
    <row r="23" spans="1:17" s="67" customFormat="1" x14ac:dyDescent="0.2">
      <c r="A23" s="125" t="s">
        <v>1354</v>
      </c>
      <c r="B23" s="126" t="s">
        <v>1355</v>
      </c>
      <c r="C23" s="126" t="s">
        <v>1343</v>
      </c>
      <c r="D23" s="127" t="s">
        <v>1356</v>
      </c>
      <c r="E23" s="128" t="s">
        <v>81</v>
      </c>
      <c r="F23" s="128">
        <v>49</v>
      </c>
      <c r="G23" s="137">
        <v>135.94</v>
      </c>
      <c r="H23" s="130">
        <v>46.26</v>
      </c>
      <c r="I23" s="131">
        <f t="shared" si="0"/>
        <v>2266.7399999999998</v>
      </c>
      <c r="J23" s="132">
        <v>0</v>
      </c>
      <c r="K23" s="133">
        <f t="shared" si="1"/>
        <v>49</v>
      </c>
      <c r="L23" s="137"/>
      <c r="M23" s="132">
        <v>0</v>
      </c>
      <c r="N23" s="134">
        <v>0</v>
      </c>
      <c r="O23" s="135">
        <f t="shared" si="2"/>
        <v>2266.7399999999998</v>
      </c>
      <c r="P23" s="132">
        <v>0</v>
      </c>
      <c r="Q23" s="136">
        <f t="shared" si="3"/>
        <v>1</v>
      </c>
    </row>
    <row r="24" spans="1:17" s="67" customFormat="1" x14ac:dyDescent="0.2">
      <c r="A24" s="125" t="s">
        <v>1357</v>
      </c>
      <c r="B24" s="126">
        <v>72213</v>
      </c>
      <c r="C24" s="126" t="s">
        <v>1324</v>
      </c>
      <c r="D24" s="127" t="s">
        <v>1358</v>
      </c>
      <c r="E24" s="128" t="s">
        <v>14</v>
      </c>
      <c r="F24" s="128">
        <v>1230</v>
      </c>
      <c r="G24" s="137">
        <v>5.86</v>
      </c>
      <c r="H24" s="130">
        <v>0.12</v>
      </c>
      <c r="I24" s="131">
        <f t="shared" si="0"/>
        <v>147.6</v>
      </c>
      <c r="J24" s="132">
        <v>0</v>
      </c>
      <c r="K24" s="133">
        <f t="shared" si="1"/>
        <v>1230</v>
      </c>
      <c r="L24" s="137"/>
      <c r="M24" s="132">
        <v>0</v>
      </c>
      <c r="N24" s="134">
        <v>0</v>
      </c>
      <c r="O24" s="135">
        <f t="shared" si="2"/>
        <v>147.6</v>
      </c>
      <c r="P24" s="132">
        <v>0</v>
      </c>
      <c r="Q24" s="136">
        <f t="shared" si="3"/>
        <v>1</v>
      </c>
    </row>
    <row r="25" spans="1:17" s="124" customFormat="1" x14ac:dyDescent="0.2">
      <c r="A25" s="113">
        <v>2</v>
      </c>
      <c r="B25" s="114"/>
      <c r="C25" s="114"/>
      <c r="D25" s="115" t="s">
        <v>1359</v>
      </c>
      <c r="E25" s="116"/>
      <c r="F25" s="116">
        <f>SUM(F26:F30)</f>
        <v>438.40999999999997</v>
      </c>
      <c r="G25" s="139">
        <v>59.37</v>
      </c>
      <c r="H25" s="118">
        <v>131.45000000000002</v>
      </c>
      <c r="I25" s="140">
        <f>SUM(I26:I30)</f>
        <v>11015.19</v>
      </c>
      <c r="J25" s="132">
        <v>0</v>
      </c>
      <c r="K25" s="139">
        <f>SUM(K26:K30)</f>
        <v>415.90999999999997</v>
      </c>
      <c r="L25" s="139"/>
      <c r="M25" s="139">
        <f>F25-K25</f>
        <v>22.5</v>
      </c>
      <c r="N25" s="141">
        <f>SUM(N26:N30)</f>
        <v>0</v>
      </c>
      <c r="O25" s="140">
        <f>SUM(O26:O30)</f>
        <v>10356.578100000001</v>
      </c>
      <c r="P25" s="142">
        <f>I25-O25</f>
        <v>658.61189999999988</v>
      </c>
      <c r="Q25" s="123">
        <f t="shared" si="3"/>
        <v>0.94020875717985797</v>
      </c>
    </row>
    <row r="26" spans="1:17" s="67" customFormat="1" ht="25.5" x14ac:dyDescent="0.2">
      <c r="A26" s="125" t="s">
        <v>27</v>
      </c>
      <c r="B26" s="126">
        <v>55835</v>
      </c>
      <c r="C26" s="126" t="s">
        <v>1324</v>
      </c>
      <c r="D26" s="127" t="s">
        <v>1360</v>
      </c>
      <c r="E26" s="128" t="s">
        <v>48</v>
      </c>
      <c r="F26" s="128">
        <v>154.94</v>
      </c>
      <c r="G26" s="129"/>
      <c r="H26" s="130">
        <v>29.27</v>
      </c>
      <c r="I26" s="131">
        <f>ROUND(F26*H26,2)</f>
        <v>4535.09</v>
      </c>
      <c r="J26" s="132">
        <v>0</v>
      </c>
      <c r="K26" s="132">
        <f>154.94+J26</f>
        <v>154.94</v>
      </c>
      <c r="L26" s="129"/>
      <c r="M26" s="132">
        <v>0</v>
      </c>
      <c r="N26" s="143">
        <f>J26*H26</f>
        <v>0</v>
      </c>
      <c r="O26" s="131">
        <f>K26*H26</f>
        <v>4535.0937999999996</v>
      </c>
      <c r="P26" s="132">
        <v>0</v>
      </c>
      <c r="Q26" s="136">
        <f t="shared" si="3"/>
        <v>1.0000008379106036</v>
      </c>
    </row>
    <row r="27" spans="1:17" s="67" customFormat="1" x14ac:dyDescent="0.2">
      <c r="A27" s="125" t="s">
        <v>1263</v>
      </c>
      <c r="B27" s="126">
        <v>79478</v>
      </c>
      <c r="C27" s="126" t="s">
        <v>1324</v>
      </c>
      <c r="D27" s="127" t="s">
        <v>1361</v>
      </c>
      <c r="E27" s="128" t="s">
        <v>48</v>
      </c>
      <c r="F27" s="128">
        <f>175.62-92.37</f>
        <v>83.25</v>
      </c>
      <c r="G27" s="137">
        <v>302.64</v>
      </c>
      <c r="H27" s="130">
        <v>46.94</v>
      </c>
      <c r="I27" s="131">
        <f>ROUND(F27*H27,2)</f>
        <v>3907.76</v>
      </c>
      <c r="J27" s="132">
        <v>0</v>
      </c>
      <c r="K27" s="137">
        <f>J27+83.25</f>
        <v>83.25</v>
      </c>
      <c r="L27" s="137"/>
      <c r="M27" s="132">
        <v>0</v>
      </c>
      <c r="N27" s="143">
        <f>J27*H27</f>
        <v>0</v>
      </c>
      <c r="O27" s="131">
        <f>K27*H27</f>
        <v>3907.7549999999997</v>
      </c>
      <c r="P27" s="132">
        <v>0</v>
      </c>
      <c r="Q27" s="136">
        <f t="shared" si="3"/>
        <v>0.99999872049460548</v>
      </c>
    </row>
    <row r="28" spans="1:17" s="67" customFormat="1" x14ac:dyDescent="0.2">
      <c r="A28" s="125" t="s">
        <v>1362</v>
      </c>
      <c r="B28" s="126">
        <v>79483</v>
      </c>
      <c r="C28" s="126" t="s">
        <v>1324</v>
      </c>
      <c r="D28" s="127" t="s">
        <v>1363</v>
      </c>
      <c r="E28" s="128" t="s">
        <v>14</v>
      </c>
      <c r="F28" s="128">
        <f>-2.25+117.08</f>
        <v>114.83</v>
      </c>
      <c r="G28" s="137">
        <v>135.94</v>
      </c>
      <c r="H28" s="130">
        <v>5.4</v>
      </c>
      <c r="I28" s="131">
        <f>ROUND(F28*H28,2)</f>
        <v>620.08000000000004</v>
      </c>
      <c r="J28" s="132">
        <v>0</v>
      </c>
      <c r="K28" s="137">
        <f>J28+114.83</f>
        <v>114.83</v>
      </c>
      <c r="L28" s="137"/>
      <c r="M28" s="132">
        <v>0</v>
      </c>
      <c r="N28" s="143">
        <f>J28*H28</f>
        <v>0</v>
      </c>
      <c r="O28" s="131">
        <f>K28*H28</f>
        <v>620.08199999999999</v>
      </c>
      <c r="P28" s="132">
        <v>0</v>
      </c>
      <c r="Q28" s="136">
        <f t="shared" si="3"/>
        <v>1.0000032253902722</v>
      </c>
    </row>
    <row r="29" spans="1:17" s="67" customFormat="1" x14ac:dyDescent="0.2">
      <c r="A29" s="125" t="s">
        <v>1364</v>
      </c>
      <c r="B29" s="126">
        <v>53527</v>
      </c>
      <c r="C29" s="126" t="s">
        <v>1324</v>
      </c>
      <c r="D29" s="127" t="s">
        <v>1365</v>
      </c>
      <c r="E29" s="128" t="s">
        <v>48</v>
      </c>
      <c r="F29" s="128">
        <f>-63.71+126.6</f>
        <v>62.889999999999993</v>
      </c>
      <c r="G29" s="137">
        <v>5.86</v>
      </c>
      <c r="H29" s="130">
        <v>20.57</v>
      </c>
      <c r="I29" s="131">
        <f>ROUND(F29*H29,2)+0.03</f>
        <v>1293.68</v>
      </c>
      <c r="J29" s="132">
        <v>0</v>
      </c>
      <c r="K29" s="137">
        <f>J29+62.89</f>
        <v>62.89</v>
      </c>
      <c r="L29" s="137"/>
      <c r="M29" s="132">
        <v>0</v>
      </c>
      <c r="N29" s="143">
        <f>J29*H29</f>
        <v>0</v>
      </c>
      <c r="O29" s="131">
        <f>K29*H29</f>
        <v>1293.6473000000001</v>
      </c>
      <c r="P29" s="132">
        <v>0</v>
      </c>
      <c r="Q29" s="136">
        <f t="shared" si="3"/>
        <v>0.99997472327005132</v>
      </c>
    </row>
    <row r="30" spans="1:17" s="67" customFormat="1" x14ac:dyDescent="0.2">
      <c r="A30" s="125" t="s">
        <v>1366</v>
      </c>
      <c r="B30" s="126">
        <v>55835</v>
      </c>
      <c r="C30" s="126" t="s">
        <v>1324</v>
      </c>
      <c r="D30" s="127" t="s">
        <v>1367</v>
      </c>
      <c r="E30" s="128" t="s">
        <v>48</v>
      </c>
      <c r="F30" s="128">
        <v>22.5</v>
      </c>
      <c r="G30" s="137">
        <v>59.37</v>
      </c>
      <c r="H30" s="130">
        <v>29.27</v>
      </c>
      <c r="I30" s="131">
        <f>ROUND(F30*H30,2)</f>
        <v>658.58</v>
      </c>
      <c r="J30" s="132">
        <v>0</v>
      </c>
      <c r="K30" s="137">
        <f>J30</f>
        <v>0</v>
      </c>
      <c r="L30" s="137"/>
      <c r="M30" s="137">
        <f>F30-K30</f>
        <v>22.5</v>
      </c>
      <c r="N30" s="143">
        <f>J30*H30</f>
        <v>0</v>
      </c>
      <c r="O30" s="131">
        <f>K30*H30</f>
        <v>0</v>
      </c>
      <c r="P30" s="144">
        <f>I30-O30</f>
        <v>658.58</v>
      </c>
      <c r="Q30" s="136">
        <f t="shared" si="3"/>
        <v>0</v>
      </c>
    </row>
    <row r="31" spans="1:17" s="124" customFormat="1" x14ac:dyDescent="0.2">
      <c r="A31" s="113">
        <v>3</v>
      </c>
      <c r="B31" s="114"/>
      <c r="C31" s="114"/>
      <c r="D31" s="115" t="s">
        <v>1368</v>
      </c>
      <c r="E31" s="116"/>
      <c r="F31" s="116">
        <f>SUM(F32,F39)</f>
        <v>1245.1600000000001</v>
      </c>
      <c r="G31" s="138"/>
      <c r="H31" s="118">
        <f>SUM(H32,H38)</f>
        <v>895.62000000000012</v>
      </c>
      <c r="I31" s="140">
        <f>SUM(I32,I38)</f>
        <v>47457.18</v>
      </c>
      <c r="J31" s="132">
        <v>0</v>
      </c>
      <c r="K31" s="120">
        <f>SUM(K32,K38)</f>
        <v>1922.15</v>
      </c>
      <c r="L31" s="138"/>
      <c r="M31" s="120">
        <v>0</v>
      </c>
      <c r="N31" s="141">
        <f>SUM(N32,N38)</f>
        <v>0</v>
      </c>
      <c r="O31" s="140">
        <f t="shared" ref="O31:O37" si="4">I31</f>
        <v>47457.18</v>
      </c>
      <c r="P31" s="141">
        <f t="shared" ref="P31:P37" si="5">L31*J31</f>
        <v>0</v>
      </c>
      <c r="Q31" s="136">
        <f t="shared" si="3"/>
        <v>1</v>
      </c>
    </row>
    <row r="32" spans="1:17" s="124" customFormat="1" x14ac:dyDescent="0.2">
      <c r="A32" s="113" t="s">
        <v>41</v>
      </c>
      <c r="B32" s="114"/>
      <c r="C32" s="114"/>
      <c r="D32" s="115" t="s">
        <v>1369</v>
      </c>
      <c r="E32" s="116"/>
      <c r="F32" s="145">
        <f>SUM(F33:F37)</f>
        <v>1242.5800000000002</v>
      </c>
      <c r="G32" s="117"/>
      <c r="H32" s="118">
        <f>SUM(H33:H37)</f>
        <v>447.91</v>
      </c>
      <c r="I32" s="119">
        <f>SUM(I33:I37)</f>
        <v>28486.61</v>
      </c>
      <c r="J32" s="132">
        <v>0</v>
      </c>
      <c r="K32" s="120">
        <f>SUM(K33:K37)</f>
        <v>1242.5800000000002</v>
      </c>
      <c r="L32" s="117"/>
      <c r="M32" s="120">
        <v>0</v>
      </c>
      <c r="N32" s="141">
        <f>SUM(N33:N37)</f>
        <v>0</v>
      </c>
      <c r="O32" s="119">
        <f t="shared" si="4"/>
        <v>28486.61</v>
      </c>
      <c r="P32" s="141">
        <f t="shared" si="5"/>
        <v>0</v>
      </c>
      <c r="Q32" s="136">
        <f t="shared" si="3"/>
        <v>1</v>
      </c>
    </row>
    <row r="33" spans="1:17" s="67" customFormat="1" x14ac:dyDescent="0.2">
      <c r="A33" s="146" t="s">
        <v>43</v>
      </c>
      <c r="B33" s="126">
        <v>83532</v>
      </c>
      <c r="C33" s="126" t="s">
        <v>1324</v>
      </c>
      <c r="D33" s="127" t="s">
        <v>1370</v>
      </c>
      <c r="E33" s="128" t="s">
        <v>48</v>
      </c>
      <c r="F33" s="147">
        <f>-2.08+5.85</f>
        <v>3.7699999999999996</v>
      </c>
      <c r="G33" s="129"/>
      <c r="H33" s="130">
        <v>19.86</v>
      </c>
      <c r="I33" s="131">
        <v>116.26</v>
      </c>
      <c r="J33" s="132">
        <v>0</v>
      </c>
      <c r="K33" s="137">
        <f t="shared" ref="K33:K43" si="6">F33</f>
        <v>3.7699999999999996</v>
      </c>
      <c r="L33" s="129"/>
      <c r="M33" s="132">
        <v>0</v>
      </c>
      <c r="N33" s="143">
        <f>J33*H33</f>
        <v>0</v>
      </c>
      <c r="O33" s="135">
        <f t="shared" si="4"/>
        <v>116.26</v>
      </c>
      <c r="P33" s="143">
        <f t="shared" si="5"/>
        <v>0</v>
      </c>
      <c r="Q33" s="136">
        <f t="shared" si="3"/>
        <v>1</v>
      </c>
    </row>
    <row r="34" spans="1:17" s="208" customFormat="1" x14ac:dyDescent="0.2">
      <c r="A34" s="196" t="s">
        <v>45</v>
      </c>
      <c r="B34" s="197">
        <v>5970</v>
      </c>
      <c r="C34" s="197" t="s">
        <v>1324</v>
      </c>
      <c r="D34" s="198" t="s">
        <v>1371</v>
      </c>
      <c r="E34" s="199" t="s">
        <v>14</v>
      </c>
      <c r="F34" s="200">
        <f>-20.57+83.59</f>
        <v>63.02</v>
      </c>
      <c r="G34" s="201">
        <v>60.66</v>
      </c>
      <c r="H34" s="202">
        <v>93.42</v>
      </c>
      <c r="I34" s="203">
        <f>7808.51</f>
        <v>7808.51</v>
      </c>
      <c r="J34" s="204">
        <v>0</v>
      </c>
      <c r="K34" s="201">
        <f t="shared" si="6"/>
        <v>63.02</v>
      </c>
      <c r="L34" s="201"/>
      <c r="M34" s="204">
        <v>0</v>
      </c>
      <c r="N34" s="205">
        <f>J34*H34</f>
        <v>0</v>
      </c>
      <c r="O34" s="206">
        <f t="shared" si="4"/>
        <v>7808.51</v>
      </c>
      <c r="P34" s="205">
        <f t="shared" si="5"/>
        <v>0</v>
      </c>
      <c r="Q34" s="207">
        <f t="shared" si="3"/>
        <v>1</v>
      </c>
    </row>
    <row r="35" spans="1:17" s="67" customFormat="1" ht="18" customHeight="1" x14ac:dyDescent="0.2">
      <c r="A35" s="146" t="s">
        <v>47</v>
      </c>
      <c r="B35" s="126">
        <v>92793</v>
      </c>
      <c r="C35" s="126" t="s">
        <v>1324</v>
      </c>
      <c r="D35" s="127" t="s">
        <v>1372</v>
      </c>
      <c r="E35" s="128" t="s">
        <v>35</v>
      </c>
      <c r="F35" s="147">
        <f>-218.73+1313</f>
        <v>1094.27</v>
      </c>
      <c r="G35" s="137">
        <v>5.86</v>
      </c>
      <c r="H35" s="130">
        <v>4.6500000000000004</v>
      </c>
      <c r="I35" s="131">
        <f>ROUND(F35*H35,2)</f>
        <v>5088.3599999999997</v>
      </c>
      <c r="J35" s="132">
        <v>0</v>
      </c>
      <c r="K35" s="137">
        <f t="shared" si="6"/>
        <v>1094.27</v>
      </c>
      <c r="L35" s="137"/>
      <c r="M35" s="132">
        <v>0</v>
      </c>
      <c r="N35" s="143">
        <f>J35*H35</f>
        <v>0</v>
      </c>
      <c r="O35" s="135">
        <f t="shared" si="4"/>
        <v>5088.3599999999997</v>
      </c>
      <c r="P35" s="143">
        <f t="shared" si="5"/>
        <v>0</v>
      </c>
      <c r="Q35" s="136">
        <f t="shared" si="3"/>
        <v>1</v>
      </c>
    </row>
    <row r="36" spans="1:17" s="67" customFormat="1" ht="17.25" customHeight="1" x14ac:dyDescent="0.2">
      <c r="A36" s="146" t="s">
        <v>49</v>
      </c>
      <c r="B36" s="126">
        <v>92791</v>
      </c>
      <c r="C36" s="126" t="s">
        <v>1324</v>
      </c>
      <c r="D36" s="127" t="s">
        <v>1373</v>
      </c>
      <c r="E36" s="128" t="s">
        <v>35</v>
      </c>
      <c r="F36" s="147">
        <f>5.49+60.4</f>
        <v>65.89</v>
      </c>
      <c r="G36" s="137">
        <v>302.64</v>
      </c>
      <c r="H36" s="130">
        <v>6.11</v>
      </c>
      <c r="I36" s="131">
        <f>ROUND(F36*H36,2)</f>
        <v>402.59</v>
      </c>
      <c r="J36" s="132">
        <v>0</v>
      </c>
      <c r="K36" s="137">
        <f t="shared" si="6"/>
        <v>65.89</v>
      </c>
      <c r="L36" s="137"/>
      <c r="M36" s="132">
        <v>0</v>
      </c>
      <c r="N36" s="143">
        <f>J36*H36</f>
        <v>0</v>
      </c>
      <c r="O36" s="135">
        <f t="shared" si="4"/>
        <v>402.59</v>
      </c>
      <c r="P36" s="143">
        <f t="shared" si="5"/>
        <v>0</v>
      </c>
      <c r="Q36" s="136">
        <f t="shared" si="3"/>
        <v>1</v>
      </c>
    </row>
    <row r="37" spans="1:17" s="67" customFormat="1" ht="14.25" customHeight="1" x14ac:dyDescent="0.2">
      <c r="A37" s="146" t="s">
        <v>1374</v>
      </c>
      <c r="B37" s="126">
        <v>92720</v>
      </c>
      <c r="C37" s="126" t="s">
        <v>1324</v>
      </c>
      <c r="D37" s="127" t="s">
        <v>1375</v>
      </c>
      <c r="E37" s="128" t="s">
        <v>48</v>
      </c>
      <c r="F37" s="147">
        <f>-30.9+46.53</f>
        <v>15.630000000000003</v>
      </c>
      <c r="G37" s="137">
        <v>135.94</v>
      </c>
      <c r="H37" s="130">
        <v>323.87</v>
      </c>
      <c r="I37" s="131">
        <v>15070.89</v>
      </c>
      <c r="J37" s="132">
        <v>0</v>
      </c>
      <c r="K37" s="137">
        <f t="shared" si="6"/>
        <v>15.630000000000003</v>
      </c>
      <c r="L37" s="137"/>
      <c r="M37" s="132">
        <v>0</v>
      </c>
      <c r="N37" s="143">
        <f>J37*H37</f>
        <v>0</v>
      </c>
      <c r="O37" s="135">
        <f t="shared" si="4"/>
        <v>15070.89</v>
      </c>
      <c r="P37" s="143">
        <f t="shared" si="5"/>
        <v>0</v>
      </c>
      <c r="Q37" s="136">
        <f t="shared" si="3"/>
        <v>1</v>
      </c>
    </row>
    <row r="38" spans="1:17" s="124" customFormat="1" x14ac:dyDescent="0.2">
      <c r="A38" s="113" t="s">
        <v>50</v>
      </c>
      <c r="B38" s="114"/>
      <c r="C38" s="114"/>
      <c r="D38" s="115" t="s">
        <v>1376</v>
      </c>
      <c r="E38" s="116"/>
      <c r="F38" s="145">
        <f>SUM(F39:F43)</f>
        <v>679.56999999999994</v>
      </c>
      <c r="G38" s="117"/>
      <c r="H38" s="118">
        <f>SUM(H39:H43)</f>
        <v>447.71000000000004</v>
      </c>
      <c r="I38" s="118">
        <f t="shared" ref="I38:O38" si="7">SUM(I39:I43)</f>
        <v>18970.57</v>
      </c>
      <c r="J38" s="132">
        <v>0</v>
      </c>
      <c r="K38" s="97">
        <f t="shared" si="6"/>
        <v>679.56999999999994</v>
      </c>
      <c r="L38" s="118">
        <f t="shared" si="7"/>
        <v>0</v>
      </c>
      <c r="M38" s="120">
        <v>0</v>
      </c>
      <c r="N38" s="118">
        <f t="shared" si="7"/>
        <v>0</v>
      </c>
      <c r="O38" s="118">
        <f t="shared" si="7"/>
        <v>18970.572</v>
      </c>
      <c r="P38" s="118">
        <f>0</f>
        <v>0</v>
      </c>
      <c r="Q38" s="136">
        <f t="shared" si="3"/>
        <v>1.000000105426458</v>
      </c>
    </row>
    <row r="39" spans="1:17" s="67" customFormat="1" x14ac:dyDescent="0.2">
      <c r="A39" s="125" t="s">
        <v>52</v>
      </c>
      <c r="B39" s="126">
        <v>83532</v>
      </c>
      <c r="C39" s="126" t="s">
        <v>1324</v>
      </c>
      <c r="D39" s="127" t="s">
        <v>1370</v>
      </c>
      <c r="E39" s="128" t="s">
        <v>48</v>
      </c>
      <c r="F39" s="147">
        <v>2.58</v>
      </c>
      <c r="G39" s="137">
        <v>60.66</v>
      </c>
      <c r="H39" s="130">
        <v>19.86</v>
      </c>
      <c r="I39" s="131">
        <f>ROUND(F39*H39,2)</f>
        <v>51.24</v>
      </c>
      <c r="J39" s="132">
        <v>0</v>
      </c>
      <c r="K39" s="148">
        <f t="shared" si="6"/>
        <v>2.58</v>
      </c>
      <c r="L39" s="137"/>
      <c r="M39" s="120">
        <v>0</v>
      </c>
      <c r="N39" s="143">
        <f>J39*H39</f>
        <v>0</v>
      </c>
      <c r="O39" s="131">
        <f>K39*H39</f>
        <v>51.238799999999998</v>
      </c>
      <c r="P39" s="143">
        <f>L39*J39</f>
        <v>0</v>
      </c>
      <c r="Q39" s="136">
        <f t="shared" si="3"/>
        <v>0.99997658079625285</v>
      </c>
    </row>
    <row r="40" spans="1:17" s="67" customFormat="1" x14ac:dyDescent="0.2">
      <c r="A40" s="125" t="s">
        <v>53</v>
      </c>
      <c r="B40" s="126">
        <v>5970</v>
      </c>
      <c r="C40" s="126" t="s">
        <v>1324</v>
      </c>
      <c r="D40" s="127" t="s">
        <v>1371</v>
      </c>
      <c r="E40" s="128" t="s">
        <v>14</v>
      </c>
      <c r="F40" s="147">
        <v>139.57</v>
      </c>
      <c r="G40" s="137">
        <v>5.86</v>
      </c>
      <c r="H40" s="130">
        <v>93.42</v>
      </c>
      <c r="I40" s="131">
        <f>ROUND(F40*H40,2)</f>
        <v>13038.63</v>
      </c>
      <c r="J40" s="132">
        <v>0</v>
      </c>
      <c r="K40" s="137">
        <f t="shared" si="6"/>
        <v>139.57</v>
      </c>
      <c r="L40" s="144"/>
      <c r="M40" s="120">
        <v>0</v>
      </c>
      <c r="N40" s="143">
        <f>J40*H40</f>
        <v>0</v>
      </c>
      <c r="O40" s="131">
        <f>K40*H40</f>
        <v>13038.6294</v>
      </c>
      <c r="P40" s="143">
        <f>L40*J40</f>
        <v>0</v>
      </c>
      <c r="Q40" s="136">
        <f t="shared" si="3"/>
        <v>0.99999995398289554</v>
      </c>
    </row>
    <row r="41" spans="1:17" s="67" customFormat="1" ht="25.5" x14ac:dyDescent="0.2">
      <c r="A41" s="125" t="s">
        <v>54</v>
      </c>
      <c r="B41" s="126">
        <v>92793</v>
      </c>
      <c r="C41" s="126" t="s">
        <v>1324</v>
      </c>
      <c r="D41" s="127" t="s">
        <v>1372</v>
      </c>
      <c r="E41" s="128" t="s">
        <v>35</v>
      </c>
      <c r="F41" s="147">
        <v>389.64</v>
      </c>
      <c r="G41" s="137">
        <v>302.64</v>
      </c>
      <c r="H41" s="130">
        <v>4.6500000000000004</v>
      </c>
      <c r="I41" s="131">
        <f>ROUND(F41*H41,2)</f>
        <v>1811.83</v>
      </c>
      <c r="J41" s="132">
        <v>0</v>
      </c>
      <c r="K41" s="148">
        <f t="shared" si="6"/>
        <v>389.64</v>
      </c>
      <c r="L41" s="137"/>
      <c r="M41" s="120">
        <v>0</v>
      </c>
      <c r="N41" s="143">
        <f>J41*H41</f>
        <v>0</v>
      </c>
      <c r="O41" s="131">
        <f>K41*H41</f>
        <v>1811.826</v>
      </c>
      <c r="P41" s="143">
        <f>L41*J41</f>
        <v>0</v>
      </c>
      <c r="Q41" s="136">
        <f t="shared" si="3"/>
        <v>0.99999779228735597</v>
      </c>
    </row>
    <row r="42" spans="1:17" s="67" customFormat="1" ht="25.5" x14ac:dyDescent="0.2">
      <c r="A42" s="125" t="s">
        <v>55</v>
      </c>
      <c r="B42" s="126">
        <v>92791</v>
      </c>
      <c r="C42" s="126" t="s">
        <v>1324</v>
      </c>
      <c r="D42" s="127" t="s">
        <v>1373</v>
      </c>
      <c r="E42" s="128" t="s">
        <v>35</v>
      </c>
      <c r="F42" s="147">
        <v>137.72999999999999</v>
      </c>
      <c r="G42" s="137">
        <v>135.94</v>
      </c>
      <c r="H42" s="130">
        <v>5.91</v>
      </c>
      <c r="I42" s="131">
        <f>ROUND(F42*H42,2)</f>
        <v>813.98</v>
      </c>
      <c r="J42" s="132">
        <v>0</v>
      </c>
      <c r="K42" s="148">
        <f t="shared" si="6"/>
        <v>137.72999999999999</v>
      </c>
      <c r="L42" s="137"/>
      <c r="M42" s="120">
        <v>0</v>
      </c>
      <c r="N42" s="143">
        <f>J42*H42</f>
        <v>0</v>
      </c>
      <c r="O42" s="131">
        <f>K42*H42</f>
        <v>813.98429999999996</v>
      </c>
      <c r="P42" s="143">
        <f>L42*J42</f>
        <v>0</v>
      </c>
      <c r="Q42" s="136">
        <f t="shared" si="3"/>
        <v>1.0000052826850783</v>
      </c>
    </row>
    <row r="43" spans="1:17" s="67" customFormat="1" ht="25.5" x14ac:dyDescent="0.2">
      <c r="A43" s="125" t="s">
        <v>1377</v>
      </c>
      <c r="B43" s="126">
        <v>92720</v>
      </c>
      <c r="C43" s="126" t="s">
        <v>1324</v>
      </c>
      <c r="D43" s="127" t="s">
        <v>1375</v>
      </c>
      <c r="E43" s="128" t="s">
        <v>48</v>
      </c>
      <c r="F43" s="147">
        <v>10.050000000000001</v>
      </c>
      <c r="G43" s="129"/>
      <c r="H43" s="130">
        <v>323.87</v>
      </c>
      <c r="I43" s="131">
        <f>ROUND(F43*H43,2)</f>
        <v>3254.89</v>
      </c>
      <c r="J43" s="132">
        <v>0</v>
      </c>
      <c r="K43" s="148">
        <f t="shared" si="6"/>
        <v>10.050000000000001</v>
      </c>
      <c r="L43" s="129"/>
      <c r="M43" s="120">
        <v>0</v>
      </c>
      <c r="N43" s="143">
        <f>J43*H43</f>
        <v>0</v>
      </c>
      <c r="O43" s="131">
        <f>K43*H43</f>
        <v>3254.8935000000001</v>
      </c>
      <c r="P43" s="143">
        <f>L43*J43</f>
        <v>0</v>
      </c>
      <c r="Q43" s="136">
        <f t="shared" si="3"/>
        <v>1.0000010753051563</v>
      </c>
    </row>
    <row r="44" spans="1:17" s="124" customFormat="1" x14ac:dyDescent="0.2">
      <c r="A44" s="113">
        <v>4</v>
      </c>
      <c r="B44" s="114"/>
      <c r="C44" s="114"/>
      <c r="D44" s="115" t="s">
        <v>1378</v>
      </c>
      <c r="E44" s="116"/>
      <c r="F44" s="116">
        <f>SUM(F45,F50,F56,F61,F66)</f>
        <v>4585.329999999999</v>
      </c>
      <c r="G44" s="116">
        <f t="shared" ref="G44:P44" si="8">SUM(G45,G50,G56,G61,G66)</f>
        <v>1676.2399999999998</v>
      </c>
      <c r="H44" s="149">
        <f t="shared" si="8"/>
        <v>1894.42</v>
      </c>
      <c r="I44" s="149">
        <f t="shared" si="8"/>
        <v>88897.260000000009</v>
      </c>
      <c r="J44" s="150">
        <f t="shared" si="8"/>
        <v>273.85380799999996</v>
      </c>
      <c r="K44" s="116">
        <f t="shared" si="8"/>
        <v>2915.7638080000002</v>
      </c>
      <c r="L44" s="116">
        <f t="shared" si="8"/>
        <v>0</v>
      </c>
      <c r="M44" s="116">
        <f t="shared" si="8"/>
        <v>1529.11</v>
      </c>
      <c r="N44" s="149"/>
      <c r="O44" s="149">
        <f>SUM(O45,O50,O56,O61,O66)+0.01</f>
        <v>35743.807788260005</v>
      </c>
      <c r="P44" s="149">
        <f t="shared" si="8"/>
        <v>48937.487800000003</v>
      </c>
      <c r="Q44" s="123">
        <f t="shared" si="3"/>
        <v>0.40207997173658672</v>
      </c>
    </row>
    <row r="45" spans="1:17" s="124" customFormat="1" x14ac:dyDescent="0.2">
      <c r="A45" s="113" t="s">
        <v>74</v>
      </c>
      <c r="B45" s="114"/>
      <c r="C45" s="114"/>
      <c r="D45" s="115" t="s">
        <v>1379</v>
      </c>
      <c r="E45" s="116"/>
      <c r="F45" s="116">
        <f t="shared" ref="F45:P45" si="9">SUM(F46:F49)</f>
        <v>691.15</v>
      </c>
      <c r="G45" s="116">
        <f t="shared" si="9"/>
        <v>499.24</v>
      </c>
      <c r="H45" s="116">
        <f t="shared" si="9"/>
        <v>428.05</v>
      </c>
      <c r="I45" s="140">
        <f t="shared" si="9"/>
        <v>17368.48</v>
      </c>
      <c r="J45" s="151">
        <f t="shared" si="9"/>
        <v>51.01</v>
      </c>
      <c r="K45" s="121">
        <f t="shared" si="9"/>
        <v>584.92000000000007</v>
      </c>
      <c r="L45" s="121">
        <f t="shared" si="9"/>
        <v>0</v>
      </c>
      <c r="M45" s="121">
        <f t="shared" si="9"/>
        <v>106.23</v>
      </c>
      <c r="N45" s="152"/>
      <c r="O45" s="152">
        <f t="shared" si="9"/>
        <v>5690.592200000001</v>
      </c>
      <c r="P45" s="152">
        <f t="shared" si="9"/>
        <v>11677.8878</v>
      </c>
      <c r="Q45" s="123">
        <f t="shared" si="3"/>
        <v>0.3276390449826353</v>
      </c>
    </row>
    <row r="46" spans="1:17" s="67" customFormat="1" ht="25.5" x14ac:dyDescent="0.2">
      <c r="A46" s="125" t="s">
        <v>76</v>
      </c>
      <c r="B46" s="126">
        <v>92448</v>
      </c>
      <c r="C46" s="126" t="s">
        <v>1324</v>
      </c>
      <c r="D46" s="127" t="s">
        <v>1380</v>
      </c>
      <c r="E46" s="128" t="s">
        <v>14</v>
      </c>
      <c r="F46" s="128">
        <v>126.72</v>
      </c>
      <c r="G46" s="137">
        <v>302.64</v>
      </c>
      <c r="H46" s="130">
        <v>93.42</v>
      </c>
      <c r="I46" s="131">
        <f>ROUND(F46*H46,2)</f>
        <v>11838.18</v>
      </c>
      <c r="J46" s="153">
        <v>22.81</v>
      </c>
      <c r="K46" s="133">
        <f>J46+103.91</f>
        <v>126.72</v>
      </c>
      <c r="L46" s="137"/>
      <c r="M46" s="137">
        <f>F46-K46</f>
        <v>0</v>
      </c>
      <c r="N46" s="143">
        <f>J46*H46+0.04</f>
        <v>2130.9501999999998</v>
      </c>
      <c r="O46" s="131">
        <f>N46</f>
        <v>2130.9501999999998</v>
      </c>
      <c r="P46" s="144">
        <f>I46-O46</f>
        <v>9707.229800000001</v>
      </c>
      <c r="Q46" s="136">
        <f t="shared" si="3"/>
        <v>0.18000657195616215</v>
      </c>
    </row>
    <row r="47" spans="1:17" s="67" customFormat="1" ht="17.25" customHeight="1" x14ac:dyDescent="0.2">
      <c r="A47" s="125" t="s">
        <v>79</v>
      </c>
      <c r="B47" s="126">
        <v>92793</v>
      </c>
      <c r="C47" s="126" t="s">
        <v>1324</v>
      </c>
      <c r="D47" s="127" t="s">
        <v>1372</v>
      </c>
      <c r="E47" s="128" t="s">
        <v>35</v>
      </c>
      <c r="F47" s="128">
        <v>428.55</v>
      </c>
      <c r="G47" s="137">
        <v>135.94</v>
      </c>
      <c r="H47" s="130">
        <v>4.6500000000000004</v>
      </c>
      <c r="I47" s="131">
        <f>ROUND(F47*H47,2)</f>
        <v>1992.76</v>
      </c>
      <c r="J47" s="132">
        <v>0</v>
      </c>
      <c r="K47" s="133">
        <v>350</v>
      </c>
      <c r="L47" s="137"/>
      <c r="M47" s="137">
        <f>F47-K47</f>
        <v>78.550000000000011</v>
      </c>
      <c r="N47" s="143">
        <f>J47*H47</f>
        <v>0</v>
      </c>
      <c r="O47" s="131">
        <f>K47*H47</f>
        <v>1627.5000000000002</v>
      </c>
      <c r="P47" s="144">
        <f>I47-O47</f>
        <v>365.25999999999976</v>
      </c>
      <c r="Q47" s="136">
        <f t="shared" si="3"/>
        <v>0.81670647744836322</v>
      </c>
    </row>
    <row r="48" spans="1:17" s="67" customFormat="1" ht="18.75" customHeight="1" x14ac:dyDescent="0.2">
      <c r="A48" s="125" t="s">
        <v>83</v>
      </c>
      <c r="B48" s="126">
        <v>92791</v>
      </c>
      <c r="C48" s="126" t="s">
        <v>1324</v>
      </c>
      <c r="D48" s="127" t="s">
        <v>1373</v>
      </c>
      <c r="E48" s="128" t="s">
        <v>35</v>
      </c>
      <c r="F48" s="128">
        <v>127.36</v>
      </c>
      <c r="G48" s="129"/>
      <c r="H48" s="130">
        <v>6.11</v>
      </c>
      <c r="I48" s="131">
        <f>ROUND(F48*H48,2)</f>
        <v>778.17</v>
      </c>
      <c r="J48" s="153">
        <v>24.2</v>
      </c>
      <c r="K48" s="133">
        <f>80+J48</f>
        <v>104.2</v>
      </c>
      <c r="L48" s="129"/>
      <c r="M48" s="137">
        <f>F48-K48</f>
        <v>23.159999999999997</v>
      </c>
      <c r="N48" s="143">
        <f>J48*H48-0.01</f>
        <v>147.852</v>
      </c>
      <c r="O48" s="131">
        <f>K48*H48</f>
        <v>636.66200000000003</v>
      </c>
      <c r="P48" s="144">
        <f>I48-O48</f>
        <v>141.50799999999992</v>
      </c>
      <c r="Q48" s="136">
        <f t="shared" si="3"/>
        <v>0.8181528457792</v>
      </c>
    </row>
    <row r="49" spans="1:17" s="67" customFormat="1" ht="15.75" customHeight="1" x14ac:dyDescent="0.2">
      <c r="A49" s="125" t="s">
        <v>86</v>
      </c>
      <c r="B49" s="126">
        <v>92720</v>
      </c>
      <c r="C49" s="126" t="s">
        <v>1324</v>
      </c>
      <c r="D49" s="127" t="s">
        <v>1375</v>
      </c>
      <c r="E49" s="128" t="s">
        <v>48</v>
      </c>
      <c r="F49" s="128">
        <v>8.52</v>
      </c>
      <c r="G49" s="137">
        <v>60.66</v>
      </c>
      <c r="H49" s="130">
        <v>323.87</v>
      </c>
      <c r="I49" s="131">
        <f>ROUND(F49*H49,2)</f>
        <v>2759.37</v>
      </c>
      <c r="J49" s="154">
        <v>4</v>
      </c>
      <c r="K49" s="133">
        <f>J49</f>
        <v>4</v>
      </c>
      <c r="L49" s="137"/>
      <c r="M49" s="137">
        <f>F49-K49</f>
        <v>4.5199999999999996</v>
      </c>
      <c r="N49" s="143">
        <f>J49*H49</f>
        <v>1295.48</v>
      </c>
      <c r="O49" s="131">
        <f>K49*H49</f>
        <v>1295.48</v>
      </c>
      <c r="P49" s="144">
        <f>I49-O49</f>
        <v>1463.8899999999999</v>
      </c>
      <c r="Q49" s="136">
        <f t="shared" si="3"/>
        <v>0.4694839764149063</v>
      </c>
    </row>
    <row r="50" spans="1:17" s="124" customFormat="1" x14ac:dyDescent="0.2">
      <c r="A50" s="113" t="s">
        <v>1381</v>
      </c>
      <c r="B50" s="114"/>
      <c r="C50" s="114"/>
      <c r="D50" s="115" t="s">
        <v>1382</v>
      </c>
      <c r="E50" s="116"/>
      <c r="F50" s="116">
        <f>SUM(F51:F55)</f>
        <v>2437.3999999999996</v>
      </c>
      <c r="G50" s="116">
        <f t="shared" ref="G50:O50" si="10">SUM(G51:G55)</f>
        <v>438.58</v>
      </c>
      <c r="H50" s="116">
        <f t="shared" si="10"/>
        <v>485.22</v>
      </c>
      <c r="I50" s="116">
        <f t="shared" si="10"/>
        <v>33356.590000000004</v>
      </c>
      <c r="J50" s="150">
        <f t="shared" si="10"/>
        <v>188.94380799999999</v>
      </c>
      <c r="K50" s="116">
        <f t="shared" si="10"/>
        <v>2296.943808</v>
      </c>
      <c r="L50" s="116">
        <f t="shared" si="10"/>
        <v>0</v>
      </c>
      <c r="M50" s="132">
        <v>0</v>
      </c>
      <c r="N50" s="116">
        <f t="shared" si="10"/>
        <v>7615.6575882599991</v>
      </c>
      <c r="O50" s="116">
        <f t="shared" si="10"/>
        <v>29140.61758826</v>
      </c>
      <c r="P50" s="132">
        <v>0</v>
      </c>
      <c r="Q50" s="123">
        <f t="shared" si="3"/>
        <v>0.87360901064107566</v>
      </c>
    </row>
    <row r="51" spans="1:17" s="67" customFormat="1" ht="15.75" customHeight="1" x14ac:dyDescent="0.2">
      <c r="A51" s="155" t="s">
        <v>1383</v>
      </c>
      <c r="B51" s="156">
        <v>92510</v>
      </c>
      <c r="C51" s="156" t="s">
        <v>1324</v>
      </c>
      <c r="D51" s="157" t="s">
        <v>1384</v>
      </c>
      <c r="E51" s="158" t="s">
        <v>14</v>
      </c>
      <c r="F51" s="158">
        <v>155.72999999999999</v>
      </c>
      <c r="G51" s="137">
        <v>302.64</v>
      </c>
      <c r="H51" s="159">
        <v>93.42</v>
      </c>
      <c r="I51" s="160">
        <f>ROUND(F51*H51,2)</f>
        <v>14548.3</v>
      </c>
      <c r="J51" s="161">
        <f>F51*0.163</f>
        <v>25.383990000000001</v>
      </c>
      <c r="K51" s="162">
        <f>'[3]03'!H52+J51</f>
        <v>125.38399</v>
      </c>
      <c r="L51" s="137"/>
      <c r="M51" s="163">
        <v>0</v>
      </c>
      <c r="N51" s="164">
        <f>J51*H51</f>
        <v>2371.3723457999999</v>
      </c>
      <c r="O51" s="160">
        <f>K51*H51</f>
        <v>11713.3723458</v>
      </c>
      <c r="P51" s="163">
        <v>0</v>
      </c>
      <c r="Q51" s="165">
        <f t="shared" si="3"/>
        <v>0.80513684387866635</v>
      </c>
    </row>
    <row r="52" spans="1:17" s="67" customFormat="1" ht="18" customHeight="1" x14ac:dyDescent="0.2">
      <c r="A52" s="155" t="s">
        <v>1385</v>
      </c>
      <c r="B52" s="156">
        <v>92793</v>
      </c>
      <c r="C52" s="156" t="s">
        <v>1324</v>
      </c>
      <c r="D52" s="157" t="s">
        <v>1372</v>
      </c>
      <c r="E52" s="158" t="s">
        <v>35</v>
      </c>
      <c r="F52" s="158">
        <v>1946.45</v>
      </c>
      <c r="G52" s="137">
        <v>135.94</v>
      </c>
      <c r="H52" s="159">
        <v>4.6500000000000004</v>
      </c>
      <c r="I52" s="160">
        <f>ROUND(F52*H52,2)</f>
        <v>9050.99</v>
      </c>
      <c r="J52" s="161">
        <f>F52*0.026</f>
        <v>50.607700000000001</v>
      </c>
      <c r="K52" s="162">
        <f>'[3]03'!H53+'04 CORRIGIDA'!J52</f>
        <v>1850.6077</v>
      </c>
      <c r="L52" s="137"/>
      <c r="M52" s="163">
        <v>0</v>
      </c>
      <c r="N52" s="164">
        <f>J52*H52</f>
        <v>235.32580500000003</v>
      </c>
      <c r="O52" s="160">
        <f>K52*H52</f>
        <v>8605.3258050000004</v>
      </c>
      <c r="P52" s="163">
        <v>0</v>
      </c>
      <c r="Q52" s="165">
        <f t="shared" si="3"/>
        <v>0.95076072396500277</v>
      </c>
    </row>
    <row r="53" spans="1:17" s="67" customFormat="1" ht="18" customHeight="1" x14ac:dyDescent="0.2">
      <c r="A53" s="155" t="s">
        <v>1386</v>
      </c>
      <c r="B53" s="156">
        <v>92791</v>
      </c>
      <c r="C53" s="156" t="s">
        <v>1324</v>
      </c>
      <c r="D53" s="157" t="s">
        <v>1373</v>
      </c>
      <c r="E53" s="158" t="s">
        <v>35</v>
      </c>
      <c r="F53" s="158">
        <v>240.18</v>
      </c>
      <c r="G53" s="138"/>
      <c r="H53" s="159">
        <v>6.11</v>
      </c>
      <c r="I53" s="160">
        <f>ROUND(F53*H53,2)</f>
        <v>1467.5</v>
      </c>
      <c r="J53" s="161">
        <f>F53*0.119</f>
        <v>28.581419999999998</v>
      </c>
      <c r="K53" s="161">
        <f>'[3]03'!H54+J53</f>
        <v>228.58142000000001</v>
      </c>
      <c r="L53" s="138"/>
      <c r="M53" s="163">
        <v>0</v>
      </c>
      <c r="N53" s="164">
        <f>J53*H53</f>
        <v>174.63247619999999</v>
      </c>
      <c r="O53" s="160">
        <f>K53*H53</f>
        <v>1396.6324762000002</v>
      </c>
      <c r="P53" s="163">
        <v>0</v>
      </c>
      <c r="Q53" s="165">
        <f t="shared" si="3"/>
        <v>0.9517086720272574</v>
      </c>
    </row>
    <row r="54" spans="1:17" s="67" customFormat="1" ht="15" customHeight="1" x14ac:dyDescent="0.2">
      <c r="A54" s="155" t="s">
        <v>1387</v>
      </c>
      <c r="B54" s="156">
        <v>92720</v>
      </c>
      <c r="C54" s="156" t="s">
        <v>1324</v>
      </c>
      <c r="D54" s="157" t="s">
        <v>1375</v>
      </c>
      <c r="E54" s="158" t="s">
        <v>48</v>
      </c>
      <c r="F54" s="158">
        <v>10.71</v>
      </c>
      <c r="G54" s="129"/>
      <c r="H54" s="159">
        <v>323.87</v>
      </c>
      <c r="I54" s="160">
        <f>ROUND(F54*H54,2)</f>
        <v>3468.65</v>
      </c>
      <c r="J54" s="161">
        <f>F54*0.0038</f>
        <v>4.0698000000000005E-2</v>
      </c>
      <c r="K54" s="161">
        <f>'[3]03'!H55+J54</f>
        <v>8.0406980000000008</v>
      </c>
      <c r="L54" s="129"/>
      <c r="M54" s="163">
        <v>0</v>
      </c>
      <c r="N54" s="164">
        <f>J54*H54</f>
        <v>13.180861260000002</v>
      </c>
      <c r="O54" s="160">
        <f>K54*H54</f>
        <v>2604.1408612600003</v>
      </c>
      <c r="P54" s="163">
        <v>0</v>
      </c>
      <c r="Q54" s="165">
        <f t="shared" si="3"/>
        <v>0.75076495502861351</v>
      </c>
    </row>
    <row r="55" spans="1:17" s="67" customFormat="1" x14ac:dyDescent="0.2">
      <c r="A55" s="125" t="s">
        <v>1388</v>
      </c>
      <c r="B55" s="126" t="s">
        <v>1389</v>
      </c>
      <c r="C55" s="126" t="s">
        <v>1324</v>
      </c>
      <c r="D55" s="127" t="s">
        <v>1390</v>
      </c>
      <c r="E55" s="128" t="s">
        <v>14</v>
      </c>
      <c r="F55" s="128">
        <v>84.33</v>
      </c>
      <c r="G55" s="129"/>
      <c r="H55" s="130">
        <v>57.17</v>
      </c>
      <c r="I55" s="131">
        <f>ROUND(F55*H55,2)</f>
        <v>4821.1499999999996</v>
      </c>
      <c r="J55" s="166">
        <v>84.33</v>
      </c>
      <c r="K55" s="133">
        <v>84.33</v>
      </c>
      <c r="L55" s="129"/>
      <c r="M55" s="132">
        <v>0</v>
      </c>
      <c r="N55" s="143">
        <f>J55*H55</f>
        <v>4821.1460999999999</v>
      </c>
      <c r="O55" s="131">
        <f>K55*H55</f>
        <v>4821.1460999999999</v>
      </c>
      <c r="P55" s="132">
        <v>0</v>
      </c>
      <c r="Q55" s="136">
        <f t="shared" si="3"/>
        <v>0.99999919106437263</v>
      </c>
    </row>
    <row r="56" spans="1:17" s="124" customFormat="1" x14ac:dyDescent="0.2">
      <c r="A56" s="113" t="s">
        <v>1391</v>
      </c>
      <c r="B56" s="114"/>
      <c r="C56" s="114"/>
      <c r="D56" s="115" t="s">
        <v>1392</v>
      </c>
      <c r="E56" s="116"/>
      <c r="F56" s="116">
        <f>SUM(F57:F60)</f>
        <v>349.71</v>
      </c>
      <c r="G56" s="116">
        <f t="shared" ref="G56:P56" si="11">SUM(G57:G60)</f>
        <v>306.78999999999996</v>
      </c>
      <c r="H56" s="149">
        <f t="shared" si="11"/>
        <v>428.05</v>
      </c>
      <c r="I56" s="149">
        <f t="shared" si="11"/>
        <v>13794.349999999999</v>
      </c>
      <c r="J56" s="133">
        <v>0</v>
      </c>
      <c r="K56" s="133">
        <v>0</v>
      </c>
      <c r="L56" s="133">
        <v>0</v>
      </c>
      <c r="M56" s="116">
        <f t="shared" si="11"/>
        <v>349.71</v>
      </c>
      <c r="N56" s="116">
        <f t="shared" si="11"/>
        <v>0</v>
      </c>
      <c r="O56" s="149">
        <f t="shared" si="11"/>
        <v>0</v>
      </c>
      <c r="P56" s="149">
        <f t="shared" si="11"/>
        <v>13794.349999999999</v>
      </c>
      <c r="Q56" s="123">
        <f t="shared" si="3"/>
        <v>0</v>
      </c>
    </row>
    <row r="57" spans="1:17" s="67" customFormat="1" ht="15" customHeight="1" x14ac:dyDescent="0.2">
      <c r="A57" s="125" t="s">
        <v>1393</v>
      </c>
      <c r="B57" s="126">
        <v>92510</v>
      </c>
      <c r="C57" s="126" t="s">
        <v>1324</v>
      </c>
      <c r="D57" s="127" t="s">
        <v>1384</v>
      </c>
      <c r="E57" s="128" t="s">
        <v>14</v>
      </c>
      <c r="F57" s="128">
        <v>111.8</v>
      </c>
      <c r="G57" s="137">
        <v>41.64</v>
      </c>
      <c r="H57" s="130">
        <v>93.42</v>
      </c>
      <c r="I57" s="131">
        <f t="shared" ref="I57:I65" si="12">ROUND(F57*H57,2)</f>
        <v>10444.36</v>
      </c>
      <c r="J57" s="133">
        <v>0</v>
      </c>
      <c r="K57" s="133">
        <v>0</v>
      </c>
      <c r="L57" s="133">
        <v>0</v>
      </c>
      <c r="M57" s="137">
        <f t="shared" ref="M57:M65" si="13">F57-K57</f>
        <v>111.8</v>
      </c>
      <c r="N57" s="143">
        <f t="shared" ref="N57:N65" si="14">J57*H57</f>
        <v>0</v>
      </c>
      <c r="O57" s="131">
        <f t="shared" ref="O57:O65" si="15">K57*H57</f>
        <v>0</v>
      </c>
      <c r="P57" s="144">
        <f t="shared" ref="P57:P65" si="16">I57-O57</f>
        <v>10444.36</v>
      </c>
      <c r="Q57" s="136">
        <f t="shared" si="3"/>
        <v>0</v>
      </c>
    </row>
    <row r="58" spans="1:17" s="67" customFormat="1" ht="17.25" customHeight="1" x14ac:dyDescent="0.2">
      <c r="A58" s="125" t="s">
        <v>1394</v>
      </c>
      <c r="B58" s="126">
        <v>92793</v>
      </c>
      <c r="C58" s="126" t="s">
        <v>1324</v>
      </c>
      <c r="D58" s="127" t="s">
        <v>1372</v>
      </c>
      <c r="E58" s="128" t="s">
        <v>35</v>
      </c>
      <c r="F58" s="128">
        <v>135.38999999999999</v>
      </c>
      <c r="G58" s="137">
        <v>7.91</v>
      </c>
      <c r="H58" s="130">
        <v>4.6500000000000004</v>
      </c>
      <c r="I58" s="131">
        <f t="shared" si="12"/>
        <v>629.55999999999995</v>
      </c>
      <c r="J58" s="133">
        <v>0</v>
      </c>
      <c r="K58" s="133">
        <v>0</v>
      </c>
      <c r="L58" s="133">
        <v>0</v>
      </c>
      <c r="M58" s="137">
        <f t="shared" si="13"/>
        <v>135.38999999999999</v>
      </c>
      <c r="N58" s="143">
        <f t="shared" si="14"/>
        <v>0</v>
      </c>
      <c r="O58" s="131">
        <f t="shared" si="15"/>
        <v>0</v>
      </c>
      <c r="P58" s="144">
        <f t="shared" si="16"/>
        <v>629.55999999999995</v>
      </c>
      <c r="Q58" s="136">
        <f t="shared" si="3"/>
        <v>0</v>
      </c>
    </row>
    <row r="59" spans="1:17" s="67" customFormat="1" ht="19.5" customHeight="1" x14ac:dyDescent="0.2">
      <c r="A59" s="125" t="s">
        <v>1395</v>
      </c>
      <c r="B59" s="126">
        <v>92791</v>
      </c>
      <c r="C59" s="126" t="s">
        <v>1324</v>
      </c>
      <c r="D59" s="127" t="s">
        <v>1373</v>
      </c>
      <c r="E59" s="128" t="s">
        <v>35</v>
      </c>
      <c r="F59" s="128">
        <v>95.93</v>
      </c>
      <c r="G59" s="137">
        <v>53.52</v>
      </c>
      <c r="H59" s="130">
        <v>6.11</v>
      </c>
      <c r="I59" s="131">
        <f t="shared" si="12"/>
        <v>586.13</v>
      </c>
      <c r="J59" s="133">
        <v>0</v>
      </c>
      <c r="K59" s="133">
        <v>0</v>
      </c>
      <c r="L59" s="133">
        <v>0</v>
      </c>
      <c r="M59" s="137">
        <f t="shared" si="13"/>
        <v>95.93</v>
      </c>
      <c r="N59" s="143">
        <f t="shared" si="14"/>
        <v>0</v>
      </c>
      <c r="O59" s="131">
        <f t="shared" si="15"/>
        <v>0</v>
      </c>
      <c r="P59" s="144">
        <f t="shared" si="16"/>
        <v>586.13</v>
      </c>
      <c r="Q59" s="136">
        <f t="shared" si="3"/>
        <v>0</v>
      </c>
    </row>
    <row r="60" spans="1:17" s="67" customFormat="1" ht="13.5" customHeight="1" x14ac:dyDescent="0.2">
      <c r="A60" s="125" t="s">
        <v>1396</v>
      </c>
      <c r="B60" s="126">
        <v>92720</v>
      </c>
      <c r="C60" s="126" t="s">
        <v>1324</v>
      </c>
      <c r="D60" s="127" t="s">
        <v>1375</v>
      </c>
      <c r="E60" s="128" t="s">
        <v>48</v>
      </c>
      <c r="F60" s="128">
        <v>6.59</v>
      </c>
      <c r="G60" s="137">
        <v>203.72</v>
      </c>
      <c r="H60" s="130">
        <v>323.87</v>
      </c>
      <c r="I60" s="131">
        <f t="shared" si="12"/>
        <v>2134.3000000000002</v>
      </c>
      <c r="J60" s="133">
        <v>0</v>
      </c>
      <c r="K60" s="133">
        <v>0</v>
      </c>
      <c r="L60" s="133">
        <v>0</v>
      </c>
      <c r="M60" s="137">
        <f t="shared" si="13"/>
        <v>6.59</v>
      </c>
      <c r="N60" s="143">
        <f t="shared" si="14"/>
        <v>0</v>
      </c>
      <c r="O60" s="131">
        <f t="shared" si="15"/>
        <v>0</v>
      </c>
      <c r="P60" s="144">
        <f t="shared" si="16"/>
        <v>2134.3000000000002</v>
      </c>
      <c r="Q60" s="136">
        <f t="shared" si="3"/>
        <v>0</v>
      </c>
    </row>
    <row r="61" spans="1:17" s="124" customFormat="1" x14ac:dyDescent="0.2">
      <c r="A61" s="113" t="s">
        <v>1397</v>
      </c>
      <c r="B61" s="114"/>
      <c r="C61" s="114"/>
      <c r="D61" s="115" t="s">
        <v>1398</v>
      </c>
      <c r="E61" s="116"/>
      <c r="F61" s="116">
        <f>SUM(F62:F65)</f>
        <v>1073.1699999999998</v>
      </c>
      <c r="G61" s="116">
        <f>SUM(G62:G65)</f>
        <v>102.08</v>
      </c>
      <c r="H61" s="116">
        <f>SUM(H62:H65)</f>
        <v>526.18000000000006</v>
      </c>
      <c r="I61" s="116">
        <f>SUM(I62:I65)</f>
        <v>23465.25</v>
      </c>
      <c r="J61" s="133">
        <v>0</v>
      </c>
      <c r="K61" s="133">
        <v>0</v>
      </c>
      <c r="L61" s="139"/>
      <c r="M61" s="139">
        <f t="shared" si="13"/>
        <v>1073.1699999999998</v>
      </c>
      <c r="N61" s="143">
        <f t="shared" si="14"/>
        <v>0</v>
      </c>
      <c r="O61" s="131">
        <f t="shared" si="15"/>
        <v>0</v>
      </c>
      <c r="P61" s="142">
        <f t="shared" si="16"/>
        <v>23465.25</v>
      </c>
      <c r="Q61" s="123">
        <f t="shared" si="3"/>
        <v>0</v>
      </c>
    </row>
    <row r="62" spans="1:17" s="67" customFormat="1" ht="25.5" x14ac:dyDescent="0.2">
      <c r="A62" s="125" t="s">
        <v>1399</v>
      </c>
      <c r="B62" s="126">
        <v>92422</v>
      </c>
      <c r="C62" s="126" t="s">
        <v>1324</v>
      </c>
      <c r="D62" s="127" t="s">
        <v>1384</v>
      </c>
      <c r="E62" s="128" t="s">
        <v>14</v>
      </c>
      <c r="F62" s="128">
        <v>10.8</v>
      </c>
      <c r="G62" s="137">
        <v>52.6</v>
      </c>
      <c r="H62" s="130">
        <v>93.42</v>
      </c>
      <c r="I62" s="131">
        <f t="shared" si="12"/>
        <v>1008.94</v>
      </c>
      <c r="J62" s="133">
        <v>0</v>
      </c>
      <c r="K62" s="133">
        <v>0</v>
      </c>
      <c r="L62" s="137"/>
      <c r="M62" s="137">
        <f t="shared" si="13"/>
        <v>10.8</v>
      </c>
      <c r="N62" s="143">
        <f t="shared" si="14"/>
        <v>0</v>
      </c>
      <c r="O62" s="131">
        <f t="shared" si="15"/>
        <v>0</v>
      </c>
      <c r="P62" s="144">
        <f t="shared" si="16"/>
        <v>1008.94</v>
      </c>
      <c r="Q62" s="136">
        <f t="shared" si="3"/>
        <v>0</v>
      </c>
    </row>
    <row r="63" spans="1:17" s="67" customFormat="1" x14ac:dyDescent="0.2">
      <c r="A63" s="125" t="s">
        <v>1400</v>
      </c>
      <c r="B63" s="126" t="s">
        <v>1401</v>
      </c>
      <c r="C63" s="126" t="s">
        <v>1324</v>
      </c>
      <c r="D63" s="127" t="s">
        <v>1402</v>
      </c>
      <c r="E63" s="128" t="s">
        <v>48</v>
      </c>
      <c r="F63" s="128">
        <v>33.83</v>
      </c>
      <c r="G63" s="137">
        <v>49.48</v>
      </c>
      <c r="H63" s="130">
        <v>98.55</v>
      </c>
      <c r="I63" s="131">
        <f t="shared" si="12"/>
        <v>3333.95</v>
      </c>
      <c r="J63" s="133">
        <v>0</v>
      </c>
      <c r="K63" s="133">
        <v>0</v>
      </c>
      <c r="L63" s="137"/>
      <c r="M63" s="137">
        <f t="shared" si="13"/>
        <v>33.83</v>
      </c>
      <c r="N63" s="143">
        <f t="shared" si="14"/>
        <v>0</v>
      </c>
      <c r="O63" s="131">
        <f t="shared" si="15"/>
        <v>0</v>
      </c>
      <c r="P63" s="144">
        <f t="shared" si="16"/>
        <v>3333.95</v>
      </c>
      <c r="Q63" s="136">
        <f t="shared" si="3"/>
        <v>0</v>
      </c>
    </row>
    <row r="64" spans="1:17" s="67" customFormat="1" x14ac:dyDescent="0.2">
      <c r="A64" s="125" t="s">
        <v>1403</v>
      </c>
      <c r="B64" s="126">
        <v>85662</v>
      </c>
      <c r="C64" s="126" t="s">
        <v>1324</v>
      </c>
      <c r="D64" s="127" t="s">
        <v>1404</v>
      </c>
      <c r="E64" s="128" t="s">
        <v>14</v>
      </c>
      <c r="F64" s="128">
        <v>1001.47</v>
      </c>
      <c r="G64" s="138"/>
      <c r="H64" s="130">
        <v>10.34</v>
      </c>
      <c r="I64" s="131">
        <f t="shared" si="12"/>
        <v>10355.200000000001</v>
      </c>
      <c r="J64" s="133">
        <v>0</v>
      </c>
      <c r="K64" s="133">
        <v>0</v>
      </c>
      <c r="L64" s="138"/>
      <c r="M64" s="137">
        <f t="shared" si="13"/>
        <v>1001.47</v>
      </c>
      <c r="N64" s="143">
        <f t="shared" si="14"/>
        <v>0</v>
      </c>
      <c r="O64" s="131">
        <f t="shared" si="15"/>
        <v>0</v>
      </c>
      <c r="P64" s="144">
        <f t="shared" si="16"/>
        <v>10355.200000000001</v>
      </c>
      <c r="Q64" s="136">
        <f t="shared" si="3"/>
        <v>0</v>
      </c>
    </row>
    <row r="65" spans="1:17" s="67" customFormat="1" ht="25.5" x14ac:dyDescent="0.2">
      <c r="A65" s="125" t="s">
        <v>1405</v>
      </c>
      <c r="B65" s="126">
        <v>92720</v>
      </c>
      <c r="C65" s="126" t="s">
        <v>1324</v>
      </c>
      <c r="D65" s="127" t="s">
        <v>1375</v>
      </c>
      <c r="E65" s="128" t="s">
        <v>48</v>
      </c>
      <c r="F65" s="128">
        <v>27.07</v>
      </c>
      <c r="G65" s="129"/>
      <c r="H65" s="130">
        <v>323.87</v>
      </c>
      <c r="I65" s="131">
        <f t="shared" si="12"/>
        <v>8767.16</v>
      </c>
      <c r="J65" s="133">
        <v>0</v>
      </c>
      <c r="K65" s="133">
        <v>0</v>
      </c>
      <c r="L65" s="129"/>
      <c r="M65" s="137">
        <f t="shared" si="13"/>
        <v>27.07</v>
      </c>
      <c r="N65" s="143">
        <f t="shared" si="14"/>
        <v>0</v>
      </c>
      <c r="O65" s="131">
        <f t="shared" si="15"/>
        <v>0</v>
      </c>
      <c r="P65" s="144">
        <f t="shared" si="16"/>
        <v>8767.16</v>
      </c>
      <c r="Q65" s="136">
        <f t="shared" si="3"/>
        <v>0</v>
      </c>
    </row>
    <row r="66" spans="1:17" s="124" customFormat="1" x14ac:dyDescent="0.2">
      <c r="A66" s="113" t="s">
        <v>1406</v>
      </c>
      <c r="B66" s="114"/>
      <c r="C66" s="114"/>
      <c r="D66" s="115" t="s">
        <v>1407</v>
      </c>
      <c r="E66" s="116"/>
      <c r="F66" s="116">
        <f t="shared" ref="F66:L66" si="17">F67</f>
        <v>33.9</v>
      </c>
      <c r="G66" s="116">
        <f t="shared" si="17"/>
        <v>329.55</v>
      </c>
      <c r="H66" s="116">
        <f t="shared" si="17"/>
        <v>26.92</v>
      </c>
      <c r="I66" s="116">
        <f t="shared" si="17"/>
        <v>912.59</v>
      </c>
      <c r="J66" s="150">
        <f t="shared" si="17"/>
        <v>33.9</v>
      </c>
      <c r="K66" s="116">
        <f t="shared" si="17"/>
        <v>33.9</v>
      </c>
      <c r="L66" s="116">
        <f t="shared" si="17"/>
        <v>0</v>
      </c>
      <c r="M66" s="116">
        <f>0</f>
        <v>0</v>
      </c>
      <c r="N66" s="149">
        <f>N67</f>
        <v>912.58799999999997</v>
      </c>
      <c r="O66" s="149">
        <f>O67</f>
        <v>912.58799999999997</v>
      </c>
      <c r="P66" s="149">
        <f>P67</f>
        <v>0</v>
      </c>
      <c r="Q66" s="136">
        <f t="shared" si="3"/>
        <v>0.99999780843533237</v>
      </c>
    </row>
    <row r="67" spans="1:17" s="67" customFormat="1" x14ac:dyDescent="0.2">
      <c r="A67" s="125" t="s">
        <v>1408</v>
      </c>
      <c r="B67" s="126" t="s">
        <v>1409</v>
      </c>
      <c r="C67" s="126" t="s">
        <v>1324</v>
      </c>
      <c r="D67" s="127" t="s">
        <v>1410</v>
      </c>
      <c r="E67" s="128" t="s">
        <v>81</v>
      </c>
      <c r="F67" s="128">
        <v>33.9</v>
      </c>
      <c r="G67" s="137">
        <v>329.55</v>
      </c>
      <c r="H67" s="130">
        <v>26.92</v>
      </c>
      <c r="I67" s="131">
        <f t="shared" ref="I67:I75" si="18">ROUND(F67*H67,2)</f>
        <v>912.59</v>
      </c>
      <c r="J67" s="166">
        <v>33.9</v>
      </c>
      <c r="K67" s="133">
        <v>33.9</v>
      </c>
      <c r="L67" s="137"/>
      <c r="M67" s="116">
        <f>0</f>
        <v>0</v>
      </c>
      <c r="N67" s="131">
        <f t="shared" ref="N67:N73" si="19">J67*H67</f>
        <v>912.58799999999997</v>
      </c>
      <c r="O67" s="131">
        <f t="shared" ref="O67:O73" si="20">K67*H67</f>
        <v>912.58799999999997</v>
      </c>
      <c r="P67" s="131">
        <f>0</f>
        <v>0</v>
      </c>
      <c r="Q67" s="136">
        <f t="shared" si="3"/>
        <v>0.99999780843533237</v>
      </c>
    </row>
    <row r="68" spans="1:17" s="124" customFormat="1" x14ac:dyDescent="0.2">
      <c r="A68" s="113">
        <v>5</v>
      </c>
      <c r="B68" s="114"/>
      <c r="C68" s="114"/>
      <c r="D68" s="115" t="s">
        <v>1411</v>
      </c>
      <c r="E68" s="116"/>
      <c r="F68" s="116">
        <f>SUM(F69,F71,F74)</f>
        <v>611.42000000000007</v>
      </c>
      <c r="G68" s="139">
        <v>395.46</v>
      </c>
      <c r="H68" s="118">
        <f>H69</f>
        <v>53.45</v>
      </c>
      <c r="I68" s="140">
        <f>SUM(I69,I71,I74)</f>
        <v>31428.92</v>
      </c>
      <c r="J68" s="121">
        <v>0</v>
      </c>
      <c r="K68" s="121">
        <v>0</v>
      </c>
      <c r="L68" s="139"/>
      <c r="M68" s="139">
        <f>F68-K68</f>
        <v>611.42000000000007</v>
      </c>
      <c r="N68" s="141">
        <f>SUM(N71,N74)</f>
        <v>9890.1677</v>
      </c>
      <c r="O68" s="140">
        <f t="shared" si="20"/>
        <v>0</v>
      </c>
      <c r="P68" s="142">
        <f>I68-O68</f>
        <v>31428.92</v>
      </c>
      <c r="Q68" s="123">
        <f t="shared" si="3"/>
        <v>0</v>
      </c>
    </row>
    <row r="69" spans="1:17" s="124" customFormat="1" x14ac:dyDescent="0.2">
      <c r="A69" s="113" t="s">
        <v>98</v>
      </c>
      <c r="B69" s="114"/>
      <c r="C69" s="114"/>
      <c r="D69" s="115" t="s">
        <v>1412</v>
      </c>
      <c r="E69" s="116"/>
      <c r="F69" s="116">
        <f>F70</f>
        <v>134.72</v>
      </c>
      <c r="G69" s="116">
        <f t="shared" ref="G69:P69" si="21">G70</f>
        <v>222.6</v>
      </c>
      <c r="H69" s="116">
        <f t="shared" si="21"/>
        <v>53.45</v>
      </c>
      <c r="I69" s="116">
        <f t="shared" si="21"/>
        <v>7200.78</v>
      </c>
      <c r="J69" s="116">
        <f t="shared" si="21"/>
        <v>0</v>
      </c>
      <c r="K69" s="116">
        <f t="shared" si="21"/>
        <v>0</v>
      </c>
      <c r="L69" s="116">
        <f t="shared" si="21"/>
        <v>0</v>
      </c>
      <c r="M69" s="167">
        <f>F69-K69</f>
        <v>134.72</v>
      </c>
      <c r="N69" s="149">
        <f t="shared" si="21"/>
        <v>0</v>
      </c>
      <c r="O69" s="149">
        <f t="shared" si="21"/>
        <v>0</v>
      </c>
      <c r="P69" s="149">
        <f t="shared" si="21"/>
        <v>7200.78</v>
      </c>
      <c r="Q69" s="123">
        <f t="shared" si="3"/>
        <v>0</v>
      </c>
    </row>
    <row r="70" spans="1:17" s="67" customFormat="1" ht="25.5" x14ac:dyDescent="0.2">
      <c r="A70" s="125" t="s">
        <v>100</v>
      </c>
      <c r="B70" s="126" t="s">
        <v>1413</v>
      </c>
      <c r="C70" s="126" t="s">
        <v>1324</v>
      </c>
      <c r="D70" s="127" t="s">
        <v>1414</v>
      </c>
      <c r="E70" s="128" t="s">
        <v>14</v>
      </c>
      <c r="F70" s="128">
        <v>134.72</v>
      </c>
      <c r="G70" s="137">
        <v>222.6</v>
      </c>
      <c r="H70" s="130">
        <v>53.45</v>
      </c>
      <c r="I70" s="131">
        <f t="shared" si="18"/>
        <v>7200.78</v>
      </c>
      <c r="J70" s="133">
        <v>0</v>
      </c>
      <c r="K70" s="133">
        <v>0</v>
      </c>
      <c r="L70" s="137"/>
      <c r="M70" s="168">
        <f>F70-K70</f>
        <v>134.72</v>
      </c>
      <c r="N70" s="143">
        <f t="shared" si="19"/>
        <v>0</v>
      </c>
      <c r="O70" s="131">
        <f t="shared" si="20"/>
        <v>0</v>
      </c>
      <c r="P70" s="144">
        <f>I70-O70</f>
        <v>7200.78</v>
      </c>
      <c r="Q70" s="136">
        <f t="shared" si="3"/>
        <v>0</v>
      </c>
    </row>
    <row r="71" spans="1:17" s="124" customFormat="1" x14ac:dyDescent="0.2">
      <c r="A71" s="113" t="s">
        <v>116</v>
      </c>
      <c r="B71" s="114"/>
      <c r="C71" s="114"/>
      <c r="D71" s="115" t="s">
        <v>1415</v>
      </c>
      <c r="E71" s="116"/>
      <c r="F71" s="116">
        <f>SUM(F72:F73)</f>
        <v>328.62</v>
      </c>
      <c r="G71" s="116">
        <f t="shared" ref="G71:P71" si="22">SUM(G72:G73)</f>
        <v>800.8</v>
      </c>
      <c r="H71" s="149">
        <f t="shared" si="22"/>
        <v>72.650000000000006</v>
      </c>
      <c r="I71" s="149">
        <f t="shared" si="22"/>
        <v>15726.869999999999</v>
      </c>
      <c r="J71" s="150">
        <f t="shared" si="22"/>
        <v>224.93</v>
      </c>
      <c r="K71" s="116">
        <f t="shared" si="22"/>
        <v>328.62</v>
      </c>
      <c r="L71" s="116">
        <f t="shared" si="22"/>
        <v>0</v>
      </c>
      <c r="M71" s="116">
        <f t="shared" si="22"/>
        <v>0</v>
      </c>
      <c r="N71" s="149">
        <f t="shared" si="22"/>
        <v>9890.1677</v>
      </c>
      <c r="O71" s="149">
        <f>SUM(O72:O73)-0.01</f>
        <v>15726.867800000002</v>
      </c>
      <c r="P71" s="149">
        <f t="shared" si="22"/>
        <v>0</v>
      </c>
      <c r="Q71" s="123">
        <f t="shared" si="3"/>
        <v>0.99999986011202502</v>
      </c>
    </row>
    <row r="72" spans="1:17" s="67" customFormat="1" ht="16.5" customHeight="1" x14ac:dyDescent="0.2">
      <c r="A72" s="125" t="s">
        <v>118</v>
      </c>
      <c r="B72" s="126">
        <v>87519</v>
      </c>
      <c r="C72" s="126" t="s">
        <v>1324</v>
      </c>
      <c r="D72" s="127" t="s">
        <v>1416</v>
      </c>
      <c r="E72" s="128" t="s">
        <v>14</v>
      </c>
      <c r="F72" s="128">
        <v>259.22000000000003</v>
      </c>
      <c r="G72" s="137">
        <v>378.98</v>
      </c>
      <c r="H72" s="130">
        <v>56.29</v>
      </c>
      <c r="I72" s="131">
        <f t="shared" si="18"/>
        <v>14591.49</v>
      </c>
      <c r="J72" s="166">
        <v>155.53</v>
      </c>
      <c r="K72" s="133">
        <f>F72</f>
        <v>259.22000000000003</v>
      </c>
      <c r="L72" s="137"/>
      <c r="M72" s="116">
        <f>0</f>
        <v>0</v>
      </c>
      <c r="N72" s="131">
        <f t="shared" si="19"/>
        <v>8754.7837</v>
      </c>
      <c r="O72" s="131">
        <f t="shared" si="20"/>
        <v>14591.493800000002</v>
      </c>
      <c r="P72" s="131">
        <f>0</f>
        <v>0</v>
      </c>
      <c r="Q72" s="136">
        <f t="shared" si="3"/>
        <v>1.0000002604257689</v>
      </c>
    </row>
    <row r="73" spans="1:17" s="67" customFormat="1" ht="20.25" customHeight="1" x14ac:dyDescent="0.2">
      <c r="A73" s="125" t="s">
        <v>123</v>
      </c>
      <c r="B73" s="126" t="s">
        <v>1417</v>
      </c>
      <c r="C73" s="126" t="s">
        <v>1324</v>
      </c>
      <c r="D73" s="127" t="s">
        <v>1418</v>
      </c>
      <c r="E73" s="128" t="s">
        <v>81</v>
      </c>
      <c r="F73" s="128">
        <v>69.400000000000006</v>
      </c>
      <c r="G73" s="137">
        <v>421.82</v>
      </c>
      <c r="H73" s="130">
        <v>16.36</v>
      </c>
      <c r="I73" s="131">
        <f t="shared" si="18"/>
        <v>1135.3800000000001</v>
      </c>
      <c r="J73" s="166">
        <v>69.400000000000006</v>
      </c>
      <c r="K73" s="133">
        <f>F73</f>
        <v>69.400000000000006</v>
      </c>
      <c r="L73" s="137"/>
      <c r="M73" s="116">
        <f>0</f>
        <v>0</v>
      </c>
      <c r="N73" s="143">
        <f t="shared" si="19"/>
        <v>1135.384</v>
      </c>
      <c r="O73" s="131">
        <f t="shared" si="20"/>
        <v>1135.384</v>
      </c>
      <c r="P73" s="131">
        <f>0</f>
        <v>0</v>
      </c>
      <c r="Q73" s="136">
        <f t="shared" si="3"/>
        <v>1.0000035230495516</v>
      </c>
    </row>
    <row r="74" spans="1:17" s="124" customFormat="1" x14ac:dyDescent="0.2">
      <c r="A74" s="113" t="s">
        <v>1419</v>
      </c>
      <c r="B74" s="114"/>
      <c r="C74" s="114"/>
      <c r="D74" s="115" t="s">
        <v>1420</v>
      </c>
      <c r="E74" s="116"/>
      <c r="F74" s="116">
        <f>F75</f>
        <v>148.08000000000001</v>
      </c>
      <c r="G74" s="116">
        <f t="shared" ref="G74:O75" si="23">G75</f>
        <v>0</v>
      </c>
      <c r="H74" s="116">
        <f t="shared" si="23"/>
        <v>57.41</v>
      </c>
      <c r="I74" s="149">
        <f t="shared" si="23"/>
        <v>8501.27</v>
      </c>
      <c r="J74" s="116">
        <f t="shared" si="23"/>
        <v>0</v>
      </c>
      <c r="K74" s="116">
        <f t="shared" si="23"/>
        <v>0</v>
      </c>
      <c r="L74" s="116">
        <f t="shared" si="23"/>
        <v>0</v>
      </c>
      <c r="M74" s="116">
        <f>F74</f>
        <v>148.08000000000001</v>
      </c>
      <c r="N74" s="149">
        <f t="shared" si="23"/>
        <v>0</v>
      </c>
      <c r="O74" s="149">
        <f t="shared" si="23"/>
        <v>0</v>
      </c>
      <c r="P74" s="149">
        <f>I74</f>
        <v>8501.27</v>
      </c>
      <c r="Q74" s="123">
        <f t="shared" si="3"/>
        <v>0</v>
      </c>
    </row>
    <row r="75" spans="1:17" s="67" customFormat="1" ht="25.5" x14ac:dyDescent="0.2">
      <c r="A75" s="125" t="s">
        <v>1421</v>
      </c>
      <c r="B75" s="126" t="s">
        <v>1422</v>
      </c>
      <c r="C75" s="126" t="s">
        <v>1324</v>
      </c>
      <c r="D75" s="127" t="s">
        <v>1423</v>
      </c>
      <c r="E75" s="128" t="s">
        <v>14</v>
      </c>
      <c r="F75" s="128">
        <v>148.08000000000001</v>
      </c>
      <c r="G75" s="138"/>
      <c r="H75" s="130">
        <v>57.41</v>
      </c>
      <c r="I75" s="131">
        <f t="shared" si="18"/>
        <v>8501.27</v>
      </c>
      <c r="J75" s="133">
        <v>0</v>
      </c>
      <c r="K75" s="133">
        <v>0</v>
      </c>
      <c r="L75" s="138"/>
      <c r="M75" s="128">
        <f>F75</f>
        <v>148.08000000000001</v>
      </c>
      <c r="N75" s="116">
        <f t="shared" si="23"/>
        <v>0</v>
      </c>
      <c r="O75" s="116">
        <f t="shared" si="23"/>
        <v>0</v>
      </c>
      <c r="P75" s="169">
        <f>I75</f>
        <v>8501.27</v>
      </c>
      <c r="Q75" s="136">
        <f t="shared" si="3"/>
        <v>0</v>
      </c>
    </row>
    <row r="76" spans="1:17" s="67" customFormat="1" x14ac:dyDescent="0.2">
      <c r="A76" s="113">
        <v>6</v>
      </c>
      <c r="B76" s="114"/>
      <c r="C76" s="114"/>
      <c r="D76" s="115" t="s">
        <v>97</v>
      </c>
      <c r="E76" s="116"/>
      <c r="F76" s="116">
        <f>SUM(F77,F82,F86,F89)</f>
        <v>48.1</v>
      </c>
      <c r="G76" s="116">
        <f t="shared" ref="G76:P76" si="24">SUM(G77,G82,G86,G89)</f>
        <v>2727.08</v>
      </c>
      <c r="H76" s="149">
        <f t="shared" si="24"/>
        <v>5603.54</v>
      </c>
      <c r="I76" s="149">
        <f>SUM(I77,I82,I86,I89)</f>
        <v>10373.979999999998</v>
      </c>
      <c r="J76" s="116">
        <f t="shared" si="24"/>
        <v>0</v>
      </c>
      <c r="K76" s="116">
        <f t="shared" si="24"/>
        <v>0</v>
      </c>
      <c r="L76" s="116">
        <f t="shared" si="24"/>
        <v>0</v>
      </c>
      <c r="M76" s="116">
        <f t="shared" si="24"/>
        <v>48.1</v>
      </c>
      <c r="N76" s="116">
        <f t="shared" si="24"/>
        <v>0</v>
      </c>
      <c r="O76" s="149">
        <f t="shared" si="24"/>
        <v>0</v>
      </c>
      <c r="P76" s="149">
        <f t="shared" si="24"/>
        <v>10373.979999999998</v>
      </c>
      <c r="Q76" s="123">
        <f>O76/I76</f>
        <v>0</v>
      </c>
    </row>
    <row r="77" spans="1:17" s="124" customFormat="1" x14ac:dyDescent="0.2">
      <c r="A77" s="113" t="s">
        <v>186</v>
      </c>
      <c r="B77" s="114"/>
      <c r="C77" s="114"/>
      <c r="D77" s="115" t="s">
        <v>1424</v>
      </c>
      <c r="E77" s="116"/>
      <c r="F77" s="116">
        <f>SUM(F78:F81)</f>
        <v>9</v>
      </c>
      <c r="G77" s="116">
        <f t="shared" ref="G77:P77" si="25">SUM(G78:G81)</f>
        <v>582.80000000000007</v>
      </c>
      <c r="H77" s="149">
        <f t="shared" si="25"/>
        <v>3358.24</v>
      </c>
      <c r="I77" s="149">
        <f t="shared" si="25"/>
        <v>7440.7899999999991</v>
      </c>
      <c r="J77" s="116">
        <f t="shared" si="25"/>
        <v>0</v>
      </c>
      <c r="K77" s="116">
        <f t="shared" si="25"/>
        <v>0</v>
      </c>
      <c r="L77" s="116">
        <f t="shared" si="25"/>
        <v>0</v>
      </c>
      <c r="M77" s="116">
        <f t="shared" si="25"/>
        <v>9</v>
      </c>
      <c r="N77" s="116">
        <f t="shared" si="25"/>
        <v>0</v>
      </c>
      <c r="O77" s="149">
        <f t="shared" si="25"/>
        <v>0</v>
      </c>
      <c r="P77" s="149">
        <f t="shared" si="25"/>
        <v>7440.7899999999991</v>
      </c>
      <c r="Q77" s="123">
        <f>O77/I77</f>
        <v>0</v>
      </c>
    </row>
    <row r="78" spans="1:17" s="67" customFormat="1" ht="25.5" x14ac:dyDescent="0.2">
      <c r="A78" s="125" t="s">
        <v>1425</v>
      </c>
      <c r="B78" s="126">
        <v>90843</v>
      </c>
      <c r="C78" s="126" t="s">
        <v>1324</v>
      </c>
      <c r="D78" s="127" t="s">
        <v>1426</v>
      </c>
      <c r="E78" s="128" t="s">
        <v>102</v>
      </c>
      <c r="F78" s="128">
        <v>2</v>
      </c>
      <c r="G78" s="129"/>
      <c r="H78" s="130">
        <v>688.65</v>
      </c>
      <c r="I78" s="135">
        <f>F78*H78</f>
        <v>1377.3</v>
      </c>
      <c r="J78" s="133">
        <v>0</v>
      </c>
      <c r="K78" s="133">
        <v>0</v>
      </c>
      <c r="L78" s="129"/>
      <c r="M78" s="137">
        <f>F78-K78</f>
        <v>2</v>
      </c>
      <c r="N78" s="143">
        <f>J78*H78</f>
        <v>0</v>
      </c>
      <c r="O78" s="131">
        <f>K78*H78</f>
        <v>0</v>
      </c>
      <c r="P78" s="144">
        <f>I78-O78</f>
        <v>1377.3</v>
      </c>
      <c r="Q78" s="136">
        <f>O78/I78</f>
        <v>0</v>
      </c>
    </row>
    <row r="79" spans="1:17" s="67" customFormat="1" ht="19.5" customHeight="1" x14ac:dyDescent="0.2">
      <c r="A79" s="125" t="s">
        <v>1427</v>
      </c>
      <c r="B79" s="126">
        <v>90844</v>
      </c>
      <c r="C79" s="126" t="s">
        <v>1324</v>
      </c>
      <c r="D79" s="127" t="s">
        <v>1428</v>
      </c>
      <c r="E79" s="128" t="s">
        <v>102</v>
      </c>
      <c r="F79" s="128">
        <v>1</v>
      </c>
      <c r="G79" s="137">
        <v>179.33</v>
      </c>
      <c r="H79" s="130">
        <v>926.13</v>
      </c>
      <c r="I79" s="135">
        <f>F79*H79</f>
        <v>926.13</v>
      </c>
      <c r="J79" s="133">
        <v>0</v>
      </c>
      <c r="K79" s="133">
        <v>0</v>
      </c>
      <c r="L79" s="137"/>
      <c r="M79" s="137">
        <f>F79-K79</f>
        <v>1</v>
      </c>
      <c r="N79" s="143">
        <f>J79*H79</f>
        <v>0</v>
      </c>
      <c r="O79" s="131">
        <f>K79*H79</f>
        <v>0</v>
      </c>
      <c r="P79" s="144">
        <f>I79-O79</f>
        <v>926.13</v>
      </c>
      <c r="Q79" s="136">
        <f>O79/I79</f>
        <v>0</v>
      </c>
    </row>
    <row r="80" spans="1:17" s="67" customFormat="1" ht="25.5" x14ac:dyDescent="0.2">
      <c r="A80" s="125" t="s">
        <v>1429</v>
      </c>
      <c r="B80" s="126" t="s">
        <v>1430</v>
      </c>
      <c r="C80" s="126" t="s">
        <v>1324</v>
      </c>
      <c r="D80" s="127" t="s">
        <v>1431</v>
      </c>
      <c r="E80" s="128" t="s">
        <v>102</v>
      </c>
      <c r="F80" s="128">
        <v>4</v>
      </c>
      <c r="G80" s="137">
        <v>268.98</v>
      </c>
      <c r="H80" s="130">
        <v>825.22</v>
      </c>
      <c r="I80" s="135">
        <f>F80*H80</f>
        <v>3300.88</v>
      </c>
      <c r="J80" s="133">
        <v>0</v>
      </c>
      <c r="K80" s="133">
        <v>0</v>
      </c>
      <c r="L80" s="137"/>
      <c r="M80" s="137">
        <f t="shared" ref="M80:M107" si="26">F80-K80</f>
        <v>4</v>
      </c>
      <c r="N80" s="143">
        <f t="shared" ref="N80:N107" si="27">J80*H80</f>
        <v>0</v>
      </c>
      <c r="O80" s="131">
        <f t="shared" ref="O80:O107" si="28">K80*H80</f>
        <v>0</v>
      </c>
      <c r="P80" s="144">
        <f t="shared" ref="P80:P107" si="29">I80-O80</f>
        <v>3300.88</v>
      </c>
      <c r="Q80" s="136">
        <f t="shared" ref="Q80:Q107" si="30">O80/I80</f>
        <v>0</v>
      </c>
    </row>
    <row r="81" spans="1:17" s="67" customFormat="1" ht="25.5" x14ac:dyDescent="0.2">
      <c r="A81" s="125" t="s">
        <v>1432</v>
      </c>
      <c r="B81" s="126" t="s">
        <v>1433</v>
      </c>
      <c r="C81" s="126" t="s">
        <v>1324</v>
      </c>
      <c r="D81" s="127" t="s">
        <v>1434</v>
      </c>
      <c r="E81" s="128" t="s">
        <v>102</v>
      </c>
      <c r="F81" s="128">
        <v>2</v>
      </c>
      <c r="G81" s="137">
        <v>134.49</v>
      </c>
      <c r="H81" s="130">
        <v>918.24</v>
      </c>
      <c r="I81" s="135">
        <f>F81*H81</f>
        <v>1836.48</v>
      </c>
      <c r="J81" s="133">
        <v>0</v>
      </c>
      <c r="K81" s="133">
        <v>0</v>
      </c>
      <c r="L81" s="137"/>
      <c r="M81" s="137">
        <f t="shared" si="26"/>
        <v>2</v>
      </c>
      <c r="N81" s="143">
        <f t="shared" si="27"/>
        <v>0</v>
      </c>
      <c r="O81" s="131">
        <f t="shared" si="28"/>
        <v>0</v>
      </c>
      <c r="P81" s="144">
        <f t="shared" si="29"/>
        <v>1836.48</v>
      </c>
      <c r="Q81" s="136">
        <f t="shared" si="30"/>
        <v>0</v>
      </c>
    </row>
    <row r="82" spans="1:17" s="124" customFormat="1" x14ac:dyDescent="0.2">
      <c r="A82" s="113" t="s">
        <v>188</v>
      </c>
      <c r="B82" s="114"/>
      <c r="C82" s="114"/>
      <c r="D82" s="115" t="s">
        <v>1435</v>
      </c>
      <c r="E82" s="116"/>
      <c r="F82" s="116">
        <f>SUM(F83:F85)</f>
        <v>21.9</v>
      </c>
      <c r="G82" s="116">
        <f t="shared" ref="G82:P82" si="31">SUM(G83:G85)</f>
        <v>1434.56</v>
      </c>
      <c r="H82" s="116">
        <f t="shared" si="31"/>
        <v>85.4</v>
      </c>
      <c r="I82" s="116">
        <f t="shared" si="31"/>
        <v>773.29</v>
      </c>
      <c r="J82" s="145">
        <f t="shared" si="31"/>
        <v>0</v>
      </c>
      <c r="K82" s="145">
        <f t="shared" si="31"/>
        <v>0</v>
      </c>
      <c r="L82" s="116">
        <f t="shared" si="31"/>
        <v>0</v>
      </c>
      <c r="M82" s="145">
        <f t="shared" si="31"/>
        <v>21.9</v>
      </c>
      <c r="N82" s="149">
        <f t="shared" si="31"/>
        <v>0</v>
      </c>
      <c r="O82" s="149">
        <f t="shared" si="31"/>
        <v>0</v>
      </c>
      <c r="P82" s="149">
        <f t="shared" si="31"/>
        <v>773.29</v>
      </c>
      <c r="Q82" s="123">
        <f t="shared" si="30"/>
        <v>0</v>
      </c>
    </row>
    <row r="83" spans="1:17" s="67" customFormat="1" ht="25.5" x14ac:dyDescent="0.2">
      <c r="A83" s="125" t="s">
        <v>1436</v>
      </c>
      <c r="B83" s="126"/>
      <c r="C83" s="126" t="s">
        <v>1339</v>
      </c>
      <c r="D83" s="127" t="s">
        <v>1437</v>
      </c>
      <c r="E83" s="128" t="s">
        <v>81</v>
      </c>
      <c r="F83" s="128">
        <v>11.6</v>
      </c>
      <c r="G83" s="137">
        <v>627.62</v>
      </c>
      <c r="H83" s="130">
        <v>48.24</v>
      </c>
      <c r="I83" s="131">
        <f t="shared" ref="I83:I107" si="32">ROUND(F83*H83,2)</f>
        <v>559.58000000000004</v>
      </c>
      <c r="J83" s="133">
        <v>0</v>
      </c>
      <c r="K83" s="133">
        <v>0</v>
      </c>
      <c r="L83" s="137"/>
      <c r="M83" s="137">
        <f t="shared" si="26"/>
        <v>11.6</v>
      </c>
      <c r="N83" s="143">
        <f t="shared" si="27"/>
        <v>0</v>
      </c>
      <c r="O83" s="131">
        <f t="shared" si="28"/>
        <v>0</v>
      </c>
      <c r="P83" s="131">
        <f t="shared" si="29"/>
        <v>559.58000000000004</v>
      </c>
      <c r="Q83" s="136">
        <f t="shared" si="30"/>
        <v>0</v>
      </c>
    </row>
    <row r="84" spans="1:17" s="67" customFormat="1" ht="25.5" x14ac:dyDescent="0.2">
      <c r="A84" s="125" t="s">
        <v>1438</v>
      </c>
      <c r="B84" s="126"/>
      <c r="C84" s="126" t="s">
        <v>1339</v>
      </c>
      <c r="D84" s="127" t="s">
        <v>1439</v>
      </c>
      <c r="E84" s="128" t="s">
        <v>14</v>
      </c>
      <c r="F84" s="128">
        <v>4.3</v>
      </c>
      <c r="G84" s="137">
        <v>358.64</v>
      </c>
      <c r="H84" s="130">
        <v>5.44</v>
      </c>
      <c r="I84" s="131">
        <f t="shared" si="32"/>
        <v>23.39</v>
      </c>
      <c r="J84" s="133">
        <v>0</v>
      </c>
      <c r="K84" s="133">
        <v>0</v>
      </c>
      <c r="L84" s="137"/>
      <c r="M84" s="137">
        <f t="shared" si="26"/>
        <v>4.3</v>
      </c>
      <c r="N84" s="143">
        <f t="shared" si="27"/>
        <v>0</v>
      </c>
      <c r="O84" s="131">
        <f t="shared" si="28"/>
        <v>0</v>
      </c>
      <c r="P84" s="131">
        <f t="shared" si="29"/>
        <v>23.39</v>
      </c>
      <c r="Q84" s="136">
        <f t="shared" si="30"/>
        <v>0</v>
      </c>
    </row>
    <row r="85" spans="1:17" s="67" customFormat="1" x14ac:dyDescent="0.2">
      <c r="A85" s="125" t="s">
        <v>1440</v>
      </c>
      <c r="B85" s="126" t="s">
        <v>1441</v>
      </c>
      <c r="C85" s="126" t="s">
        <v>1324</v>
      </c>
      <c r="D85" s="127" t="s">
        <v>1442</v>
      </c>
      <c r="E85" s="128" t="s">
        <v>102</v>
      </c>
      <c r="F85" s="128">
        <v>6</v>
      </c>
      <c r="G85" s="137">
        <v>448.3</v>
      </c>
      <c r="H85" s="130">
        <v>31.72</v>
      </c>
      <c r="I85" s="131">
        <f t="shared" si="32"/>
        <v>190.32</v>
      </c>
      <c r="J85" s="133">
        <v>0</v>
      </c>
      <c r="K85" s="133">
        <v>0</v>
      </c>
      <c r="L85" s="137"/>
      <c r="M85" s="137">
        <f t="shared" si="26"/>
        <v>6</v>
      </c>
      <c r="N85" s="143">
        <f t="shared" si="27"/>
        <v>0</v>
      </c>
      <c r="O85" s="131">
        <f t="shared" si="28"/>
        <v>0</v>
      </c>
      <c r="P85" s="131">
        <f t="shared" si="29"/>
        <v>190.32</v>
      </c>
      <c r="Q85" s="136">
        <f t="shared" si="30"/>
        <v>0</v>
      </c>
    </row>
    <row r="86" spans="1:17" s="124" customFormat="1" x14ac:dyDescent="0.2">
      <c r="A86" s="113" t="s">
        <v>1443</v>
      </c>
      <c r="B86" s="114"/>
      <c r="C86" s="114"/>
      <c r="D86" s="115" t="s">
        <v>1444</v>
      </c>
      <c r="E86" s="116"/>
      <c r="F86" s="116">
        <f>SUM(F87:F88)</f>
        <v>12.88</v>
      </c>
      <c r="G86" s="139">
        <v>124.52</v>
      </c>
      <c r="H86" s="118">
        <v>331.68</v>
      </c>
      <c r="I86" s="140">
        <f>I88</f>
        <v>331.68</v>
      </c>
      <c r="J86" s="121">
        <v>0</v>
      </c>
      <c r="K86" s="121">
        <v>0</v>
      </c>
      <c r="L86" s="139"/>
      <c r="M86" s="139">
        <f t="shared" si="26"/>
        <v>12.88</v>
      </c>
      <c r="N86" s="141">
        <f t="shared" si="27"/>
        <v>0</v>
      </c>
      <c r="O86" s="140">
        <f t="shared" si="28"/>
        <v>0</v>
      </c>
      <c r="P86" s="142">
        <f t="shared" si="29"/>
        <v>331.68</v>
      </c>
      <c r="Q86" s="123">
        <f t="shared" si="30"/>
        <v>0</v>
      </c>
    </row>
    <row r="87" spans="1:17" s="67" customFormat="1" x14ac:dyDescent="0.2">
      <c r="A87" s="125" t="s">
        <v>1445</v>
      </c>
      <c r="B87" s="126">
        <v>68052</v>
      </c>
      <c r="C87" s="126" t="s">
        <v>1324</v>
      </c>
      <c r="D87" s="170" t="s">
        <v>1446</v>
      </c>
      <c r="E87" s="128" t="s">
        <v>14</v>
      </c>
      <c r="F87" s="128">
        <v>10.8</v>
      </c>
      <c r="G87" s="137">
        <v>390.13</v>
      </c>
      <c r="H87" s="130">
        <v>0</v>
      </c>
      <c r="I87" s="131">
        <f t="shared" si="32"/>
        <v>0</v>
      </c>
      <c r="J87" s="133">
        <v>0</v>
      </c>
      <c r="K87" s="133">
        <v>0</v>
      </c>
      <c r="L87" s="137"/>
      <c r="M87" s="137">
        <f t="shared" si="26"/>
        <v>10.8</v>
      </c>
      <c r="N87" s="143">
        <f t="shared" si="27"/>
        <v>0</v>
      </c>
      <c r="O87" s="131">
        <f t="shared" si="28"/>
        <v>0</v>
      </c>
      <c r="P87" s="144">
        <f t="shared" si="29"/>
        <v>0</v>
      </c>
      <c r="Q87" s="136" t="e">
        <f t="shared" si="30"/>
        <v>#DIV/0!</v>
      </c>
    </row>
    <row r="88" spans="1:17" s="67" customFormat="1" ht="25.5" x14ac:dyDescent="0.2">
      <c r="A88" s="125" t="s">
        <v>1447</v>
      </c>
      <c r="B88" s="126">
        <v>85010</v>
      </c>
      <c r="C88" s="126" t="s">
        <v>1324</v>
      </c>
      <c r="D88" s="127" t="s">
        <v>1448</v>
      </c>
      <c r="E88" s="128" t="s">
        <v>14</v>
      </c>
      <c r="F88" s="128">
        <v>2.08</v>
      </c>
      <c r="G88" s="137">
        <v>975.33</v>
      </c>
      <c r="H88" s="130">
        <v>159.46</v>
      </c>
      <c r="I88" s="131">
        <f t="shared" si="32"/>
        <v>331.68</v>
      </c>
      <c r="J88" s="133">
        <v>0</v>
      </c>
      <c r="K88" s="133">
        <v>0</v>
      </c>
      <c r="L88" s="137"/>
      <c r="M88" s="137">
        <f t="shared" si="26"/>
        <v>2.08</v>
      </c>
      <c r="N88" s="143">
        <f t="shared" si="27"/>
        <v>0</v>
      </c>
      <c r="O88" s="131">
        <f t="shared" si="28"/>
        <v>0</v>
      </c>
      <c r="P88" s="144">
        <f t="shared" si="29"/>
        <v>331.68</v>
      </c>
      <c r="Q88" s="136">
        <f t="shared" si="30"/>
        <v>0</v>
      </c>
    </row>
    <row r="89" spans="1:17" s="124" customFormat="1" x14ac:dyDescent="0.2">
      <c r="A89" s="113" t="s">
        <v>1449</v>
      </c>
      <c r="B89" s="114"/>
      <c r="C89" s="114"/>
      <c r="D89" s="115" t="s">
        <v>184</v>
      </c>
      <c r="E89" s="116"/>
      <c r="F89" s="116">
        <f>F90</f>
        <v>4.32</v>
      </c>
      <c r="G89" s="139">
        <v>585.20000000000005</v>
      </c>
      <c r="H89" s="118">
        <v>1828.22</v>
      </c>
      <c r="I89" s="140">
        <f>I90</f>
        <v>1828.22</v>
      </c>
      <c r="J89" s="121">
        <v>0</v>
      </c>
      <c r="K89" s="121">
        <v>0</v>
      </c>
      <c r="L89" s="139"/>
      <c r="M89" s="139">
        <f t="shared" si="26"/>
        <v>4.32</v>
      </c>
      <c r="N89" s="141">
        <f t="shared" si="27"/>
        <v>0</v>
      </c>
      <c r="O89" s="140">
        <f t="shared" si="28"/>
        <v>0</v>
      </c>
      <c r="P89" s="142">
        <f t="shared" si="29"/>
        <v>1828.22</v>
      </c>
      <c r="Q89" s="123">
        <f t="shared" si="30"/>
        <v>0</v>
      </c>
    </row>
    <row r="90" spans="1:17" s="67" customFormat="1" ht="25.5" x14ac:dyDescent="0.2">
      <c r="A90" s="125" t="s">
        <v>1450</v>
      </c>
      <c r="B90" s="126" t="s">
        <v>1451</v>
      </c>
      <c r="C90" s="126" t="s">
        <v>1324</v>
      </c>
      <c r="D90" s="127" t="s">
        <v>1452</v>
      </c>
      <c r="E90" s="128" t="s">
        <v>14</v>
      </c>
      <c r="F90" s="128">
        <v>4.32</v>
      </c>
      <c r="G90" s="137">
        <v>877.8</v>
      </c>
      <c r="H90" s="130">
        <v>423.2</v>
      </c>
      <c r="I90" s="131">
        <f t="shared" si="32"/>
        <v>1828.22</v>
      </c>
      <c r="J90" s="133">
        <v>0</v>
      </c>
      <c r="K90" s="133">
        <v>0</v>
      </c>
      <c r="L90" s="137"/>
      <c r="M90" s="137">
        <f t="shared" si="26"/>
        <v>4.32</v>
      </c>
      <c r="N90" s="143">
        <f t="shared" si="27"/>
        <v>0</v>
      </c>
      <c r="O90" s="131">
        <f t="shared" si="28"/>
        <v>0</v>
      </c>
      <c r="P90" s="144">
        <f t="shared" si="29"/>
        <v>1828.22</v>
      </c>
      <c r="Q90" s="136">
        <f t="shared" si="30"/>
        <v>0</v>
      </c>
    </row>
    <row r="91" spans="1:17" s="67" customFormat="1" x14ac:dyDescent="0.2">
      <c r="A91" s="113">
        <v>7</v>
      </c>
      <c r="B91" s="114"/>
      <c r="C91" s="114"/>
      <c r="D91" s="115" t="s">
        <v>1453</v>
      </c>
      <c r="E91" s="116"/>
      <c r="F91" s="116">
        <f>SUM(F92:F93)</f>
        <v>2010.8000000000002</v>
      </c>
      <c r="G91" s="116">
        <f t="shared" ref="G91:P91" si="33">SUM(G92:G93)</f>
        <v>3511.21</v>
      </c>
      <c r="H91" s="149">
        <f t="shared" si="33"/>
        <v>174.13</v>
      </c>
      <c r="I91" s="149">
        <f t="shared" si="33"/>
        <v>173274.06</v>
      </c>
      <c r="J91" s="116">
        <f t="shared" si="33"/>
        <v>0</v>
      </c>
      <c r="K91" s="116">
        <f t="shared" si="33"/>
        <v>0</v>
      </c>
      <c r="L91" s="116">
        <f t="shared" si="33"/>
        <v>0</v>
      </c>
      <c r="M91" s="116">
        <f t="shared" si="33"/>
        <v>2010.8000000000002</v>
      </c>
      <c r="N91" s="149">
        <f t="shared" si="33"/>
        <v>0</v>
      </c>
      <c r="O91" s="149">
        <f t="shared" si="33"/>
        <v>0</v>
      </c>
      <c r="P91" s="149">
        <f t="shared" si="33"/>
        <v>173274.06</v>
      </c>
      <c r="Q91" s="136">
        <f t="shared" si="30"/>
        <v>0</v>
      </c>
    </row>
    <row r="92" spans="1:17" s="67" customFormat="1" ht="25.5" x14ac:dyDescent="0.2">
      <c r="A92" s="125" t="s">
        <v>193</v>
      </c>
      <c r="B92" s="126" t="s">
        <v>1454</v>
      </c>
      <c r="C92" s="126" t="s">
        <v>1324</v>
      </c>
      <c r="D92" s="127" t="s">
        <v>1455</v>
      </c>
      <c r="E92" s="128" t="s">
        <v>14</v>
      </c>
      <c r="F92" s="128">
        <v>1030.4000000000001</v>
      </c>
      <c r="G92" s="144">
        <v>1560.54</v>
      </c>
      <c r="H92" s="130">
        <v>51.14</v>
      </c>
      <c r="I92" s="131">
        <f t="shared" si="32"/>
        <v>52694.66</v>
      </c>
      <c r="J92" s="133">
        <v>0</v>
      </c>
      <c r="K92" s="133">
        <v>0</v>
      </c>
      <c r="L92" s="137"/>
      <c r="M92" s="137">
        <f t="shared" si="26"/>
        <v>1030.4000000000001</v>
      </c>
      <c r="N92" s="143">
        <f t="shared" si="27"/>
        <v>0</v>
      </c>
      <c r="O92" s="131">
        <f t="shared" si="28"/>
        <v>0</v>
      </c>
      <c r="P92" s="144">
        <f t="shared" si="29"/>
        <v>52694.66</v>
      </c>
      <c r="Q92" s="136">
        <f t="shared" si="30"/>
        <v>0</v>
      </c>
    </row>
    <row r="93" spans="1:17" s="67" customFormat="1" x14ac:dyDescent="0.2">
      <c r="A93" s="125" t="s">
        <v>195</v>
      </c>
      <c r="B93" s="126">
        <v>72112</v>
      </c>
      <c r="C93" s="126" t="s">
        <v>1324</v>
      </c>
      <c r="D93" s="127" t="s">
        <v>1456</v>
      </c>
      <c r="E93" s="128" t="s">
        <v>14</v>
      </c>
      <c r="F93" s="128">
        <v>980.4</v>
      </c>
      <c r="G93" s="144">
        <v>1950.67</v>
      </c>
      <c r="H93" s="130">
        <v>122.99</v>
      </c>
      <c r="I93" s="131">
        <f t="shared" si="32"/>
        <v>120579.4</v>
      </c>
      <c r="J93" s="133">
        <v>0</v>
      </c>
      <c r="K93" s="133">
        <v>0</v>
      </c>
      <c r="L93" s="137"/>
      <c r="M93" s="137">
        <f t="shared" si="26"/>
        <v>980.4</v>
      </c>
      <c r="N93" s="143">
        <f t="shared" si="27"/>
        <v>0</v>
      </c>
      <c r="O93" s="131">
        <f t="shared" si="28"/>
        <v>0</v>
      </c>
      <c r="P93" s="144">
        <f t="shared" si="29"/>
        <v>120579.4</v>
      </c>
      <c r="Q93" s="136">
        <f t="shared" si="30"/>
        <v>0</v>
      </c>
    </row>
    <row r="94" spans="1:17" s="67" customFormat="1" x14ac:dyDescent="0.2">
      <c r="A94" s="113">
        <v>8</v>
      </c>
      <c r="B94" s="114"/>
      <c r="C94" s="114"/>
      <c r="D94" s="115" t="s">
        <v>208</v>
      </c>
      <c r="E94" s="116"/>
      <c r="F94" s="116">
        <f>SUM(F95:F96)</f>
        <v>942.28</v>
      </c>
      <c r="G94" s="116">
        <f t="shared" ref="G94:P94" si="34">SUM(G95:G96)</f>
        <v>4258.9799999999996</v>
      </c>
      <c r="H94" s="116">
        <f t="shared" si="34"/>
        <v>13.49</v>
      </c>
      <c r="I94" s="116">
        <f t="shared" si="34"/>
        <v>5634.27</v>
      </c>
      <c r="J94" s="116">
        <f t="shared" si="34"/>
        <v>0</v>
      </c>
      <c r="K94" s="116">
        <f t="shared" si="34"/>
        <v>0</v>
      </c>
      <c r="L94" s="116">
        <f t="shared" si="34"/>
        <v>0</v>
      </c>
      <c r="M94" s="116">
        <f t="shared" si="34"/>
        <v>942.28</v>
      </c>
      <c r="N94" s="149">
        <f t="shared" si="34"/>
        <v>0</v>
      </c>
      <c r="O94" s="149">
        <f t="shared" si="34"/>
        <v>0</v>
      </c>
      <c r="P94" s="149">
        <f t="shared" si="34"/>
        <v>5634.27</v>
      </c>
      <c r="Q94" s="136">
        <f t="shared" si="30"/>
        <v>0</v>
      </c>
    </row>
    <row r="95" spans="1:17" s="67" customFormat="1" ht="25.5" x14ac:dyDescent="0.2">
      <c r="A95" s="125" t="s">
        <v>210</v>
      </c>
      <c r="B95" s="126" t="s">
        <v>1457</v>
      </c>
      <c r="C95" s="126" t="s">
        <v>1324</v>
      </c>
      <c r="D95" s="127" t="s">
        <v>1458</v>
      </c>
      <c r="E95" s="128" t="s">
        <v>14</v>
      </c>
      <c r="F95" s="128">
        <v>265.61</v>
      </c>
      <c r="G95" s="144">
        <v>3121.08</v>
      </c>
      <c r="H95" s="130">
        <v>8.5</v>
      </c>
      <c r="I95" s="131">
        <f t="shared" si="32"/>
        <v>2257.69</v>
      </c>
      <c r="J95" s="133">
        <v>0</v>
      </c>
      <c r="K95" s="133">
        <v>0</v>
      </c>
      <c r="L95" s="137"/>
      <c r="M95" s="137">
        <f t="shared" si="26"/>
        <v>265.61</v>
      </c>
      <c r="N95" s="143">
        <f t="shared" si="27"/>
        <v>0</v>
      </c>
      <c r="O95" s="131">
        <f t="shared" si="28"/>
        <v>0</v>
      </c>
      <c r="P95" s="144">
        <f t="shared" si="29"/>
        <v>2257.69</v>
      </c>
      <c r="Q95" s="136">
        <f t="shared" si="30"/>
        <v>0</v>
      </c>
    </row>
    <row r="96" spans="1:17" s="67" customFormat="1" ht="25.5" x14ac:dyDescent="0.2">
      <c r="A96" s="125" t="s">
        <v>213</v>
      </c>
      <c r="B96" s="126">
        <v>68053</v>
      </c>
      <c r="C96" s="126" t="s">
        <v>1324</v>
      </c>
      <c r="D96" s="127" t="s">
        <v>1459</v>
      </c>
      <c r="E96" s="128" t="s">
        <v>14</v>
      </c>
      <c r="F96" s="128">
        <v>676.67</v>
      </c>
      <c r="G96" s="144">
        <v>1137.9000000000001</v>
      </c>
      <c r="H96" s="130">
        <v>4.99</v>
      </c>
      <c r="I96" s="131">
        <f t="shared" si="32"/>
        <v>3376.58</v>
      </c>
      <c r="J96" s="133">
        <v>0</v>
      </c>
      <c r="K96" s="133">
        <v>0</v>
      </c>
      <c r="L96" s="137"/>
      <c r="M96" s="137">
        <f t="shared" si="26"/>
        <v>676.67</v>
      </c>
      <c r="N96" s="143">
        <f t="shared" si="27"/>
        <v>0</v>
      </c>
      <c r="O96" s="131">
        <f t="shared" si="28"/>
        <v>0</v>
      </c>
      <c r="P96" s="144">
        <f t="shared" si="29"/>
        <v>3376.58</v>
      </c>
      <c r="Q96" s="136">
        <f t="shared" si="30"/>
        <v>0</v>
      </c>
    </row>
    <row r="97" spans="1:17" s="124" customFormat="1" x14ac:dyDescent="0.2">
      <c r="A97" s="113">
        <v>9</v>
      </c>
      <c r="B97" s="114"/>
      <c r="C97" s="114"/>
      <c r="D97" s="115" t="s">
        <v>1460</v>
      </c>
      <c r="E97" s="116"/>
      <c r="F97" s="116">
        <f>SUM(F98:F107)</f>
        <v>2877.72</v>
      </c>
      <c r="G97" s="116">
        <f t="shared" ref="G97:P97" si="35">SUM(G98:G107)</f>
        <v>2138.5499999999997</v>
      </c>
      <c r="H97" s="116">
        <f t="shared" si="35"/>
        <v>203.52999999999997</v>
      </c>
      <c r="I97" s="116">
        <f t="shared" si="35"/>
        <v>51794.2</v>
      </c>
      <c r="J97" s="150">
        <f t="shared" si="35"/>
        <v>803.09</v>
      </c>
      <c r="K97" s="116">
        <f t="shared" si="35"/>
        <v>803.09</v>
      </c>
      <c r="L97" s="116">
        <f t="shared" si="35"/>
        <v>0</v>
      </c>
      <c r="M97" s="116">
        <f t="shared" si="35"/>
        <v>2074.6299999999997</v>
      </c>
      <c r="N97" s="149">
        <f t="shared" si="35"/>
        <v>4906.8799000000008</v>
      </c>
      <c r="O97" s="149">
        <f t="shared" si="35"/>
        <v>4906.8799000000008</v>
      </c>
      <c r="P97" s="149">
        <f t="shared" si="35"/>
        <v>46887.320100000004</v>
      </c>
      <c r="Q97" s="123">
        <f t="shared" si="30"/>
        <v>9.4738018928760381E-2</v>
      </c>
    </row>
    <row r="98" spans="1:17" s="67" customFormat="1" x14ac:dyDescent="0.2">
      <c r="A98" s="125" t="s">
        <v>223</v>
      </c>
      <c r="B98" s="126">
        <v>87905</v>
      </c>
      <c r="C98" s="126" t="s">
        <v>1324</v>
      </c>
      <c r="D98" s="127" t="s">
        <v>1461</v>
      </c>
      <c r="E98" s="128" t="s">
        <v>14</v>
      </c>
      <c r="F98" s="128">
        <v>803.09</v>
      </c>
      <c r="G98" s="137">
        <v>582.46</v>
      </c>
      <c r="H98" s="130">
        <v>6.11</v>
      </c>
      <c r="I98" s="131">
        <f t="shared" si="32"/>
        <v>4906.88</v>
      </c>
      <c r="J98" s="166">
        <v>803.09</v>
      </c>
      <c r="K98" s="133">
        <f>J98</f>
        <v>803.09</v>
      </c>
      <c r="L98" s="137"/>
      <c r="M98" s="137">
        <f t="shared" si="26"/>
        <v>0</v>
      </c>
      <c r="N98" s="131">
        <f t="shared" si="27"/>
        <v>4906.8799000000008</v>
      </c>
      <c r="O98" s="131">
        <f t="shared" si="28"/>
        <v>4906.8799000000008</v>
      </c>
      <c r="P98" s="171">
        <f t="shared" si="29"/>
        <v>9.999999929277692E-5</v>
      </c>
      <c r="Q98" s="136">
        <f t="shared" si="30"/>
        <v>0.9999999796204514</v>
      </c>
    </row>
    <row r="99" spans="1:17" s="67" customFormat="1" x14ac:dyDescent="0.2">
      <c r="A99" s="125" t="s">
        <v>239</v>
      </c>
      <c r="B99" s="126">
        <v>87882</v>
      </c>
      <c r="C99" s="126" t="s">
        <v>1324</v>
      </c>
      <c r="D99" s="127" t="s">
        <v>1462</v>
      </c>
      <c r="E99" s="128" t="s">
        <v>14</v>
      </c>
      <c r="F99" s="128">
        <v>84.33</v>
      </c>
      <c r="G99" s="129"/>
      <c r="H99" s="130">
        <v>4.03</v>
      </c>
      <c r="I99" s="131">
        <f t="shared" si="32"/>
        <v>339.85</v>
      </c>
      <c r="J99" s="133">
        <v>0</v>
      </c>
      <c r="K99" s="133">
        <v>0</v>
      </c>
      <c r="L99" s="129"/>
      <c r="M99" s="137">
        <f t="shared" si="26"/>
        <v>84.33</v>
      </c>
      <c r="N99" s="131">
        <f t="shared" si="27"/>
        <v>0</v>
      </c>
      <c r="O99" s="131">
        <f t="shared" si="28"/>
        <v>0</v>
      </c>
      <c r="P99" s="171">
        <f t="shared" si="29"/>
        <v>339.85</v>
      </c>
      <c r="Q99" s="136">
        <f t="shared" si="30"/>
        <v>0</v>
      </c>
    </row>
    <row r="100" spans="1:17" s="67" customFormat="1" ht="25.5" x14ac:dyDescent="0.2">
      <c r="A100" s="125" t="s">
        <v>1463</v>
      </c>
      <c r="B100" s="126">
        <v>87531</v>
      </c>
      <c r="C100" s="126" t="s">
        <v>1324</v>
      </c>
      <c r="D100" s="127" t="s">
        <v>1464</v>
      </c>
      <c r="E100" s="128" t="s">
        <v>14</v>
      </c>
      <c r="F100" s="128">
        <v>743.93</v>
      </c>
      <c r="G100" s="137">
        <v>180.11</v>
      </c>
      <c r="H100" s="130">
        <v>26.27</v>
      </c>
      <c r="I100" s="131">
        <f t="shared" si="32"/>
        <v>19543.04</v>
      </c>
      <c r="J100" s="133">
        <v>0</v>
      </c>
      <c r="K100" s="133">
        <v>0</v>
      </c>
      <c r="L100" s="137"/>
      <c r="M100" s="137">
        <f t="shared" si="26"/>
        <v>743.93</v>
      </c>
      <c r="N100" s="131">
        <f t="shared" si="27"/>
        <v>0</v>
      </c>
      <c r="O100" s="131">
        <f t="shared" si="28"/>
        <v>0</v>
      </c>
      <c r="P100" s="171">
        <f t="shared" si="29"/>
        <v>19543.04</v>
      </c>
      <c r="Q100" s="136">
        <f t="shared" si="30"/>
        <v>0</v>
      </c>
    </row>
    <row r="101" spans="1:17" s="67" customFormat="1" x14ac:dyDescent="0.2">
      <c r="A101" s="125" t="s">
        <v>1465</v>
      </c>
      <c r="B101" s="126" t="s">
        <v>1466</v>
      </c>
      <c r="C101" s="126" t="s">
        <v>1324</v>
      </c>
      <c r="D101" s="127" t="s">
        <v>1467</v>
      </c>
      <c r="E101" s="128" t="s">
        <v>14</v>
      </c>
      <c r="F101" s="128">
        <v>445.04</v>
      </c>
      <c r="G101" s="137">
        <v>327.47000000000003</v>
      </c>
      <c r="H101" s="130">
        <v>12.12</v>
      </c>
      <c r="I101" s="131">
        <f t="shared" si="32"/>
        <v>5393.88</v>
      </c>
      <c r="J101" s="133">
        <v>0</v>
      </c>
      <c r="K101" s="133">
        <v>0</v>
      </c>
      <c r="L101" s="137"/>
      <c r="M101" s="137">
        <f t="shared" si="26"/>
        <v>445.04</v>
      </c>
      <c r="N101" s="131">
        <f t="shared" si="27"/>
        <v>0</v>
      </c>
      <c r="O101" s="131">
        <f t="shared" si="28"/>
        <v>0</v>
      </c>
      <c r="P101" s="171">
        <f t="shared" si="29"/>
        <v>5393.88</v>
      </c>
      <c r="Q101" s="136">
        <f t="shared" si="30"/>
        <v>0</v>
      </c>
    </row>
    <row r="102" spans="1:17" s="67" customFormat="1" x14ac:dyDescent="0.2">
      <c r="A102" s="125" t="s">
        <v>1468</v>
      </c>
      <c r="B102" s="126" t="s">
        <v>1466</v>
      </c>
      <c r="C102" s="126" t="s">
        <v>1324</v>
      </c>
      <c r="D102" s="127" t="s">
        <v>1469</v>
      </c>
      <c r="E102" s="128" t="s">
        <v>14</v>
      </c>
      <c r="F102" s="128">
        <v>84.33</v>
      </c>
      <c r="G102" s="137">
        <v>381.87</v>
      </c>
      <c r="H102" s="130">
        <v>14.08</v>
      </c>
      <c r="I102" s="131">
        <f t="shared" si="32"/>
        <v>1187.3699999999999</v>
      </c>
      <c r="J102" s="133">
        <v>0</v>
      </c>
      <c r="K102" s="133">
        <v>0</v>
      </c>
      <c r="L102" s="137"/>
      <c r="M102" s="137">
        <f t="shared" si="26"/>
        <v>84.33</v>
      </c>
      <c r="N102" s="131">
        <f t="shared" si="27"/>
        <v>0</v>
      </c>
      <c r="O102" s="131">
        <f t="shared" si="28"/>
        <v>0</v>
      </c>
      <c r="P102" s="171">
        <f t="shared" si="29"/>
        <v>1187.3699999999999</v>
      </c>
      <c r="Q102" s="136">
        <f t="shared" si="30"/>
        <v>0</v>
      </c>
    </row>
    <row r="103" spans="1:17" s="67" customFormat="1" x14ac:dyDescent="0.2">
      <c r="A103" s="125" t="s">
        <v>1470</v>
      </c>
      <c r="B103" s="126">
        <v>87905</v>
      </c>
      <c r="C103" s="126" t="s">
        <v>1324</v>
      </c>
      <c r="D103" s="127" t="s">
        <v>1471</v>
      </c>
      <c r="E103" s="128" t="s">
        <v>14</v>
      </c>
      <c r="F103" s="128">
        <v>140.33000000000001</v>
      </c>
      <c r="G103" s="138"/>
      <c r="H103" s="130">
        <v>6.11</v>
      </c>
      <c r="I103" s="131">
        <f t="shared" si="32"/>
        <v>857.42</v>
      </c>
      <c r="J103" s="133">
        <v>0</v>
      </c>
      <c r="K103" s="133">
        <v>0</v>
      </c>
      <c r="L103" s="138"/>
      <c r="M103" s="137">
        <f t="shared" si="26"/>
        <v>140.33000000000001</v>
      </c>
      <c r="N103" s="131">
        <f t="shared" si="27"/>
        <v>0</v>
      </c>
      <c r="O103" s="131">
        <f t="shared" si="28"/>
        <v>0</v>
      </c>
      <c r="P103" s="171">
        <f t="shared" si="29"/>
        <v>857.42</v>
      </c>
      <c r="Q103" s="136">
        <f t="shared" si="30"/>
        <v>0</v>
      </c>
    </row>
    <row r="104" spans="1:17" s="67" customFormat="1" ht="25.5" x14ac:dyDescent="0.2">
      <c r="A104" s="125" t="s">
        <v>1472</v>
      </c>
      <c r="B104" s="126">
        <v>87531</v>
      </c>
      <c r="C104" s="126" t="s">
        <v>1324</v>
      </c>
      <c r="D104" s="127" t="s">
        <v>1473</v>
      </c>
      <c r="E104" s="128" t="s">
        <v>14</v>
      </c>
      <c r="F104" s="128">
        <v>140.33000000000001</v>
      </c>
      <c r="G104" s="138"/>
      <c r="H104" s="130">
        <v>26.27</v>
      </c>
      <c r="I104" s="131">
        <f t="shared" si="32"/>
        <v>3686.47</v>
      </c>
      <c r="J104" s="133">
        <v>0</v>
      </c>
      <c r="K104" s="133">
        <v>0</v>
      </c>
      <c r="L104" s="138"/>
      <c r="M104" s="137">
        <f t="shared" si="26"/>
        <v>140.33000000000001</v>
      </c>
      <c r="N104" s="131">
        <f t="shared" si="27"/>
        <v>0</v>
      </c>
      <c r="O104" s="131">
        <f t="shared" si="28"/>
        <v>0</v>
      </c>
      <c r="P104" s="171">
        <f t="shared" si="29"/>
        <v>3686.47</v>
      </c>
      <c r="Q104" s="136">
        <f t="shared" si="30"/>
        <v>0</v>
      </c>
    </row>
    <row r="105" spans="1:17" s="67" customFormat="1" ht="25.5" x14ac:dyDescent="0.2">
      <c r="A105" s="125" t="s">
        <v>1474</v>
      </c>
      <c r="B105" s="126" t="s">
        <v>1466</v>
      </c>
      <c r="C105" s="126" t="s">
        <v>1324</v>
      </c>
      <c r="D105" s="127" t="s">
        <v>1475</v>
      </c>
      <c r="E105" s="128" t="s">
        <v>14</v>
      </c>
      <c r="F105" s="128">
        <v>140.33000000000001</v>
      </c>
      <c r="G105" s="138"/>
      <c r="H105" s="130">
        <v>16.23</v>
      </c>
      <c r="I105" s="131">
        <f t="shared" si="32"/>
        <v>2277.56</v>
      </c>
      <c r="J105" s="133">
        <v>0</v>
      </c>
      <c r="K105" s="133">
        <v>0</v>
      </c>
      <c r="L105" s="138"/>
      <c r="M105" s="137">
        <f t="shared" si="26"/>
        <v>140.33000000000001</v>
      </c>
      <c r="N105" s="131">
        <f t="shared" si="27"/>
        <v>0</v>
      </c>
      <c r="O105" s="131">
        <f t="shared" si="28"/>
        <v>0</v>
      </c>
      <c r="P105" s="171">
        <f t="shared" si="29"/>
        <v>2277.56</v>
      </c>
      <c r="Q105" s="136">
        <f t="shared" si="30"/>
        <v>0</v>
      </c>
    </row>
    <row r="106" spans="1:17" s="67" customFormat="1" ht="25.5" x14ac:dyDescent="0.2">
      <c r="A106" s="125" t="s">
        <v>1476</v>
      </c>
      <c r="B106" s="126">
        <v>87272</v>
      </c>
      <c r="C106" s="126" t="s">
        <v>1324</v>
      </c>
      <c r="D106" s="127" t="s">
        <v>1477</v>
      </c>
      <c r="E106" s="128" t="s">
        <v>14</v>
      </c>
      <c r="F106" s="128">
        <v>210.5</v>
      </c>
      <c r="G106" s="137">
        <v>319.5</v>
      </c>
      <c r="H106" s="130">
        <v>45.67</v>
      </c>
      <c r="I106" s="131">
        <f t="shared" si="32"/>
        <v>9613.5400000000009</v>
      </c>
      <c r="J106" s="133">
        <v>0</v>
      </c>
      <c r="K106" s="133">
        <v>0</v>
      </c>
      <c r="L106" s="137"/>
      <c r="M106" s="137">
        <f t="shared" si="26"/>
        <v>210.5</v>
      </c>
      <c r="N106" s="131">
        <f t="shared" si="27"/>
        <v>0</v>
      </c>
      <c r="O106" s="131">
        <f t="shared" si="28"/>
        <v>0</v>
      </c>
      <c r="P106" s="171">
        <f t="shared" si="29"/>
        <v>9613.5400000000009</v>
      </c>
      <c r="Q106" s="136">
        <f t="shared" si="30"/>
        <v>0</v>
      </c>
    </row>
    <row r="107" spans="1:17" s="67" customFormat="1" ht="25.5" x14ac:dyDescent="0.2">
      <c r="A107" s="125" t="s">
        <v>1478</v>
      </c>
      <c r="B107" s="126">
        <v>87267</v>
      </c>
      <c r="C107" s="126" t="s">
        <v>1324</v>
      </c>
      <c r="D107" s="127" t="s">
        <v>1479</v>
      </c>
      <c r="E107" s="128" t="s">
        <v>14</v>
      </c>
      <c r="F107" s="128">
        <v>85.51</v>
      </c>
      <c r="G107" s="137">
        <v>347.14</v>
      </c>
      <c r="H107" s="130">
        <v>46.64</v>
      </c>
      <c r="I107" s="131">
        <f t="shared" si="32"/>
        <v>3988.19</v>
      </c>
      <c r="J107" s="133">
        <v>0</v>
      </c>
      <c r="K107" s="133">
        <v>0</v>
      </c>
      <c r="L107" s="137"/>
      <c r="M107" s="137">
        <f t="shared" si="26"/>
        <v>85.51</v>
      </c>
      <c r="N107" s="131">
        <f t="shared" si="27"/>
        <v>0</v>
      </c>
      <c r="O107" s="131">
        <f t="shared" si="28"/>
        <v>0</v>
      </c>
      <c r="P107" s="171">
        <f t="shared" si="29"/>
        <v>3988.19</v>
      </c>
      <c r="Q107" s="136">
        <f t="shared" si="30"/>
        <v>0</v>
      </c>
    </row>
    <row r="108" spans="1:17" s="67" customFormat="1" x14ac:dyDescent="0.2">
      <c r="A108" s="113">
        <v>10</v>
      </c>
      <c r="B108" s="114"/>
      <c r="C108" s="114"/>
      <c r="D108" s="115" t="s">
        <v>1480</v>
      </c>
      <c r="E108" s="116"/>
      <c r="F108" s="116">
        <f>SUM(F109,F114)</f>
        <v>876.80000000000007</v>
      </c>
      <c r="G108" s="116">
        <f t="shared" ref="G108:O108" si="36">SUM(G109,G114)</f>
        <v>756.31</v>
      </c>
      <c r="H108" s="116">
        <f t="shared" si="36"/>
        <v>255.25</v>
      </c>
      <c r="I108" s="116">
        <f>SUM(I109,I115)</f>
        <v>60566.091099999991</v>
      </c>
      <c r="J108" s="133">
        <v>0</v>
      </c>
      <c r="K108" s="133">
        <v>0</v>
      </c>
      <c r="L108" s="116">
        <f t="shared" si="36"/>
        <v>0</v>
      </c>
      <c r="M108" s="116">
        <f t="shared" si="36"/>
        <v>876.80000000000007</v>
      </c>
      <c r="N108" s="116">
        <f t="shared" si="36"/>
        <v>0</v>
      </c>
      <c r="O108" s="116">
        <f t="shared" si="36"/>
        <v>0</v>
      </c>
      <c r="P108" s="116">
        <f>SUM(P109,P115)</f>
        <v>60566.091099999991</v>
      </c>
      <c r="Q108" s="123">
        <f>O108/I108</f>
        <v>0</v>
      </c>
    </row>
    <row r="109" spans="1:17" s="124" customFormat="1" x14ac:dyDescent="0.2">
      <c r="A109" s="113" t="s">
        <v>254</v>
      </c>
      <c r="B109" s="114"/>
      <c r="C109" s="114"/>
      <c r="D109" s="115" t="s">
        <v>1481</v>
      </c>
      <c r="E109" s="116"/>
      <c r="F109" s="116">
        <f>SUM(F110:F114)</f>
        <v>874.1</v>
      </c>
      <c r="G109" s="116">
        <f t="shared" ref="G109:O109" si="37">SUM(G110:G114)</f>
        <v>713.53</v>
      </c>
      <c r="H109" s="116">
        <f t="shared" si="37"/>
        <v>209.76</v>
      </c>
      <c r="I109" s="116">
        <f>SUM(I110:I114)+0.01</f>
        <v>54520.321099999994</v>
      </c>
      <c r="J109" s="133">
        <v>0</v>
      </c>
      <c r="K109" s="133">
        <v>0</v>
      </c>
      <c r="L109" s="116">
        <f t="shared" si="37"/>
        <v>0</v>
      </c>
      <c r="M109" s="116">
        <f t="shared" si="37"/>
        <v>874.1</v>
      </c>
      <c r="N109" s="116">
        <f t="shared" si="37"/>
        <v>0</v>
      </c>
      <c r="O109" s="116">
        <f t="shared" si="37"/>
        <v>0</v>
      </c>
      <c r="P109" s="116">
        <f>SUM(P110:P114)+0.01</f>
        <v>54520.321099999994</v>
      </c>
      <c r="Q109" s="123">
        <f>O109/I109</f>
        <v>0</v>
      </c>
    </row>
    <row r="110" spans="1:17" s="67" customFormat="1" x14ac:dyDescent="0.2">
      <c r="A110" s="125" t="s">
        <v>1482</v>
      </c>
      <c r="B110" s="126"/>
      <c r="C110" s="126" t="s">
        <v>1339</v>
      </c>
      <c r="D110" s="127" t="s">
        <v>1483</v>
      </c>
      <c r="E110" s="128" t="s">
        <v>14</v>
      </c>
      <c r="F110" s="128">
        <v>64.91</v>
      </c>
      <c r="G110" s="137">
        <v>52.1</v>
      </c>
      <c r="H110" s="130">
        <v>30.94</v>
      </c>
      <c r="I110" s="131">
        <f>F110*H110</f>
        <v>2008.3154</v>
      </c>
      <c r="J110" s="133">
        <v>0</v>
      </c>
      <c r="K110" s="133">
        <v>0</v>
      </c>
      <c r="L110" s="144"/>
      <c r="M110" s="137">
        <f>F110-K110</f>
        <v>64.91</v>
      </c>
      <c r="N110" s="143">
        <f>J110*H110</f>
        <v>0</v>
      </c>
      <c r="O110" s="131">
        <f>K110*H110</f>
        <v>0</v>
      </c>
      <c r="P110" s="144">
        <f>I110-O110</f>
        <v>2008.3154</v>
      </c>
      <c r="Q110" s="136">
        <f t="shared" ref="Q110:Q117" si="38">O110/I110</f>
        <v>0</v>
      </c>
    </row>
    <row r="111" spans="1:17" s="67" customFormat="1" x14ac:dyDescent="0.2">
      <c r="A111" s="125" t="s">
        <v>1484</v>
      </c>
      <c r="B111" s="126">
        <v>87630</v>
      </c>
      <c r="C111" s="126" t="s">
        <v>1324</v>
      </c>
      <c r="D111" s="127" t="s">
        <v>1485</v>
      </c>
      <c r="E111" s="128" t="s">
        <v>14</v>
      </c>
      <c r="F111" s="128">
        <v>64.91</v>
      </c>
      <c r="G111" s="137">
        <v>15.24</v>
      </c>
      <c r="H111" s="130">
        <v>30.71</v>
      </c>
      <c r="I111" s="131">
        <f>F111*H111</f>
        <v>1993.3860999999999</v>
      </c>
      <c r="J111" s="133">
        <v>0</v>
      </c>
      <c r="K111" s="133">
        <v>0</v>
      </c>
      <c r="L111" s="144"/>
      <c r="M111" s="137">
        <f>F111-K111</f>
        <v>64.91</v>
      </c>
      <c r="N111" s="143">
        <f>J111*H111</f>
        <v>0</v>
      </c>
      <c r="O111" s="131">
        <f>K111*H111</f>
        <v>0</v>
      </c>
      <c r="P111" s="144">
        <f>I111-O111</f>
        <v>1993.3860999999999</v>
      </c>
      <c r="Q111" s="136">
        <f t="shared" si="38"/>
        <v>0</v>
      </c>
    </row>
    <row r="112" spans="1:17" s="67" customFormat="1" ht="25.5" x14ac:dyDescent="0.2">
      <c r="A112" s="125" t="s">
        <v>1486</v>
      </c>
      <c r="B112" s="126">
        <v>72136</v>
      </c>
      <c r="C112" s="126" t="s">
        <v>1324</v>
      </c>
      <c r="D112" s="127" t="s">
        <v>1487</v>
      </c>
      <c r="E112" s="128" t="s">
        <v>14</v>
      </c>
      <c r="F112" s="128">
        <v>676.67</v>
      </c>
      <c r="G112" s="137">
        <v>584.54999999999995</v>
      </c>
      <c r="H112" s="130">
        <v>71.489999999999995</v>
      </c>
      <c r="I112" s="131">
        <f>F112*H112</f>
        <v>48375.138299999991</v>
      </c>
      <c r="J112" s="133">
        <v>0</v>
      </c>
      <c r="K112" s="133">
        <v>0</v>
      </c>
      <c r="L112" s="137"/>
      <c r="M112" s="137">
        <f>F112-K112</f>
        <v>676.67</v>
      </c>
      <c r="N112" s="143">
        <f>J112*H112</f>
        <v>0</v>
      </c>
      <c r="O112" s="131">
        <f>K112*H112</f>
        <v>0</v>
      </c>
      <c r="P112" s="144">
        <f>I112-O112</f>
        <v>48375.138299999991</v>
      </c>
      <c r="Q112" s="136">
        <f t="shared" si="38"/>
        <v>0</v>
      </c>
    </row>
    <row r="113" spans="1:17" s="67" customFormat="1" ht="25.5" x14ac:dyDescent="0.2">
      <c r="A113" s="125" t="s">
        <v>1488</v>
      </c>
      <c r="B113" s="126">
        <v>87251</v>
      </c>
      <c r="C113" s="126" t="s">
        <v>1324</v>
      </c>
      <c r="D113" s="127" t="s">
        <v>1489</v>
      </c>
      <c r="E113" s="128" t="s">
        <v>14</v>
      </c>
      <c r="F113" s="128">
        <v>64.91</v>
      </c>
      <c r="G113" s="137">
        <v>18.86</v>
      </c>
      <c r="H113" s="130">
        <v>31.13</v>
      </c>
      <c r="I113" s="131">
        <f>F113*H113</f>
        <v>2020.6482999999998</v>
      </c>
      <c r="J113" s="133">
        <v>0</v>
      </c>
      <c r="K113" s="133">
        <v>0</v>
      </c>
      <c r="L113" s="137"/>
      <c r="M113" s="137">
        <f>F113-K113</f>
        <v>64.91</v>
      </c>
      <c r="N113" s="143">
        <f>J113*H113</f>
        <v>0</v>
      </c>
      <c r="O113" s="131">
        <f>K113*H113</f>
        <v>0</v>
      </c>
      <c r="P113" s="144">
        <f>I113-O113</f>
        <v>2020.6482999999998</v>
      </c>
      <c r="Q113" s="136">
        <f t="shared" si="38"/>
        <v>0</v>
      </c>
    </row>
    <row r="114" spans="1:17" s="67" customFormat="1" x14ac:dyDescent="0.2">
      <c r="A114" s="125" t="s">
        <v>1490</v>
      </c>
      <c r="B114" s="126"/>
      <c r="C114" s="126" t="s">
        <v>1339</v>
      </c>
      <c r="D114" s="127" t="s">
        <v>1491</v>
      </c>
      <c r="E114" s="128" t="s">
        <v>81</v>
      </c>
      <c r="F114" s="128">
        <v>2.7</v>
      </c>
      <c r="G114" s="137">
        <v>42.78</v>
      </c>
      <c r="H114" s="130">
        <v>45.49</v>
      </c>
      <c r="I114" s="131">
        <f>F114*H114</f>
        <v>122.82300000000001</v>
      </c>
      <c r="J114" s="133">
        <v>0</v>
      </c>
      <c r="K114" s="133">
        <v>0</v>
      </c>
      <c r="L114" s="137"/>
      <c r="M114" s="137">
        <f>F114-K114</f>
        <v>2.7</v>
      </c>
      <c r="N114" s="143">
        <f>J114*H114</f>
        <v>0</v>
      </c>
      <c r="O114" s="131">
        <f>K114*H114</f>
        <v>0</v>
      </c>
      <c r="P114" s="144">
        <f>I114-O114</f>
        <v>122.82300000000001</v>
      </c>
      <c r="Q114" s="136">
        <f t="shared" si="38"/>
        <v>0</v>
      </c>
    </row>
    <row r="115" spans="1:17" s="124" customFormat="1" x14ac:dyDescent="0.2">
      <c r="A115" s="113" t="s">
        <v>256</v>
      </c>
      <c r="B115" s="114"/>
      <c r="C115" s="114"/>
      <c r="D115" s="115" t="s">
        <v>1256</v>
      </c>
      <c r="E115" s="116"/>
      <c r="F115" s="116">
        <f>SUM(F116:F118)</f>
        <v>17.46</v>
      </c>
      <c r="G115" s="116">
        <f>SUM(G116:G118)</f>
        <v>7.73</v>
      </c>
      <c r="H115" s="116">
        <f>SUM(H116:H118)</f>
        <v>871.07</v>
      </c>
      <c r="I115" s="116">
        <f>SUM(I116:I118)</f>
        <v>6045.77</v>
      </c>
      <c r="J115" s="133">
        <v>0</v>
      </c>
      <c r="K115" s="133">
        <v>0</v>
      </c>
      <c r="L115" s="116">
        <f>SUM(L116:L118)</f>
        <v>0</v>
      </c>
      <c r="M115" s="116">
        <f>SUM(M116:M118)</f>
        <v>17.46</v>
      </c>
      <c r="N115" s="116">
        <f>SUM(N116:N118)</f>
        <v>0</v>
      </c>
      <c r="O115" s="149">
        <f>SUM(O116:O118)</f>
        <v>0</v>
      </c>
      <c r="P115" s="116">
        <f>SUM(P116:P118)</f>
        <v>6045.77</v>
      </c>
      <c r="Q115" s="123">
        <f t="shared" si="38"/>
        <v>0</v>
      </c>
    </row>
    <row r="116" spans="1:17" s="67" customFormat="1" x14ac:dyDescent="0.2">
      <c r="A116" s="125" t="s">
        <v>1492</v>
      </c>
      <c r="B116" s="126">
        <v>85181</v>
      </c>
      <c r="C116" s="126" t="s">
        <v>1324</v>
      </c>
      <c r="D116" s="127" t="s">
        <v>1493</v>
      </c>
      <c r="E116" s="128" t="s">
        <v>14</v>
      </c>
      <c r="F116" s="128">
        <v>9.7899999999999991</v>
      </c>
      <c r="G116" s="172"/>
      <c r="H116" s="130">
        <v>523.70000000000005</v>
      </c>
      <c r="I116" s="131">
        <f>ROUND(F116*H116,2)</f>
        <v>5127.0200000000004</v>
      </c>
      <c r="J116" s="133">
        <v>0</v>
      </c>
      <c r="K116" s="133">
        <v>0</v>
      </c>
      <c r="L116" s="172"/>
      <c r="M116" s="137">
        <f>F116-K116</f>
        <v>9.7899999999999991</v>
      </c>
      <c r="N116" s="128">
        <f>0</f>
        <v>0</v>
      </c>
      <c r="O116" s="128">
        <f>0</f>
        <v>0</v>
      </c>
      <c r="P116" s="144">
        <f>I116-O116</f>
        <v>5127.0200000000004</v>
      </c>
      <c r="Q116" s="136">
        <f t="shared" si="38"/>
        <v>0</v>
      </c>
    </row>
    <row r="117" spans="1:17" s="67" customFormat="1" x14ac:dyDescent="0.2">
      <c r="A117" s="125" t="s">
        <v>1494</v>
      </c>
      <c r="B117" s="126">
        <v>5652</v>
      </c>
      <c r="C117" s="126" t="s">
        <v>1324</v>
      </c>
      <c r="D117" s="127" t="s">
        <v>1495</v>
      </c>
      <c r="E117" s="128" t="s">
        <v>48</v>
      </c>
      <c r="F117" s="128">
        <v>1.82</v>
      </c>
      <c r="G117" s="172"/>
      <c r="H117" s="130">
        <v>276.27</v>
      </c>
      <c r="I117" s="131">
        <f>ROUND(F117*H117,2)</f>
        <v>502.81</v>
      </c>
      <c r="J117" s="133">
        <v>0</v>
      </c>
      <c r="K117" s="133">
        <v>0</v>
      </c>
      <c r="L117" s="172"/>
      <c r="M117" s="137">
        <f>F117-K117</f>
        <v>1.82</v>
      </c>
      <c r="N117" s="128">
        <f>0</f>
        <v>0</v>
      </c>
      <c r="O117" s="128">
        <f>0</f>
        <v>0</v>
      </c>
      <c r="P117" s="144">
        <f>I117-O117</f>
        <v>502.81</v>
      </c>
      <c r="Q117" s="136">
        <f t="shared" si="38"/>
        <v>0</v>
      </c>
    </row>
    <row r="118" spans="1:17" s="67" customFormat="1" ht="25.5" x14ac:dyDescent="0.2">
      <c r="A118" s="125" t="s">
        <v>1496</v>
      </c>
      <c r="B118" s="126"/>
      <c r="C118" s="126" t="s">
        <v>1339</v>
      </c>
      <c r="D118" s="127" t="s">
        <v>1497</v>
      </c>
      <c r="E118" s="128" t="s">
        <v>14</v>
      </c>
      <c r="F118" s="128">
        <v>5.85</v>
      </c>
      <c r="G118" s="137">
        <v>7.73</v>
      </c>
      <c r="H118" s="130">
        <v>71.099999999999994</v>
      </c>
      <c r="I118" s="131">
        <f>ROUND(F118*H118,2)</f>
        <v>415.94</v>
      </c>
      <c r="J118" s="133">
        <v>0</v>
      </c>
      <c r="K118" s="133">
        <v>0</v>
      </c>
      <c r="L118" s="137"/>
      <c r="M118" s="137">
        <f>F118-K118</f>
        <v>5.85</v>
      </c>
      <c r="N118" s="128">
        <f>0</f>
        <v>0</v>
      </c>
      <c r="O118" s="128">
        <f>0</f>
        <v>0</v>
      </c>
      <c r="P118" s="144">
        <f>I118-O118</f>
        <v>415.94</v>
      </c>
      <c r="Q118" s="136">
        <f>O118/I118</f>
        <v>0</v>
      </c>
    </row>
    <row r="119" spans="1:17" s="124" customFormat="1" x14ac:dyDescent="0.2">
      <c r="A119" s="113">
        <v>11</v>
      </c>
      <c r="B119" s="114"/>
      <c r="C119" s="114"/>
      <c r="D119" s="115" t="s">
        <v>1498</v>
      </c>
      <c r="E119" s="116"/>
      <c r="F119" s="116">
        <f>SUM(F120:F127)</f>
        <v>3783.1800000000003</v>
      </c>
      <c r="G119" s="116">
        <f t="shared" ref="G119:P119" si="39">SUM(G120:G127)</f>
        <v>87.55</v>
      </c>
      <c r="H119" s="149">
        <f t="shared" si="39"/>
        <v>120.39</v>
      </c>
      <c r="I119" s="149">
        <f t="shared" si="39"/>
        <v>62088.5</v>
      </c>
      <c r="J119" s="116">
        <f t="shared" si="39"/>
        <v>0</v>
      </c>
      <c r="K119" s="116">
        <f t="shared" si="39"/>
        <v>0</v>
      </c>
      <c r="L119" s="116">
        <f t="shared" si="39"/>
        <v>0</v>
      </c>
      <c r="M119" s="116">
        <f t="shared" si="39"/>
        <v>3783.1800000000003</v>
      </c>
      <c r="N119" s="149">
        <f t="shared" si="39"/>
        <v>0</v>
      </c>
      <c r="O119" s="149">
        <f t="shared" si="39"/>
        <v>0</v>
      </c>
      <c r="P119" s="149">
        <f t="shared" si="39"/>
        <v>62088.5</v>
      </c>
      <c r="Q119" s="123">
        <f>O119/I119</f>
        <v>0</v>
      </c>
    </row>
    <row r="120" spans="1:17" s="67" customFormat="1" ht="25.5" x14ac:dyDescent="0.2">
      <c r="A120" s="125" t="s">
        <v>274</v>
      </c>
      <c r="B120" s="126"/>
      <c r="C120" s="126" t="s">
        <v>1339</v>
      </c>
      <c r="D120" s="127" t="s">
        <v>1499</v>
      </c>
      <c r="E120" s="128" t="s">
        <v>14</v>
      </c>
      <c r="F120" s="128">
        <v>529.37</v>
      </c>
      <c r="G120" s="137">
        <v>14.07</v>
      </c>
      <c r="H120" s="130">
        <v>7.03</v>
      </c>
      <c r="I120" s="131">
        <f>ROUND(F120*H120,2)</f>
        <v>3721.47</v>
      </c>
      <c r="J120" s="133">
        <v>0</v>
      </c>
      <c r="K120" s="133">
        <v>0</v>
      </c>
      <c r="L120" s="137"/>
      <c r="M120" s="137">
        <f>F120-K120</f>
        <v>529.37</v>
      </c>
      <c r="N120" s="143">
        <f>J120*H120</f>
        <v>0</v>
      </c>
      <c r="O120" s="131">
        <f>K120*H120</f>
        <v>0</v>
      </c>
      <c r="P120" s="144">
        <f>I120-O120</f>
        <v>3721.47</v>
      </c>
      <c r="Q120" s="136">
        <f>O120/I120</f>
        <v>0</v>
      </c>
    </row>
    <row r="121" spans="1:17" s="67" customFormat="1" x14ac:dyDescent="0.2">
      <c r="A121" s="125" t="s">
        <v>276</v>
      </c>
      <c r="B121" s="126">
        <v>88489</v>
      </c>
      <c r="C121" s="126" t="s">
        <v>1324</v>
      </c>
      <c r="D121" s="127" t="s">
        <v>1500</v>
      </c>
      <c r="E121" s="128" t="s">
        <v>14</v>
      </c>
      <c r="F121" s="128">
        <v>445.04</v>
      </c>
      <c r="G121" s="137">
        <v>14.07</v>
      </c>
      <c r="H121" s="130">
        <v>9.48</v>
      </c>
      <c r="I121" s="131">
        <f t="shared" ref="I121:I127" si="40">ROUND(F121*H121,2)</f>
        <v>4218.9799999999996</v>
      </c>
      <c r="J121" s="133">
        <v>0</v>
      </c>
      <c r="K121" s="133">
        <v>0</v>
      </c>
      <c r="L121" s="137"/>
      <c r="M121" s="137">
        <f t="shared" ref="M121:M127" si="41">F121-K121</f>
        <v>445.04</v>
      </c>
      <c r="N121" s="143">
        <f t="shared" ref="N121:N127" si="42">J121*H121</f>
        <v>0</v>
      </c>
      <c r="O121" s="131">
        <f t="shared" ref="O121:O127" si="43">K121*H121</f>
        <v>0</v>
      </c>
      <c r="P121" s="144">
        <f t="shared" ref="P121:P127" si="44">I121-O121</f>
        <v>4218.9799999999996</v>
      </c>
      <c r="Q121" s="136">
        <f t="shared" ref="Q121:Q127" si="45">O121/I121</f>
        <v>0</v>
      </c>
    </row>
    <row r="122" spans="1:17" s="67" customFormat="1" x14ac:dyDescent="0.2">
      <c r="A122" s="125" t="s">
        <v>278</v>
      </c>
      <c r="B122" s="126">
        <v>88486</v>
      </c>
      <c r="C122" s="126" t="s">
        <v>1324</v>
      </c>
      <c r="D122" s="127" t="s">
        <v>1501</v>
      </c>
      <c r="E122" s="128" t="s">
        <v>14</v>
      </c>
      <c r="F122" s="128">
        <v>84.33</v>
      </c>
      <c r="G122" s="138"/>
      <c r="H122" s="130">
        <v>8.2899999999999991</v>
      </c>
      <c r="I122" s="131">
        <f t="shared" si="40"/>
        <v>699.1</v>
      </c>
      <c r="J122" s="133">
        <v>0</v>
      </c>
      <c r="K122" s="133">
        <v>0</v>
      </c>
      <c r="L122" s="138"/>
      <c r="M122" s="137">
        <f t="shared" si="41"/>
        <v>84.33</v>
      </c>
      <c r="N122" s="143">
        <f t="shared" si="42"/>
        <v>0</v>
      </c>
      <c r="O122" s="131">
        <f t="shared" si="43"/>
        <v>0</v>
      </c>
      <c r="P122" s="144">
        <f t="shared" si="44"/>
        <v>699.1</v>
      </c>
      <c r="Q122" s="136">
        <f t="shared" si="45"/>
        <v>0</v>
      </c>
    </row>
    <row r="123" spans="1:17" s="67" customFormat="1" x14ac:dyDescent="0.2">
      <c r="A123" s="125" t="s">
        <v>281</v>
      </c>
      <c r="B123" s="126">
        <v>72815</v>
      </c>
      <c r="C123" s="126" t="s">
        <v>1324</v>
      </c>
      <c r="D123" s="127" t="s">
        <v>1502</v>
      </c>
      <c r="E123" s="128" t="s">
        <v>14</v>
      </c>
      <c r="F123" s="128">
        <v>483.8</v>
      </c>
      <c r="G123" s="138"/>
      <c r="H123" s="130">
        <v>43.08</v>
      </c>
      <c r="I123" s="131">
        <f t="shared" si="40"/>
        <v>20842.099999999999</v>
      </c>
      <c r="J123" s="133">
        <v>0</v>
      </c>
      <c r="K123" s="133">
        <v>0</v>
      </c>
      <c r="L123" s="138"/>
      <c r="M123" s="137">
        <f t="shared" si="41"/>
        <v>483.8</v>
      </c>
      <c r="N123" s="143">
        <f t="shared" si="42"/>
        <v>0</v>
      </c>
      <c r="O123" s="131">
        <f t="shared" si="43"/>
        <v>0</v>
      </c>
      <c r="P123" s="144">
        <f t="shared" si="44"/>
        <v>20842.099999999999</v>
      </c>
      <c r="Q123" s="136">
        <f t="shared" si="45"/>
        <v>0</v>
      </c>
    </row>
    <row r="124" spans="1:17" s="67" customFormat="1" x14ac:dyDescent="0.2">
      <c r="A124" s="125" t="s">
        <v>1503</v>
      </c>
      <c r="B124" s="126">
        <v>41595</v>
      </c>
      <c r="C124" s="126" t="s">
        <v>1324</v>
      </c>
      <c r="D124" s="127" t="s">
        <v>1504</v>
      </c>
      <c r="E124" s="128" t="s">
        <v>81</v>
      </c>
      <c r="F124" s="128">
        <v>275.60000000000002</v>
      </c>
      <c r="G124" s="138"/>
      <c r="H124" s="130">
        <v>8.86</v>
      </c>
      <c r="I124" s="131">
        <f t="shared" si="40"/>
        <v>2441.8200000000002</v>
      </c>
      <c r="J124" s="133">
        <v>0</v>
      </c>
      <c r="K124" s="133">
        <v>0</v>
      </c>
      <c r="L124" s="138"/>
      <c r="M124" s="137">
        <f t="shared" si="41"/>
        <v>275.60000000000002</v>
      </c>
      <c r="N124" s="143">
        <f t="shared" si="42"/>
        <v>0</v>
      </c>
      <c r="O124" s="131">
        <f t="shared" si="43"/>
        <v>0</v>
      </c>
      <c r="P124" s="144">
        <f t="shared" si="44"/>
        <v>2441.8200000000002</v>
      </c>
      <c r="Q124" s="136">
        <f t="shared" si="45"/>
        <v>0</v>
      </c>
    </row>
    <row r="125" spans="1:17" s="67" customFormat="1" x14ac:dyDescent="0.2">
      <c r="A125" s="125" t="s">
        <v>1505</v>
      </c>
      <c r="B125" s="126" t="s">
        <v>1506</v>
      </c>
      <c r="C125" s="126" t="s">
        <v>1324</v>
      </c>
      <c r="D125" s="127" t="s">
        <v>1507</v>
      </c>
      <c r="E125" s="128" t="s">
        <v>14</v>
      </c>
      <c r="F125" s="128">
        <v>366.82</v>
      </c>
      <c r="G125" s="129"/>
      <c r="H125" s="130">
        <v>7.25</v>
      </c>
      <c r="I125" s="131">
        <f t="shared" si="40"/>
        <v>2659.45</v>
      </c>
      <c r="J125" s="133">
        <v>0</v>
      </c>
      <c r="K125" s="133">
        <v>0</v>
      </c>
      <c r="L125" s="129"/>
      <c r="M125" s="137">
        <f t="shared" si="41"/>
        <v>366.82</v>
      </c>
      <c r="N125" s="143">
        <f t="shared" si="42"/>
        <v>0</v>
      </c>
      <c r="O125" s="131">
        <f t="shared" si="43"/>
        <v>0</v>
      </c>
      <c r="P125" s="144">
        <f t="shared" si="44"/>
        <v>2659.45</v>
      </c>
      <c r="Q125" s="136">
        <f t="shared" si="45"/>
        <v>0</v>
      </c>
    </row>
    <row r="126" spans="1:17" s="67" customFormat="1" x14ac:dyDescent="0.2">
      <c r="A126" s="125" t="s">
        <v>1508</v>
      </c>
      <c r="B126" s="126" t="s">
        <v>1509</v>
      </c>
      <c r="C126" s="126" t="s">
        <v>1324</v>
      </c>
      <c r="D126" s="127" t="s">
        <v>1510</v>
      </c>
      <c r="E126" s="128" t="s">
        <v>14</v>
      </c>
      <c r="F126" s="128">
        <v>567.82000000000005</v>
      </c>
      <c r="G126" s="137">
        <v>37.78</v>
      </c>
      <c r="H126" s="130">
        <v>21.62</v>
      </c>
      <c r="I126" s="131">
        <f t="shared" si="40"/>
        <v>12276.27</v>
      </c>
      <c r="J126" s="133">
        <v>0</v>
      </c>
      <c r="K126" s="133">
        <v>0</v>
      </c>
      <c r="L126" s="137"/>
      <c r="M126" s="137">
        <f t="shared" si="41"/>
        <v>567.82000000000005</v>
      </c>
      <c r="N126" s="143">
        <f t="shared" si="42"/>
        <v>0</v>
      </c>
      <c r="O126" s="131">
        <f t="shared" si="43"/>
        <v>0</v>
      </c>
      <c r="P126" s="144">
        <f t="shared" si="44"/>
        <v>12276.27</v>
      </c>
      <c r="Q126" s="136">
        <f t="shared" si="45"/>
        <v>0</v>
      </c>
    </row>
    <row r="127" spans="1:17" s="67" customFormat="1" x14ac:dyDescent="0.2">
      <c r="A127" s="125" t="s">
        <v>1511</v>
      </c>
      <c r="B127" s="126" t="s">
        <v>1512</v>
      </c>
      <c r="C127" s="126" t="s">
        <v>1324</v>
      </c>
      <c r="D127" s="127" t="s">
        <v>1513</v>
      </c>
      <c r="E127" s="128" t="s">
        <v>14</v>
      </c>
      <c r="F127" s="128">
        <v>1030.4000000000001</v>
      </c>
      <c r="G127" s="137">
        <v>21.63</v>
      </c>
      <c r="H127" s="130">
        <v>14.78</v>
      </c>
      <c r="I127" s="131">
        <f t="shared" si="40"/>
        <v>15229.31</v>
      </c>
      <c r="J127" s="133">
        <v>0</v>
      </c>
      <c r="K127" s="133">
        <v>0</v>
      </c>
      <c r="L127" s="137"/>
      <c r="M127" s="137">
        <f t="shared" si="41"/>
        <v>1030.4000000000001</v>
      </c>
      <c r="N127" s="143">
        <f t="shared" si="42"/>
        <v>0</v>
      </c>
      <c r="O127" s="131">
        <f t="shared" si="43"/>
        <v>0</v>
      </c>
      <c r="P127" s="144">
        <f t="shared" si="44"/>
        <v>15229.31</v>
      </c>
      <c r="Q127" s="136">
        <f t="shared" si="45"/>
        <v>0</v>
      </c>
    </row>
    <row r="128" spans="1:17" s="67" customFormat="1" x14ac:dyDescent="0.2">
      <c r="A128" s="113">
        <v>12</v>
      </c>
      <c r="B128" s="114"/>
      <c r="C128" s="114"/>
      <c r="D128" s="115" t="s">
        <v>1514</v>
      </c>
      <c r="E128" s="116"/>
      <c r="F128" s="116">
        <f>SUM(F129,F151)</f>
        <v>296</v>
      </c>
      <c r="G128" s="116">
        <f t="shared" ref="G128:P128" si="46">SUM(G129,G151)</f>
        <v>677.21</v>
      </c>
      <c r="H128" s="116">
        <f t="shared" si="46"/>
        <v>1991.5500000000002</v>
      </c>
      <c r="I128" s="116">
        <f t="shared" si="46"/>
        <v>4556.04</v>
      </c>
      <c r="J128" s="150">
        <f t="shared" si="46"/>
        <v>271</v>
      </c>
      <c r="K128" s="116">
        <f t="shared" si="46"/>
        <v>271</v>
      </c>
      <c r="L128" s="116">
        <f t="shared" si="46"/>
        <v>0</v>
      </c>
      <c r="M128" s="116">
        <f>0</f>
        <v>0</v>
      </c>
      <c r="N128" s="116">
        <f t="shared" si="46"/>
        <v>1885.7800000000002</v>
      </c>
      <c r="O128" s="116">
        <f t="shared" si="46"/>
        <v>1885.7800000000002</v>
      </c>
      <c r="P128" s="116">
        <f t="shared" si="46"/>
        <v>2670.26</v>
      </c>
      <c r="Q128" s="136">
        <f>O128/I128</f>
        <v>0.4139076917674121</v>
      </c>
    </row>
    <row r="129" spans="1:17" s="124" customFormat="1" x14ac:dyDescent="0.2">
      <c r="A129" s="113" t="s">
        <v>1515</v>
      </c>
      <c r="B129" s="114"/>
      <c r="C129" s="114"/>
      <c r="D129" s="115" t="s">
        <v>1516</v>
      </c>
      <c r="E129" s="116"/>
      <c r="F129" s="116">
        <f t="shared" ref="F129:L129" si="47">SUM(F130:F150)</f>
        <v>237</v>
      </c>
      <c r="G129" s="116">
        <f t="shared" si="47"/>
        <v>591.89</v>
      </c>
      <c r="H129" s="116">
        <f t="shared" si="47"/>
        <v>171.15000000000003</v>
      </c>
      <c r="I129" s="116">
        <f t="shared" si="47"/>
        <v>1719.64</v>
      </c>
      <c r="J129" s="150">
        <f t="shared" si="47"/>
        <v>237</v>
      </c>
      <c r="K129" s="116">
        <f t="shared" si="47"/>
        <v>237</v>
      </c>
      <c r="L129" s="116">
        <f t="shared" si="47"/>
        <v>0</v>
      </c>
      <c r="M129" s="116">
        <f>0</f>
        <v>0</v>
      </c>
      <c r="N129" s="116">
        <f>SUM(N130:N150)</f>
        <v>1719.64</v>
      </c>
      <c r="O129" s="116">
        <f>SUM(O130:O150)</f>
        <v>1719.64</v>
      </c>
      <c r="P129" s="145">
        <f>0</f>
        <v>0</v>
      </c>
      <c r="Q129" s="136">
        <f>O129/I129</f>
        <v>1</v>
      </c>
    </row>
    <row r="130" spans="1:17" s="67" customFormat="1" x14ac:dyDescent="0.2">
      <c r="A130" s="125" t="s">
        <v>1517</v>
      </c>
      <c r="B130" s="126">
        <v>89401</v>
      </c>
      <c r="C130" s="126" t="s">
        <v>1324</v>
      </c>
      <c r="D130" s="127" t="s">
        <v>1518</v>
      </c>
      <c r="E130" s="128" t="s">
        <v>81</v>
      </c>
      <c r="F130" s="128">
        <v>12</v>
      </c>
      <c r="G130" s="137">
        <v>22.03</v>
      </c>
      <c r="H130" s="130">
        <v>5.29</v>
      </c>
      <c r="I130" s="131">
        <f>ROUND(F130*H130,2)</f>
        <v>63.48</v>
      </c>
      <c r="J130" s="154">
        <f>F130</f>
        <v>12</v>
      </c>
      <c r="K130" s="137">
        <f>J130</f>
        <v>12</v>
      </c>
      <c r="L130" s="137"/>
      <c r="M130" s="116">
        <f>0</f>
        <v>0</v>
      </c>
      <c r="N130" s="143">
        <f>J130*H130</f>
        <v>63.480000000000004</v>
      </c>
      <c r="O130" s="131">
        <f>K130*H130</f>
        <v>63.480000000000004</v>
      </c>
      <c r="P130" s="145">
        <f>0</f>
        <v>0</v>
      </c>
      <c r="Q130" s="136">
        <f>O130/I130</f>
        <v>1.0000000000000002</v>
      </c>
    </row>
    <row r="131" spans="1:17" s="67" customFormat="1" x14ac:dyDescent="0.2">
      <c r="A131" s="125" t="s">
        <v>1519</v>
      </c>
      <c r="B131" s="126">
        <v>89446</v>
      </c>
      <c r="C131" s="126" t="s">
        <v>1324</v>
      </c>
      <c r="D131" s="127" t="s">
        <v>1520</v>
      </c>
      <c r="E131" s="128" t="s">
        <v>81</v>
      </c>
      <c r="F131" s="128">
        <v>42</v>
      </c>
      <c r="G131" s="138"/>
      <c r="H131" s="130">
        <v>3.19</v>
      </c>
      <c r="I131" s="131">
        <f t="shared" ref="I131:I150" si="48">ROUND(F131*H131,2)</f>
        <v>133.97999999999999</v>
      </c>
      <c r="J131" s="154">
        <f t="shared" ref="J131:J150" si="49">F131</f>
        <v>42</v>
      </c>
      <c r="K131" s="137">
        <f t="shared" ref="K131:K150" si="50">J131</f>
        <v>42</v>
      </c>
      <c r="L131" s="138"/>
      <c r="M131" s="116">
        <f>0</f>
        <v>0</v>
      </c>
      <c r="N131" s="143">
        <f t="shared" ref="N131:N150" si="51">J131*H131</f>
        <v>133.97999999999999</v>
      </c>
      <c r="O131" s="131">
        <f t="shared" ref="O131:O150" si="52">K131*H131</f>
        <v>133.97999999999999</v>
      </c>
      <c r="P131" s="145">
        <f>0</f>
        <v>0</v>
      </c>
      <c r="Q131" s="136">
        <f t="shared" ref="Q131:Q150" si="53">O131/I131</f>
        <v>1</v>
      </c>
    </row>
    <row r="132" spans="1:17" s="67" customFormat="1" x14ac:dyDescent="0.2">
      <c r="A132" s="125" t="s">
        <v>1521</v>
      </c>
      <c r="B132" s="126">
        <v>89447</v>
      </c>
      <c r="C132" s="126" t="s">
        <v>1324</v>
      </c>
      <c r="D132" s="127" t="s">
        <v>1522</v>
      </c>
      <c r="E132" s="128" t="s">
        <v>81</v>
      </c>
      <c r="F132" s="128">
        <v>28</v>
      </c>
      <c r="G132" s="138"/>
      <c r="H132" s="130">
        <v>6.33</v>
      </c>
      <c r="I132" s="131">
        <f t="shared" si="48"/>
        <v>177.24</v>
      </c>
      <c r="J132" s="154">
        <f t="shared" si="49"/>
        <v>28</v>
      </c>
      <c r="K132" s="137">
        <f t="shared" si="50"/>
        <v>28</v>
      </c>
      <c r="L132" s="138"/>
      <c r="M132" s="116">
        <f>0</f>
        <v>0</v>
      </c>
      <c r="N132" s="143">
        <f t="shared" si="51"/>
        <v>177.24</v>
      </c>
      <c r="O132" s="131">
        <f t="shared" si="52"/>
        <v>177.24</v>
      </c>
      <c r="P132" s="145">
        <f>0</f>
        <v>0</v>
      </c>
      <c r="Q132" s="136">
        <f t="shared" si="53"/>
        <v>1</v>
      </c>
    </row>
    <row r="133" spans="1:17" s="67" customFormat="1" x14ac:dyDescent="0.2">
      <c r="A133" s="125" t="s">
        <v>1523</v>
      </c>
      <c r="B133" s="126">
        <v>89448</v>
      </c>
      <c r="C133" s="126" t="s">
        <v>1324</v>
      </c>
      <c r="D133" s="127" t="s">
        <v>1524</v>
      </c>
      <c r="E133" s="128" t="s">
        <v>81</v>
      </c>
      <c r="F133" s="128">
        <v>30</v>
      </c>
      <c r="G133" s="129"/>
      <c r="H133" s="130">
        <v>10.15</v>
      </c>
      <c r="I133" s="131">
        <f t="shared" si="48"/>
        <v>304.5</v>
      </c>
      <c r="J133" s="154">
        <f t="shared" si="49"/>
        <v>30</v>
      </c>
      <c r="K133" s="137">
        <f t="shared" si="50"/>
        <v>30</v>
      </c>
      <c r="L133" s="129"/>
      <c r="M133" s="116">
        <f>0</f>
        <v>0</v>
      </c>
      <c r="N133" s="143">
        <f t="shared" si="51"/>
        <v>304.5</v>
      </c>
      <c r="O133" s="131">
        <f t="shared" si="52"/>
        <v>304.5</v>
      </c>
      <c r="P133" s="145">
        <f>0</f>
        <v>0</v>
      </c>
      <c r="Q133" s="136">
        <f t="shared" si="53"/>
        <v>1</v>
      </c>
    </row>
    <row r="134" spans="1:17" s="67" customFormat="1" x14ac:dyDescent="0.2">
      <c r="A134" s="125" t="s">
        <v>1525</v>
      </c>
      <c r="B134" s="126">
        <v>89449</v>
      </c>
      <c r="C134" s="126" t="s">
        <v>1324</v>
      </c>
      <c r="D134" s="127" t="s">
        <v>1526</v>
      </c>
      <c r="E134" s="128" t="s">
        <v>81</v>
      </c>
      <c r="F134" s="128">
        <v>36</v>
      </c>
      <c r="G134" s="137">
        <v>5.81</v>
      </c>
      <c r="H134" s="130">
        <v>11.27</v>
      </c>
      <c r="I134" s="131">
        <f t="shared" si="48"/>
        <v>405.72</v>
      </c>
      <c r="J134" s="154">
        <f t="shared" si="49"/>
        <v>36</v>
      </c>
      <c r="K134" s="137">
        <f t="shared" si="50"/>
        <v>36</v>
      </c>
      <c r="L134" s="137"/>
      <c r="M134" s="116">
        <f>0</f>
        <v>0</v>
      </c>
      <c r="N134" s="143">
        <f t="shared" si="51"/>
        <v>405.71999999999997</v>
      </c>
      <c r="O134" s="131">
        <f t="shared" si="52"/>
        <v>405.71999999999997</v>
      </c>
      <c r="P134" s="145">
        <f>0</f>
        <v>0</v>
      </c>
      <c r="Q134" s="136">
        <f t="shared" si="53"/>
        <v>0.99999999999999989</v>
      </c>
    </row>
    <row r="135" spans="1:17" s="67" customFormat="1" x14ac:dyDescent="0.2">
      <c r="A135" s="125" t="s">
        <v>1527</v>
      </c>
      <c r="B135" s="126">
        <v>89408</v>
      </c>
      <c r="C135" s="126" t="s">
        <v>1324</v>
      </c>
      <c r="D135" s="127" t="s">
        <v>1528</v>
      </c>
      <c r="E135" s="128" t="s">
        <v>102</v>
      </c>
      <c r="F135" s="128">
        <v>15</v>
      </c>
      <c r="G135" s="137">
        <v>37.78</v>
      </c>
      <c r="H135" s="130">
        <v>4.28</v>
      </c>
      <c r="I135" s="131">
        <f t="shared" si="48"/>
        <v>64.2</v>
      </c>
      <c r="J135" s="154">
        <f t="shared" si="49"/>
        <v>15</v>
      </c>
      <c r="K135" s="137">
        <f t="shared" si="50"/>
        <v>15</v>
      </c>
      <c r="L135" s="137"/>
      <c r="M135" s="116">
        <f>0</f>
        <v>0</v>
      </c>
      <c r="N135" s="143">
        <f t="shared" si="51"/>
        <v>64.2</v>
      </c>
      <c r="O135" s="131">
        <f t="shared" si="52"/>
        <v>64.2</v>
      </c>
      <c r="P135" s="145">
        <f>0</f>
        <v>0</v>
      </c>
      <c r="Q135" s="136">
        <f t="shared" si="53"/>
        <v>1</v>
      </c>
    </row>
    <row r="136" spans="1:17" s="67" customFormat="1" x14ac:dyDescent="0.2">
      <c r="A136" s="125" t="s">
        <v>1529</v>
      </c>
      <c r="B136" s="126">
        <v>89492</v>
      </c>
      <c r="C136" s="126" t="s">
        <v>1324</v>
      </c>
      <c r="D136" s="127" t="s">
        <v>1530</v>
      </c>
      <c r="E136" s="128" t="s">
        <v>102</v>
      </c>
      <c r="F136" s="128">
        <v>8</v>
      </c>
      <c r="G136" s="137">
        <v>21.63</v>
      </c>
      <c r="H136" s="130">
        <v>4.79</v>
      </c>
      <c r="I136" s="131">
        <f t="shared" si="48"/>
        <v>38.32</v>
      </c>
      <c r="J136" s="154">
        <f t="shared" si="49"/>
        <v>8</v>
      </c>
      <c r="K136" s="137">
        <f t="shared" si="50"/>
        <v>8</v>
      </c>
      <c r="L136" s="137"/>
      <c r="M136" s="116">
        <f>0</f>
        <v>0</v>
      </c>
      <c r="N136" s="143">
        <f t="shared" si="51"/>
        <v>38.32</v>
      </c>
      <c r="O136" s="131">
        <f t="shared" si="52"/>
        <v>38.32</v>
      </c>
      <c r="P136" s="145">
        <f>0</f>
        <v>0</v>
      </c>
      <c r="Q136" s="136">
        <f t="shared" si="53"/>
        <v>1</v>
      </c>
    </row>
    <row r="137" spans="1:17" s="67" customFormat="1" x14ac:dyDescent="0.2">
      <c r="A137" s="125" t="s">
        <v>1531</v>
      </c>
      <c r="B137" s="126">
        <v>89501</v>
      </c>
      <c r="C137" s="126" t="s">
        <v>1324</v>
      </c>
      <c r="D137" s="127" t="s">
        <v>1532</v>
      </c>
      <c r="E137" s="128" t="s">
        <v>102</v>
      </c>
      <c r="F137" s="128">
        <v>6</v>
      </c>
      <c r="G137" s="137">
        <v>38.770000000000003</v>
      </c>
      <c r="H137" s="130">
        <v>9.3800000000000008</v>
      </c>
      <c r="I137" s="131">
        <f t="shared" si="48"/>
        <v>56.28</v>
      </c>
      <c r="J137" s="154">
        <f t="shared" si="49"/>
        <v>6</v>
      </c>
      <c r="K137" s="137">
        <f t="shared" si="50"/>
        <v>6</v>
      </c>
      <c r="L137" s="137"/>
      <c r="M137" s="116">
        <f>0</f>
        <v>0</v>
      </c>
      <c r="N137" s="143">
        <f t="shared" si="51"/>
        <v>56.28</v>
      </c>
      <c r="O137" s="131">
        <f t="shared" si="52"/>
        <v>56.28</v>
      </c>
      <c r="P137" s="145">
        <f>0</f>
        <v>0</v>
      </c>
      <c r="Q137" s="136">
        <f t="shared" si="53"/>
        <v>1</v>
      </c>
    </row>
    <row r="138" spans="1:17" s="67" customFormat="1" ht="25.5" x14ac:dyDescent="0.2">
      <c r="A138" s="125" t="s">
        <v>1533</v>
      </c>
      <c r="B138" s="126">
        <v>90373</v>
      </c>
      <c r="C138" s="126" t="s">
        <v>1324</v>
      </c>
      <c r="D138" s="127" t="s">
        <v>1534</v>
      </c>
      <c r="E138" s="128" t="s">
        <v>102</v>
      </c>
      <c r="F138" s="128">
        <v>2</v>
      </c>
      <c r="G138" s="138"/>
      <c r="H138" s="130">
        <v>10.06</v>
      </c>
      <c r="I138" s="131">
        <f t="shared" si="48"/>
        <v>20.12</v>
      </c>
      <c r="J138" s="154">
        <f t="shared" si="49"/>
        <v>2</v>
      </c>
      <c r="K138" s="137">
        <f t="shared" si="50"/>
        <v>2</v>
      </c>
      <c r="L138" s="138"/>
      <c r="M138" s="116">
        <f>0</f>
        <v>0</v>
      </c>
      <c r="N138" s="143">
        <f t="shared" si="51"/>
        <v>20.12</v>
      </c>
      <c r="O138" s="131">
        <f t="shared" si="52"/>
        <v>20.12</v>
      </c>
      <c r="P138" s="145">
        <f>0</f>
        <v>0</v>
      </c>
      <c r="Q138" s="136">
        <f t="shared" si="53"/>
        <v>1</v>
      </c>
    </row>
    <row r="139" spans="1:17" s="67" customFormat="1" ht="25.5" x14ac:dyDescent="0.2">
      <c r="A139" s="125" t="s">
        <v>1535</v>
      </c>
      <c r="B139" s="126"/>
      <c r="C139" s="126" t="s">
        <v>1339</v>
      </c>
      <c r="D139" s="170" t="s">
        <v>1536</v>
      </c>
      <c r="E139" s="128" t="s">
        <v>102</v>
      </c>
      <c r="F139" s="128">
        <v>4</v>
      </c>
      <c r="G139" s="138"/>
      <c r="H139" s="130">
        <v>0</v>
      </c>
      <c r="I139" s="131">
        <f t="shared" si="48"/>
        <v>0</v>
      </c>
      <c r="J139" s="154">
        <f t="shared" si="49"/>
        <v>4</v>
      </c>
      <c r="K139" s="137">
        <f t="shared" si="50"/>
        <v>4</v>
      </c>
      <c r="L139" s="138"/>
      <c r="M139" s="116">
        <f>0</f>
        <v>0</v>
      </c>
      <c r="N139" s="143">
        <f t="shared" si="51"/>
        <v>0</v>
      </c>
      <c r="O139" s="131">
        <f t="shared" si="52"/>
        <v>0</v>
      </c>
      <c r="P139" s="145">
        <f>0</f>
        <v>0</v>
      </c>
      <c r="Q139" s="136" t="e">
        <f t="shared" si="53"/>
        <v>#DIV/0!</v>
      </c>
    </row>
    <row r="140" spans="1:17" s="67" customFormat="1" ht="25.5" x14ac:dyDescent="0.2">
      <c r="A140" s="125" t="s">
        <v>1537</v>
      </c>
      <c r="B140" s="126">
        <v>90373</v>
      </c>
      <c r="C140" s="126" t="s">
        <v>1324</v>
      </c>
      <c r="D140" s="127" t="s">
        <v>1538</v>
      </c>
      <c r="E140" s="128" t="s">
        <v>102</v>
      </c>
      <c r="F140" s="128">
        <v>16</v>
      </c>
      <c r="G140" s="138"/>
      <c r="H140" s="130">
        <v>10.06</v>
      </c>
      <c r="I140" s="131">
        <f t="shared" si="48"/>
        <v>160.96</v>
      </c>
      <c r="J140" s="154">
        <f t="shared" si="49"/>
        <v>16</v>
      </c>
      <c r="K140" s="137">
        <f t="shared" si="50"/>
        <v>16</v>
      </c>
      <c r="L140" s="138"/>
      <c r="M140" s="116">
        <f>0</f>
        <v>0</v>
      </c>
      <c r="N140" s="143">
        <f t="shared" si="51"/>
        <v>160.96</v>
      </c>
      <c r="O140" s="131">
        <f t="shared" si="52"/>
        <v>160.96</v>
      </c>
      <c r="P140" s="145">
        <f>0</f>
        <v>0</v>
      </c>
      <c r="Q140" s="136">
        <f t="shared" si="53"/>
        <v>1</v>
      </c>
    </row>
    <row r="141" spans="1:17" s="67" customFormat="1" x14ac:dyDescent="0.2">
      <c r="A141" s="125" t="s">
        <v>1539</v>
      </c>
      <c r="B141" s="126">
        <v>89622</v>
      </c>
      <c r="C141" s="126" t="s">
        <v>1324</v>
      </c>
      <c r="D141" s="127" t="s">
        <v>1540</v>
      </c>
      <c r="E141" s="128" t="s">
        <v>102</v>
      </c>
      <c r="F141" s="128">
        <v>4</v>
      </c>
      <c r="G141" s="137">
        <v>29.86</v>
      </c>
      <c r="H141" s="130">
        <v>9.23</v>
      </c>
      <c r="I141" s="131">
        <f t="shared" si="48"/>
        <v>36.92</v>
      </c>
      <c r="J141" s="154">
        <f t="shared" si="49"/>
        <v>4</v>
      </c>
      <c r="K141" s="137">
        <f t="shared" si="50"/>
        <v>4</v>
      </c>
      <c r="L141" s="144"/>
      <c r="M141" s="116">
        <f>0</f>
        <v>0</v>
      </c>
      <c r="N141" s="143">
        <f t="shared" si="51"/>
        <v>36.92</v>
      </c>
      <c r="O141" s="131">
        <f t="shared" si="52"/>
        <v>36.92</v>
      </c>
      <c r="P141" s="145">
        <f>0</f>
        <v>0</v>
      </c>
      <c r="Q141" s="136">
        <f t="shared" si="53"/>
        <v>1</v>
      </c>
    </row>
    <row r="142" spans="1:17" s="67" customFormat="1" x14ac:dyDescent="0.2">
      <c r="A142" s="125" t="s">
        <v>1541</v>
      </c>
      <c r="B142" s="126">
        <v>89626</v>
      </c>
      <c r="C142" s="126" t="s">
        <v>1324</v>
      </c>
      <c r="D142" s="127" t="s">
        <v>1542</v>
      </c>
      <c r="E142" s="128" t="s">
        <v>102</v>
      </c>
      <c r="F142" s="128">
        <v>2</v>
      </c>
      <c r="G142" s="137">
        <v>32.090000000000003</v>
      </c>
      <c r="H142" s="130">
        <v>17.79</v>
      </c>
      <c r="I142" s="131">
        <f t="shared" si="48"/>
        <v>35.58</v>
      </c>
      <c r="J142" s="154">
        <f t="shared" si="49"/>
        <v>2</v>
      </c>
      <c r="K142" s="137">
        <f t="shared" si="50"/>
        <v>2</v>
      </c>
      <c r="L142" s="144"/>
      <c r="M142" s="116">
        <f>0</f>
        <v>0</v>
      </c>
      <c r="N142" s="143">
        <f t="shared" si="51"/>
        <v>35.58</v>
      </c>
      <c r="O142" s="131">
        <f t="shared" si="52"/>
        <v>35.58</v>
      </c>
      <c r="P142" s="145">
        <f>0</f>
        <v>0</v>
      </c>
      <c r="Q142" s="136">
        <f t="shared" si="53"/>
        <v>1</v>
      </c>
    </row>
    <row r="143" spans="1:17" s="67" customFormat="1" x14ac:dyDescent="0.2">
      <c r="A143" s="125" t="s">
        <v>1543</v>
      </c>
      <c r="B143" s="126">
        <v>89534</v>
      </c>
      <c r="C143" s="126" t="s">
        <v>1324</v>
      </c>
      <c r="D143" s="127" t="s">
        <v>1544</v>
      </c>
      <c r="E143" s="128" t="s">
        <v>102</v>
      </c>
      <c r="F143" s="128">
        <v>8</v>
      </c>
      <c r="G143" s="137">
        <v>46.88</v>
      </c>
      <c r="H143" s="130">
        <v>2.9</v>
      </c>
      <c r="I143" s="131">
        <f t="shared" si="48"/>
        <v>23.2</v>
      </c>
      <c r="J143" s="154">
        <f t="shared" si="49"/>
        <v>8</v>
      </c>
      <c r="K143" s="137">
        <f t="shared" si="50"/>
        <v>8</v>
      </c>
      <c r="L143" s="137"/>
      <c r="M143" s="116">
        <f>0</f>
        <v>0</v>
      </c>
      <c r="N143" s="143">
        <f t="shared" si="51"/>
        <v>23.2</v>
      </c>
      <c r="O143" s="131">
        <f t="shared" si="52"/>
        <v>23.2</v>
      </c>
      <c r="P143" s="145">
        <f>0</f>
        <v>0</v>
      </c>
      <c r="Q143" s="136">
        <f t="shared" si="53"/>
        <v>1</v>
      </c>
    </row>
    <row r="144" spans="1:17" s="67" customFormat="1" x14ac:dyDescent="0.2">
      <c r="A144" s="125" t="s">
        <v>1545</v>
      </c>
      <c r="B144" s="126">
        <v>89386</v>
      </c>
      <c r="C144" s="126" t="s">
        <v>1324</v>
      </c>
      <c r="D144" s="127" t="s">
        <v>1546</v>
      </c>
      <c r="E144" s="128" t="s">
        <v>102</v>
      </c>
      <c r="F144" s="128">
        <v>4</v>
      </c>
      <c r="G144" s="137">
        <v>31.2</v>
      </c>
      <c r="H144" s="130">
        <v>6</v>
      </c>
      <c r="I144" s="131">
        <f t="shared" si="48"/>
        <v>24</v>
      </c>
      <c r="J144" s="154">
        <f t="shared" si="49"/>
        <v>4</v>
      </c>
      <c r="K144" s="137">
        <f t="shared" si="50"/>
        <v>4</v>
      </c>
      <c r="L144" s="137"/>
      <c r="M144" s="116">
        <f>0</f>
        <v>0</v>
      </c>
      <c r="N144" s="143">
        <f t="shared" si="51"/>
        <v>24</v>
      </c>
      <c r="O144" s="131">
        <f t="shared" si="52"/>
        <v>24</v>
      </c>
      <c r="P144" s="145">
        <f>0</f>
        <v>0</v>
      </c>
      <c r="Q144" s="136">
        <f t="shared" si="53"/>
        <v>1</v>
      </c>
    </row>
    <row r="145" spans="1:17" s="67" customFormat="1" x14ac:dyDescent="0.2">
      <c r="A145" s="125" t="s">
        <v>1547</v>
      </c>
      <c r="B145" s="126">
        <v>89433</v>
      </c>
      <c r="C145" s="126" t="s">
        <v>1324</v>
      </c>
      <c r="D145" s="127" t="s">
        <v>1548</v>
      </c>
      <c r="E145" s="128" t="s">
        <v>102</v>
      </c>
      <c r="F145" s="128">
        <v>4</v>
      </c>
      <c r="G145" s="137">
        <v>19.170000000000002</v>
      </c>
      <c r="H145" s="130">
        <v>5.63</v>
      </c>
      <c r="I145" s="131">
        <f t="shared" si="48"/>
        <v>22.52</v>
      </c>
      <c r="J145" s="154">
        <f t="shared" si="49"/>
        <v>4</v>
      </c>
      <c r="K145" s="137">
        <f t="shared" si="50"/>
        <v>4</v>
      </c>
      <c r="L145" s="137"/>
      <c r="M145" s="116">
        <f>0</f>
        <v>0</v>
      </c>
      <c r="N145" s="143">
        <f t="shared" si="51"/>
        <v>22.52</v>
      </c>
      <c r="O145" s="131">
        <f t="shared" si="52"/>
        <v>22.52</v>
      </c>
      <c r="P145" s="145">
        <f>0</f>
        <v>0</v>
      </c>
      <c r="Q145" s="136">
        <f t="shared" si="53"/>
        <v>1</v>
      </c>
    </row>
    <row r="146" spans="1:17" s="67" customFormat="1" x14ac:dyDescent="0.2">
      <c r="A146" s="125" t="s">
        <v>1549</v>
      </c>
      <c r="B146" s="126">
        <v>89605</v>
      </c>
      <c r="C146" s="126" t="s">
        <v>1324</v>
      </c>
      <c r="D146" s="127" t="s">
        <v>1550</v>
      </c>
      <c r="E146" s="128" t="s">
        <v>102</v>
      </c>
      <c r="F146" s="128">
        <v>2</v>
      </c>
      <c r="G146" s="137">
        <v>98.11</v>
      </c>
      <c r="H146" s="130">
        <v>11.65</v>
      </c>
      <c r="I146" s="131">
        <f t="shared" si="48"/>
        <v>23.3</v>
      </c>
      <c r="J146" s="154">
        <f t="shared" si="49"/>
        <v>2</v>
      </c>
      <c r="K146" s="137">
        <f t="shared" si="50"/>
        <v>2</v>
      </c>
      <c r="L146" s="137"/>
      <c r="M146" s="116">
        <f>0</f>
        <v>0</v>
      </c>
      <c r="N146" s="143">
        <f t="shared" si="51"/>
        <v>23.3</v>
      </c>
      <c r="O146" s="131">
        <f t="shared" si="52"/>
        <v>23.3</v>
      </c>
      <c r="P146" s="145">
        <f>0</f>
        <v>0</v>
      </c>
      <c r="Q146" s="136">
        <f t="shared" si="53"/>
        <v>1</v>
      </c>
    </row>
    <row r="147" spans="1:17" s="67" customFormat="1" ht="25.5" x14ac:dyDescent="0.2">
      <c r="A147" s="125" t="s">
        <v>1551</v>
      </c>
      <c r="B147" s="126">
        <v>90375</v>
      </c>
      <c r="C147" s="126" t="s">
        <v>1324</v>
      </c>
      <c r="D147" s="127" t="s">
        <v>1552</v>
      </c>
      <c r="E147" s="128" t="s">
        <v>102</v>
      </c>
      <c r="F147" s="128">
        <v>2</v>
      </c>
      <c r="G147" s="137">
        <v>174.65</v>
      </c>
      <c r="H147" s="130">
        <v>6.61</v>
      </c>
      <c r="I147" s="131">
        <f t="shared" si="48"/>
        <v>13.22</v>
      </c>
      <c r="J147" s="154">
        <f t="shared" si="49"/>
        <v>2</v>
      </c>
      <c r="K147" s="137">
        <f t="shared" si="50"/>
        <v>2</v>
      </c>
      <c r="L147" s="137"/>
      <c r="M147" s="116">
        <f>0</f>
        <v>0</v>
      </c>
      <c r="N147" s="143">
        <f t="shared" si="51"/>
        <v>13.22</v>
      </c>
      <c r="O147" s="131">
        <f t="shared" si="52"/>
        <v>13.22</v>
      </c>
      <c r="P147" s="145">
        <f>0</f>
        <v>0</v>
      </c>
      <c r="Q147" s="136">
        <f t="shared" si="53"/>
        <v>1</v>
      </c>
    </row>
    <row r="148" spans="1:17" s="67" customFormat="1" ht="25.5" x14ac:dyDescent="0.2">
      <c r="A148" s="125" t="s">
        <v>1553</v>
      </c>
      <c r="B148" s="126">
        <v>90375</v>
      </c>
      <c r="C148" s="126" t="s">
        <v>1324</v>
      </c>
      <c r="D148" s="127" t="s">
        <v>1554</v>
      </c>
      <c r="E148" s="128" t="s">
        <v>102</v>
      </c>
      <c r="F148" s="128">
        <v>4</v>
      </c>
      <c r="G148" s="138"/>
      <c r="H148" s="130">
        <v>6.61</v>
      </c>
      <c r="I148" s="131">
        <f t="shared" si="48"/>
        <v>26.44</v>
      </c>
      <c r="J148" s="154">
        <f t="shared" si="49"/>
        <v>4</v>
      </c>
      <c r="K148" s="137">
        <f t="shared" si="50"/>
        <v>4</v>
      </c>
      <c r="L148" s="138"/>
      <c r="M148" s="116">
        <f>0</f>
        <v>0</v>
      </c>
      <c r="N148" s="143">
        <f t="shared" si="51"/>
        <v>26.44</v>
      </c>
      <c r="O148" s="131">
        <f t="shared" si="52"/>
        <v>26.44</v>
      </c>
      <c r="P148" s="145">
        <f>0</f>
        <v>0</v>
      </c>
      <c r="Q148" s="136">
        <f t="shared" si="53"/>
        <v>1</v>
      </c>
    </row>
    <row r="149" spans="1:17" s="67" customFormat="1" x14ac:dyDescent="0.2">
      <c r="A149" s="125" t="s">
        <v>1555</v>
      </c>
      <c r="B149" s="126">
        <v>89375</v>
      </c>
      <c r="C149" s="126" t="s">
        <v>1324</v>
      </c>
      <c r="D149" s="127" t="s">
        <v>1556</v>
      </c>
      <c r="E149" s="128" t="s">
        <v>102</v>
      </c>
      <c r="F149" s="128">
        <v>6</v>
      </c>
      <c r="G149" s="138"/>
      <c r="H149" s="130">
        <v>7.45</v>
      </c>
      <c r="I149" s="131">
        <f t="shared" si="48"/>
        <v>44.7</v>
      </c>
      <c r="J149" s="154">
        <f t="shared" si="49"/>
        <v>6</v>
      </c>
      <c r="K149" s="137">
        <f t="shared" si="50"/>
        <v>6</v>
      </c>
      <c r="L149" s="138"/>
      <c r="M149" s="116">
        <f>0</f>
        <v>0</v>
      </c>
      <c r="N149" s="143">
        <f t="shared" si="51"/>
        <v>44.7</v>
      </c>
      <c r="O149" s="131">
        <f t="shared" si="52"/>
        <v>44.7</v>
      </c>
      <c r="P149" s="145">
        <f>0</f>
        <v>0</v>
      </c>
      <c r="Q149" s="136">
        <f t="shared" si="53"/>
        <v>1</v>
      </c>
    </row>
    <row r="150" spans="1:17" s="67" customFormat="1" x14ac:dyDescent="0.2">
      <c r="A150" s="125" t="s">
        <v>1557</v>
      </c>
      <c r="B150" s="126">
        <v>89594</v>
      </c>
      <c r="C150" s="126" t="s">
        <v>1324</v>
      </c>
      <c r="D150" s="127" t="s">
        <v>1558</v>
      </c>
      <c r="E150" s="128" t="s">
        <v>102</v>
      </c>
      <c r="F150" s="128">
        <v>2</v>
      </c>
      <c r="G150" s="137">
        <v>33.909999999999997</v>
      </c>
      <c r="H150" s="130">
        <v>22.48</v>
      </c>
      <c r="I150" s="131">
        <f t="shared" si="48"/>
        <v>44.96</v>
      </c>
      <c r="J150" s="154">
        <f t="shared" si="49"/>
        <v>2</v>
      </c>
      <c r="K150" s="137">
        <f t="shared" si="50"/>
        <v>2</v>
      </c>
      <c r="L150" s="137"/>
      <c r="M150" s="116">
        <f>0</f>
        <v>0</v>
      </c>
      <c r="N150" s="143">
        <f t="shared" si="51"/>
        <v>44.96</v>
      </c>
      <c r="O150" s="131">
        <f t="shared" si="52"/>
        <v>44.96</v>
      </c>
      <c r="P150" s="145">
        <f>0</f>
        <v>0</v>
      </c>
      <c r="Q150" s="136">
        <f t="shared" si="53"/>
        <v>1</v>
      </c>
    </row>
    <row r="151" spans="1:17" s="124" customFormat="1" x14ac:dyDescent="0.2">
      <c r="A151" s="113" t="s">
        <v>290</v>
      </c>
      <c r="B151" s="114"/>
      <c r="C151" s="114"/>
      <c r="D151" s="115" t="s">
        <v>1559</v>
      </c>
      <c r="E151" s="116"/>
      <c r="F151" s="116">
        <f>SUM(F152:F166)</f>
        <v>59</v>
      </c>
      <c r="G151" s="116">
        <f t="shared" ref="G151:P151" si="54">SUM(G152:G166)</f>
        <v>85.320000000000007</v>
      </c>
      <c r="H151" s="116">
        <f t="shared" si="54"/>
        <v>1820.4</v>
      </c>
      <c r="I151" s="116">
        <f t="shared" si="54"/>
        <v>2836.4</v>
      </c>
      <c r="J151" s="150">
        <f t="shared" si="54"/>
        <v>34</v>
      </c>
      <c r="K151" s="116">
        <f t="shared" si="54"/>
        <v>34</v>
      </c>
      <c r="L151" s="116">
        <f t="shared" si="54"/>
        <v>0</v>
      </c>
      <c r="M151" s="116">
        <f>SUM(M164:M166)</f>
        <v>6</v>
      </c>
      <c r="N151" s="116">
        <f t="shared" si="54"/>
        <v>166.14000000000001</v>
      </c>
      <c r="O151" s="116">
        <f t="shared" si="54"/>
        <v>166.14000000000001</v>
      </c>
      <c r="P151" s="116">
        <f t="shared" si="54"/>
        <v>2670.26</v>
      </c>
      <c r="Q151" s="123">
        <f>O151/I151</f>
        <v>5.8574249048089132E-2</v>
      </c>
    </row>
    <row r="152" spans="1:17" s="67" customFormat="1" x14ac:dyDescent="0.2">
      <c r="A152" s="155" t="s">
        <v>1560</v>
      </c>
      <c r="B152" s="156">
        <v>89353</v>
      </c>
      <c r="C152" s="156" t="s">
        <v>1324</v>
      </c>
      <c r="D152" s="157" t="s">
        <v>1561</v>
      </c>
      <c r="E152" s="158" t="s">
        <v>102</v>
      </c>
      <c r="F152" s="158">
        <v>1</v>
      </c>
      <c r="G152" s="162">
        <v>9.81</v>
      </c>
      <c r="H152" s="159">
        <v>30.67</v>
      </c>
      <c r="I152" s="160">
        <f>ROUND(F152*H152,2)</f>
        <v>30.67</v>
      </c>
      <c r="J152" s="161">
        <v>0</v>
      </c>
      <c r="K152" s="161">
        <f>J152</f>
        <v>0</v>
      </c>
      <c r="L152" s="162"/>
      <c r="M152" s="173">
        <f>0</f>
        <v>0</v>
      </c>
      <c r="N152" s="164">
        <f>J152*H152</f>
        <v>0</v>
      </c>
      <c r="O152" s="160">
        <f>K152*H152</f>
        <v>0</v>
      </c>
      <c r="P152" s="174">
        <f>I152-O152</f>
        <v>30.67</v>
      </c>
      <c r="Q152" s="165">
        <f>O152/I152</f>
        <v>0</v>
      </c>
    </row>
    <row r="153" spans="1:17" s="67" customFormat="1" x14ac:dyDescent="0.2">
      <c r="A153" s="155" t="s">
        <v>1562</v>
      </c>
      <c r="B153" s="156" t="s">
        <v>1563</v>
      </c>
      <c r="C153" s="156" t="s">
        <v>1324</v>
      </c>
      <c r="D153" s="157" t="s">
        <v>1564</v>
      </c>
      <c r="E153" s="158" t="s">
        <v>102</v>
      </c>
      <c r="F153" s="158">
        <v>2</v>
      </c>
      <c r="G153" s="162">
        <v>12.72</v>
      </c>
      <c r="H153" s="159">
        <v>86.64</v>
      </c>
      <c r="I153" s="160">
        <f t="shared" ref="I153:I166" si="55">ROUND(F153*H153,2)</f>
        <v>173.28</v>
      </c>
      <c r="J153" s="161">
        <v>0</v>
      </c>
      <c r="K153" s="161">
        <f t="shared" ref="K153:K166" si="56">J153</f>
        <v>0</v>
      </c>
      <c r="L153" s="162"/>
      <c r="M153" s="173">
        <f>0</f>
        <v>0</v>
      </c>
      <c r="N153" s="164">
        <f t="shared" ref="N153:N166" si="57">J153*H153</f>
        <v>0</v>
      </c>
      <c r="O153" s="160">
        <f t="shared" ref="O153:O166" si="58">K153*H153</f>
        <v>0</v>
      </c>
      <c r="P153" s="174">
        <f t="shared" ref="P153:P166" si="59">I153-O153</f>
        <v>173.28</v>
      </c>
      <c r="Q153" s="165">
        <f t="shared" ref="Q153:Q216" si="60">O153/I153</f>
        <v>0</v>
      </c>
    </row>
    <row r="154" spans="1:17" s="67" customFormat="1" x14ac:dyDescent="0.2">
      <c r="A154" s="155" t="s">
        <v>1565</v>
      </c>
      <c r="B154" s="156" t="s">
        <v>1566</v>
      </c>
      <c r="C154" s="156" t="s">
        <v>1324</v>
      </c>
      <c r="D154" s="157" t="s">
        <v>1567</v>
      </c>
      <c r="E154" s="158" t="s">
        <v>102</v>
      </c>
      <c r="F154" s="158">
        <v>2</v>
      </c>
      <c r="G154" s="175"/>
      <c r="H154" s="159">
        <v>52.59</v>
      </c>
      <c r="I154" s="160">
        <f t="shared" si="55"/>
        <v>105.18</v>
      </c>
      <c r="J154" s="161">
        <v>0</v>
      </c>
      <c r="K154" s="161">
        <f t="shared" si="56"/>
        <v>0</v>
      </c>
      <c r="L154" s="175"/>
      <c r="M154" s="173">
        <f>0</f>
        <v>0</v>
      </c>
      <c r="N154" s="164">
        <f t="shared" si="57"/>
        <v>0</v>
      </c>
      <c r="O154" s="160">
        <f t="shared" si="58"/>
        <v>0</v>
      </c>
      <c r="P154" s="174">
        <f t="shared" si="59"/>
        <v>105.18</v>
      </c>
      <c r="Q154" s="165">
        <f t="shared" si="60"/>
        <v>0</v>
      </c>
    </row>
    <row r="155" spans="1:17" s="67" customFormat="1" x14ac:dyDescent="0.2">
      <c r="A155" s="155" t="s">
        <v>1568</v>
      </c>
      <c r="B155" s="156" t="s">
        <v>1569</v>
      </c>
      <c r="C155" s="156" t="s">
        <v>1324</v>
      </c>
      <c r="D155" s="157" t="s">
        <v>1570</v>
      </c>
      <c r="E155" s="158" t="s">
        <v>102</v>
      </c>
      <c r="F155" s="158">
        <v>2</v>
      </c>
      <c r="G155" s="175"/>
      <c r="H155" s="159">
        <v>120.21</v>
      </c>
      <c r="I155" s="160">
        <f t="shared" si="55"/>
        <v>240.42</v>
      </c>
      <c r="J155" s="161">
        <v>0</v>
      </c>
      <c r="K155" s="161">
        <f t="shared" si="56"/>
        <v>0</v>
      </c>
      <c r="L155" s="175"/>
      <c r="M155" s="173">
        <f>0</f>
        <v>0</v>
      </c>
      <c r="N155" s="164">
        <f t="shared" si="57"/>
        <v>0</v>
      </c>
      <c r="O155" s="160">
        <f t="shared" si="58"/>
        <v>0</v>
      </c>
      <c r="P155" s="174">
        <f t="shared" si="59"/>
        <v>240.42</v>
      </c>
      <c r="Q155" s="165">
        <f t="shared" si="60"/>
        <v>0</v>
      </c>
    </row>
    <row r="156" spans="1:17" s="67" customFormat="1" x14ac:dyDescent="0.2">
      <c r="A156" s="155" t="s">
        <v>1571</v>
      </c>
      <c r="B156" s="156" t="s">
        <v>1572</v>
      </c>
      <c r="C156" s="156" t="s">
        <v>1324</v>
      </c>
      <c r="D156" s="157" t="s">
        <v>1573</v>
      </c>
      <c r="E156" s="158" t="s">
        <v>102</v>
      </c>
      <c r="F156" s="158">
        <v>2</v>
      </c>
      <c r="G156" s="176"/>
      <c r="H156" s="159">
        <v>67.349999999999994</v>
      </c>
      <c r="I156" s="160">
        <f t="shared" si="55"/>
        <v>134.69999999999999</v>
      </c>
      <c r="J156" s="161">
        <v>0</v>
      </c>
      <c r="K156" s="161">
        <f t="shared" si="56"/>
        <v>0</v>
      </c>
      <c r="L156" s="176"/>
      <c r="M156" s="173">
        <f>0</f>
        <v>0</v>
      </c>
      <c r="N156" s="164">
        <f t="shared" si="57"/>
        <v>0</v>
      </c>
      <c r="O156" s="160">
        <f t="shared" si="58"/>
        <v>0</v>
      </c>
      <c r="P156" s="174">
        <f t="shared" si="59"/>
        <v>134.69999999999999</v>
      </c>
      <c r="Q156" s="165">
        <f t="shared" si="60"/>
        <v>0</v>
      </c>
    </row>
    <row r="157" spans="1:17" s="67" customFormat="1" x14ac:dyDescent="0.2">
      <c r="A157" s="155" t="s">
        <v>1574</v>
      </c>
      <c r="B157" s="156">
        <v>89987</v>
      </c>
      <c r="C157" s="156" t="s">
        <v>1324</v>
      </c>
      <c r="D157" s="157" t="s">
        <v>1575</v>
      </c>
      <c r="E157" s="158" t="s">
        <v>102</v>
      </c>
      <c r="F157" s="158">
        <v>2</v>
      </c>
      <c r="G157" s="162">
        <v>8.41</v>
      </c>
      <c r="H157" s="159">
        <v>35.92</v>
      </c>
      <c r="I157" s="160">
        <f t="shared" si="55"/>
        <v>71.84</v>
      </c>
      <c r="J157" s="161">
        <v>0</v>
      </c>
      <c r="K157" s="161">
        <f t="shared" si="56"/>
        <v>0</v>
      </c>
      <c r="L157" s="162"/>
      <c r="M157" s="173">
        <f>0</f>
        <v>0</v>
      </c>
      <c r="N157" s="164">
        <f t="shared" si="57"/>
        <v>0</v>
      </c>
      <c r="O157" s="160">
        <f t="shared" si="58"/>
        <v>0</v>
      </c>
      <c r="P157" s="174">
        <f t="shared" si="59"/>
        <v>71.84</v>
      </c>
      <c r="Q157" s="165">
        <f t="shared" si="60"/>
        <v>0</v>
      </c>
    </row>
    <row r="158" spans="1:17" s="67" customFormat="1" x14ac:dyDescent="0.2">
      <c r="A158" s="155" t="s">
        <v>1576</v>
      </c>
      <c r="B158" s="156">
        <v>89985</v>
      </c>
      <c r="C158" s="156" t="s">
        <v>1324</v>
      </c>
      <c r="D158" s="157" t="s">
        <v>1577</v>
      </c>
      <c r="E158" s="158" t="s">
        <v>102</v>
      </c>
      <c r="F158" s="158">
        <v>8</v>
      </c>
      <c r="G158" s="162">
        <v>9.49</v>
      </c>
      <c r="H158" s="159">
        <v>64.02</v>
      </c>
      <c r="I158" s="160">
        <f t="shared" si="55"/>
        <v>512.16</v>
      </c>
      <c r="J158" s="161">
        <v>0</v>
      </c>
      <c r="K158" s="161">
        <f t="shared" si="56"/>
        <v>0</v>
      </c>
      <c r="L158" s="162"/>
      <c r="M158" s="173">
        <f>0</f>
        <v>0</v>
      </c>
      <c r="N158" s="164">
        <f t="shared" si="57"/>
        <v>0</v>
      </c>
      <c r="O158" s="160">
        <f t="shared" si="58"/>
        <v>0</v>
      </c>
      <c r="P158" s="174">
        <f t="shared" si="59"/>
        <v>512.16</v>
      </c>
      <c r="Q158" s="165">
        <f t="shared" si="60"/>
        <v>0</v>
      </c>
    </row>
    <row r="159" spans="1:17" s="67" customFormat="1" ht="25.5" x14ac:dyDescent="0.2">
      <c r="A159" s="125" t="s">
        <v>1578</v>
      </c>
      <c r="B159" s="126">
        <v>89538</v>
      </c>
      <c r="C159" s="126" t="s">
        <v>1324</v>
      </c>
      <c r="D159" s="127" t="s">
        <v>1579</v>
      </c>
      <c r="E159" s="128" t="s">
        <v>102</v>
      </c>
      <c r="F159" s="128">
        <v>12</v>
      </c>
      <c r="G159" s="137">
        <v>6.56</v>
      </c>
      <c r="H159" s="130">
        <v>2.75</v>
      </c>
      <c r="I159" s="131">
        <f t="shared" si="55"/>
        <v>33</v>
      </c>
      <c r="J159" s="166">
        <f>F159</f>
        <v>12</v>
      </c>
      <c r="K159" s="133">
        <f t="shared" si="56"/>
        <v>12</v>
      </c>
      <c r="L159" s="137"/>
      <c r="M159" s="116">
        <f>0</f>
        <v>0</v>
      </c>
      <c r="N159" s="143">
        <f t="shared" si="57"/>
        <v>33</v>
      </c>
      <c r="O159" s="131">
        <f t="shared" si="58"/>
        <v>33</v>
      </c>
      <c r="P159" s="144">
        <f t="shared" si="59"/>
        <v>0</v>
      </c>
      <c r="Q159" s="136">
        <f t="shared" si="60"/>
        <v>1</v>
      </c>
    </row>
    <row r="160" spans="1:17" s="67" customFormat="1" ht="25.5" x14ac:dyDescent="0.2">
      <c r="A160" s="125" t="s">
        <v>1580</v>
      </c>
      <c r="B160" s="126">
        <v>89553</v>
      </c>
      <c r="C160" s="126" t="s">
        <v>1324</v>
      </c>
      <c r="D160" s="127" t="s">
        <v>1581</v>
      </c>
      <c r="E160" s="128" t="s">
        <v>102</v>
      </c>
      <c r="F160" s="128">
        <v>4</v>
      </c>
      <c r="G160" s="138"/>
      <c r="H160" s="130">
        <v>4.01</v>
      </c>
      <c r="I160" s="131">
        <f t="shared" si="55"/>
        <v>16.04</v>
      </c>
      <c r="J160" s="166">
        <f>F160</f>
        <v>4</v>
      </c>
      <c r="K160" s="133">
        <f t="shared" si="56"/>
        <v>4</v>
      </c>
      <c r="L160" s="138"/>
      <c r="M160" s="116">
        <f>0</f>
        <v>0</v>
      </c>
      <c r="N160" s="143">
        <f t="shared" si="57"/>
        <v>16.04</v>
      </c>
      <c r="O160" s="131">
        <f t="shared" si="58"/>
        <v>16.04</v>
      </c>
      <c r="P160" s="144">
        <f t="shared" si="59"/>
        <v>0</v>
      </c>
      <c r="Q160" s="136">
        <f t="shared" si="60"/>
        <v>1</v>
      </c>
    </row>
    <row r="161" spans="1:17" s="67" customFormat="1" ht="25.5" x14ac:dyDescent="0.2">
      <c r="A161" s="125" t="s">
        <v>1582</v>
      </c>
      <c r="B161" s="126">
        <v>89570</v>
      </c>
      <c r="C161" s="126" t="s">
        <v>1324</v>
      </c>
      <c r="D161" s="127" t="s">
        <v>1583</v>
      </c>
      <c r="E161" s="128" t="s">
        <v>102</v>
      </c>
      <c r="F161" s="128">
        <v>4</v>
      </c>
      <c r="G161" s="137">
        <v>8.41</v>
      </c>
      <c r="H161" s="130">
        <v>6.66</v>
      </c>
      <c r="I161" s="131">
        <f t="shared" si="55"/>
        <v>26.64</v>
      </c>
      <c r="J161" s="166">
        <f>F161</f>
        <v>4</v>
      </c>
      <c r="K161" s="133">
        <f t="shared" si="56"/>
        <v>4</v>
      </c>
      <c r="L161" s="137"/>
      <c r="M161" s="116">
        <f>0</f>
        <v>0</v>
      </c>
      <c r="N161" s="143">
        <f t="shared" si="57"/>
        <v>26.64</v>
      </c>
      <c r="O161" s="131">
        <f t="shared" si="58"/>
        <v>26.64</v>
      </c>
      <c r="P161" s="144">
        <f t="shared" si="59"/>
        <v>0</v>
      </c>
      <c r="Q161" s="136">
        <f t="shared" si="60"/>
        <v>1</v>
      </c>
    </row>
    <row r="162" spans="1:17" s="67" customFormat="1" ht="25.5" x14ac:dyDescent="0.2">
      <c r="A162" s="125" t="s">
        <v>1584</v>
      </c>
      <c r="B162" s="126">
        <v>89596</v>
      </c>
      <c r="C162" s="126" t="s">
        <v>1324</v>
      </c>
      <c r="D162" s="127" t="s">
        <v>1585</v>
      </c>
      <c r="E162" s="128" t="s">
        <v>102</v>
      </c>
      <c r="F162" s="128">
        <v>4</v>
      </c>
      <c r="G162" s="138"/>
      <c r="H162" s="130">
        <v>7.49</v>
      </c>
      <c r="I162" s="131">
        <f t="shared" si="55"/>
        <v>29.96</v>
      </c>
      <c r="J162" s="166">
        <f>F162</f>
        <v>4</v>
      </c>
      <c r="K162" s="133">
        <f t="shared" si="56"/>
        <v>4</v>
      </c>
      <c r="L162" s="138"/>
      <c r="M162" s="116">
        <f>0</f>
        <v>0</v>
      </c>
      <c r="N162" s="143">
        <f t="shared" si="57"/>
        <v>29.96</v>
      </c>
      <c r="O162" s="131">
        <f t="shared" si="58"/>
        <v>29.96</v>
      </c>
      <c r="P162" s="144">
        <f t="shared" si="59"/>
        <v>0</v>
      </c>
      <c r="Q162" s="136">
        <f t="shared" si="60"/>
        <v>1</v>
      </c>
    </row>
    <row r="163" spans="1:17" s="67" customFormat="1" x14ac:dyDescent="0.2">
      <c r="A163" s="125" t="s">
        <v>1586</v>
      </c>
      <c r="B163" s="126">
        <v>86884</v>
      </c>
      <c r="C163" s="126" t="s">
        <v>1324</v>
      </c>
      <c r="D163" s="127" t="s">
        <v>1587</v>
      </c>
      <c r="E163" s="128" t="s">
        <v>102</v>
      </c>
      <c r="F163" s="128">
        <v>10</v>
      </c>
      <c r="G163" s="137">
        <v>6.56</v>
      </c>
      <c r="H163" s="130">
        <v>6.05</v>
      </c>
      <c r="I163" s="131">
        <f t="shared" si="55"/>
        <v>60.5</v>
      </c>
      <c r="J163" s="166">
        <f>F163</f>
        <v>10</v>
      </c>
      <c r="K163" s="133">
        <f t="shared" si="56"/>
        <v>10</v>
      </c>
      <c r="L163" s="137"/>
      <c r="M163" s="116">
        <f>0</f>
        <v>0</v>
      </c>
      <c r="N163" s="143">
        <f t="shared" si="57"/>
        <v>60.5</v>
      </c>
      <c r="O163" s="131">
        <f t="shared" si="58"/>
        <v>60.5</v>
      </c>
      <c r="P163" s="144">
        <f t="shared" si="59"/>
        <v>0</v>
      </c>
      <c r="Q163" s="136">
        <f t="shared" si="60"/>
        <v>1</v>
      </c>
    </row>
    <row r="164" spans="1:17" s="67" customFormat="1" x14ac:dyDescent="0.2">
      <c r="A164" s="125" t="s">
        <v>1588</v>
      </c>
      <c r="B164" s="126">
        <v>72789</v>
      </c>
      <c r="C164" s="126" t="s">
        <v>1324</v>
      </c>
      <c r="D164" s="127" t="s">
        <v>1589</v>
      </c>
      <c r="E164" s="128" t="s">
        <v>102</v>
      </c>
      <c r="F164" s="128">
        <v>3</v>
      </c>
      <c r="G164" s="137">
        <v>9.49</v>
      </c>
      <c r="H164" s="130">
        <v>16.59</v>
      </c>
      <c r="I164" s="131">
        <f t="shared" si="55"/>
        <v>49.77</v>
      </c>
      <c r="J164" s="133">
        <v>0</v>
      </c>
      <c r="K164" s="133">
        <f t="shared" si="56"/>
        <v>0</v>
      </c>
      <c r="L164" s="137"/>
      <c r="M164" s="128">
        <f>F164</f>
        <v>3</v>
      </c>
      <c r="N164" s="143">
        <f t="shared" si="57"/>
        <v>0</v>
      </c>
      <c r="O164" s="131">
        <f t="shared" si="58"/>
        <v>0</v>
      </c>
      <c r="P164" s="144">
        <f t="shared" si="59"/>
        <v>49.77</v>
      </c>
      <c r="Q164" s="136">
        <f t="shared" si="60"/>
        <v>0</v>
      </c>
    </row>
    <row r="165" spans="1:17" s="67" customFormat="1" x14ac:dyDescent="0.2">
      <c r="A165" s="125" t="s">
        <v>1590</v>
      </c>
      <c r="B165" s="126">
        <v>72792</v>
      </c>
      <c r="C165" s="126" t="s">
        <v>1324</v>
      </c>
      <c r="D165" s="127" t="s">
        <v>1591</v>
      </c>
      <c r="E165" s="128" t="s">
        <v>102</v>
      </c>
      <c r="F165" s="128">
        <v>2</v>
      </c>
      <c r="G165" s="138"/>
      <c r="H165" s="130">
        <v>32.79</v>
      </c>
      <c r="I165" s="131">
        <f t="shared" si="55"/>
        <v>65.58</v>
      </c>
      <c r="J165" s="133">
        <v>0</v>
      </c>
      <c r="K165" s="133">
        <f t="shared" si="56"/>
        <v>0</v>
      </c>
      <c r="L165" s="138"/>
      <c r="M165" s="128">
        <f>F165</f>
        <v>2</v>
      </c>
      <c r="N165" s="143">
        <f t="shared" si="57"/>
        <v>0</v>
      </c>
      <c r="O165" s="131">
        <f t="shared" si="58"/>
        <v>0</v>
      </c>
      <c r="P165" s="144">
        <f t="shared" si="59"/>
        <v>65.58</v>
      </c>
      <c r="Q165" s="136">
        <f t="shared" si="60"/>
        <v>0</v>
      </c>
    </row>
    <row r="166" spans="1:17" s="67" customFormat="1" x14ac:dyDescent="0.2">
      <c r="A166" s="125" t="s">
        <v>1592</v>
      </c>
      <c r="B166" s="126"/>
      <c r="C166" s="126" t="s">
        <v>1339</v>
      </c>
      <c r="D166" s="127" t="s">
        <v>1593</v>
      </c>
      <c r="E166" s="128" t="s">
        <v>102</v>
      </c>
      <c r="F166" s="128">
        <v>1</v>
      </c>
      <c r="G166" s="137">
        <v>13.87</v>
      </c>
      <c r="H166" s="130">
        <v>1286.6600000000001</v>
      </c>
      <c r="I166" s="131">
        <f t="shared" si="55"/>
        <v>1286.6600000000001</v>
      </c>
      <c r="J166" s="133">
        <v>0</v>
      </c>
      <c r="K166" s="133">
        <f t="shared" si="56"/>
        <v>0</v>
      </c>
      <c r="L166" s="137"/>
      <c r="M166" s="128">
        <f>F166</f>
        <v>1</v>
      </c>
      <c r="N166" s="143">
        <f t="shared" si="57"/>
        <v>0</v>
      </c>
      <c r="O166" s="131">
        <f t="shared" si="58"/>
        <v>0</v>
      </c>
      <c r="P166" s="144">
        <f t="shared" si="59"/>
        <v>1286.6600000000001</v>
      </c>
      <c r="Q166" s="136">
        <f t="shared" si="60"/>
        <v>0</v>
      </c>
    </row>
    <row r="167" spans="1:17" s="67" customFormat="1" x14ac:dyDescent="0.2">
      <c r="A167" s="113">
        <v>13</v>
      </c>
      <c r="B167" s="114"/>
      <c r="C167" s="114"/>
      <c r="D167" s="115" t="s">
        <v>1594</v>
      </c>
      <c r="E167" s="116"/>
      <c r="F167" s="116">
        <f>SUM(F168,F180)</f>
        <v>201</v>
      </c>
      <c r="G167" s="116">
        <f t="shared" ref="G167:P167" si="61">SUM(G168,G180)</f>
        <v>3913.2000000000007</v>
      </c>
      <c r="H167" s="116">
        <f t="shared" si="61"/>
        <v>12810.78</v>
      </c>
      <c r="I167" s="116">
        <f t="shared" si="61"/>
        <v>16851.89</v>
      </c>
      <c r="J167" s="150">
        <f t="shared" si="61"/>
        <v>161</v>
      </c>
      <c r="K167" s="121">
        <f>J167</f>
        <v>161</v>
      </c>
      <c r="L167" s="116">
        <f t="shared" si="61"/>
        <v>0</v>
      </c>
      <c r="M167" s="116">
        <f t="shared" si="61"/>
        <v>40</v>
      </c>
      <c r="N167" s="116">
        <f t="shared" si="61"/>
        <v>3052.9100000000003</v>
      </c>
      <c r="O167" s="116">
        <f t="shared" si="61"/>
        <v>3052.9100000000003</v>
      </c>
      <c r="P167" s="116">
        <f t="shared" si="61"/>
        <v>13798.98</v>
      </c>
      <c r="Q167" s="123">
        <f t="shared" si="60"/>
        <v>0.18116128220632821</v>
      </c>
    </row>
    <row r="168" spans="1:17" s="124" customFormat="1" x14ac:dyDescent="0.2">
      <c r="A168" s="113" t="s">
        <v>306</v>
      </c>
      <c r="B168" s="114"/>
      <c r="C168" s="114"/>
      <c r="D168" s="115" t="s">
        <v>1516</v>
      </c>
      <c r="E168" s="116"/>
      <c r="F168" s="116">
        <f>SUM(F169:F179)</f>
        <v>161</v>
      </c>
      <c r="G168" s="116">
        <f>SUM(G169:G179)</f>
        <v>1253.5100000000004</v>
      </c>
      <c r="H168" s="116">
        <f>SUM(H169:H179)</f>
        <v>199.35</v>
      </c>
      <c r="I168" s="177">
        <f>SUM(I169:I179)</f>
        <v>3052.9100000000003</v>
      </c>
      <c r="J168" s="150">
        <f>SUM(J169:J179)</f>
        <v>161</v>
      </c>
      <c r="K168" s="121">
        <f>J168</f>
        <v>161</v>
      </c>
      <c r="L168" s="116">
        <f>SUM(L169:L179)</f>
        <v>0</v>
      </c>
      <c r="M168" s="116">
        <f>0</f>
        <v>0</v>
      </c>
      <c r="N168" s="116">
        <f>SUM(N169:N179)</f>
        <v>3052.9100000000003</v>
      </c>
      <c r="O168" s="116">
        <f>SUM(O169:O179)</f>
        <v>3052.9100000000003</v>
      </c>
      <c r="P168" s="116">
        <f>0</f>
        <v>0</v>
      </c>
      <c r="Q168" s="123">
        <f t="shared" si="60"/>
        <v>1</v>
      </c>
    </row>
    <row r="169" spans="1:17" s="67" customFormat="1" x14ac:dyDescent="0.2">
      <c r="A169" s="125" t="s">
        <v>1595</v>
      </c>
      <c r="B169" s="126">
        <v>89711</v>
      </c>
      <c r="C169" s="126" t="s">
        <v>1324</v>
      </c>
      <c r="D169" s="127" t="s">
        <v>1596</v>
      </c>
      <c r="E169" s="128" t="s">
        <v>81</v>
      </c>
      <c r="F169" s="128">
        <v>47.5</v>
      </c>
      <c r="G169" s="138"/>
      <c r="H169" s="130">
        <v>13.04</v>
      </c>
      <c r="I169" s="131">
        <f t="shared" ref="I169:I188" si="62">ROUND(F169*H169,2)</f>
        <v>619.4</v>
      </c>
      <c r="J169" s="166">
        <f>F169</f>
        <v>47.5</v>
      </c>
      <c r="K169" s="133">
        <f>J169</f>
        <v>47.5</v>
      </c>
      <c r="L169" s="138"/>
      <c r="M169" s="116">
        <f>0</f>
        <v>0</v>
      </c>
      <c r="N169" s="143">
        <f>J169*H169</f>
        <v>619.4</v>
      </c>
      <c r="O169" s="131">
        <f>K169*H169</f>
        <v>619.4</v>
      </c>
      <c r="P169" s="116">
        <f>0</f>
        <v>0</v>
      </c>
      <c r="Q169" s="136">
        <f t="shared" si="60"/>
        <v>1</v>
      </c>
    </row>
    <row r="170" spans="1:17" s="67" customFormat="1" x14ac:dyDescent="0.2">
      <c r="A170" s="125" t="s">
        <v>1597</v>
      </c>
      <c r="B170" s="126">
        <v>89712</v>
      </c>
      <c r="C170" s="126" t="s">
        <v>1324</v>
      </c>
      <c r="D170" s="127" t="s">
        <v>1598</v>
      </c>
      <c r="E170" s="128" t="s">
        <v>81</v>
      </c>
      <c r="F170" s="128">
        <v>21.5</v>
      </c>
      <c r="G170" s="138"/>
      <c r="H170" s="130">
        <v>18.98</v>
      </c>
      <c r="I170" s="131">
        <f t="shared" si="62"/>
        <v>408.07</v>
      </c>
      <c r="J170" s="166">
        <f t="shared" ref="J170:J179" si="63">F170</f>
        <v>21.5</v>
      </c>
      <c r="K170" s="133">
        <f t="shared" ref="K170:K179" si="64">J170</f>
        <v>21.5</v>
      </c>
      <c r="L170" s="138"/>
      <c r="M170" s="116">
        <f>0</f>
        <v>0</v>
      </c>
      <c r="N170" s="143">
        <f>J170*H170</f>
        <v>408.07</v>
      </c>
      <c r="O170" s="131">
        <f>K170*H170</f>
        <v>408.07</v>
      </c>
      <c r="P170" s="116">
        <f>0</f>
        <v>0</v>
      </c>
      <c r="Q170" s="136">
        <f t="shared" si="60"/>
        <v>1</v>
      </c>
    </row>
    <row r="171" spans="1:17" s="67" customFormat="1" x14ac:dyDescent="0.2">
      <c r="A171" s="125" t="s">
        <v>1599</v>
      </c>
      <c r="B171" s="126">
        <v>89714</v>
      </c>
      <c r="C171" s="126" t="s">
        <v>1324</v>
      </c>
      <c r="D171" s="127" t="s">
        <v>1600</v>
      </c>
      <c r="E171" s="128" t="s">
        <v>81</v>
      </c>
      <c r="F171" s="128">
        <v>36</v>
      </c>
      <c r="G171" s="137">
        <v>224.11</v>
      </c>
      <c r="H171" s="130">
        <v>36.869999999999997</v>
      </c>
      <c r="I171" s="131">
        <f t="shared" si="62"/>
        <v>1327.32</v>
      </c>
      <c r="J171" s="166">
        <f t="shared" si="63"/>
        <v>36</v>
      </c>
      <c r="K171" s="133">
        <f t="shared" si="64"/>
        <v>36</v>
      </c>
      <c r="L171" s="137"/>
      <c r="M171" s="116">
        <f>0</f>
        <v>0</v>
      </c>
      <c r="N171" s="143">
        <f>J171*H171</f>
        <v>1327.32</v>
      </c>
      <c r="O171" s="131">
        <f>K171*H171</f>
        <v>1327.32</v>
      </c>
      <c r="P171" s="116">
        <f>0</f>
        <v>0</v>
      </c>
      <c r="Q171" s="136">
        <f t="shared" si="60"/>
        <v>1</v>
      </c>
    </row>
    <row r="172" spans="1:17" s="67" customFormat="1" x14ac:dyDescent="0.2">
      <c r="A172" s="125" t="s">
        <v>1601</v>
      </c>
      <c r="B172" s="126">
        <v>89726</v>
      </c>
      <c r="C172" s="126" t="s">
        <v>1324</v>
      </c>
      <c r="D172" s="127" t="s">
        <v>1602</v>
      </c>
      <c r="E172" s="128" t="s">
        <v>102</v>
      </c>
      <c r="F172" s="128">
        <v>7</v>
      </c>
      <c r="G172" s="137">
        <v>312.5</v>
      </c>
      <c r="H172" s="130">
        <v>6.33</v>
      </c>
      <c r="I172" s="131">
        <f t="shared" si="62"/>
        <v>44.31</v>
      </c>
      <c r="J172" s="166">
        <f t="shared" si="63"/>
        <v>7</v>
      </c>
      <c r="K172" s="133">
        <f t="shared" si="64"/>
        <v>7</v>
      </c>
      <c r="L172" s="137"/>
      <c r="M172" s="116">
        <f>0</f>
        <v>0</v>
      </c>
      <c r="N172" s="143">
        <f>J172*H172</f>
        <v>44.31</v>
      </c>
      <c r="O172" s="131">
        <f>K172*H172</f>
        <v>44.31</v>
      </c>
      <c r="P172" s="116">
        <f>0</f>
        <v>0</v>
      </c>
      <c r="Q172" s="136">
        <f t="shared" si="60"/>
        <v>1</v>
      </c>
    </row>
    <row r="173" spans="1:17" s="67" customFormat="1" x14ac:dyDescent="0.2">
      <c r="A173" s="125" t="s">
        <v>1603</v>
      </c>
      <c r="B173" s="126">
        <v>89744</v>
      </c>
      <c r="C173" s="126" t="s">
        <v>1324</v>
      </c>
      <c r="D173" s="127" t="s">
        <v>1604</v>
      </c>
      <c r="E173" s="128" t="s">
        <v>102</v>
      </c>
      <c r="F173" s="128">
        <v>6</v>
      </c>
      <c r="G173" s="137">
        <v>323.14</v>
      </c>
      <c r="H173" s="130">
        <v>16.600000000000001</v>
      </c>
      <c r="I173" s="131">
        <f t="shared" si="62"/>
        <v>99.6</v>
      </c>
      <c r="J173" s="166">
        <f t="shared" si="63"/>
        <v>6</v>
      </c>
      <c r="K173" s="133">
        <f t="shared" si="64"/>
        <v>6</v>
      </c>
      <c r="L173" s="137"/>
      <c r="M173" s="116">
        <f>0</f>
        <v>0</v>
      </c>
      <c r="N173" s="143">
        <f>J173*H173</f>
        <v>99.600000000000009</v>
      </c>
      <c r="O173" s="131">
        <f>K173*H173</f>
        <v>99.600000000000009</v>
      </c>
      <c r="P173" s="116">
        <f>0</f>
        <v>0</v>
      </c>
      <c r="Q173" s="136">
        <f t="shared" si="60"/>
        <v>1.0000000000000002</v>
      </c>
    </row>
    <row r="174" spans="1:17" s="67" customFormat="1" x14ac:dyDescent="0.2">
      <c r="A174" s="125" t="s">
        <v>1605</v>
      </c>
      <c r="B174" s="126">
        <v>89724</v>
      </c>
      <c r="C174" s="126" t="s">
        <v>1324</v>
      </c>
      <c r="D174" s="127" t="s">
        <v>1606</v>
      </c>
      <c r="E174" s="128" t="s">
        <v>102</v>
      </c>
      <c r="F174" s="128">
        <v>10</v>
      </c>
      <c r="G174" s="137">
        <v>224.11</v>
      </c>
      <c r="H174" s="130">
        <v>5.6</v>
      </c>
      <c r="I174" s="131">
        <f t="shared" si="62"/>
        <v>56</v>
      </c>
      <c r="J174" s="166">
        <f t="shared" si="63"/>
        <v>10</v>
      </c>
      <c r="K174" s="133">
        <f t="shared" si="64"/>
        <v>10</v>
      </c>
      <c r="L174" s="137"/>
      <c r="M174" s="116">
        <f>0</f>
        <v>0</v>
      </c>
      <c r="N174" s="143">
        <f t="shared" ref="N174:N192" si="65">J174*H174</f>
        <v>56</v>
      </c>
      <c r="O174" s="131">
        <f t="shared" ref="O174:O192" si="66">K174*H174</f>
        <v>56</v>
      </c>
      <c r="P174" s="116">
        <f>0</f>
        <v>0</v>
      </c>
      <c r="Q174" s="136">
        <f t="shared" si="60"/>
        <v>1</v>
      </c>
    </row>
    <row r="175" spans="1:17" s="67" customFormat="1" x14ac:dyDescent="0.2">
      <c r="A175" s="125" t="s">
        <v>1607</v>
      </c>
      <c r="B175" s="126">
        <v>89827</v>
      </c>
      <c r="C175" s="126" t="s">
        <v>1324</v>
      </c>
      <c r="D175" s="127" t="s">
        <v>1608</v>
      </c>
      <c r="E175" s="128" t="s">
        <v>102</v>
      </c>
      <c r="F175" s="128">
        <v>6</v>
      </c>
      <c r="G175" s="137">
        <v>33.93</v>
      </c>
      <c r="H175" s="130">
        <v>10.23</v>
      </c>
      <c r="I175" s="131">
        <f t="shared" si="62"/>
        <v>61.38</v>
      </c>
      <c r="J175" s="166">
        <f t="shared" si="63"/>
        <v>6</v>
      </c>
      <c r="K175" s="133">
        <f t="shared" si="64"/>
        <v>6</v>
      </c>
      <c r="L175" s="137"/>
      <c r="M175" s="116">
        <f>0</f>
        <v>0</v>
      </c>
      <c r="N175" s="143">
        <f t="shared" si="65"/>
        <v>61.38</v>
      </c>
      <c r="O175" s="131">
        <f t="shared" si="66"/>
        <v>61.38</v>
      </c>
      <c r="P175" s="116">
        <f>0</f>
        <v>0</v>
      </c>
      <c r="Q175" s="136">
        <f t="shared" si="60"/>
        <v>1</v>
      </c>
    </row>
    <row r="176" spans="1:17" s="67" customFormat="1" x14ac:dyDescent="0.2">
      <c r="A176" s="125" t="s">
        <v>1609</v>
      </c>
      <c r="B176" s="126">
        <v>89834</v>
      </c>
      <c r="C176" s="126" t="s">
        <v>1324</v>
      </c>
      <c r="D176" s="127" t="s">
        <v>1610</v>
      </c>
      <c r="E176" s="128" t="s">
        <v>102</v>
      </c>
      <c r="F176" s="128">
        <v>5</v>
      </c>
      <c r="G176" s="137">
        <v>33.93</v>
      </c>
      <c r="H176" s="130">
        <v>25.46</v>
      </c>
      <c r="I176" s="131">
        <f t="shared" si="62"/>
        <v>127.3</v>
      </c>
      <c r="J176" s="166">
        <f t="shared" si="63"/>
        <v>5</v>
      </c>
      <c r="K176" s="133">
        <f t="shared" si="64"/>
        <v>5</v>
      </c>
      <c r="L176" s="137"/>
      <c r="M176" s="116">
        <f>0</f>
        <v>0</v>
      </c>
      <c r="N176" s="143">
        <f t="shared" si="65"/>
        <v>127.30000000000001</v>
      </c>
      <c r="O176" s="131">
        <f t="shared" si="66"/>
        <v>127.30000000000001</v>
      </c>
      <c r="P176" s="116">
        <f>0</f>
        <v>0</v>
      </c>
      <c r="Q176" s="136">
        <f t="shared" si="60"/>
        <v>1.0000000000000002</v>
      </c>
    </row>
    <row r="177" spans="1:17" s="67" customFormat="1" x14ac:dyDescent="0.2">
      <c r="A177" s="125" t="s">
        <v>1611</v>
      </c>
      <c r="B177" s="126">
        <v>89797</v>
      </c>
      <c r="C177" s="126" t="s">
        <v>1324</v>
      </c>
      <c r="D177" s="127" t="s">
        <v>1612</v>
      </c>
      <c r="E177" s="128" t="s">
        <v>102</v>
      </c>
      <c r="F177" s="128">
        <v>5</v>
      </c>
      <c r="G177" s="137">
        <v>33.93</v>
      </c>
      <c r="H177" s="130">
        <v>31.16</v>
      </c>
      <c r="I177" s="131">
        <f t="shared" si="62"/>
        <v>155.80000000000001</v>
      </c>
      <c r="J177" s="166">
        <f t="shared" si="63"/>
        <v>5</v>
      </c>
      <c r="K177" s="133">
        <f t="shared" si="64"/>
        <v>5</v>
      </c>
      <c r="L177" s="137"/>
      <c r="M177" s="116">
        <f>0</f>
        <v>0</v>
      </c>
      <c r="N177" s="143">
        <f t="shared" si="65"/>
        <v>155.80000000000001</v>
      </c>
      <c r="O177" s="131">
        <f t="shared" si="66"/>
        <v>155.80000000000001</v>
      </c>
      <c r="P177" s="116">
        <f>0</f>
        <v>0</v>
      </c>
      <c r="Q177" s="136">
        <f t="shared" si="60"/>
        <v>1</v>
      </c>
    </row>
    <row r="178" spans="1:17" s="67" customFormat="1" x14ac:dyDescent="0.2">
      <c r="A178" s="125" t="s">
        <v>1613</v>
      </c>
      <c r="B178" s="126">
        <v>89852</v>
      </c>
      <c r="C178" s="126" t="s">
        <v>1324</v>
      </c>
      <c r="D178" s="127" t="s">
        <v>1614</v>
      </c>
      <c r="E178" s="128" t="s">
        <v>102</v>
      </c>
      <c r="F178" s="128">
        <v>1</v>
      </c>
      <c r="G178" s="137">
        <v>33.93</v>
      </c>
      <c r="H178" s="130">
        <v>27.17</v>
      </c>
      <c r="I178" s="131">
        <f t="shared" si="62"/>
        <v>27.17</v>
      </c>
      <c r="J178" s="166">
        <f t="shared" si="63"/>
        <v>1</v>
      </c>
      <c r="K178" s="133">
        <f t="shared" si="64"/>
        <v>1</v>
      </c>
      <c r="L178" s="137"/>
      <c r="M178" s="116">
        <f>0</f>
        <v>0</v>
      </c>
      <c r="N178" s="143">
        <f t="shared" si="65"/>
        <v>27.17</v>
      </c>
      <c r="O178" s="131">
        <f t="shared" si="66"/>
        <v>27.17</v>
      </c>
      <c r="P178" s="116">
        <f>0</f>
        <v>0</v>
      </c>
      <c r="Q178" s="136">
        <f t="shared" si="60"/>
        <v>1</v>
      </c>
    </row>
    <row r="179" spans="1:17" s="67" customFormat="1" x14ac:dyDescent="0.2">
      <c r="A179" s="125" t="s">
        <v>1615</v>
      </c>
      <c r="B179" s="126">
        <v>89728</v>
      </c>
      <c r="C179" s="126" t="s">
        <v>1324</v>
      </c>
      <c r="D179" s="127" t="s">
        <v>1616</v>
      </c>
      <c r="E179" s="128" t="s">
        <v>102</v>
      </c>
      <c r="F179" s="128">
        <v>16</v>
      </c>
      <c r="G179" s="137">
        <v>33.93</v>
      </c>
      <c r="H179" s="130">
        <v>7.91</v>
      </c>
      <c r="I179" s="131">
        <f t="shared" si="62"/>
        <v>126.56</v>
      </c>
      <c r="J179" s="166">
        <f t="shared" si="63"/>
        <v>16</v>
      </c>
      <c r="K179" s="133">
        <f t="shared" si="64"/>
        <v>16</v>
      </c>
      <c r="L179" s="137"/>
      <c r="M179" s="116">
        <f>0</f>
        <v>0</v>
      </c>
      <c r="N179" s="143">
        <f t="shared" si="65"/>
        <v>126.56</v>
      </c>
      <c r="O179" s="131">
        <f t="shared" si="66"/>
        <v>126.56</v>
      </c>
      <c r="P179" s="116">
        <f>0</f>
        <v>0</v>
      </c>
      <c r="Q179" s="136">
        <f t="shared" si="60"/>
        <v>1</v>
      </c>
    </row>
    <row r="180" spans="1:17" s="124" customFormat="1" x14ac:dyDescent="0.2">
      <c r="A180" s="113" t="s">
        <v>309</v>
      </c>
      <c r="B180" s="114"/>
      <c r="C180" s="114"/>
      <c r="D180" s="115" t="s">
        <v>1617</v>
      </c>
      <c r="E180" s="116"/>
      <c r="F180" s="116">
        <f t="shared" ref="F180:P180" si="67">SUM(F181:F188)</f>
        <v>40</v>
      </c>
      <c r="G180" s="116">
        <f t="shared" si="67"/>
        <v>2659.6900000000005</v>
      </c>
      <c r="H180" s="116">
        <f t="shared" si="67"/>
        <v>12611.43</v>
      </c>
      <c r="I180" s="116">
        <f t="shared" si="67"/>
        <v>13798.98</v>
      </c>
      <c r="J180" s="116">
        <f t="shared" si="67"/>
        <v>0</v>
      </c>
      <c r="K180" s="116">
        <f t="shared" si="67"/>
        <v>0</v>
      </c>
      <c r="L180" s="116">
        <f t="shared" si="67"/>
        <v>0</v>
      </c>
      <c r="M180" s="116">
        <f t="shared" si="67"/>
        <v>40</v>
      </c>
      <c r="N180" s="116">
        <f t="shared" si="67"/>
        <v>0</v>
      </c>
      <c r="O180" s="116">
        <f t="shared" si="67"/>
        <v>0</v>
      </c>
      <c r="P180" s="116">
        <f t="shared" si="67"/>
        <v>13798.98</v>
      </c>
      <c r="Q180" s="123">
        <f t="shared" si="60"/>
        <v>0</v>
      </c>
    </row>
    <row r="181" spans="1:17" s="67" customFormat="1" x14ac:dyDescent="0.2">
      <c r="A181" s="125" t="s">
        <v>1618</v>
      </c>
      <c r="B181" s="126"/>
      <c r="C181" s="126" t="s">
        <v>1339</v>
      </c>
      <c r="D181" s="127" t="s">
        <v>1619</v>
      </c>
      <c r="E181" s="128" t="s">
        <v>102</v>
      </c>
      <c r="F181" s="128">
        <v>6</v>
      </c>
      <c r="G181" s="137">
        <v>190.09</v>
      </c>
      <c r="H181" s="130">
        <v>46.81</v>
      </c>
      <c r="I181" s="131">
        <f t="shared" si="62"/>
        <v>280.86</v>
      </c>
      <c r="J181" s="116">
        <f t="shared" ref="J181:K188" si="68">SUM(J182:J189)</f>
        <v>0</v>
      </c>
      <c r="K181" s="116">
        <f t="shared" si="68"/>
        <v>0</v>
      </c>
      <c r="L181" s="137"/>
      <c r="M181" s="137">
        <f t="shared" ref="M181:M192" si="69">F181-K181</f>
        <v>6</v>
      </c>
      <c r="N181" s="143">
        <f t="shared" si="65"/>
        <v>0</v>
      </c>
      <c r="O181" s="131">
        <f t="shared" si="66"/>
        <v>0</v>
      </c>
      <c r="P181" s="144">
        <f t="shared" ref="P181:P192" si="70">I181-O181</f>
        <v>280.86</v>
      </c>
      <c r="Q181" s="136">
        <f t="shared" si="60"/>
        <v>0</v>
      </c>
    </row>
    <row r="182" spans="1:17" s="67" customFormat="1" x14ac:dyDescent="0.2">
      <c r="A182" s="125" t="s">
        <v>1620</v>
      </c>
      <c r="B182" s="126" t="s">
        <v>1621</v>
      </c>
      <c r="C182" s="126" t="s">
        <v>1324</v>
      </c>
      <c r="D182" s="127" t="s">
        <v>1622</v>
      </c>
      <c r="E182" s="128" t="s">
        <v>102</v>
      </c>
      <c r="F182" s="128">
        <v>2</v>
      </c>
      <c r="G182" s="137">
        <v>222.14</v>
      </c>
      <c r="H182" s="130">
        <v>367.21</v>
      </c>
      <c r="I182" s="131">
        <f t="shared" si="62"/>
        <v>734.42</v>
      </c>
      <c r="J182" s="116">
        <f t="shared" si="68"/>
        <v>0</v>
      </c>
      <c r="K182" s="116">
        <f t="shared" si="68"/>
        <v>0</v>
      </c>
      <c r="L182" s="137"/>
      <c r="M182" s="137">
        <f t="shared" si="69"/>
        <v>2</v>
      </c>
      <c r="N182" s="143">
        <f t="shared" si="65"/>
        <v>0</v>
      </c>
      <c r="O182" s="131">
        <f t="shared" si="66"/>
        <v>0</v>
      </c>
      <c r="P182" s="144">
        <f t="shared" si="70"/>
        <v>734.42</v>
      </c>
      <c r="Q182" s="136">
        <f t="shared" si="60"/>
        <v>0</v>
      </c>
    </row>
    <row r="183" spans="1:17" s="67" customFormat="1" x14ac:dyDescent="0.2">
      <c r="A183" s="125" t="s">
        <v>1623</v>
      </c>
      <c r="B183" s="126">
        <v>89710</v>
      </c>
      <c r="C183" s="126" t="s">
        <v>1324</v>
      </c>
      <c r="D183" s="127" t="s">
        <v>1624</v>
      </c>
      <c r="E183" s="128" t="s">
        <v>102</v>
      </c>
      <c r="F183" s="128">
        <v>6</v>
      </c>
      <c r="G183" s="137">
        <v>474.97</v>
      </c>
      <c r="H183" s="130">
        <v>7.75</v>
      </c>
      <c r="I183" s="131">
        <f t="shared" si="62"/>
        <v>46.5</v>
      </c>
      <c r="J183" s="116">
        <f t="shared" si="68"/>
        <v>0</v>
      </c>
      <c r="K183" s="116">
        <f t="shared" si="68"/>
        <v>0</v>
      </c>
      <c r="L183" s="137"/>
      <c r="M183" s="137">
        <f t="shared" si="69"/>
        <v>6</v>
      </c>
      <c r="N183" s="143">
        <f t="shared" si="65"/>
        <v>0</v>
      </c>
      <c r="O183" s="131">
        <f t="shared" si="66"/>
        <v>0</v>
      </c>
      <c r="P183" s="144">
        <f t="shared" si="70"/>
        <v>46.5</v>
      </c>
      <c r="Q183" s="136">
        <f t="shared" si="60"/>
        <v>0</v>
      </c>
    </row>
    <row r="184" spans="1:17" s="67" customFormat="1" x14ac:dyDescent="0.2">
      <c r="A184" s="125" t="s">
        <v>1625</v>
      </c>
      <c r="B184" s="126">
        <v>89798</v>
      </c>
      <c r="C184" s="126" t="s">
        <v>1324</v>
      </c>
      <c r="D184" s="127" t="s">
        <v>1626</v>
      </c>
      <c r="E184" s="128" t="s">
        <v>81</v>
      </c>
      <c r="F184" s="128">
        <v>8</v>
      </c>
      <c r="G184" s="137">
        <v>891.52</v>
      </c>
      <c r="H184" s="130">
        <v>6.93</v>
      </c>
      <c r="I184" s="131">
        <f t="shared" si="62"/>
        <v>55.44</v>
      </c>
      <c r="J184" s="116">
        <f t="shared" si="68"/>
        <v>0</v>
      </c>
      <c r="K184" s="116">
        <f t="shared" si="68"/>
        <v>0</v>
      </c>
      <c r="L184" s="137"/>
      <c r="M184" s="137">
        <f t="shared" si="69"/>
        <v>8</v>
      </c>
      <c r="N184" s="143">
        <f t="shared" si="65"/>
        <v>0</v>
      </c>
      <c r="O184" s="131">
        <f t="shared" si="66"/>
        <v>0</v>
      </c>
      <c r="P184" s="144">
        <f t="shared" si="70"/>
        <v>55.44</v>
      </c>
      <c r="Q184" s="136">
        <f t="shared" si="60"/>
        <v>0</v>
      </c>
    </row>
    <row r="185" spans="1:17" s="67" customFormat="1" x14ac:dyDescent="0.2">
      <c r="A185" s="125" t="s">
        <v>1627</v>
      </c>
      <c r="B185" s="126">
        <v>86882</v>
      </c>
      <c r="C185" s="126" t="s">
        <v>1324</v>
      </c>
      <c r="D185" s="127" t="s">
        <v>1628</v>
      </c>
      <c r="E185" s="128" t="s">
        <v>102</v>
      </c>
      <c r="F185" s="128">
        <v>8</v>
      </c>
      <c r="G185" s="137">
        <v>179</v>
      </c>
      <c r="H185" s="130">
        <v>13.42</v>
      </c>
      <c r="I185" s="131">
        <f t="shared" si="62"/>
        <v>107.36</v>
      </c>
      <c r="J185" s="116">
        <f t="shared" si="68"/>
        <v>0</v>
      </c>
      <c r="K185" s="116">
        <f t="shared" si="68"/>
        <v>0</v>
      </c>
      <c r="L185" s="137"/>
      <c r="M185" s="137">
        <f t="shared" si="69"/>
        <v>8</v>
      </c>
      <c r="N185" s="143">
        <f t="shared" si="65"/>
        <v>0</v>
      </c>
      <c r="O185" s="131">
        <f t="shared" si="66"/>
        <v>0</v>
      </c>
      <c r="P185" s="144">
        <f t="shared" si="70"/>
        <v>107.36</v>
      </c>
      <c r="Q185" s="136">
        <f t="shared" si="60"/>
        <v>0</v>
      </c>
    </row>
    <row r="186" spans="1:17" s="67" customFormat="1" x14ac:dyDescent="0.2">
      <c r="A186" s="125" t="s">
        <v>1629</v>
      </c>
      <c r="B186" s="126" t="s">
        <v>1630</v>
      </c>
      <c r="C186" s="126" t="s">
        <v>1324</v>
      </c>
      <c r="D186" s="127" t="s">
        <v>1631</v>
      </c>
      <c r="E186" s="128" t="s">
        <v>102</v>
      </c>
      <c r="F186" s="128">
        <v>8</v>
      </c>
      <c r="G186" s="137">
        <v>144</v>
      </c>
      <c r="H186" s="130">
        <v>57.87</v>
      </c>
      <c r="I186" s="131">
        <f t="shared" si="62"/>
        <v>462.96</v>
      </c>
      <c r="J186" s="116">
        <f t="shared" si="68"/>
        <v>0</v>
      </c>
      <c r="K186" s="116">
        <f t="shared" si="68"/>
        <v>0</v>
      </c>
      <c r="L186" s="137"/>
      <c r="M186" s="137">
        <f t="shared" si="69"/>
        <v>8</v>
      </c>
      <c r="N186" s="143">
        <f t="shared" si="65"/>
        <v>0</v>
      </c>
      <c r="O186" s="131">
        <f t="shared" si="66"/>
        <v>0</v>
      </c>
      <c r="P186" s="144">
        <f t="shared" si="70"/>
        <v>462.96</v>
      </c>
      <c r="Q186" s="136">
        <f t="shared" si="60"/>
        <v>0</v>
      </c>
    </row>
    <row r="187" spans="1:17" s="67" customFormat="1" x14ac:dyDescent="0.2">
      <c r="A187" s="125" t="s">
        <v>1632</v>
      </c>
      <c r="B187" s="126" t="s">
        <v>1633</v>
      </c>
      <c r="C187" s="126" t="s">
        <v>1324</v>
      </c>
      <c r="D187" s="127" t="s">
        <v>1634</v>
      </c>
      <c r="E187" s="128" t="s">
        <v>102</v>
      </c>
      <c r="F187" s="128">
        <v>1</v>
      </c>
      <c r="G187" s="137">
        <v>201.25</v>
      </c>
      <c r="H187" s="130">
        <v>3019.34</v>
      </c>
      <c r="I187" s="131">
        <f t="shared" si="62"/>
        <v>3019.34</v>
      </c>
      <c r="J187" s="116">
        <f t="shared" si="68"/>
        <v>0</v>
      </c>
      <c r="K187" s="116">
        <f t="shared" si="68"/>
        <v>0</v>
      </c>
      <c r="L187" s="137"/>
      <c r="M187" s="137">
        <f t="shared" si="69"/>
        <v>1</v>
      </c>
      <c r="N187" s="143">
        <f t="shared" si="65"/>
        <v>0</v>
      </c>
      <c r="O187" s="131">
        <f t="shared" si="66"/>
        <v>0</v>
      </c>
      <c r="P187" s="144">
        <f t="shared" si="70"/>
        <v>3019.34</v>
      </c>
      <c r="Q187" s="136">
        <f t="shared" si="60"/>
        <v>0</v>
      </c>
    </row>
    <row r="188" spans="1:17" s="67" customFormat="1" x14ac:dyDescent="0.2">
      <c r="A188" s="125" t="s">
        <v>1635</v>
      </c>
      <c r="B188" s="126" t="s">
        <v>1636</v>
      </c>
      <c r="C188" s="126" t="s">
        <v>1324</v>
      </c>
      <c r="D188" s="127" t="s">
        <v>1637</v>
      </c>
      <c r="E188" s="128" t="s">
        <v>102</v>
      </c>
      <c r="F188" s="128">
        <v>1</v>
      </c>
      <c r="G188" s="137">
        <v>356.72</v>
      </c>
      <c r="H188" s="130">
        <v>9092.1</v>
      </c>
      <c r="I188" s="131">
        <f t="shared" si="62"/>
        <v>9092.1</v>
      </c>
      <c r="J188" s="116">
        <f t="shared" si="68"/>
        <v>0</v>
      </c>
      <c r="K188" s="116">
        <f t="shared" si="68"/>
        <v>0</v>
      </c>
      <c r="L188" s="137"/>
      <c r="M188" s="137">
        <f t="shared" si="69"/>
        <v>1</v>
      </c>
      <c r="N188" s="143">
        <f t="shared" si="65"/>
        <v>0</v>
      </c>
      <c r="O188" s="131">
        <f t="shared" si="66"/>
        <v>0</v>
      </c>
      <c r="P188" s="144">
        <f t="shared" si="70"/>
        <v>9092.1</v>
      </c>
      <c r="Q188" s="136">
        <f t="shared" si="60"/>
        <v>0</v>
      </c>
    </row>
    <row r="189" spans="1:17" s="124" customFormat="1" x14ac:dyDescent="0.2">
      <c r="A189" s="113">
        <v>14</v>
      </c>
      <c r="B189" s="114"/>
      <c r="C189" s="114"/>
      <c r="D189" s="115" t="s">
        <v>656</v>
      </c>
      <c r="E189" s="116"/>
      <c r="F189" s="116">
        <f>SUM(F190:F192)</f>
        <v>86.27000000000001</v>
      </c>
      <c r="G189" s="116">
        <f t="shared" ref="G189:P189" si="71">SUM(G190:G192)</f>
        <v>478.04</v>
      </c>
      <c r="H189" s="116">
        <f t="shared" si="71"/>
        <v>317.37</v>
      </c>
      <c r="I189" s="116">
        <f t="shared" si="71"/>
        <v>11646.280500000001</v>
      </c>
      <c r="J189" s="116">
        <f t="shared" si="71"/>
        <v>0</v>
      </c>
      <c r="K189" s="116">
        <f t="shared" si="71"/>
        <v>0</v>
      </c>
      <c r="L189" s="116">
        <f t="shared" si="71"/>
        <v>0</v>
      </c>
      <c r="M189" s="116">
        <f t="shared" si="71"/>
        <v>86.27000000000001</v>
      </c>
      <c r="N189" s="116">
        <f t="shared" si="71"/>
        <v>0</v>
      </c>
      <c r="O189" s="116">
        <f t="shared" si="71"/>
        <v>0</v>
      </c>
      <c r="P189" s="116">
        <f t="shared" si="71"/>
        <v>11646.280500000001</v>
      </c>
      <c r="Q189" s="123">
        <f t="shared" si="60"/>
        <v>0</v>
      </c>
    </row>
    <row r="190" spans="1:17" s="67" customFormat="1" ht="25.5" x14ac:dyDescent="0.2">
      <c r="A190" s="125" t="s">
        <v>355</v>
      </c>
      <c r="B190" s="126">
        <v>83688</v>
      </c>
      <c r="C190" s="126" t="s">
        <v>1324</v>
      </c>
      <c r="D190" s="127" t="s">
        <v>1638</v>
      </c>
      <c r="E190" s="128" t="s">
        <v>81</v>
      </c>
      <c r="F190" s="128">
        <v>76.400000000000006</v>
      </c>
      <c r="G190" s="137">
        <v>415</v>
      </c>
      <c r="H190" s="130">
        <v>141.97999999999999</v>
      </c>
      <c r="I190" s="88">
        <f>H190*F190</f>
        <v>10847.272000000001</v>
      </c>
      <c r="J190" s="116">
        <f t="shared" ref="J190:K192" si="72">SUM(J191:J198)</f>
        <v>0</v>
      </c>
      <c r="K190" s="116">
        <f t="shared" si="72"/>
        <v>0</v>
      </c>
      <c r="L190" s="137"/>
      <c r="M190" s="137">
        <f t="shared" si="69"/>
        <v>76.400000000000006</v>
      </c>
      <c r="N190" s="143">
        <f t="shared" si="65"/>
        <v>0</v>
      </c>
      <c r="O190" s="131">
        <f t="shared" si="66"/>
        <v>0</v>
      </c>
      <c r="P190" s="144">
        <f t="shared" si="70"/>
        <v>10847.272000000001</v>
      </c>
      <c r="Q190" s="136">
        <f t="shared" si="60"/>
        <v>0</v>
      </c>
    </row>
    <row r="191" spans="1:17" s="67" customFormat="1" x14ac:dyDescent="0.2">
      <c r="A191" s="125" t="s">
        <v>1639</v>
      </c>
      <c r="B191" s="126"/>
      <c r="C191" s="126" t="s">
        <v>1339</v>
      </c>
      <c r="D191" s="127" t="s">
        <v>1640</v>
      </c>
      <c r="E191" s="128" t="s">
        <v>102</v>
      </c>
      <c r="F191" s="128">
        <v>8</v>
      </c>
      <c r="G191" s="137">
        <v>63.04</v>
      </c>
      <c r="H191" s="130">
        <v>76.84</v>
      </c>
      <c r="I191" s="88">
        <f>H191*F191</f>
        <v>614.72</v>
      </c>
      <c r="J191" s="116">
        <f t="shared" si="72"/>
        <v>0</v>
      </c>
      <c r="K191" s="116">
        <f t="shared" si="72"/>
        <v>0</v>
      </c>
      <c r="L191" s="137"/>
      <c r="M191" s="137">
        <f t="shared" si="69"/>
        <v>8</v>
      </c>
      <c r="N191" s="143">
        <f t="shared" si="65"/>
        <v>0</v>
      </c>
      <c r="O191" s="131">
        <f t="shared" si="66"/>
        <v>0</v>
      </c>
      <c r="P191" s="144">
        <f t="shared" si="70"/>
        <v>614.72</v>
      </c>
      <c r="Q191" s="136">
        <f t="shared" si="60"/>
        <v>0</v>
      </c>
    </row>
    <row r="192" spans="1:17" s="67" customFormat="1" x14ac:dyDescent="0.2">
      <c r="A192" s="125" t="s">
        <v>1641</v>
      </c>
      <c r="B192" s="126">
        <v>88549</v>
      </c>
      <c r="C192" s="126" t="s">
        <v>1324</v>
      </c>
      <c r="D192" s="127" t="s">
        <v>1642</v>
      </c>
      <c r="E192" s="128" t="s">
        <v>48</v>
      </c>
      <c r="F192" s="128">
        <v>1.87</v>
      </c>
      <c r="G192" s="172"/>
      <c r="H192" s="130">
        <v>98.55</v>
      </c>
      <c r="I192" s="88">
        <f>H192*F192</f>
        <v>184.2885</v>
      </c>
      <c r="J192" s="128">
        <f t="shared" si="72"/>
        <v>0</v>
      </c>
      <c r="K192" s="128">
        <f t="shared" si="72"/>
        <v>0</v>
      </c>
      <c r="L192" s="172"/>
      <c r="M192" s="137">
        <f t="shared" si="69"/>
        <v>1.87</v>
      </c>
      <c r="N192" s="143">
        <f t="shared" si="65"/>
        <v>0</v>
      </c>
      <c r="O192" s="131">
        <f t="shared" si="66"/>
        <v>0</v>
      </c>
      <c r="P192" s="144">
        <f t="shared" si="70"/>
        <v>184.2885</v>
      </c>
      <c r="Q192" s="136">
        <f>O192/I192</f>
        <v>0</v>
      </c>
    </row>
    <row r="193" spans="1:17" s="124" customFormat="1" x14ac:dyDescent="0.2">
      <c r="A193" s="113">
        <v>15</v>
      </c>
      <c r="B193" s="114"/>
      <c r="C193" s="114"/>
      <c r="D193" s="115" t="s">
        <v>1643</v>
      </c>
      <c r="E193" s="116"/>
      <c r="F193" s="116">
        <f t="shared" ref="F193:P193" si="73">SUM(F194:F206)</f>
        <v>60</v>
      </c>
      <c r="G193" s="116">
        <f t="shared" si="73"/>
        <v>218.78</v>
      </c>
      <c r="H193" s="116">
        <f t="shared" si="73"/>
        <v>1945.52</v>
      </c>
      <c r="I193" s="116">
        <f t="shared" si="73"/>
        <v>7636.1200000000017</v>
      </c>
      <c r="J193" s="116">
        <f t="shared" si="73"/>
        <v>0</v>
      </c>
      <c r="K193" s="116">
        <f t="shared" si="73"/>
        <v>0</v>
      </c>
      <c r="L193" s="116">
        <f t="shared" si="73"/>
        <v>0</v>
      </c>
      <c r="M193" s="116">
        <f t="shared" si="73"/>
        <v>60</v>
      </c>
      <c r="N193" s="149">
        <f t="shared" si="73"/>
        <v>0</v>
      </c>
      <c r="O193" s="149">
        <f t="shared" si="73"/>
        <v>0</v>
      </c>
      <c r="P193" s="116">
        <f t="shared" si="73"/>
        <v>7636.1200000000017</v>
      </c>
      <c r="Q193" s="123">
        <f t="shared" si="60"/>
        <v>0</v>
      </c>
    </row>
    <row r="194" spans="1:17" s="67" customFormat="1" x14ac:dyDescent="0.2">
      <c r="A194" s="125" t="s">
        <v>494</v>
      </c>
      <c r="B194" s="126">
        <v>6021</v>
      </c>
      <c r="C194" s="126" t="s">
        <v>1324</v>
      </c>
      <c r="D194" s="127" t="s">
        <v>1644</v>
      </c>
      <c r="E194" s="128" t="s">
        <v>102</v>
      </c>
      <c r="F194" s="128">
        <v>6</v>
      </c>
      <c r="G194" s="129"/>
      <c r="H194" s="130">
        <v>330.33</v>
      </c>
      <c r="I194" s="131">
        <f t="shared" ref="I194:I206" si="74">ROUND(F194*H194,2)</f>
        <v>1981.98</v>
      </c>
      <c r="J194" s="116">
        <f>SUM(J195:J202)</f>
        <v>0</v>
      </c>
      <c r="K194" s="116">
        <f>SUM(K195:K202)</f>
        <v>0</v>
      </c>
      <c r="L194" s="129"/>
      <c r="M194" s="137">
        <f t="shared" ref="M194:M212" si="75">F194-K194</f>
        <v>6</v>
      </c>
      <c r="N194" s="178">
        <f t="shared" ref="N194:N206" si="76">SUM(N195:N207)</f>
        <v>0</v>
      </c>
      <c r="O194" s="178">
        <f t="shared" ref="O194:O206" si="77">SUM(O195:O207)</f>
        <v>0</v>
      </c>
      <c r="P194" s="144">
        <f t="shared" ref="P194:P223" si="78">I194-O194</f>
        <v>1981.98</v>
      </c>
      <c r="Q194" s="136">
        <f t="shared" si="60"/>
        <v>0</v>
      </c>
    </row>
    <row r="195" spans="1:17" s="67" customFormat="1" ht="25.5" x14ac:dyDescent="0.2">
      <c r="A195" s="125" t="s">
        <v>496</v>
      </c>
      <c r="B195" s="126">
        <v>40729</v>
      </c>
      <c r="C195" s="126" t="s">
        <v>1324</v>
      </c>
      <c r="D195" s="127" t="s">
        <v>1645</v>
      </c>
      <c r="E195" s="128" t="s">
        <v>102</v>
      </c>
      <c r="F195" s="128">
        <v>6</v>
      </c>
      <c r="G195" s="129"/>
      <c r="H195" s="130">
        <v>204.63</v>
      </c>
      <c r="I195" s="131">
        <f t="shared" si="74"/>
        <v>1227.78</v>
      </c>
      <c r="J195" s="116">
        <f>SUM(J196:J203)</f>
        <v>0</v>
      </c>
      <c r="K195" s="116">
        <f>SUM(K196:K203)</f>
        <v>0</v>
      </c>
      <c r="L195" s="129"/>
      <c r="M195" s="137">
        <f t="shared" si="75"/>
        <v>6</v>
      </c>
      <c r="N195" s="178">
        <f t="shared" si="76"/>
        <v>0</v>
      </c>
      <c r="O195" s="178">
        <f t="shared" si="77"/>
        <v>0</v>
      </c>
      <c r="P195" s="144">
        <f t="shared" si="78"/>
        <v>1227.78</v>
      </c>
      <c r="Q195" s="136">
        <f t="shared" si="60"/>
        <v>0</v>
      </c>
    </row>
    <row r="196" spans="1:17" s="67" customFormat="1" x14ac:dyDescent="0.2">
      <c r="A196" s="125" t="s">
        <v>498</v>
      </c>
      <c r="B196" s="126">
        <v>86901</v>
      </c>
      <c r="C196" s="126" t="s">
        <v>1324</v>
      </c>
      <c r="D196" s="127" t="s">
        <v>1646</v>
      </c>
      <c r="E196" s="128" t="s">
        <v>102</v>
      </c>
      <c r="F196" s="128">
        <v>6</v>
      </c>
      <c r="G196" s="137">
        <v>11.27</v>
      </c>
      <c r="H196" s="130">
        <v>102.4</v>
      </c>
      <c r="I196" s="131">
        <f>ROUND(F196*H196,2)</f>
        <v>614.4</v>
      </c>
      <c r="J196" s="116">
        <f t="shared" ref="J196:K211" si="79">SUM(J197:J204)</f>
        <v>0</v>
      </c>
      <c r="K196" s="116">
        <f t="shared" si="79"/>
        <v>0</v>
      </c>
      <c r="L196" s="137"/>
      <c r="M196" s="137">
        <f t="shared" si="75"/>
        <v>6</v>
      </c>
      <c r="N196" s="178">
        <f t="shared" si="76"/>
        <v>0</v>
      </c>
      <c r="O196" s="178">
        <f t="shared" si="77"/>
        <v>0</v>
      </c>
      <c r="P196" s="144">
        <f t="shared" si="78"/>
        <v>614.4</v>
      </c>
      <c r="Q196" s="136">
        <f t="shared" si="60"/>
        <v>0</v>
      </c>
    </row>
    <row r="197" spans="1:17" s="67" customFormat="1" ht="25.5" x14ac:dyDescent="0.2">
      <c r="A197" s="125" t="s">
        <v>500</v>
      </c>
      <c r="B197" s="126">
        <v>86942</v>
      </c>
      <c r="C197" s="126" t="s">
        <v>1324</v>
      </c>
      <c r="D197" s="127" t="s">
        <v>1647</v>
      </c>
      <c r="E197" s="128" t="s">
        <v>102</v>
      </c>
      <c r="F197" s="128">
        <v>2</v>
      </c>
      <c r="G197" s="137">
        <v>11.89</v>
      </c>
      <c r="H197" s="130">
        <v>160.06</v>
      </c>
      <c r="I197" s="131">
        <f t="shared" si="74"/>
        <v>320.12</v>
      </c>
      <c r="J197" s="116">
        <f t="shared" si="79"/>
        <v>0</v>
      </c>
      <c r="K197" s="116">
        <f t="shared" si="79"/>
        <v>0</v>
      </c>
      <c r="L197" s="137"/>
      <c r="M197" s="137">
        <f t="shared" si="75"/>
        <v>2</v>
      </c>
      <c r="N197" s="178">
        <f t="shared" si="76"/>
        <v>0</v>
      </c>
      <c r="O197" s="178">
        <f t="shared" si="77"/>
        <v>0</v>
      </c>
      <c r="P197" s="144">
        <f t="shared" si="78"/>
        <v>320.12</v>
      </c>
      <c r="Q197" s="136">
        <f t="shared" si="60"/>
        <v>0</v>
      </c>
    </row>
    <row r="198" spans="1:17" s="67" customFormat="1" ht="25.5" x14ac:dyDescent="0.2">
      <c r="A198" s="125" t="s">
        <v>502</v>
      </c>
      <c r="B198" s="126"/>
      <c r="C198" s="126" t="s">
        <v>1339</v>
      </c>
      <c r="D198" s="127" t="s">
        <v>1648</v>
      </c>
      <c r="E198" s="128" t="s">
        <v>102</v>
      </c>
      <c r="F198" s="128">
        <v>2</v>
      </c>
      <c r="G198" s="137">
        <v>28.56</v>
      </c>
      <c r="H198" s="130">
        <v>223.26</v>
      </c>
      <c r="I198" s="131">
        <f t="shared" si="74"/>
        <v>446.52</v>
      </c>
      <c r="J198" s="116">
        <f t="shared" si="79"/>
        <v>0</v>
      </c>
      <c r="K198" s="116">
        <f t="shared" si="79"/>
        <v>0</v>
      </c>
      <c r="L198" s="137"/>
      <c r="M198" s="137">
        <f t="shared" si="75"/>
        <v>2</v>
      </c>
      <c r="N198" s="178">
        <f t="shared" si="76"/>
        <v>0</v>
      </c>
      <c r="O198" s="178">
        <f t="shared" si="77"/>
        <v>0</v>
      </c>
      <c r="P198" s="144">
        <f t="shared" si="78"/>
        <v>446.52</v>
      </c>
      <c r="Q198" s="136">
        <f t="shared" si="60"/>
        <v>0</v>
      </c>
    </row>
    <row r="199" spans="1:17" s="67" customFormat="1" ht="25.5" x14ac:dyDescent="0.2">
      <c r="A199" s="125" t="s">
        <v>504</v>
      </c>
      <c r="B199" s="126">
        <v>86906</v>
      </c>
      <c r="C199" s="126" t="s">
        <v>1324</v>
      </c>
      <c r="D199" s="127" t="s">
        <v>1649</v>
      </c>
      <c r="E199" s="128" t="s">
        <v>102</v>
      </c>
      <c r="F199" s="128">
        <v>8</v>
      </c>
      <c r="G199" s="137">
        <v>35.53</v>
      </c>
      <c r="H199" s="130">
        <v>39.97</v>
      </c>
      <c r="I199" s="131">
        <f t="shared" si="74"/>
        <v>319.76</v>
      </c>
      <c r="J199" s="116">
        <f t="shared" si="79"/>
        <v>0</v>
      </c>
      <c r="K199" s="116">
        <f t="shared" si="79"/>
        <v>0</v>
      </c>
      <c r="L199" s="137"/>
      <c r="M199" s="137">
        <f t="shared" si="75"/>
        <v>8</v>
      </c>
      <c r="N199" s="178">
        <f t="shared" si="76"/>
        <v>0</v>
      </c>
      <c r="O199" s="178">
        <f t="shared" si="77"/>
        <v>0</v>
      </c>
      <c r="P199" s="144">
        <f t="shared" si="78"/>
        <v>319.76</v>
      </c>
      <c r="Q199" s="136">
        <f t="shared" si="60"/>
        <v>0</v>
      </c>
    </row>
    <row r="200" spans="1:17" s="67" customFormat="1" ht="25.5" x14ac:dyDescent="0.2">
      <c r="A200" s="125" t="s">
        <v>506</v>
      </c>
      <c r="B200" s="126">
        <v>86914</v>
      </c>
      <c r="C200" s="126" t="s">
        <v>1324</v>
      </c>
      <c r="D200" s="127" t="s">
        <v>1650</v>
      </c>
      <c r="E200" s="128" t="s">
        <v>102</v>
      </c>
      <c r="F200" s="128">
        <v>2</v>
      </c>
      <c r="G200" s="137">
        <v>47.11</v>
      </c>
      <c r="H200" s="130">
        <v>31.02</v>
      </c>
      <c r="I200" s="131">
        <f t="shared" si="74"/>
        <v>62.04</v>
      </c>
      <c r="J200" s="116">
        <f t="shared" si="79"/>
        <v>0</v>
      </c>
      <c r="K200" s="116">
        <f t="shared" si="79"/>
        <v>0</v>
      </c>
      <c r="L200" s="137"/>
      <c r="M200" s="137">
        <f t="shared" si="75"/>
        <v>2</v>
      </c>
      <c r="N200" s="178">
        <f t="shared" si="76"/>
        <v>0</v>
      </c>
      <c r="O200" s="178">
        <f t="shared" si="77"/>
        <v>0</v>
      </c>
      <c r="P200" s="144">
        <f t="shared" si="78"/>
        <v>62.04</v>
      </c>
      <c r="Q200" s="136">
        <f t="shared" si="60"/>
        <v>0</v>
      </c>
    </row>
    <row r="201" spans="1:17" s="67" customFormat="1" ht="25.5" x14ac:dyDescent="0.2">
      <c r="A201" s="125" t="s">
        <v>508</v>
      </c>
      <c r="B201" s="126">
        <v>9535</v>
      </c>
      <c r="C201" s="126" t="s">
        <v>1324</v>
      </c>
      <c r="D201" s="127" t="s">
        <v>1651</v>
      </c>
      <c r="E201" s="128" t="s">
        <v>102</v>
      </c>
      <c r="F201" s="128">
        <v>6</v>
      </c>
      <c r="G201" s="129"/>
      <c r="H201" s="130">
        <v>30.06</v>
      </c>
      <c r="I201" s="131">
        <f t="shared" si="74"/>
        <v>180.36</v>
      </c>
      <c r="J201" s="116">
        <f t="shared" si="79"/>
        <v>0</v>
      </c>
      <c r="K201" s="116">
        <f t="shared" si="79"/>
        <v>0</v>
      </c>
      <c r="L201" s="129"/>
      <c r="M201" s="137">
        <f t="shared" si="75"/>
        <v>6</v>
      </c>
      <c r="N201" s="178">
        <f t="shared" si="76"/>
        <v>0</v>
      </c>
      <c r="O201" s="178">
        <f t="shared" si="77"/>
        <v>0</v>
      </c>
      <c r="P201" s="144">
        <f t="shared" si="78"/>
        <v>180.36</v>
      </c>
      <c r="Q201" s="136">
        <f t="shared" si="60"/>
        <v>0</v>
      </c>
    </row>
    <row r="202" spans="1:17" s="67" customFormat="1" ht="25.5" x14ac:dyDescent="0.2">
      <c r="A202" s="125" t="s">
        <v>511</v>
      </c>
      <c r="B202" s="126"/>
      <c r="C202" s="126" t="s">
        <v>1339</v>
      </c>
      <c r="D202" s="127" t="s">
        <v>1652</v>
      </c>
      <c r="E202" s="128" t="s">
        <v>102</v>
      </c>
      <c r="F202" s="128">
        <v>6</v>
      </c>
      <c r="G202" s="137">
        <v>5.09</v>
      </c>
      <c r="H202" s="130">
        <v>141.72</v>
      </c>
      <c r="I202" s="131">
        <f t="shared" si="74"/>
        <v>850.32</v>
      </c>
      <c r="J202" s="116">
        <f t="shared" si="79"/>
        <v>0</v>
      </c>
      <c r="K202" s="116">
        <f t="shared" si="79"/>
        <v>0</v>
      </c>
      <c r="L202" s="137"/>
      <c r="M202" s="137">
        <f t="shared" si="75"/>
        <v>6</v>
      </c>
      <c r="N202" s="178">
        <f t="shared" si="76"/>
        <v>0</v>
      </c>
      <c r="O202" s="178">
        <f t="shared" si="77"/>
        <v>0</v>
      </c>
      <c r="P202" s="144">
        <f t="shared" si="78"/>
        <v>850.32</v>
      </c>
      <c r="Q202" s="136">
        <f t="shared" si="60"/>
        <v>0</v>
      </c>
    </row>
    <row r="203" spans="1:17" s="67" customFormat="1" ht="25.5" x14ac:dyDescent="0.2">
      <c r="A203" s="125" t="s">
        <v>513</v>
      </c>
      <c r="B203" s="126"/>
      <c r="C203" s="126" t="s">
        <v>1339</v>
      </c>
      <c r="D203" s="127" t="s">
        <v>1653</v>
      </c>
      <c r="E203" s="128" t="s">
        <v>102</v>
      </c>
      <c r="F203" s="128">
        <v>4</v>
      </c>
      <c r="G203" s="137">
        <v>6.77</v>
      </c>
      <c r="H203" s="130">
        <v>39.700000000000003</v>
      </c>
      <c r="I203" s="131">
        <f t="shared" si="74"/>
        <v>158.80000000000001</v>
      </c>
      <c r="J203" s="116">
        <f t="shared" si="79"/>
        <v>0</v>
      </c>
      <c r="K203" s="116">
        <f t="shared" si="79"/>
        <v>0</v>
      </c>
      <c r="L203" s="137"/>
      <c r="M203" s="137">
        <f t="shared" si="75"/>
        <v>4</v>
      </c>
      <c r="N203" s="178">
        <f t="shared" si="76"/>
        <v>0</v>
      </c>
      <c r="O203" s="178">
        <f t="shared" si="77"/>
        <v>0</v>
      </c>
      <c r="P203" s="144">
        <f t="shared" si="78"/>
        <v>158.80000000000001</v>
      </c>
      <c r="Q203" s="136">
        <f t="shared" si="60"/>
        <v>0</v>
      </c>
    </row>
    <row r="204" spans="1:17" s="67" customFormat="1" x14ac:dyDescent="0.2">
      <c r="A204" s="125" t="s">
        <v>515</v>
      </c>
      <c r="B204" s="126"/>
      <c r="C204" s="126" t="s">
        <v>1339</v>
      </c>
      <c r="D204" s="127" t="s">
        <v>1654</v>
      </c>
      <c r="E204" s="128" t="s">
        <v>102</v>
      </c>
      <c r="F204" s="128">
        <v>4</v>
      </c>
      <c r="G204" s="137">
        <v>10.76</v>
      </c>
      <c r="H204" s="130">
        <v>30.45</v>
      </c>
      <c r="I204" s="131">
        <f t="shared" si="74"/>
        <v>121.8</v>
      </c>
      <c r="J204" s="116">
        <f t="shared" si="79"/>
        <v>0</v>
      </c>
      <c r="K204" s="116">
        <f t="shared" si="79"/>
        <v>0</v>
      </c>
      <c r="L204" s="137"/>
      <c r="M204" s="137">
        <f t="shared" si="75"/>
        <v>4</v>
      </c>
      <c r="N204" s="178">
        <f t="shared" si="76"/>
        <v>0</v>
      </c>
      <c r="O204" s="178">
        <f t="shared" si="77"/>
        <v>0</v>
      </c>
      <c r="P204" s="144">
        <f t="shared" si="78"/>
        <v>121.8</v>
      </c>
      <c r="Q204" s="136">
        <f t="shared" si="60"/>
        <v>0</v>
      </c>
    </row>
    <row r="205" spans="1:17" s="67" customFormat="1" ht="25.5" x14ac:dyDescent="0.2">
      <c r="A205" s="125" t="s">
        <v>517</v>
      </c>
      <c r="B205" s="126"/>
      <c r="C205" s="126" t="s">
        <v>1339</v>
      </c>
      <c r="D205" s="127" t="s">
        <v>1655</v>
      </c>
      <c r="E205" s="128" t="s">
        <v>102</v>
      </c>
      <c r="F205" s="128">
        <v>6</v>
      </c>
      <c r="G205" s="137">
        <v>42.01</v>
      </c>
      <c r="H205" s="130">
        <v>32.1</v>
      </c>
      <c r="I205" s="131">
        <f t="shared" si="74"/>
        <v>192.6</v>
      </c>
      <c r="J205" s="116">
        <f t="shared" si="79"/>
        <v>0</v>
      </c>
      <c r="K205" s="116">
        <f t="shared" si="79"/>
        <v>0</v>
      </c>
      <c r="L205" s="137"/>
      <c r="M205" s="137">
        <f t="shared" si="75"/>
        <v>6</v>
      </c>
      <c r="N205" s="178">
        <f t="shared" si="76"/>
        <v>0</v>
      </c>
      <c r="O205" s="178">
        <f t="shared" si="77"/>
        <v>0</v>
      </c>
      <c r="P205" s="144">
        <f t="shared" si="78"/>
        <v>192.6</v>
      </c>
      <c r="Q205" s="136">
        <f t="shared" si="60"/>
        <v>0</v>
      </c>
    </row>
    <row r="206" spans="1:17" s="67" customFormat="1" x14ac:dyDescent="0.2">
      <c r="A206" s="125" t="s">
        <v>519</v>
      </c>
      <c r="B206" s="126"/>
      <c r="C206" s="126" t="s">
        <v>1339</v>
      </c>
      <c r="D206" s="127" t="s">
        <v>1656</v>
      </c>
      <c r="E206" s="128" t="s">
        <v>102</v>
      </c>
      <c r="F206" s="128">
        <v>2</v>
      </c>
      <c r="G206" s="137">
        <v>19.79</v>
      </c>
      <c r="H206" s="130">
        <v>579.82000000000005</v>
      </c>
      <c r="I206" s="131">
        <f t="shared" si="74"/>
        <v>1159.6400000000001</v>
      </c>
      <c r="J206" s="116">
        <f t="shared" si="79"/>
        <v>0</v>
      </c>
      <c r="K206" s="116">
        <f t="shared" si="79"/>
        <v>0</v>
      </c>
      <c r="L206" s="137"/>
      <c r="M206" s="137">
        <f t="shared" si="75"/>
        <v>2</v>
      </c>
      <c r="N206" s="178">
        <f t="shared" si="76"/>
        <v>0</v>
      </c>
      <c r="O206" s="178">
        <f t="shared" si="77"/>
        <v>0</v>
      </c>
      <c r="P206" s="144">
        <f t="shared" si="78"/>
        <v>1159.6400000000001</v>
      </c>
      <c r="Q206" s="136">
        <f t="shared" si="60"/>
        <v>0</v>
      </c>
    </row>
    <row r="207" spans="1:17" s="124" customFormat="1" x14ac:dyDescent="0.2">
      <c r="A207" s="113">
        <v>16</v>
      </c>
      <c r="B207" s="114"/>
      <c r="C207" s="114"/>
      <c r="D207" s="115" t="s">
        <v>1657</v>
      </c>
      <c r="E207" s="116"/>
      <c r="F207" s="116">
        <f>SUM(F208:F212)</f>
        <v>10</v>
      </c>
      <c r="G207" s="116">
        <f t="shared" ref="G207:P207" si="80">SUM(G208:G212)</f>
        <v>253.42</v>
      </c>
      <c r="H207" s="116">
        <f t="shared" si="80"/>
        <v>396.11</v>
      </c>
      <c r="I207" s="116">
        <f t="shared" si="80"/>
        <v>792.22</v>
      </c>
      <c r="J207" s="116">
        <f t="shared" si="80"/>
        <v>0</v>
      </c>
      <c r="K207" s="116">
        <f t="shared" si="80"/>
        <v>0</v>
      </c>
      <c r="L207" s="116">
        <f t="shared" si="80"/>
        <v>0</v>
      </c>
      <c r="M207" s="116">
        <f t="shared" si="80"/>
        <v>10</v>
      </c>
      <c r="N207" s="116">
        <f t="shared" si="80"/>
        <v>0</v>
      </c>
      <c r="O207" s="116">
        <f t="shared" si="80"/>
        <v>0</v>
      </c>
      <c r="P207" s="116">
        <f t="shared" si="80"/>
        <v>792.22</v>
      </c>
      <c r="Q207" s="123">
        <f t="shared" si="60"/>
        <v>0</v>
      </c>
    </row>
    <row r="208" spans="1:17" s="67" customFormat="1" x14ac:dyDescent="0.2">
      <c r="A208" s="125" t="s">
        <v>616</v>
      </c>
      <c r="B208" s="126"/>
      <c r="C208" s="126" t="s">
        <v>1339</v>
      </c>
      <c r="D208" s="127" t="s">
        <v>1658</v>
      </c>
      <c r="E208" s="128" t="s">
        <v>102</v>
      </c>
      <c r="F208" s="128">
        <v>2</v>
      </c>
      <c r="G208" s="137">
        <v>40.08</v>
      </c>
      <c r="H208" s="130">
        <v>109.5</v>
      </c>
      <c r="I208" s="131">
        <f>ROUND(F208*H208,2)</f>
        <v>219</v>
      </c>
      <c r="J208" s="116">
        <f t="shared" si="79"/>
        <v>0</v>
      </c>
      <c r="K208" s="116">
        <f t="shared" si="79"/>
        <v>0</v>
      </c>
      <c r="L208" s="137"/>
      <c r="M208" s="137">
        <f t="shared" si="75"/>
        <v>2</v>
      </c>
      <c r="N208" s="131">
        <f>J208*H208</f>
        <v>0</v>
      </c>
      <c r="O208" s="131">
        <f>K208*H208</f>
        <v>0</v>
      </c>
      <c r="P208" s="144">
        <f t="shared" si="78"/>
        <v>219</v>
      </c>
      <c r="Q208" s="136">
        <f t="shared" si="60"/>
        <v>0</v>
      </c>
    </row>
    <row r="209" spans="1:17" s="67" customFormat="1" x14ac:dyDescent="0.2">
      <c r="A209" s="125" t="s">
        <v>618</v>
      </c>
      <c r="B209" s="126"/>
      <c r="C209" s="126" t="s">
        <v>1339</v>
      </c>
      <c r="D209" s="127" t="s">
        <v>1659</v>
      </c>
      <c r="E209" s="128" t="s">
        <v>102</v>
      </c>
      <c r="F209" s="128">
        <v>2</v>
      </c>
      <c r="G209" s="137">
        <v>199.75</v>
      </c>
      <c r="H209" s="130">
        <v>227.16</v>
      </c>
      <c r="I209" s="131">
        <f>ROUND(F209*H209,2)</f>
        <v>454.32</v>
      </c>
      <c r="J209" s="116">
        <f t="shared" si="79"/>
        <v>0</v>
      </c>
      <c r="K209" s="116">
        <f t="shared" si="79"/>
        <v>0</v>
      </c>
      <c r="L209" s="137"/>
      <c r="M209" s="137">
        <f t="shared" si="75"/>
        <v>2</v>
      </c>
      <c r="N209" s="131">
        <f>J209*H209</f>
        <v>0</v>
      </c>
      <c r="O209" s="131">
        <f>K209*H209</f>
        <v>0</v>
      </c>
      <c r="P209" s="144">
        <f t="shared" si="78"/>
        <v>454.32</v>
      </c>
      <c r="Q209" s="136">
        <f t="shared" si="60"/>
        <v>0</v>
      </c>
    </row>
    <row r="210" spans="1:17" s="67" customFormat="1" x14ac:dyDescent="0.2">
      <c r="A210" s="125" t="s">
        <v>620</v>
      </c>
      <c r="B210" s="126"/>
      <c r="C210" s="126" t="s">
        <v>1339</v>
      </c>
      <c r="D210" s="127" t="s">
        <v>1660</v>
      </c>
      <c r="E210" s="128" t="s">
        <v>102</v>
      </c>
      <c r="F210" s="128">
        <v>2</v>
      </c>
      <c r="G210" s="129"/>
      <c r="H210" s="130">
        <v>27.98</v>
      </c>
      <c r="I210" s="131">
        <f>ROUND(F210*H210,2)</f>
        <v>55.96</v>
      </c>
      <c r="J210" s="116">
        <f t="shared" si="79"/>
        <v>0</v>
      </c>
      <c r="K210" s="116">
        <f t="shared" si="79"/>
        <v>0</v>
      </c>
      <c r="L210" s="129"/>
      <c r="M210" s="137">
        <f t="shared" si="75"/>
        <v>2</v>
      </c>
      <c r="N210" s="131">
        <f>J210*H210</f>
        <v>0</v>
      </c>
      <c r="O210" s="131">
        <f>K210*H210</f>
        <v>0</v>
      </c>
      <c r="P210" s="144">
        <f t="shared" si="78"/>
        <v>55.96</v>
      </c>
      <c r="Q210" s="136">
        <f t="shared" si="60"/>
        <v>0</v>
      </c>
    </row>
    <row r="211" spans="1:17" s="67" customFormat="1" x14ac:dyDescent="0.2">
      <c r="A211" s="125" t="s">
        <v>1661</v>
      </c>
      <c r="B211" s="126"/>
      <c r="C211" s="126" t="s">
        <v>1339</v>
      </c>
      <c r="D211" s="127" t="s">
        <v>1662</v>
      </c>
      <c r="E211" s="128" t="s">
        <v>102</v>
      </c>
      <c r="F211" s="128">
        <v>2</v>
      </c>
      <c r="G211" s="137">
        <v>3.37</v>
      </c>
      <c r="H211" s="130">
        <v>16.36</v>
      </c>
      <c r="I211" s="131">
        <f>ROUND(F211*H211,2)</f>
        <v>32.72</v>
      </c>
      <c r="J211" s="116">
        <f t="shared" si="79"/>
        <v>0</v>
      </c>
      <c r="K211" s="116">
        <f t="shared" si="79"/>
        <v>0</v>
      </c>
      <c r="L211" s="137"/>
      <c r="M211" s="137">
        <f t="shared" si="75"/>
        <v>2</v>
      </c>
      <c r="N211" s="131">
        <f>J211*H211</f>
        <v>0</v>
      </c>
      <c r="O211" s="131">
        <f>K211*H211</f>
        <v>0</v>
      </c>
      <c r="P211" s="144">
        <f t="shared" si="78"/>
        <v>32.72</v>
      </c>
      <c r="Q211" s="136">
        <f t="shared" si="60"/>
        <v>0</v>
      </c>
    </row>
    <row r="212" spans="1:17" s="67" customFormat="1" x14ac:dyDescent="0.2">
      <c r="A212" s="125" t="s">
        <v>1663</v>
      </c>
      <c r="B212" s="126"/>
      <c r="C212" s="126" t="s">
        <v>1339</v>
      </c>
      <c r="D212" s="127" t="s">
        <v>1664</v>
      </c>
      <c r="E212" s="128" t="s">
        <v>102</v>
      </c>
      <c r="F212" s="128">
        <v>2</v>
      </c>
      <c r="G212" s="137">
        <v>10.220000000000001</v>
      </c>
      <c r="H212" s="130">
        <v>15.11</v>
      </c>
      <c r="I212" s="131">
        <f>ROUND(F212*H212,2)</f>
        <v>30.22</v>
      </c>
      <c r="J212" s="116">
        <f t="shared" ref="J212:K227" si="81">SUM(J213:J220)</f>
        <v>0</v>
      </c>
      <c r="K212" s="116">
        <f t="shared" si="81"/>
        <v>0</v>
      </c>
      <c r="L212" s="137"/>
      <c r="M212" s="137">
        <f t="shared" si="75"/>
        <v>2</v>
      </c>
      <c r="N212" s="131">
        <f t="shared" ref="N212:N217" si="82">J212*H212</f>
        <v>0</v>
      </c>
      <c r="O212" s="131">
        <f t="shared" ref="O212:O223" si="83">K212*H212</f>
        <v>0</v>
      </c>
      <c r="P212" s="144">
        <f t="shared" si="78"/>
        <v>30.22</v>
      </c>
      <c r="Q212" s="136">
        <f t="shared" si="60"/>
        <v>0</v>
      </c>
    </row>
    <row r="213" spans="1:17" s="124" customFormat="1" x14ac:dyDescent="0.2">
      <c r="A213" s="113">
        <v>17</v>
      </c>
      <c r="B213" s="114"/>
      <c r="C213" s="114"/>
      <c r="D213" s="115" t="s">
        <v>1665</v>
      </c>
      <c r="E213" s="116"/>
      <c r="F213" s="116">
        <f>SUM(F214,F224,F246,F251)</f>
        <v>1455</v>
      </c>
      <c r="G213" s="116">
        <f t="shared" ref="G213:P213" si="84">SUM(G214,G224,G246,G251)</f>
        <v>692.9</v>
      </c>
      <c r="H213" s="116">
        <f t="shared" si="84"/>
        <v>2231.8199999999997</v>
      </c>
      <c r="I213" s="116">
        <f t="shared" si="84"/>
        <v>20098.660000000003</v>
      </c>
      <c r="J213" s="116">
        <f t="shared" si="84"/>
        <v>0</v>
      </c>
      <c r="K213" s="116">
        <f t="shared" si="84"/>
        <v>0</v>
      </c>
      <c r="L213" s="116">
        <f t="shared" si="84"/>
        <v>0</v>
      </c>
      <c r="M213" s="116">
        <f t="shared" si="84"/>
        <v>1414</v>
      </c>
      <c r="N213" s="116">
        <f t="shared" si="84"/>
        <v>0</v>
      </c>
      <c r="O213" s="116">
        <f t="shared" si="84"/>
        <v>0</v>
      </c>
      <c r="P213" s="116">
        <f t="shared" si="84"/>
        <v>20098.660000000003</v>
      </c>
      <c r="Q213" s="123">
        <f t="shared" si="60"/>
        <v>0</v>
      </c>
    </row>
    <row r="214" spans="1:17" s="124" customFormat="1" x14ac:dyDescent="0.2">
      <c r="A214" s="113" t="s">
        <v>625</v>
      </c>
      <c r="B214" s="114"/>
      <c r="C214" s="114"/>
      <c r="D214" s="115" t="s">
        <v>1666</v>
      </c>
      <c r="E214" s="116"/>
      <c r="F214" s="116">
        <f>SUM(F215:F223)</f>
        <v>30</v>
      </c>
      <c r="G214" s="116">
        <f t="shared" ref="G214:P214" si="85">SUM(G215:G223)</f>
        <v>158.63</v>
      </c>
      <c r="H214" s="149">
        <f t="shared" si="85"/>
        <v>1119.23</v>
      </c>
      <c r="I214" s="149">
        <f t="shared" si="85"/>
        <v>1711.6100000000001</v>
      </c>
      <c r="J214" s="116">
        <f t="shared" si="85"/>
        <v>0</v>
      </c>
      <c r="K214" s="116">
        <f t="shared" si="85"/>
        <v>0</v>
      </c>
      <c r="L214" s="116">
        <f t="shared" si="85"/>
        <v>0</v>
      </c>
      <c r="M214" s="116">
        <f t="shared" si="85"/>
        <v>23</v>
      </c>
      <c r="N214" s="116">
        <f t="shared" si="85"/>
        <v>0</v>
      </c>
      <c r="O214" s="116">
        <f t="shared" si="85"/>
        <v>0</v>
      </c>
      <c r="P214" s="116">
        <f t="shared" si="85"/>
        <v>1711.6100000000001</v>
      </c>
      <c r="Q214" s="123">
        <f t="shared" si="60"/>
        <v>0</v>
      </c>
    </row>
    <row r="215" spans="1:17" s="67" customFormat="1" ht="25.5" x14ac:dyDescent="0.2">
      <c r="A215" s="125" t="s">
        <v>1667</v>
      </c>
      <c r="B215" s="126">
        <v>83463</v>
      </c>
      <c r="C215" s="126" t="s">
        <v>1324</v>
      </c>
      <c r="D215" s="127" t="s">
        <v>1668</v>
      </c>
      <c r="E215" s="128" t="s">
        <v>102</v>
      </c>
      <c r="F215" s="128">
        <v>1</v>
      </c>
      <c r="G215" s="137">
        <v>12.73</v>
      </c>
      <c r="H215" s="130">
        <v>211.62</v>
      </c>
      <c r="I215" s="131">
        <f t="shared" ref="I215:I223" si="86">ROUND(F215*H215,2)</f>
        <v>211.62</v>
      </c>
      <c r="J215" s="116">
        <f t="shared" si="81"/>
        <v>0</v>
      </c>
      <c r="K215" s="116">
        <f t="shared" si="81"/>
        <v>0</v>
      </c>
      <c r="L215" s="137"/>
      <c r="M215" s="137">
        <f>F215-K215</f>
        <v>1</v>
      </c>
      <c r="N215" s="143">
        <f t="shared" si="82"/>
        <v>0</v>
      </c>
      <c r="O215" s="131">
        <f t="shared" si="83"/>
        <v>0</v>
      </c>
      <c r="P215" s="144">
        <f t="shared" si="78"/>
        <v>211.62</v>
      </c>
      <c r="Q215" s="136">
        <f t="shared" si="60"/>
        <v>0</v>
      </c>
    </row>
    <row r="216" spans="1:17" s="67" customFormat="1" ht="25.5" x14ac:dyDescent="0.2">
      <c r="A216" s="125" t="s">
        <v>1669</v>
      </c>
      <c r="B216" s="126" t="s">
        <v>1670</v>
      </c>
      <c r="C216" s="126" t="s">
        <v>1324</v>
      </c>
      <c r="D216" s="127" t="s">
        <v>1671</v>
      </c>
      <c r="E216" s="128" t="s">
        <v>102</v>
      </c>
      <c r="F216" s="128">
        <v>1</v>
      </c>
      <c r="G216" s="137">
        <v>8.5299999999999994</v>
      </c>
      <c r="H216" s="130">
        <v>332.47</v>
      </c>
      <c r="I216" s="131">
        <f t="shared" si="86"/>
        <v>332.47</v>
      </c>
      <c r="J216" s="116">
        <f t="shared" si="81"/>
        <v>0</v>
      </c>
      <c r="K216" s="116">
        <f t="shared" si="81"/>
        <v>0</v>
      </c>
      <c r="L216" s="137"/>
      <c r="M216" s="137">
        <f>F216-K216</f>
        <v>1</v>
      </c>
      <c r="N216" s="143">
        <f t="shared" si="82"/>
        <v>0</v>
      </c>
      <c r="O216" s="131">
        <f t="shared" si="83"/>
        <v>0</v>
      </c>
      <c r="P216" s="144">
        <f t="shared" si="78"/>
        <v>332.47</v>
      </c>
      <c r="Q216" s="136">
        <f t="shared" si="60"/>
        <v>0</v>
      </c>
    </row>
    <row r="217" spans="1:17" s="67" customFormat="1" x14ac:dyDescent="0.2">
      <c r="A217" s="125" t="s">
        <v>1672</v>
      </c>
      <c r="B217" s="126" t="s">
        <v>1673</v>
      </c>
      <c r="C217" s="126" t="s">
        <v>1343</v>
      </c>
      <c r="D217" s="127" t="s">
        <v>1674</v>
      </c>
      <c r="E217" s="128" t="s">
        <v>102</v>
      </c>
      <c r="F217" s="128">
        <v>1</v>
      </c>
      <c r="G217" s="137">
        <v>22.59</v>
      </c>
      <c r="H217" s="130">
        <v>65.62</v>
      </c>
      <c r="I217" s="131">
        <f t="shared" si="86"/>
        <v>65.62</v>
      </c>
      <c r="J217" s="116">
        <f t="shared" si="81"/>
        <v>0</v>
      </c>
      <c r="K217" s="116">
        <f t="shared" si="81"/>
        <v>0</v>
      </c>
      <c r="L217" s="137"/>
      <c r="M217" s="137">
        <f>F217-K217</f>
        <v>1</v>
      </c>
      <c r="N217" s="143">
        <f t="shared" si="82"/>
        <v>0</v>
      </c>
      <c r="O217" s="131">
        <f t="shared" si="83"/>
        <v>0</v>
      </c>
      <c r="P217" s="144">
        <f t="shared" si="78"/>
        <v>65.62</v>
      </c>
      <c r="Q217" s="136">
        <f t="shared" ref="Q217:Q245" si="87">O217/I217</f>
        <v>0</v>
      </c>
    </row>
    <row r="218" spans="1:17" s="67" customFormat="1" x14ac:dyDescent="0.2">
      <c r="A218" s="125" t="s">
        <v>1675</v>
      </c>
      <c r="B218" s="126" t="s">
        <v>1676</v>
      </c>
      <c r="C218" s="126" t="s">
        <v>1324</v>
      </c>
      <c r="D218" s="127" t="s">
        <v>1677</v>
      </c>
      <c r="E218" s="128" t="s">
        <v>102</v>
      </c>
      <c r="F218" s="128">
        <v>7</v>
      </c>
      <c r="G218" s="129"/>
      <c r="H218" s="130">
        <v>11.27</v>
      </c>
      <c r="I218" s="131">
        <f t="shared" si="86"/>
        <v>78.89</v>
      </c>
      <c r="J218" s="116">
        <f t="shared" si="81"/>
        <v>0</v>
      </c>
      <c r="K218" s="116">
        <f t="shared" si="81"/>
        <v>0</v>
      </c>
      <c r="L218" s="129"/>
      <c r="M218" s="129"/>
      <c r="N218" s="179"/>
      <c r="O218" s="131">
        <f t="shared" si="83"/>
        <v>0</v>
      </c>
      <c r="P218" s="144">
        <f t="shared" si="78"/>
        <v>78.89</v>
      </c>
      <c r="Q218" s="136">
        <f t="shared" si="87"/>
        <v>0</v>
      </c>
    </row>
    <row r="219" spans="1:17" s="67" customFormat="1" x14ac:dyDescent="0.2">
      <c r="A219" s="125" t="s">
        <v>1678</v>
      </c>
      <c r="B219" s="126" t="s">
        <v>1676</v>
      </c>
      <c r="C219" s="126" t="s">
        <v>1324</v>
      </c>
      <c r="D219" s="127" t="s">
        <v>1679</v>
      </c>
      <c r="E219" s="128" t="s">
        <v>102</v>
      </c>
      <c r="F219" s="128">
        <v>5</v>
      </c>
      <c r="G219" s="137">
        <v>4.09</v>
      </c>
      <c r="H219" s="130">
        <v>11.27</v>
      </c>
      <c r="I219" s="131">
        <f t="shared" si="86"/>
        <v>56.35</v>
      </c>
      <c r="J219" s="116">
        <f t="shared" si="81"/>
        <v>0</v>
      </c>
      <c r="K219" s="116">
        <f t="shared" si="81"/>
        <v>0</v>
      </c>
      <c r="L219" s="137"/>
      <c r="M219" s="137">
        <f t="shared" ref="M219:M236" si="88">F219-K219</f>
        <v>5</v>
      </c>
      <c r="N219" s="143">
        <f t="shared" ref="N219:N245" si="89">J219*H219</f>
        <v>0</v>
      </c>
      <c r="O219" s="131">
        <f t="shared" si="83"/>
        <v>0</v>
      </c>
      <c r="P219" s="144">
        <f t="shared" si="78"/>
        <v>56.35</v>
      </c>
      <c r="Q219" s="136">
        <f t="shared" si="87"/>
        <v>0</v>
      </c>
    </row>
    <row r="220" spans="1:17" s="67" customFormat="1" x14ac:dyDescent="0.2">
      <c r="A220" s="125" t="s">
        <v>1680</v>
      </c>
      <c r="B220" s="126" t="s">
        <v>1676</v>
      </c>
      <c r="C220" s="126" t="s">
        <v>1324</v>
      </c>
      <c r="D220" s="127" t="s">
        <v>1681</v>
      </c>
      <c r="E220" s="128" t="s">
        <v>102</v>
      </c>
      <c r="F220" s="128">
        <v>8</v>
      </c>
      <c r="G220" s="137">
        <v>5.71</v>
      </c>
      <c r="H220" s="130">
        <v>11.27</v>
      </c>
      <c r="I220" s="131">
        <f t="shared" si="86"/>
        <v>90.16</v>
      </c>
      <c r="J220" s="116">
        <f t="shared" si="81"/>
        <v>0</v>
      </c>
      <c r="K220" s="116">
        <f t="shared" si="81"/>
        <v>0</v>
      </c>
      <c r="L220" s="137"/>
      <c r="M220" s="137">
        <f t="shared" si="88"/>
        <v>8</v>
      </c>
      <c r="N220" s="143">
        <f t="shared" si="89"/>
        <v>0</v>
      </c>
      <c r="O220" s="131">
        <f t="shared" si="83"/>
        <v>0</v>
      </c>
      <c r="P220" s="144">
        <f t="shared" si="78"/>
        <v>90.16</v>
      </c>
      <c r="Q220" s="136">
        <f t="shared" si="87"/>
        <v>0</v>
      </c>
    </row>
    <row r="221" spans="1:17" s="67" customFormat="1" x14ac:dyDescent="0.2">
      <c r="A221" s="125" t="s">
        <v>1682</v>
      </c>
      <c r="B221" s="126" t="s">
        <v>1683</v>
      </c>
      <c r="C221" s="126" t="s">
        <v>1324</v>
      </c>
      <c r="D221" s="127" t="s">
        <v>1684</v>
      </c>
      <c r="E221" s="128" t="s">
        <v>102</v>
      </c>
      <c r="F221" s="128">
        <v>2</v>
      </c>
      <c r="G221" s="137">
        <v>8.99</v>
      </c>
      <c r="H221" s="130">
        <v>97.76</v>
      </c>
      <c r="I221" s="131">
        <f t="shared" si="86"/>
        <v>195.52</v>
      </c>
      <c r="J221" s="116">
        <f t="shared" si="81"/>
        <v>0</v>
      </c>
      <c r="K221" s="116">
        <f t="shared" si="81"/>
        <v>0</v>
      </c>
      <c r="L221" s="137"/>
      <c r="M221" s="137">
        <f t="shared" si="88"/>
        <v>2</v>
      </c>
      <c r="N221" s="143">
        <f t="shared" si="89"/>
        <v>0</v>
      </c>
      <c r="O221" s="131">
        <f t="shared" si="83"/>
        <v>0</v>
      </c>
      <c r="P221" s="144">
        <f t="shared" si="78"/>
        <v>195.52</v>
      </c>
      <c r="Q221" s="136">
        <f t="shared" si="87"/>
        <v>0</v>
      </c>
    </row>
    <row r="222" spans="1:17" s="67" customFormat="1" x14ac:dyDescent="0.2">
      <c r="A222" s="125" t="s">
        <v>1685</v>
      </c>
      <c r="B222" s="126" t="s">
        <v>1686</v>
      </c>
      <c r="C222" s="126" t="s">
        <v>1324</v>
      </c>
      <c r="D222" s="127" t="s">
        <v>1687</v>
      </c>
      <c r="E222" s="128" t="s">
        <v>102</v>
      </c>
      <c r="F222" s="128">
        <v>1</v>
      </c>
      <c r="G222" s="137">
        <v>23.78</v>
      </c>
      <c r="H222" s="130">
        <v>276.94</v>
      </c>
      <c r="I222" s="131">
        <f t="shared" si="86"/>
        <v>276.94</v>
      </c>
      <c r="J222" s="116">
        <f t="shared" si="81"/>
        <v>0</v>
      </c>
      <c r="K222" s="116">
        <f t="shared" si="81"/>
        <v>0</v>
      </c>
      <c r="L222" s="137"/>
      <c r="M222" s="137">
        <f t="shared" si="88"/>
        <v>1</v>
      </c>
      <c r="N222" s="143">
        <f t="shared" si="89"/>
        <v>0</v>
      </c>
      <c r="O222" s="131">
        <f t="shared" si="83"/>
        <v>0</v>
      </c>
      <c r="P222" s="144">
        <f t="shared" si="78"/>
        <v>276.94</v>
      </c>
      <c r="Q222" s="136">
        <f t="shared" si="87"/>
        <v>0</v>
      </c>
    </row>
    <row r="223" spans="1:17" s="67" customFormat="1" ht="25.5" x14ac:dyDescent="0.2">
      <c r="A223" s="125" t="s">
        <v>1688</v>
      </c>
      <c r="B223" s="126"/>
      <c r="C223" s="126" t="s">
        <v>1339</v>
      </c>
      <c r="D223" s="127" t="s">
        <v>1689</v>
      </c>
      <c r="E223" s="128" t="s">
        <v>102</v>
      </c>
      <c r="F223" s="128">
        <v>4</v>
      </c>
      <c r="G223" s="137">
        <v>72.209999999999994</v>
      </c>
      <c r="H223" s="130">
        <v>101.01</v>
      </c>
      <c r="I223" s="131">
        <f t="shared" si="86"/>
        <v>404.04</v>
      </c>
      <c r="J223" s="116">
        <f t="shared" si="81"/>
        <v>0</v>
      </c>
      <c r="K223" s="116">
        <f t="shared" si="81"/>
        <v>0</v>
      </c>
      <c r="L223" s="137"/>
      <c r="M223" s="137">
        <f t="shared" si="88"/>
        <v>4</v>
      </c>
      <c r="N223" s="143">
        <f t="shared" si="89"/>
        <v>0</v>
      </c>
      <c r="O223" s="131">
        <f t="shared" si="83"/>
        <v>0</v>
      </c>
      <c r="P223" s="144">
        <f t="shared" si="78"/>
        <v>404.04</v>
      </c>
      <c r="Q223" s="136">
        <f t="shared" si="87"/>
        <v>0</v>
      </c>
    </row>
    <row r="224" spans="1:17" s="124" customFormat="1" x14ac:dyDescent="0.2">
      <c r="A224" s="113" t="s">
        <v>631</v>
      </c>
      <c r="B224" s="114"/>
      <c r="C224" s="114"/>
      <c r="D224" s="115" t="s">
        <v>1690</v>
      </c>
      <c r="E224" s="116"/>
      <c r="F224" s="116">
        <f>SUM(F225:F245)</f>
        <v>321</v>
      </c>
      <c r="G224" s="116">
        <f t="shared" ref="G224:P224" si="90">SUM(G225:G245)</f>
        <v>274.84000000000003</v>
      </c>
      <c r="H224" s="116">
        <f t="shared" si="90"/>
        <v>275.86999999999995</v>
      </c>
      <c r="I224" s="116">
        <f t="shared" si="90"/>
        <v>3741.5200000000004</v>
      </c>
      <c r="J224" s="116">
        <f t="shared" si="90"/>
        <v>0</v>
      </c>
      <c r="K224" s="116">
        <f t="shared" si="90"/>
        <v>0</v>
      </c>
      <c r="L224" s="116">
        <f t="shared" si="90"/>
        <v>0</v>
      </c>
      <c r="M224" s="116">
        <f t="shared" si="90"/>
        <v>287</v>
      </c>
      <c r="N224" s="116">
        <f t="shared" si="90"/>
        <v>0</v>
      </c>
      <c r="O224" s="116">
        <f t="shared" si="90"/>
        <v>0</v>
      </c>
      <c r="P224" s="116">
        <f t="shared" si="90"/>
        <v>3741.5200000000004</v>
      </c>
      <c r="Q224" s="123">
        <f t="shared" si="87"/>
        <v>0</v>
      </c>
    </row>
    <row r="225" spans="1:17" s="67" customFormat="1" ht="25.5" x14ac:dyDescent="0.2">
      <c r="A225" s="125" t="s">
        <v>1691</v>
      </c>
      <c r="B225" s="126">
        <v>91854</v>
      </c>
      <c r="C225" s="126" t="s">
        <v>1324</v>
      </c>
      <c r="D225" s="127" t="s">
        <v>1692</v>
      </c>
      <c r="E225" s="128" t="s">
        <v>81</v>
      </c>
      <c r="F225" s="128">
        <v>28</v>
      </c>
      <c r="G225" s="137">
        <v>6.88</v>
      </c>
      <c r="H225" s="130">
        <v>6.16</v>
      </c>
      <c r="I225" s="131">
        <f t="shared" ref="I225:I245" si="91">ROUND(F225*H225,2)</f>
        <v>172.48</v>
      </c>
      <c r="J225" s="116">
        <f t="shared" si="81"/>
        <v>0</v>
      </c>
      <c r="K225" s="116">
        <f t="shared" si="81"/>
        <v>0</v>
      </c>
      <c r="L225" s="137"/>
      <c r="M225" s="137">
        <f t="shared" si="88"/>
        <v>28</v>
      </c>
      <c r="N225" s="143">
        <f t="shared" si="89"/>
        <v>0</v>
      </c>
      <c r="O225" s="131">
        <f t="shared" ref="O225:O245" si="92">K225*H225</f>
        <v>0</v>
      </c>
      <c r="P225" s="144">
        <f t="shared" ref="P225:P245" si="93">I225-O225</f>
        <v>172.48</v>
      </c>
      <c r="Q225" s="136">
        <f t="shared" si="87"/>
        <v>0</v>
      </c>
    </row>
    <row r="226" spans="1:17" s="67" customFormat="1" ht="25.5" x14ac:dyDescent="0.2">
      <c r="A226" s="125" t="s">
        <v>1693</v>
      </c>
      <c r="B226" s="126">
        <v>91856</v>
      </c>
      <c r="C226" s="126" t="s">
        <v>1324</v>
      </c>
      <c r="D226" s="127" t="s">
        <v>1694</v>
      </c>
      <c r="E226" s="128" t="s">
        <v>81</v>
      </c>
      <c r="F226" s="128">
        <v>18</v>
      </c>
      <c r="G226" s="137">
        <v>9.86</v>
      </c>
      <c r="H226" s="130">
        <v>7.73</v>
      </c>
      <c r="I226" s="131">
        <f t="shared" si="91"/>
        <v>139.13999999999999</v>
      </c>
      <c r="J226" s="116">
        <f t="shared" si="81"/>
        <v>0</v>
      </c>
      <c r="K226" s="116">
        <f t="shared" si="81"/>
        <v>0</v>
      </c>
      <c r="L226" s="137"/>
      <c r="M226" s="137">
        <f t="shared" si="88"/>
        <v>18</v>
      </c>
      <c r="N226" s="143">
        <f t="shared" si="89"/>
        <v>0</v>
      </c>
      <c r="O226" s="131">
        <f t="shared" si="92"/>
        <v>0</v>
      </c>
      <c r="P226" s="144">
        <f t="shared" si="93"/>
        <v>139.13999999999999</v>
      </c>
      <c r="Q226" s="136">
        <f t="shared" si="87"/>
        <v>0</v>
      </c>
    </row>
    <row r="227" spans="1:17" s="67" customFormat="1" x14ac:dyDescent="0.2">
      <c r="A227" s="125" t="s">
        <v>1695</v>
      </c>
      <c r="B227" s="126">
        <v>91873</v>
      </c>
      <c r="C227" s="126" t="s">
        <v>1324</v>
      </c>
      <c r="D227" s="127" t="s">
        <v>1696</v>
      </c>
      <c r="E227" s="128" t="s">
        <v>81</v>
      </c>
      <c r="F227" s="128">
        <v>18</v>
      </c>
      <c r="G227" s="137">
        <v>10.4</v>
      </c>
      <c r="H227" s="130">
        <v>12.57</v>
      </c>
      <c r="I227" s="131">
        <f t="shared" si="91"/>
        <v>226.26</v>
      </c>
      <c r="J227" s="116">
        <f t="shared" si="81"/>
        <v>0</v>
      </c>
      <c r="K227" s="116">
        <f t="shared" si="81"/>
        <v>0</v>
      </c>
      <c r="L227" s="137"/>
      <c r="M227" s="137">
        <f t="shared" si="88"/>
        <v>18</v>
      </c>
      <c r="N227" s="143">
        <f t="shared" si="89"/>
        <v>0</v>
      </c>
      <c r="O227" s="131">
        <f t="shared" si="92"/>
        <v>0</v>
      </c>
      <c r="P227" s="144">
        <f t="shared" si="93"/>
        <v>226.26</v>
      </c>
      <c r="Q227" s="136">
        <f t="shared" si="87"/>
        <v>0</v>
      </c>
    </row>
    <row r="228" spans="1:17" s="67" customFormat="1" x14ac:dyDescent="0.2">
      <c r="A228" s="125" t="s">
        <v>1697</v>
      </c>
      <c r="B228" s="126">
        <v>72308</v>
      </c>
      <c r="C228" s="126" t="s">
        <v>1324</v>
      </c>
      <c r="D228" s="127" t="s">
        <v>1698</v>
      </c>
      <c r="E228" s="128" t="s">
        <v>81</v>
      </c>
      <c r="F228" s="128">
        <v>82</v>
      </c>
      <c r="G228" s="137">
        <v>9.6</v>
      </c>
      <c r="H228" s="130">
        <v>14.39</v>
      </c>
      <c r="I228" s="131">
        <f t="shared" si="91"/>
        <v>1179.98</v>
      </c>
      <c r="J228" s="116">
        <f t="shared" ref="J228:K243" si="94">SUM(J229:J236)</f>
        <v>0</v>
      </c>
      <c r="K228" s="116">
        <f t="shared" si="94"/>
        <v>0</v>
      </c>
      <c r="L228" s="137"/>
      <c r="M228" s="137">
        <f t="shared" si="88"/>
        <v>82</v>
      </c>
      <c r="N228" s="143">
        <f t="shared" si="89"/>
        <v>0</v>
      </c>
      <c r="O228" s="131">
        <f t="shared" si="92"/>
        <v>0</v>
      </c>
      <c r="P228" s="144">
        <f t="shared" si="93"/>
        <v>1179.98</v>
      </c>
      <c r="Q228" s="136">
        <f t="shared" si="87"/>
        <v>0</v>
      </c>
    </row>
    <row r="229" spans="1:17" s="67" customFormat="1" x14ac:dyDescent="0.2">
      <c r="A229" s="125" t="s">
        <v>1699</v>
      </c>
      <c r="B229" s="126">
        <v>72309</v>
      </c>
      <c r="C229" s="126" t="s">
        <v>1324</v>
      </c>
      <c r="D229" s="127" t="s">
        <v>1700</v>
      </c>
      <c r="E229" s="128" t="s">
        <v>81</v>
      </c>
      <c r="F229" s="128">
        <v>13</v>
      </c>
      <c r="G229" s="137">
        <v>7.38</v>
      </c>
      <c r="H229" s="130">
        <v>22.92</v>
      </c>
      <c r="I229" s="131">
        <f t="shared" si="91"/>
        <v>297.95999999999998</v>
      </c>
      <c r="J229" s="116">
        <f t="shared" si="94"/>
        <v>0</v>
      </c>
      <c r="K229" s="116">
        <f t="shared" si="94"/>
        <v>0</v>
      </c>
      <c r="L229" s="137"/>
      <c r="M229" s="137">
        <f t="shared" si="88"/>
        <v>13</v>
      </c>
      <c r="N229" s="143">
        <f t="shared" si="89"/>
        <v>0</v>
      </c>
      <c r="O229" s="131">
        <f t="shared" si="92"/>
        <v>0</v>
      </c>
      <c r="P229" s="144">
        <f t="shared" si="93"/>
        <v>297.95999999999998</v>
      </c>
      <c r="Q229" s="136">
        <f t="shared" si="87"/>
        <v>0</v>
      </c>
    </row>
    <row r="230" spans="1:17" s="67" customFormat="1" x14ac:dyDescent="0.2">
      <c r="A230" s="125" t="s">
        <v>1701</v>
      </c>
      <c r="B230" s="126">
        <v>72310</v>
      </c>
      <c r="C230" s="126" t="s">
        <v>1324</v>
      </c>
      <c r="D230" s="127" t="s">
        <v>1702</v>
      </c>
      <c r="E230" s="128" t="s">
        <v>81</v>
      </c>
      <c r="F230" s="128">
        <v>30</v>
      </c>
      <c r="G230" s="129"/>
      <c r="H230" s="130">
        <v>24.94</v>
      </c>
      <c r="I230" s="131">
        <f t="shared" si="91"/>
        <v>748.2</v>
      </c>
      <c r="J230" s="116">
        <f t="shared" si="94"/>
        <v>0</v>
      </c>
      <c r="K230" s="116">
        <f t="shared" si="94"/>
        <v>0</v>
      </c>
      <c r="L230" s="129"/>
      <c r="M230" s="137"/>
      <c r="N230" s="143">
        <f t="shared" si="89"/>
        <v>0</v>
      </c>
      <c r="O230" s="131">
        <f t="shared" si="92"/>
        <v>0</v>
      </c>
      <c r="P230" s="144">
        <f t="shared" si="93"/>
        <v>748.2</v>
      </c>
      <c r="Q230" s="136">
        <f t="shared" si="87"/>
        <v>0</v>
      </c>
    </row>
    <row r="231" spans="1:17" s="67" customFormat="1" x14ac:dyDescent="0.2">
      <c r="A231" s="125" t="s">
        <v>1703</v>
      </c>
      <c r="B231" s="126" t="s">
        <v>1704</v>
      </c>
      <c r="C231" s="126" t="s">
        <v>1324</v>
      </c>
      <c r="D231" s="127" t="s">
        <v>1705</v>
      </c>
      <c r="E231" s="128" t="s">
        <v>102</v>
      </c>
      <c r="F231" s="128">
        <v>5</v>
      </c>
      <c r="G231" s="137">
        <v>3.06</v>
      </c>
      <c r="H231" s="130">
        <v>23.12</v>
      </c>
      <c r="I231" s="131">
        <f t="shared" si="91"/>
        <v>115.6</v>
      </c>
      <c r="J231" s="116">
        <f t="shared" si="94"/>
        <v>0</v>
      </c>
      <c r="K231" s="116">
        <f t="shared" si="94"/>
        <v>0</v>
      </c>
      <c r="L231" s="137"/>
      <c r="M231" s="137">
        <f t="shared" si="88"/>
        <v>5</v>
      </c>
      <c r="N231" s="143">
        <f t="shared" si="89"/>
        <v>0</v>
      </c>
      <c r="O231" s="131">
        <f t="shared" si="92"/>
        <v>0</v>
      </c>
      <c r="P231" s="144">
        <f t="shared" si="93"/>
        <v>115.6</v>
      </c>
      <c r="Q231" s="136">
        <f t="shared" si="87"/>
        <v>0</v>
      </c>
    </row>
    <row r="232" spans="1:17" s="67" customFormat="1" x14ac:dyDescent="0.2">
      <c r="A232" s="125" t="s">
        <v>1706</v>
      </c>
      <c r="B232" s="126" t="s">
        <v>1707</v>
      </c>
      <c r="C232" s="126" t="s">
        <v>1324</v>
      </c>
      <c r="D232" s="127" t="s">
        <v>1708</v>
      </c>
      <c r="E232" s="128" t="s">
        <v>102</v>
      </c>
      <c r="F232" s="128">
        <v>5</v>
      </c>
      <c r="G232" s="137">
        <v>4.18</v>
      </c>
      <c r="H232" s="130">
        <v>25.34</v>
      </c>
      <c r="I232" s="131">
        <f t="shared" si="91"/>
        <v>126.7</v>
      </c>
      <c r="J232" s="116">
        <f t="shared" si="94"/>
        <v>0</v>
      </c>
      <c r="K232" s="116">
        <f t="shared" si="94"/>
        <v>0</v>
      </c>
      <c r="L232" s="137"/>
      <c r="M232" s="137">
        <f t="shared" si="88"/>
        <v>5</v>
      </c>
      <c r="N232" s="143">
        <f t="shared" si="89"/>
        <v>0</v>
      </c>
      <c r="O232" s="131">
        <f t="shared" si="92"/>
        <v>0</v>
      </c>
      <c r="P232" s="144">
        <f t="shared" si="93"/>
        <v>126.7</v>
      </c>
      <c r="Q232" s="136">
        <f t="shared" si="87"/>
        <v>0</v>
      </c>
    </row>
    <row r="233" spans="1:17" s="67" customFormat="1" x14ac:dyDescent="0.2">
      <c r="A233" s="125" t="s">
        <v>1709</v>
      </c>
      <c r="B233" s="126" t="s">
        <v>1704</v>
      </c>
      <c r="C233" s="126" t="s">
        <v>1324</v>
      </c>
      <c r="D233" s="127" t="s">
        <v>1710</v>
      </c>
      <c r="E233" s="128" t="s">
        <v>102</v>
      </c>
      <c r="F233" s="128">
        <v>4</v>
      </c>
      <c r="G233" s="137">
        <v>6.7</v>
      </c>
      <c r="H233" s="130">
        <v>25.88</v>
      </c>
      <c r="I233" s="131">
        <f t="shared" si="91"/>
        <v>103.52</v>
      </c>
      <c r="J233" s="116">
        <f t="shared" si="94"/>
        <v>0</v>
      </c>
      <c r="K233" s="116">
        <f t="shared" si="94"/>
        <v>0</v>
      </c>
      <c r="L233" s="137"/>
      <c r="M233" s="137">
        <f t="shared" si="88"/>
        <v>4</v>
      </c>
      <c r="N233" s="143">
        <f t="shared" si="89"/>
        <v>0</v>
      </c>
      <c r="O233" s="131">
        <f t="shared" si="92"/>
        <v>0</v>
      </c>
      <c r="P233" s="144">
        <f t="shared" si="93"/>
        <v>103.52</v>
      </c>
      <c r="Q233" s="136">
        <f t="shared" si="87"/>
        <v>0</v>
      </c>
    </row>
    <row r="234" spans="1:17" s="67" customFormat="1" x14ac:dyDescent="0.2">
      <c r="A234" s="125" t="s">
        <v>1711</v>
      </c>
      <c r="B234" s="126" t="s">
        <v>1712</v>
      </c>
      <c r="C234" s="126" t="s">
        <v>1324</v>
      </c>
      <c r="D234" s="127" t="s">
        <v>1713</v>
      </c>
      <c r="E234" s="128" t="s">
        <v>102</v>
      </c>
      <c r="F234" s="128">
        <v>1</v>
      </c>
      <c r="G234" s="137">
        <v>12.3</v>
      </c>
      <c r="H234" s="130">
        <v>26.28</v>
      </c>
      <c r="I234" s="131">
        <f t="shared" si="91"/>
        <v>26.28</v>
      </c>
      <c r="J234" s="116">
        <f t="shared" si="94"/>
        <v>0</v>
      </c>
      <c r="K234" s="116">
        <f t="shared" si="94"/>
        <v>0</v>
      </c>
      <c r="L234" s="137"/>
      <c r="M234" s="137">
        <f t="shared" si="88"/>
        <v>1</v>
      </c>
      <c r="N234" s="143">
        <f t="shared" si="89"/>
        <v>0</v>
      </c>
      <c r="O234" s="131">
        <f t="shared" si="92"/>
        <v>0</v>
      </c>
      <c r="P234" s="144">
        <f t="shared" si="93"/>
        <v>26.28</v>
      </c>
      <c r="Q234" s="136">
        <f t="shared" si="87"/>
        <v>0</v>
      </c>
    </row>
    <row r="235" spans="1:17" s="67" customFormat="1" x14ac:dyDescent="0.2">
      <c r="A235" s="125" t="s">
        <v>1714</v>
      </c>
      <c r="B235" s="126" t="s">
        <v>1715</v>
      </c>
      <c r="C235" s="126" t="s">
        <v>1343</v>
      </c>
      <c r="D235" s="127" t="s">
        <v>1716</v>
      </c>
      <c r="E235" s="128" t="s">
        <v>102</v>
      </c>
      <c r="F235" s="128">
        <v>50</v>
      </c>
      <c r="G235" s="137">
        <v>33.06</v>
      </c>
      <c r="H235" s="130">
        <v>1.94</v>
      </c>
      <c r="I235" s="131">
        <f t="shared" si="91"/>
        <v>97</v>
      </c>
      <c r="J235" s="116">
        <f t="shared" si="94"/>
        <v>0</v>
      </c>
      <c r="K235" s="116">
        <f t="shared" si="94"/>
        <v>0</v>
      </c>
      <c r="L235" s="137"/>
      <c r="M235" s="137">
        <f t="shared" si="88"/>
        <v>50</v>
      </c>
      <c r="N235" s="143">
        <f t="shared" si="89"/>
        <v>0</v>
      </c>
      <c r="O235" s="131">
        <f t="shared" si="92"/>
        <v>0</v>
      </c>
      <c r="P235" s="144">
        <f t="shared" si="93"/>
        <v>97</v>
      </c>
      <c r="Q235" s="136">
        <f t="shared" si="87"/>
        <v>0</v>
      </c>
    </row>
    <row r="236" spans="1:17" s="67" customFormat="1" x14ac:dyDescent="0.2">
      <c r="A236" s="125" t="s">
        <v>1717</v>
      </c>
      <c r="B236" s="126" t="s">
        <v>1715</v>
      </c>
      <c r="C236" s="126" t="s">
        <v>1343</v>
      </c>
      <c r="D236" s="127" t="s">
        <v>1718</v>
      </c>
      <c r="E236" s="128" t="s">
        <v>102</v>
      </c>
      <c r="F236" s="128">
        <v>4</v>
      </c>
      <c r="G236" s="137">
        <v>4.53</v>
      </c>
      <c r="H236" s="130">
        <v>2.19</v>
      </c>
      <c r="I236" s="131">
        <f t="shared" si="91"/>
        <v>8.76</v>
      </c>
      <c r="J236" s="116">
        <f t="shared" si="94"/>
        <v>0</v>
      </c>
      <c r="K236" s="116">
        <f t="shared" si="94"/>
        <v>0</v>
      </c>
      <c r="L236" s="137"/>
      <c r="M236" s="137">
        <f t="shared" si="88"/>
        <v>4</v>
      </c>
      <c r="N236" s="143">
        <f t="shared" si="89"/>
        <v>0</v>
      </c>
      <c r="O236" s="131">
        <f t="shared" si="92"/>
        <v>0</v>
      </c>
      <c r="P236" s="144">
        <f t="shared" si="93"/>
        <v>8.76</v>
      </c>
      <c r="Q236" s="136">
        <f t="shared" si="87"/>
        <v>0</v>
      </c>
    </row>
    <row r="237" spans="1:17" s="67" customFormat="1" x14ac:dyDescent="0.2">
      <c r="A237" s="125" t="s">
        <v>1719</v>
      </c>
      <c r="B237" s="126" t="s">
        <v>1715</v>
      </c>
      <c r="C237" s="126" t="s">
        <v>1343</v>
      </c>
      <c r="D237" s="127" t="s">
        <v>1720</v>
      </c>
      <c r="E237" s="128" t="s">
        <v>102</v>
      </c>
      <c r="F237" s="128">
        <v>4</v>
      </c>
      <c r="G237" s="129"/>
      <c r="H237" s="130">
        <v>2.4</v>
      </c>
      <c r="I237" s="131">
        <f t="shared" si="91"/>
        <v>9.6</v>
      </c>
      <c r="J237" s="116">
        <f t="shared" si="94"/>
        <v>0</v>
      </c>
      <c r="K237" s="116">
        <f t="shared" si="94"/>
        <v>0</v>
      </c>
      <c r="L237" s="129"/>
      <c r="M237" s="129"/>
      <c r="N237" s="143">
        <f t="shared" si="89"/>
        <v>0</v>
      </c>
      <c r="O237" s="131">
        <f t="shared" si="92"/>
        <v>0</v>
      </c>
      <c r="P237" s="144">
        <f t="shared" si="93"/>
        <v>9.6</v>
      </c>
      <c r="Q237" s="136">
        <f t="shared" si="87"/>
        <v>0</v>
      </c>
    </row>
    <row r="238" spans="1:17" s="67" customFormat="1" x14ac:dyDescent="0.2">
      <c r="A238" s="125" t="s">
        <v>1721</v>
      </c>
      <c r="B238" s="126">
        <v>73542</v>
      </c>
      <c r="C238" s="126" t="s">
        <v>1324</v>
      </c>
      <c r="D238" s="127" t="s">
        <v>1722</v>
      </c>
      <c r="E238" s="128" t="s">
        <v>1723</v>
      </c>
      <c r="F238" s="128">
        <v>15</v>
      </c>
      <c r="G238" s="137">
        <v>5.76</v>
      </c>
      <c r="H238" s="130">
        <v>0.73</v>
      </c>
      <c r="I238" s="131">
        <f t="shared" si="91"/>
        <v>10.95</v>
      </c>
      <c r="J238" s="116">
        <f t="shared" si="94"/>
        <v>0</v>
      </c>
      <c r="K238" s="116">
        <f t="shared" si="94"/>
        <v>0</v>
      </c>
      <c r="L238" s="137"/>
      <c r="M238" s="137">
        <f>F238-K238</f>
        <v>15</v>
      </c>
      <c r="N238" s="143">
        <f t="shared" si="89"/>
        <v>0</v>
      </c>
      <c r="O238" s="131">
        <f t="shared" si="92"/>
        <v>0</v>
      </c>
      <c r="P238" s="144">
        <f t="shared" si="93"/>
        <v>10.95</v>
      </c>
      <c r="Q238" s="136">
        <f t="shared" si="87"/>
        <v>0</v>
      </c>
    </row>
    <row r="239" spans="1:17" s="67" customFormat="1" x14ac:dyDescent="0.2">
      <c r="A239" s="125" t="s">
        <v>1724</v>
      </c>
      <c r="B239" s="126">
        <v>84158</v>
      </c>
      <c r="C239" s="126" t="s">
        <v>1324</v>
      </c>
      <c r="D239" s="127" t="s">
        <v>1725</v>
      </c>
      <c r="E239" s="128" t="s">
        <v>1723</v>
      </c>
      <c r="F239" s="128">
        <v>2</v>
      </c>
      <c r="G239" s="137">
        <v>8.1999999999999993</v>
      </c>
      <c r="H239" s="130">
        <v>1.42</v>
      </c>
      <c r="I239" s="131">
        <f t="shared" si="91"/>
        <v>2.84</v>
      </c>
      <c r="J239" s="116">
        <f t="shared" si="94"/>
        <v>0</v>
      </c>
      <c r="K239" s="116">
        <f t="shared" si="94"/>
        <v>0</v>
      </c>
      <c r="L239" s="137"/>
      <c r="M239" s="137">
        <f>F239-K239</f>
        <v>2</v>
      </c>
      <c r="N239" s="143">
        <f t="shared" si="89"/>
        <v>0</v>
      </c>
      <c r="O239" s="131">
        <f t="shared" si="92"/>
        <v>0</v>
      </c>
      <c r="P239" s="144">
        <f t="shared" si="93"/>
        <v>2.84</v>
      </c>
      <c r="Q239" s="136">
        <f t="shared" si="87"/>
        <v>0</v>
      </c>
    </row>
    <row r="240" spans="1:17" s="67" customFormat="1" x14ac:dyDescent="0.2">
      <c r="A240" s="125" t="s">
        <v>1726</v>
      </c>
      <c r="B240" s="126">
        <v>84159</v>
      </c>
      <c r="C240" s="126" t="s">
        <v>1324</v>
      </c>
      <c r="D240" s="127" t="s">
        <v>1727</v>
      </c>
      <c r="E240" s="128" t="s">
        <v>1723</v>
      </c>
      <c r="F240" s="128">
        <v>1</v>
      </c>
      <c r="G240" s="137">
        <v>13.75</v>
      </c>
      <c r="H240" s="130">
        <v>3.16</v>
      </c>
      <c r="I240" s="131">
        <f t="shared" si="91"/>
        <v>3.16</v>
      </c>
      <c r="J240" s="116">
        <f t="shared" si="94"/>
        <v>0</v>
      </c>
      <c r="K240" s="116">
        <f t="shared" si="94"/>
        <v>0</v>
      </c>
      <c r="L240" s="137"/>
      <c r="M240" s="137">
        <f>F240-K240</f>
        <v>1</v>
      </c>
      <c r="N240" s="143">
        <f t="shared" si="89"/>
        <v>0</v>
      </c>
      <c r="O240" s="131">
        <f t="shared" si="92"/>
        <v>0</v>
      </c>
      <c r="P240" s="144">
        <f t="shared" si="93"/>
        <v>3.16</v>
      </c>
      <c r="Q240" s="136">
        <f t="shared" si="87"/>
        <v>0</v>
      </c>
    </row>
    <row r="241" spans="1:17" s="67" customFormat="1" x14ac:dyDescent="0.2">
      <c r="A241" s="125" t="s">
        <v>1728</v>
      </c>
      <c r="B241" s="126">
        <v>92695</v>
      </c>
      <c r="C241" s="126" t="s">
        <v>1324</v>
      </c>
      <c r="D241" s="127" t="s">
        <v>1729</v>
      </c>
      <c r="E241" s="128" t="s">
        <v>102</v>
      </c>
      <c r="F241" s="128">
        <v>15</v>
      </c>
      <c r="G241" s="137">
        <v>27.72</v>
      </c>
      <c r="H241" s="130">
        <v>14</v>
      </c>
      <c r="I241" s="131">
        <f t="shared" si="91"/>
        <v>210</v>
      </c>
      <c r="J241" s="116">
        <f t="shared" si="94"/>
        <v>0</v>
      </c>
      <c r="K241" s="116">
        <f t="shared" si="94"/>
        <v>0</v>
      </c>
      <c r="L241" s="137"/>
      <c r="M241" s="137">
        <f>F241-K241</f>
        <v>15</v>
      </c>
      <c r="N241" s="143">
        <f t="shared" si="89"/>
        <v>0</v>
      </c>
      <c r="O241" s="131">
        <f t="shared" si="92"/>
        <v>0</v>
      </c>
      <c r="P241" s="144">
        <f t="shared" si="93"/>
        <v>210</v>
      </c>
      <c r="Q241" s="136">
        <f t="shared" si="87"/>
        <v>0</v>
      </c>
    </row>
    <row r="242" spans="1:17" s="67" customFormat="1" x14ac:dyDescent="0.2">
      <c r="A242" s="125" t="s">
        <v>1730</v>
      </c>
      <c r="B242" s="126">
        <v>92697</v>
      </c>
      <c r="C242" s="126" t="s">
        <v>1324</v>
      </c>
      <c r="D242" s="127" t="s">
        <v>1731</v>
      </c>
      <c r="E242" s="128" t="s">
        <v>102</v>
      </c>
      <c r="F242" s="128">
        <v>2</v>
      </c>
      <c r="G242" s="137">
        <v>71.03</v>
      </c>
      <c r="H242" s="130">
        <v>22.66</v>
      </c>
      <c r="I242" s="131">
        <f t="shared" si="91"/>
        <v>45.32</v>
      </c>
      <c r="J242" s="116">
        <f t="shared" si="94"/>
        <v>0</v>
      </c>
      <c r="K242" s="116">
        <f t="shared" si="94"/>
        <v>0</v>
      </c>
      <c r="L242" s="137"/>
      <c r="M242" s="137">
        <f t="shared" ref="M242:M250" si="95">F242-K242</f>
        <v>2</v>
      </c>
      <c r="N242" s="143">
        <f t="shared" si="89"/>
        <v>0</v>
      </c>
      <c r="O242" s="131">
        <f t="shared" si="92"/>
        <v>0</v>
      </c>
      <c r="P242" s="144">
        <f t="shared" si="93"/>
        <v>45.32</v>
      </c>
      <c r="Q242" s="136">
        <f t="shared" si="87"/>
        <v>0</v>
      </c>
    </row>
    <row r="243" spans="1:17" s="67" customFormat="1" x14ac:dyDescent="0.2">
      <c r="A243" s="125" t="s">
        <v>1732</v>
      </c>
      <c r="B243" s="126">
        <v>92662</v>
      </c>
      <c r="C243" s="126" t="s">
        <v>1324</v>
      </c>
      <c r="D243" s="127" t="s">
        <v>1733</v>
      </c>
      <c r="E243" s="128" t="s">
        <v>102</v>
      </c>
      <c r="F243" s="128">
        <v>1</v>
      </c>
      <c r="G243" s="137">
        <v>12.99</v>
      </c>
      <c r="H243" s="130">
        <v>22.38</v>
      </c>
      <c r="I243" s="131">
        <f t="shared" si="91"/>
        <v>22.38</v>
      </c>
      <c r="J243" s="116">
        <f t="shared" si="94"/>
        <v>0</v>
      </c>
      <c r="K243" s="116">
        <f t="shared" si="94"/>
        <v>0</v>
      </c>
      <c r="L243" s="137"/>
      <c r="M243" s="137">
        <f t="shared" si="95"/>
        <v>1</v>
      </c>
      <c r="N243" s="143">
        <f t="shared" si="89"/>
        <v>0</v>
      </c>
      <c r="O243" s="131">
        <f t="shared" si="92"/>
        <v>0</v>
      </c>
      <c r="P243" s="144">
        <f t="shared" si="93"/>
        <v>22.38</v>
      </c>
      <c r="Q243" s="136">
        <f t="shared" si="87"/>
        <v>0</v>
      </c>
    </row>
    <row r="244" spans="1:17" s="67" customFormat="1" x14ac:dyDescent="0.2">
      <c r="A244" s="125" t="s">
        <v>1734</v>
      </c>
      <c r="B244" s="126">
        <v>92868</v>
      </c>
      <c r="C244" s="126" t="s">
        <v>1324</v>
      </c>
      <c r="D244" s="127" t="s">
        <v>1735</v>
      </c>
      <c r="E244" s="128" t="s">
        <v>102</v>
      </c>
      <c r="F244" s="128">
        <v>16</v>
      </c>
      <c r="G244" s="137">
        <v>14.25</v>
      </c>
      <c r="H244" s="130">
        <v>9.5299999999999994</v>
      </c>
      <c r="I244" s="131">
        <f t="shared" si="91"/>
        <v>152.47999999999999</v>
      </c>
      <c r="J244" s="116">
        <f t="shared" ref="J244:K259" si="96">SUM(J245:J252)</f>
        <v>0</v>
      </c>
      <c r="K244" s="116">
        <f t="shared" si="96"/>
        <v>0</v>
      </c>
      <c r="L244" s="137"/>
      <c r="M244" s="137">
        <f t="shared" si="95"/>
        <v>16</v>
      </c>
      <c r="N244" s="143">
        <f t="shared" si="89"/>
        <v>0</v>
      </c>
      <c r="O244" s="131">
        <f t="shared" si="92"/>
        <v>0</v>
      </c>
      <c r="P244" s="144">
        <f t="shared" si="93"/>
        <v>152.47999999999999</v>
      </c>
      <c r="Q244" s="136">
        <f t="shared" si="87"/>
        <v>0</v>
      </c>
    </row>
    <row r="245" spans="1:17" s="67" customFormat="1" ht="25.5" x14ac:dyDescent="0.2">
      <c r="A245" s="125" t="s">
        <v>1736</v>
      </c>
      <c r="B245" s="126">
        <v>92865</v>
      </c>
      <c r="C245" s="126" t="s">
        <v>1324</v>
      </c>
      <c r="D245" s="127" t="s">
        <v>1737</v>
      </c>
      <c r="E245" s="128" t="s">
        <v>102</v>
      </c>
      <c r="F245" s="128">
        <v>7</v>
      </c>
      <c r="G245" s="137">
        <v>13.19</v>
      </c>
      <c r="H245" s="130">
        <v>6.13</v>
      </c>
      <c r="I245" s="131">
        <f t="shared" si="91"/>
        <v>42.91</v>
      </c>
      <c r="J245" s="116">
        <f t="shared" si="96"/>
        <v>0</v>
      </c>
      <c r="K245" s="116">
        <f t="shared" si="96"/>
        <v>0</v>
      </c>
      <c r="L245" s="137"/>
      <c r="M245" s="137">
        <f t="shared" si="95"/>
        <v>7</v>
      </c>
      <c r="N245" s="143">
        <f t="shared" si="89"/>
        <v>0</v>
      </c>
      <c r="O245" s="131">
        <f t="shared" si="92"/>
        <v>0</v>
      </c>
      <c r="P245" s="144">
        <f t="shared" si="93"/>
        <v>42.91</v>
      </c>
      <c r="Q245" s="136">
        <f t="shared" si="87"/>
        <v>0</v>
      </c>
    </row>
    <row r="246" spans="1:17" s="124" customFormat="1" x14ac:dyDescent="0.2">
      <c r="A246" s="113" t="s">
        <v>634</v>
      </c>
      <c r="B246" s="114"/>
      <c r="C246" s="114"/>
      <c r="D246" s="115" t="s">
        <v>1738</v>
      </c>
      <c r="E246" s="116"/>
      <c r="F246" s="116">
        <f>SUM(F247:F250)</f>
        <v>1065</v>
      </c>
      <c r="G246" s="116">
        <f t="shared" ref="G246:P246" si="97">SUM(G247:G250)</f>
        <v>95.910000000000011</v>
      </c>
      <c r="H246" s="116">
        <f t="shared" si="97"/>
        <v>36.54</v>
      </c>
      <c r="I246" s="116">
        <f t="shared" si="97"/>
        <v>4345.79</v>
      </c>
      <c r="J246" s="116">
        <f t="shared" si="97"/>
        <v>0</v>
      </c>
      <c r="K246" s="116">
        <f t="shared" si="97"/>
        <v>0</v>
      </c>
      <c r="L246" s="116">
        <f t="shared" si="97"/>
        <v>0</v>
      </c>
      <c r="M246" s="116">
        <f t="shared" si="97"/>
        <v>1065</v>
      </c>
      <c r="N246" s="116">
        <f t="shared" si="97"/>
        <v>0</v>
      </c>
      <c r="O246" s="116">
        <f t="shared" si="97"/>
        <v>0</v>
      </c>
      <c r="P246" s="116">
        <f t="shared" si="97"/>
        <v>4345.79</v>
      </c>
      <c r="Q246" s="123">
        <f>O246/I246</f>
        <v>0</v>
      </c>
    </row>
    <row r="247" spans="1:17" s="67" customFormat="1" x14ac:dyDescent="0.2">
      <c r="A247" s="125" t="s">
        <v>1739</v>
      </c>
      <c r="B247" s="126">
        <v>91926</v>
      </c>
      <c r="C247" s="126" t="s">
        <v>1324</v>
      </c>
      <c r="D247" s="127" t="s">
        <v>1740</v>
      </c>
      <c r="E247" s="128" t="s">
        <v>81</v>
      </c>
      <c r="F247" s="128">
        <v>190</v>
      </c>
      <c r="G247" s="137">
        <v>26.32</v>
      </c>
      <c r="H247" s="130">
        <v>2.31</v>
      </c>
      <c r="I247" s="131">
        <f>ROUND(F247*H247,2)</f>
        <v>438.9</v>
      </c>
      <c r="J247" s="116">
        <f t="shared" si="96"/>
        <v>0</v>
      </c>
      <c r="K247" s="116">
        <f t="shared" si="96"/>
        <v>0</v>
      </c>
      <c r="L247" s="137"/>
      <c r="M247" s="137">
        <f t="shared" si="95"/>
        <v>190</v>
      </c>
      <c r="N247" s="143">
        <f>J247*H247</f>
        <v>0</v>
      </c>
      <c r="O247" s="131">
        <f>K247*H247</f>
        <v>0</v>
      </c>
      <c r="P247" s="144">
        <f>I247-O247</f>
        <v>438.9</v>
      </c>
      <c r="Q247" s="136">
        <f>O247/I247</f>
        <v>0</v>
      </c>
    </row>
    <row r="248" spans="1:17" s="67" customFormat="1" x14ac:dyDescent="0.2">
      <c r="A248" s="125" t="s">
        <v>1741</v>
      </c>
      <c r="B248" s="126">
        <v>91928</v>
      </c>
      <c r="C248" s="126" t="s">
        <v>1324</v>
      </c>
      <c r="D248" s="127" t="s">
        <v>1742</v>
      </c>
      <c r="E248" s="128" t="s">
        <v>81</v>
      </c>
      <c r="F248" s="128">
        <v>820</v>
      </c>
      <c r="G248" s="137">
        <v>61.2</v>
      </c>
      <c r="H248" s="130">
        <v>3.64</v>
      </c>
      <c r="I248" s="131">
        <f>ROUND(F248*H248,2)</f>
        <v>2984.8</v>
      </c>
      <c r="J248" s="116">
        <f t="shared" si="96"/>
        <v>0</v>
      </c>
      <c r="K248" s="116">
        <f t="shared" si="96"/>
        <v>0</v>
      </c>
      <c r="L248" s="137"/>
      <c r="M248" s="137">
        <f t="shared" si="95"/>
        <v>820</v>
      </c>
      <c r="N248" s="143">
        <f>J248*H248</f>
        <v>0</v>
      </c>
      <c r="O248" s="131">
        <f>K248*H248</f>
        <v>0</v>
      </c>
      <c r="P248" s="144">
        <f>I248-O248</f>
        <v>2984.8</v>
      </c>
      <c r="Q248" s="136">
        <f>O248/I248</f>
        <v>0</v>
      </c>
    </row>
    <row r="249" spans="1:17" s="67" customFormat="1" x14ac:dyDescent="0.2">
      <c r="A249" s="125" t="s">
        <v>1743</v>
      </c>
      <c r="B249" s="126">
        <v>91934</v>
      </c>
      <c r="C249" s="126" t="s">
        <v>1324</v>
      </c>
      <c r="D249" s="127" t="s">
        <v>1744</v>
      </c>
      <c r="E249" s="128" t="s">
        <v>81</v>
      </c>
      <c r="F249" s="128">
        <v>14</v>
      </c>
      <c r="G249" s="129"/>
      <c r="H249" s="130">
        <v>12.3</v>
      </c>
      <c r="I249" s="131">
        <f>ROUND(F249*H249,2)</f>
        <v>172.2</v>
      </c>
      <c r="J249" s="116">
        <f t="shared" si="96"/>
        <v>0</v>
      </c>
      <c r="K249" s="116">
        <f t="shared" si="96"/>
        <v>0</v>
      </c>
      <c r="L249" s="129"/>
      <c r="M249" s="137">
        <f t="shared" si="95"/>
        <v>14</v>
      </c>
      <c r="N249" s="143">
        <f>J249*H249</f>
        <v>0</v>
      </c>
      <c r="O249" s="131">
        <f>K249*H249</f>
        <v>0</v>
      </c>
      <c r="P249" s="144">
        <f>I249-O249</f>
        <v>172.2</v>
      </c>
      <c r="Q249" s="136">
        <f>O249/I249</f>
        <v>0</v>
      </c>
    </row>
    <row r="250" spans="1:17" s="67" customFormat="1" x14ac:dyDescent="0.2">
      <c r="A250" s="125" t="s">
        <v>1745</v>
      </c>
      <c r="B250" s="126">
        <v>92985</v>
      </c>
      <c r="C250" s="126" t="s">
        <v>1324</v>
      </c>
      <c r="D250" s="127" t="s">
        <v>1746</v>
      </c>
      <c r="E250" s="128" t="s">
        <v>81</v>
      </c>
      <c r="F250" s="128">
        <v>41</v>
      </c>
      <c r="G250" s="137">
        <v>8.39</v>
      </c>
      <c r="H250" s="130">
        <v>18.29</v>
      </c>
      <c r="I250" s="131">
        <f>ROUND(F250*H250,2)</f>
        <v>749.89</v>
      </c>
      <c r="J250" s="116">
        <f t="shared" si="96"/>
        <v>0</v>
      </c>
      <c r="K250" s="116">
        <f t="shared" si="96"/>
        <v>0</v>
      </c>
      <c r="L250" s="137"/>
      <c r="M250" s="137">
        <f t="shared" si="95"/>
        <v>41</v>
      </c>
      <c r="N250" s="143">
        <f>J250*H250</f>
        <v>0</v>
      </c>
      <c r="O250" s="131">
        <f>K250*H250</f>
        <v>0</v>
      </c>
      <c r="P250" s="144">
        <f>I250-O250</f>
        <v>749.89</v>
      </c>
      <c r="Q250" s="136">
        <f>O250/I250</f>
        <v>0</v>
      </c>
    </row>
    <row r="251" spans="1:17" s="124" customFormat="1" x14ac:dyDescent="0.2">
      <c r="A251" s="113" t="s">
        <v>640</v>
      </c>
      <c r="B251" s="114"/>
      <c r="C251" s="114"/>
      <c r="D251" s="115" t="s">
        <v>1747</v>
      </c>
      <c r="E251" s="116"/>
      <c r="F251" s="116">
        <f>SUM(F252:F257)</f>
        <v>39</v>
      </c>
      <c r="G251" s="116">
        <f t="shared" ref="G251:P251" si="98">SUM(G252:G257)</f>
        <v>163.52000000000001</v>
      </c>
      <c r="H251" s="116">
        <f t="shared" si="98"/>
        <v>800.18000000000006</v>
      </c>
      <c r="I251" s="116">
        <f t="shared" si="98"/>
        <v>10299.74</v>
      </c>
      <c r="J251" s="116">
        <f t="shared" si="98"/>
        <v>0</v>
      </c>
      <c r="K251" s="116">
        <f t="shared" si="98"/>
        <v>0</v>
      </c>
      <c r="L251" s="116">
        <f t="shared" si="98"/>
        <v>0</v>
      </c>
      <c r="M251" s="116">
        <f t="shared" si="98"/>
        <v>39</v>
      </c>
      <c r="N251" s="116">
        <f t="shared" si="98"/>
        <v>0</v>
      </c>
      <c r="O251" s="116">
        <f t="shared" si="98"/>
        <v>0</v>
      </c>
      <c r="P251" s="116">
        <f t="shared" si="98"/>
        <v>10299.74</v>
      </c>
      <c r="Q251" s="123">
        <f t="shared" ref="Q251:Q282" si="99">O251/I251</f>
        <v>0</v>
      </c>
    </row>
    <row r="252" spans="1:17" s="67" customFormat="1" ht="25.5" x14ac:dyDescent="0.2">
      <c r="A252" s="125" t="s">
        <v>1748</v>
      </c>
      <c r="B252" s="126">
        <v>92000</v>
      </c>
      <c r="C252" s="126" t="s">
        <v>1324</v>
      </c>
      <c r="D252" s="127" t="s">
        <v>1749</v>
      </c>
      <c r="E252" s="128" t="s">
        <v>102</v>
      </c>
      <c r="F252" s="128">
        <v>4</v>
      </c>
      <c r="G252" s="137">
        <v>21.53</v>
      </c>
      <c r="H252" s="130">
        <v>20.07</v>
      </c>
      <c r="I252" s="131">
        <f t="shared" ref="I252:I257" si="100">ROUND(F252*H252,2)</f>
        <v>80.28</v>
      </c>
      <c r="J252" s="116">
        <f t="shared" si="96"/>
        <v>0</v>
      </c>
      <c r="K252" s="116">
        <f t="shared" si="96"/>
        <v>0</v>
      </c>
      <c r="L252" s="137"/>
      <c r="M252" s="137">
        <f t="shared" ref="M252:M257" si="101">F252-K252</f>
        <v>4</v>
      </c>
      <c r="N252" s="143">
        <f t="shared" ref="N252:N257" si="102">J252*H252</f>
        <v>0</v>
      </c>
      <c r="O252" s="131">
        <f t="shared" ref="O252:O257" si="103">K252*H252</f>
        <v>0</v>
      </c>
      <c r="P252" s="144">
        <f t="shared" ref="P252:P257" si="104">I252-O252</f>
        <v>80.28</v>
      </c>
      <c r="Q252" s="136">
        <f t="shared" si="99"/>
        <v>0</v>
      </c>
    </row>
    <row r="253" spans="1:17" s="67" customFormat="1" ht="25.5" x14ac:dyDescent="0.2">
      <c r="A253" s="125" t="s">
        <v>1750</v>
      </c>
      <c r="B253" s="126">
        <v>92001</v>
      </c>
      <c r="C253" s="126" t="s">
        <v>1324</v>
      </c>
      <c r="D253" s="127" t="s">
        <v>1751</v>
      </c>
      <c r="E253" s="128" t="s">
        <v>102</v>
      </c>
      <c r="F253" s="128">
        <v>1</v>
      </c>
      <c r="G253" s="137">
        <v>133.13999999999999</v>
      </c>
      <c r="H253" s="130">
        <v>21.83</v>
      </c>
      <c r="I253" s="131">
        <f t="shared" si="100"/>
        <v>21.83</v>
      </c>
      <c r="J253" s="116">
        <f t="shared" si="96"/>
        <v>0</v>
      </c>
      <c r="K253" s="116">
        <f t="shared" si="96"/>
        <v>0</v>
      </c>
      <c r="L253" s="137"/>
      <c r="M253" s="137">
        <f t="shared" si="101"/>
        <v>1</v>
      </c>
      <c r="N253" s="143">
        <f t="shared" si="102"/>
        <v>0</v>
      </c>
      <c r="O253" s="131">
        <f t="shared" si="103"/>
        <v>0</v>
      </c>
      <c r="P253" s="144">
        <f t="shared" si="104"/>
        <v>21.83</v>
      </c>
      <c r="Q253" s="136">
        <f t="shared" si="99"/>
        <v>0</v>
      </c>
    </row>
    <row r="254" spans="1:17" s="67" customFormat="1" ht="25.5" x14ac:dyDescent="0.2">
      <c r="A254" s="125" t="s">
        <v>1752</v>
      </c>
      <c r="B254" s="126">
        <v>91953</v>
      </c>
      <c r="C254" s="126" t="s">
        <v>1324</v>
      </c>
      <c r="D254" s="127" t="s">
        <v>1753</v>
      </c>
      <c r="E254" s="128" t="s">
        <v>102</v>
      </c>
      <c r="F254" s="128">
        <v>7</v>
      </c>
      <c r="G254" s="129"/>
      <c r="H254" s="130">
        <v>18.98</v>
      </c>
      <c r="I254" s="131">
        <f t="shared" si="100"/>
        <v>132.86000000000001</v>
      </c>
      <c r="J254" s="116">
        <f t="shared" si="96"/>
        <v>0</v>
      </c>
      <c r="K254" s="116">
        <f t="shared" si="96"/>
        <v>0</v>
      </c>
      <c r="L254" s="129"/>
      <c r="M254" s="137">
        <f t="shared" si="101"/>
        <v>7</v>
      </c>
      <c r="N254" s="143">
        <f t="shared" si="102"/>
        <v>0</v>
      </c>
      <c r="O254" s="131">
        <f t="shared" si="103"/>
        <v>0</v>
      </c>
      <c r="P254" s="144">
        <f t="shared" si="104"/>
        <v>132.86000000000001</v>
      </c>
      <c r="Q254" s="136">
        <f t="shared" si="99"/>
        <v>0</v>
      </c>
    </row>
    <row r="255" spans="1:17" s="67" customFormat="1" x14ac:dyDescent="0.2">
      <c r="A255" s="125" t="s">
        <v>1754</v>
      </c>
      <c r="B255" s="126" t="s">
        <v>1755</v>
      </c>
      <c r="C255" s="126" t="s">
        <v>1324</v>
      </c>
      <c r="D255" s="127" t="s">
        <v>1756</v>
      </c>
      <c r="E255" s="128" t="s">
        <v>102</v>
      </c>
      <c r="F255" s="128">
        <v>1</v>
      </c>
      <c r="G255" s="137">
        <v>1.81</v>
      </c>
      <c r="H255" s="130">
        <v>133.31</v>
      </c>
      <c r="I255" s="131">
        <f t="shared" si="100"/>
        <v>133.31</v>
      </c>
      <c r="J255" s="116">
        <f t="shared" si="96"/>
        <v>0</v>
      </c>
      <c r="K255" s="116">
        <f t="shared" si="96"/>
        <v>0</v>
      </c>
      <c r="L255" s="137"/>
      <c r="M255" s="137">
        <f t="shared" si="101"/>
        <v>1</v>
      </c>
      <c r="N255" s="143">
        <f t="shared" si="102"/>
        <v>0</v>
      </c>
      <c r="O255" s="131">
        <f t="shared" si="103"/>
        <v>0</v>
      </c>
      <c r="P255" s="144">
        <f t="shared" si="104"/>
        <v>133.31</v>
      </c>
      <c r="Q255" s="136">
        <f t="shared" si="99"/>
        <v>0</v>
      </c>
    </row>
    <row r="256" spans="1:17" s="67" customFormat="1" x14ac:dyDescent="0.2">
      <c r="A256" s="125" t="s">
        <v>1757</v>
      </c>
      <c r="B256" s="126" t="s">
        <v>1758</v>
      </c>
      <c r="C256" s="126" t="s">
        <v>1324</v>
      </c>
      <c r="D256" s="127" t="s">
        <v>1759</v>
      </c>
      <c r="E256" s="128" t="s">
        <v>102</v>
      </c>
      <c r="F256" s="128">
        <v>6</v>
      </c>
      <c r="G256" s="137">
        <v>2.93</v>
      </c>
      <c r="H256" s="130">
        <v>156.31</v>
      </c>
      <c r="I256" s="131">
        <f t="shared" si="100"/>
        <v>937.86</v>
      </c>
      <c r="J256" s="116">
        <f t="shared" si="96"/>
        <v>0</v>
      </c>
      <c r="K256" s="116">
        <f t="shared" si="96"/>
        <v>0</v>
      </c>
      <c r="L256" s="137"/>
      <c r="M256" s="137">
        <f t="shared" si="101"/>
        <v>6</v>
      </c>
      <c r="N256" s="143">
        <f t="shared" si="102"/>
        <v>0</v>
      </c>
      <c r="O256" s="131">
        <f t="shared" si="103"/>
        <v>0</v>
      </c>
      <c r="P256" s="144">
        <f t="shared" si="104"/>
        <v>937.86</v>
      </c>
      <c r="Q256" s="136">
        <f t="shared" si="99"/>
        <v>0</v>
      </c>
    </row>
    <row r="257" spans="1:17" s="67" customFormat="1" ht="38.25" x14ac:dyDescent="0.2">
      <c r="A257" s="125" t="s">
        <v>1760</v>
      </c>
      <c r="B257" s="126"/>
      <c r="C257" s="126" t="s">
        <v>1339</v>
      </c>
      <c r="D257" s="127" t="s">
        <v>1761</v>
      </c>
      <c r="E257" s="128" t="s">
        <v>102</v>
      </c>
      <c r="F257" s="128">
        <v>20</v>
      </c>
      <c r="G257" s="137">
        <v>4.1100000000000003</v>
      </c>
      <c r="H257" s="130">
        <v>449.68</v>
      </c>
      <c r="I257" s="131">
        <f t="shared" si="100"/>
        <v>8993.6</v>
      </c>
      <c r="J257" s="116">
        <f t="shared" si="96"/>
        <v>0</v>
      </c>
      <c r="K257" s="116">
        <f t="shared" si="96"/>
        <v>0</v>
      </c>
      <c r="L257" s="137"/>
      <c r="M257" s="137">
        <f t="shared" si="101"/>
        <v>20</v>
      </c>
      <c r="N257" s="143">
        <f t="shared" si="102"/>
        <v>0</v>
      </c>
      <c r="O257" s="131">
        <f t="shared" si="103"/>
        <v>0</v>
      </c>
      <c r="P257" s="144">
        <f t="shared" si="104"/>
        <v>8993.6</v>
      </c>
      <c r="Q257" s="136">
        <f t="shared" si="99"/>
        <v>0</v>
      </c>
    </row>
    <row r="258" spans="1:17" s="67" customFormat="1" ht="18.75" customHeight="1" x14ac:dyDescent="0.2">
      <c r="A258" s="113">
        <v>18</v>
      </c>
      <c r="B258" s="114"/>
      <c r="C258" s="114"/>
      <c r="D258" s="115" t="s">
        <v>1762</v>
      </c>
      <c r="E258" s="116"/>
      <c r="F258" s="116">
        <f>SUM(F259:F266)</f>
        <v>215.51999999999998</v>
      </c>
      <c r="G258" s="116">
        <f>SUM(G259:G266)</f>
        <v>1469.0400000000002</v>
      </c>
      <c r="H258" s="116">
        <f>SUM(H259:H266)</f>
        <v>577.3900000000001</v>
      </c>
      <c r="I258" s="116">
        <f>SUM(I259:I266)</f>
        <v>7237.1900000000014</v>
      </c>
      <c r="J258" s="116">
        <f t="shared" si="96"/>
        <v>0</v>
      </c>
      <c r="K258" s="116">
        <f t="shared" si="96"/>
        <v>0</v>
      </c>
      <c r="L258" s="116">
        <f>SUM(L259:L266)</f>
        <v>0</v>
      </c>
      <c r="M258" s="116">
        <f>SUM(M259:M266)</f>
        <v>215.51999999999998</v>
      </c>
      <c r="N258" s="116">
        <f>SUM(N259:N266)</f>
        <v>0</v>
      </c>
      <c r="O258" s="116">
        <f>SUM(O259:O266)</f>
        <v>0</v>
      </c>
      <c r="P258" s="116">
        <f>SUM(P259:P266)</f>
        <v>7237.1900000000014</v>
      </c>
      <c r="Q258" s="123">
        <f t="shared" si="99"/>
        <v>0</v>
      </c>
    </row>
    <row r="259" spans="1:17" s="67" customFormat="1" ht="25.5" x14ac:dyDescent="0.2">
      <c r="A259" s="125" t="s">
        <v>657</v>
      </c>
      <c r="B259" s="126"/>
      <c r="C259" s="126" t="s">
        <v>1339</v>
      </c>
      <c r="D259" s="127" t="s">
        <v>1763</v>
      </c>
      <c r="E259" s="128" t="s">
        <v>102</v>
      </c>
      <c r="F259" s="128">
        <v>7</v>
      </c>
      <c r="G259" s="129"/>
      <c r="H259" s="130">
        <v>205.82</v>
      </c>
      <c r="I259" s="131">
        <f t="shared" ref="I259:I282" si="105">ROUND(F259*H259,2)</f>
        <v>1440.74</v>
      </c>
      <c r="J259" s="116">
        <f t="shared" si="96"/>
        <v>0</v>
      </c>
      <c r="K259" s="116">
        <f t="shared" si="96"/>
        <v>0</v>
      </c>
      <c r="L259" s="129"/>
      <c r="M259" s="137">
        <f>F259-K259</f>
        <v>7</v>
      </c>
      <c r="N259" s="143">
        <f>J259*H259</f>
        <v>0</v>
      </c>
      <c r="O259" s="131">
        <f>K259*H259</f>
        <v>0</v>
      </c>
      <c r="P259" s="144">
        <f>I259-O259</f>
        <v>1440.74</v>
      </c>
      <c r="Q259" s="136">
        <f t="shared" si="99"/>
        <v>0</v>
      </c>
    </row>
    <row r="260" spans="1:17" s="67" customFormat="1" x14ac:dyDescent="0.2">
      <c r="A260" s="125" t="s">
        <v>664</v>
      </c>
      <c r="B260" s="126"/>
      <c r="C260" s="126" t="s">
        <v>1339</v>
      </c>
      <c r="D260" s="127" t="s">
        <v>1764</v>
      </c>
      <c r="E260" s="128" t="s">
        <v>102</v>
      </c>
      <c r="F260" s="128">
        <v>1</v>
      </c>
      <c r="G260" s="137">
        <v>179.19</v>
      </c>
      <c r="H260" s="130">
        <v>232.41</v>
      </c>
      <c r="I260" s="131">
        <f t="shared" si="105"/>
        <v>232.41</v>
      </c>
      <c r="J260" s="116">
        <f t="shared" ref="J260:K275" si="106">SUM(J261:J268)</f>
        <v>0</v>
      </c>
      <c r="K260" s="116">
        <f t="shared" si="106"/>
        <v>0</v>
      </c>
      <c r="L260" s="137"/>
      <c r="M260" s="137">
        <f>F260-K260</f>
        <v>1</v>
      </c>
      <c r="N260" s="143">
        <f>J260*H260</f>
        <v>0</v>
      </c>
      <c r="O260" s="131">
        <f>K260*H260</f>
        <v>0</v>
      </c>
      <c r="P260" s="144">
        <f>I260-O260</f>
        <v>232.41</v>
      </c>
      <c r="Q260" s="136">
        <f t="shared" si="99"/>
        <v>0</v>
      </c>
    </row>
    <row r="261" spans="1:17" s="67" customFormat="1" x14ac:dyDescent="0.2">
      <c r="A261" s="125" t="s">
        <v>668</v>
      </c>
      <c r="B261" s="126">
        <v>72929</v>
      </c>
      <c r="C261" s="126" t="s">
        <v>1324</v>
      </c>
      <c r="D261" s="127" t="s">
        <v>1765</v>
      </c>
      <c r="E261" s="128" t="s">
        <v>81</v>
      </c>
      <c r="F261" s="128">
        <v>39.200000000000003</v>
      </c>
      <c r="G261" s="137">
        <v>212.03</v>
      </c>
      <c r="H261" s="130">
        <v>22.1</v>
      </c>
      <c r="I261" s="131">
        <f t="shared" si="105"/>
        <v>866.32</v>
      </c>
      <c r="J261" s="116">
        <f t="shared" si="106"/>
        <v>0</v>
      </c>
      <c r="K261" s="116">
        <f t="shared" si="106"/>
        <v>0</v>
      </c>
      <c r="L261" s="137"/>
      <c r="M261" s="137">
        <f>F261-K261</f>
        <v>39.200000000000003</v>
      </c>
      <c r="N261" s="143">
        <f>J261*H261</f>
        <v>0</v>
      </c>
      <c r="O261" s="131">
        <f>K261*H261</f>
        <v>0</v>
      </c>
      <c r="P261" s="144">
        <f>I261-O261</f>
        <v>866.32</v>
      </c>
      <c r="Q261" s="136">
        <f t="shared" si="99"/>
        <v>0</v>
      </c>
    </row>
    <row r="262" spans="1:17" s="67" customFormat="1" x14ac:dyDescent="0.2">
      <c r="A262" s="125" t="s">
        <v>671</v>
      </c>
      <c r="B262" s="126">
        <v>72930</v>
      </c>
      <c r="C262" s="126" t="s">
        <v>1324</v>
      </c>
      <c r="D262" s="127" t="s">
        <v>1766</v>
      </c>
      <c r="E262" s="128" t="s">
        <v>81</v>
      </c>
      <c r="F262" s="128">
        <v>126.32</v>
      </c>
      <c r="G262" s="137">
        <v>101.58</v>
      </c>
      <c r="H262" s="130">
        <v>31.35</v>
      </c>
      <c r="I262" s="131">
        <f t="shared" si="105"/>
        <v>3960.13</v>
      </c>
      <c r="J262" s="116">
        <f t="shared" si="106"/>
        <v>0</v>
      </c>
      <c r="K262" s="116">
        <f t="shared" si="106"/>
        <v>0</v>
      </c>
      <c r="L262" s="137"/>
      <c r="M262" s="137">
        <f>F262-K262</f>
        <v>126.32</v>
      </c>
      <c r="N262" s="143">
        <f>J262*H262</f>
        <v>0</v>
      </c>
      <c r="O262" s="131">
        <f>K262*H262</f>
        <v>0</v>
      </c>
      <c r="P262" s="144">
        <f>I262-O262</f>
        <v>3960.13</v>
      </c>
      <c r="Q262" s="136">
        <f t="shared" si="99"/>
        <v>0</v>
      </c>
    </row>
    <row r="263" spans="1:17" s="67" customFormat="1" x14ac:dyDescent="0.2">
      <c r="A263" s="125" t="s">
        <v>679</v>
      </c>
      <c r="B263" s="126">
        <v>93008</v>
      </c>
      <c r="C263" s="126" t="s">
        <v>1324</v>
      </c>
      <c r="D263" s="127" t="s">
        <v>1767</v>
      </c>
      <c r="E263" s="128" t="s">
        <v>81</v>
      </c>
      <c r="F263" s="128">
        <v>21</v>
      </c>
      <c r="G263" s="137">
        <v>412.2</v>
      </c>
      <c r="H263" s="130">
        <v>9.83</v>
      </c>
      <c r="I263" s="131">
        <f t="shared" si="105"/>
        <v>206.43</v>
      </c>
      <c r="J263" s="116">
        <f t="shared" si="106"/>
        <v>0</v>
      </c>
      <c r="K263" s="116">
        <f t="shared" si="106"/>
        <v>0</v>
      </c>
      <c r="L263" s="137"/>
      <c r="M263" s="137">
        <f t="shared" ref="M263:M282" si="107">F263-K263</f>
        <v>21</v>
      </c>
      <c r="N263" s="143">
        <f t="shared" ref="N263:N282" si="108">J263*H263</f>
        <v>0</v>
      </c>
      <c r="O263" s="131">
        <f t="shared" ref="O263:O282" si="109">K263*H263</f>
        <v>0</v>
      </c>
      <c r="P263" s="144">
        <f t="shared" ref="P263:P282" si="110">I263-O263</f>
        <v>206.43</v>
      </c>
      <c r="Q263" s="136">
        <f t="shared" si="99"/>
        <v>0</v>
      </c>
    </row>
    <row r="264" spans="1:17" s="67" customFormat="1" x14ac:dyDescent="0.2">
      <c r="A264" s="125" t="s">
        <v>1768</v>
      </c>
      <c r="B264" s="126"/>
      <c r="C264" s="126" t="s">
        <v>1769</v>
      </c>
      <c r="D264" s="127" t="s">
        <v>1770</v>
      </c>
      <c r="E264" s="128" t="s">
        <v>102</v>
      </c>
      <c r="F264" s="128">
        <v>7</v>
      </c>
      <c r="G264" s="137">
        <v>348.66</v>
      </c>
      <c r="H264" s="130">
        <v>38.299999999999997</v>
      </c>
      <c r="I264" s="131">
        <f t="shared" si="105"/>
        <v>268.10000000000002</v>
      </c>
      <c r="J264" s="116">
        <f t="shared" si="106"/>
        <v>0</v>
      </c>
      <c r="K264" s="116">
        <f t="shared" si="106"/>
        <v>0</v>
      </c>
      <c r="L264" s="137"/>
      <c r="M264" s="137">
        <f t="shared" si="107"/>
        <v>7</v>
      </c>
      <c r="N264" s="143">
        <f t="shared" si="108"/>
        <v>0</v>
      </c>
      <c r="O264" s="131">
        <f t="shared" si="109"/>
        <v>0</v>
      </c>
      <c r="P264" s="144">
        <f t="shared" si="110"/>
        <v>268.10000000000002</v>
      </c>
      <c r="Q264" s="136">
        <f t="shared" si="99"/>
        <v>0</v>
      </c>
    </row>
    <row r="265" spans="1:17" s="67" customFormat="1" x14ac:dyDescent="0.2">
      <c r="A265" s="125" t="s">
        <v>1771</v>
      </c>
      <c r="B265" s="126"/>
      <c r="C265" s="126" t="s">
        <v>1769</v>
      </c>
      <c r="D265" s="127" t="s">
        <v>1772</v>
      </c>
      <c r="E265" s="128" t="s">
        <v>102</v>
      </c>
      <c r="F265" s="128">
        <v>7</v>
      </c>
      <c r="G265" s="137">
        <v>153.37</v>
      </c>
      <c r="H265" s="130">
        <v>24.49</v>
      </c>
      <c r="I265" s="131">
        <f t="shared" si="105"/>
        <v>171.43</v>
      </c>
      <c r="J265" s="116">
        <f t="shared" si="106"/>
        <v>0</v>
      </c>
      <c r="K265" s="116">
        <f t="shared" si="106"/>
        <v>0</v>
      </c>
      <c r="L265" s="137"/>
      <c r="M265" s="137">
        <f t="shared" si="107"/>
        <v>7</v>
      </c>
      <c r="N265" s="143">
        <f t="shared" si="108"/>
        <v>0</v>
      </c>
      <c r="O265" s="131">
        <f t="shared" si="109"/>
        <v>0</v>
      </c>
      <c r="P265" s="144">
        <f t="shared" si="110"/>
        <v>171.43</v>
      </c>
      <c r="Q265" s="136">
        <f t="shared" si="99"/>
        <v>0</v>
      </c>
    </row>
    <row r="266" spans="1:17" s="67" customFormat="1" x14ac:dyDescent="0.2">
      <c r="A266" s="125" t="s">
        <v>1773</v>
      </c>
      <c r="B266" s="126">
        <v>72262</v>
      </c>
      <c r="C266" s="126" t="s">
        <v>1324</v>
      </c>
      <c r="D266" s="127" t="s">
        <v>1774</v>
      </c>
      <c r="E266" s="128" t="s">
        <v>102</v>
      </c>
      <c r="F266" s="128">
        <v>7</v>
      </c>
      <c r="G266" s="137">
        <v>62.01</v>
      </c>
      <c r="H266" s="130">
        <v>13.09</v>
      </c>
      <c r="I266" s="131">
        <f t="shared" si="105"/>
        <v>91.63</v>
      </c>
      <c r="J266" s="116">
        <f t="shared" si="106"/>
        <v>0</v>
      </c>
      <c r="K266" s="116">
        <f t="shared" si="106"/>
        <v>0</v>
      </c>
      <c r="L266" s="137"/>
      <c r="M266" s="137">
        <f t="shared" si="107"/>
        <v>7</v>
      </c>
      <c r="N266" s="143">
        <f t="shared" si="108"/>
        <v>0</v>
      </c>
      <c r="O266" s="131">
        <f t="shared" si="109"/>
        <v>0</v>
      </c>
      <c r="P266" s="144">
        <f t="shared" si="110"/>
        <v>91.63</v>
      </c>
      <c r="Q266" s="136">
        <f t="shared" si="99"/>
        <v>0</v>
      </c>
    </row>
    <row r="267" spans="1:17" s="67" customFormat="1" x14ac:dyDescent="0.2">
      <c r="A267" s="113">
        <v>19</v>
      </c>
      <c r="B267" s="114"/>
      <c r="C267" s="114"/>
      <c r="D267" s="115" t="s">
        <v>304</v>
      </c>
      <c r="E267" s="116"/>
      <c r="F267" s="116">
        <f>SUM(F268,F274)</f>
        <v>220.1</v>
      </c>
      <c r="G267" s="116">
        <f t="shared" ref="G267:P267" si="111">SUM(G268,G274)</f>
        <v>1989.17</v>
      </c>
      <c r="H267" s="116">
        <f t="shared" si="111"/>
        <v>4533.1000000000004</v>
      </c>
      <c r="I267" s="116">
        <f t="shared" si="111"/>
        <v>28168.979999999996</v>
      </c>
      <c r="J267" s="116">
        <f t="shared" si="111"/>
        <v>0</v>
      </c>
      <c r="K267" s="116">
        <f t="shared" si="111"/>
        <v>0</v>
      </c>
      <c r="L267" s="116">
        <f t="shared" si="111"/>
        <v>0</v>
      </c>
      <c r="M267" s="116">
        <f t="shared" si="111"/>
        <v>220.1</v>
      </c>
      <c r="N267" s="116">
        <f t="shared" si="111"/>
        <v>0</v>
      </c>
      <c r="O267" s="116">
        <f t="shared" si="111"/>
        <v>0</v>
      </c>
      <c r="P267" s="116">
        <f t="shared" si="111"/>
        <v>28168.979999999996</v>
      </c>
      <c r="Q267" s="136">
        <f t="shared" si="99"/>
        <v>0</v>
      </c>
    </row>
    <row r="268" spans="1:17" s="124" customFormat="1" x14ac:dyDescent="0.2">
      <c r="A268" s="113" t="s">
        <v>685</v>
      </c>
      <c r="B268" s="114"/>
      <c r="C268" s="114"/>
      <c r="D268" s="115" t="s">
        <v>1775</v>
      </c>
      <c r="E268" s="116"/>
      <c r="F268" s="116">
        <f>SUM(F269:F273)</f>
        <v>15.1</v>
      </c>
      <c r="G268" s="116">
        <f t="shared" ref="G268:P268" si="112">SUM(G269:G273)</f>
        <v>1826.3500000000001</v>
      </c>
      <c r="H268" s="116">
        <f t="shared" si="112"/>
        <v>4162.6000000000004</v>
      </c>
      <c r="I268" s="116">
        <f t="shared" si="112"/>
        <v>6263.99</v>
      </c>
      <c r="J268" s="116">
        <f t="shared" si="112"/>
        <v>0</v>
      </c>
      <c r="K268" s="116">
        <f t="shared" si="112"/>
        <v>0</v>
      </c>
      <c r="L268" s="116">
        <f t="shared" si="112"/>
        <v>0</v>
      </c>
      <c r="M268" s="116">
        <f t="shared" si="112"/>
        <v>15.1</v>
      </c>
      <c r="N268" s="116">
        <f t="shared" si="112"/>
        <v>0</v>
      </c>
      <c r="O268" s="116">
        <f t="shared" si="112"/>
        <v>0</v>
      </c>
      <c r="P268" s="116">
        <f t="shared" si="112"/>
        <v>6263.99</v>
      </c>
      <c r="Q268" s="123">
        <f t="shared" si="99"/>
        <v>0</v>
      </c>
    </row>
    <row r="269" spans="1:17" s="67" customFormat="1" x14ac:dyDescent="0.2">
      <c r="A269" s="125" t="s">
        <v>1776</v>
      </c>
      <c r="B269" s="126"/>
      <c r="C269" s="126" t="s">
        <v>1339</v>
      </c>
      <c r="D269" s="127" t="s">
        <v>1777</v>
      </c>
      <c r="E269" s="128" t="s">
        <v>14</v>
      </c>
      <c r="F269" s="128">
        <v>2.5</v>
      </c>
      <c r="G269" s="137">
        <v>224.79</v>
      </c>
      <c r="H269" s="130">
        <v>236.77</v>
      </c>
      <c r="I269" s="131">
        <f t="shared" si="105"/>
        <v>591.92999999999995</v>
      </c>
      <c r="J269" s="116">
        <f t="shared" si="106"/>
        <v>0</v>
      </c>
      <c r="K269" s="116">
        <f t="shared" si="106"/>
        <v>0</v>
      </c>
      <c r="L269" s="137"/>
      <c r="M269" s="137">
        <f t="shared" si="107"/>
        <v>2.5</v>
      </c>
      <c r="N269" s="143">
        <f t="shared" si="108"/>
        <v>0</v>
      </c>
      <c r="O269" s="131">
        <f t="shared" si="109"/>
        <v>0</v>
      </c>
      <c r="P269" s="144">
        <f t="shared" si="110"/>
        <v>591.92999999999995</v>
      </c>
      <c r="Q269" s="136">
        <f t="shared" si="99"/>
        <v>0</v>
      </c>
    </row>
    <row r="270" spans="1:17" s="67" customFormat="1" x14ac:dyDescent="0.2">
      <c r="A270" s="125" t="s">
        <v>1778</v>
      </c>
      <c r="B270" s="126"/>
      <c r="C270" s="126" t="s">
        <v>1339</v>
      </c>
      <c r="D270" s="127" t="s">
        <v>1779</v>
      </c>
      <c r="E270" s="128" t="s">
        <v>102</v>
      </c>
      <c r="F270" s="128">
        <v>1</v>
      </c>
      <c r="G270" s="137">
        <v>170.36</v>
      </c>
      <c r="H270" s="130">
        <v>1103.49</v>
      </c>
      <c r="I270" s="131">
        <f t="shared" si="105"/>
        <v>1103.49</v>
      </c>
      <c r="J270" s="116">
        <f t="shared" si="106"/>
        <v>0</v>
      </c>
      <c r="K270" s="116">
        <f t="shared" si="106"/>
        <v>0</v>
      </c>
      <c r="L270" s="137"/>
      <c r="M270" s="137">
        <f t="shared" si="107"/>
        <v>1</v>
      </c>
      <c r="N270" s="143">
        <f t="shared" si="108"/>
        <v>0</v>
      </c>
      <c r="O270" s="131">
        <f t="shared" si="109"/>
        <v>0</v>
      </c>
      <c r="P270" s="144">
        <f t="shared" si="110"/>
        <v>1103.49</v>
      </c>
      <c r="Q270" s="136">
        <f t="shared" si="99"/>
        <v>0</v>
      </c>
    </row>
    <row r="271" spans="1:17" s="67" customFormat="1" x14ac:dyDescent="0.2">
      <c r="A271" s="125" t="s">
        <v>1780</v>
      </c>
      <c r="B271" s="126"/>
      <c r="C271" s="126" t="s">
        <v>1339</v>
      </c>
      <c r="D271" s="127" t="s">
        <v>1781</v>
      </c>
      <c r="E271" s="128" t="s">
        <v>102</v>
      </c>
      <c r="F271" s="128">
        <v>1</v>
      </c>
      <c r="G271" s="137">
        <v>108</v>
      </c>
      <c r="H271" s="130">
        <v>1841.38</v>
      </c>
      <c r="I271" s="131">
        <f t="shared" si="105"/>
        <v>1841.38</v>
      </c>
      <c r="J271" s="116">
        <f t="shared" si="106"/>
        <v>0</v>
      </c>
      <c r="K271" s="116">
        <f t="shared" si="106"/>
        <v>0</v>
      </c>
      <c r="L271" s="137"/>
      <c r="M271" s="137">
        <f t="shared" si="107"/>
        <v>1</v>
      </c>
      <c r="N271" s="143">
        <f t="shared" si="108"/>
        <v>0</v>
      </c>
      <c r="O271" s="131">
        <f t="shared" si="109"/>
        <v>0</v>
      </c>
      <c r="P271" s="144">
        <f t="shared" si="110"/>
        <v>1841.38</v>
      </c>
      <c r="Q271" s="136">
        <f t="shared" si="99"/>
        <v>0</v>
      </c>
    </row>
    <row r="272" spans="1:17" s="67" customFormat="1" x14ac:dyDescent="0.2">
      <c r="A272" s="125" t="s">
        <v>1782</v>
      </c>
      <c r="B272" s="126"/>
      <c r="C272" s="126" t="s">
        <v>1339</v>
      </c>
      <c r="D272" s="127" t="s">
        <v>1783</v>
      </c>
      <c r="E272" s="128" t="s">
        <v>102</v>
      </c>
      <c r="F272" s="128">
        <v>1</v>
      </c>
      <c r="G272" s="137">
        <v>1249</v>
      </c>
      <c r="H272" s="130">
        <v>777.91</v>
      </c>
      <c r="I272" s="131">
        <f t="shared" si="105"/>
        <v>777.91</v>
      </c>
      <c r="J272" s="116">
        <f t="shared" si="106"/>
        <v>0</v>
      </c>
      <c r="K272" s="116">
        <f t="shared" si="106"/>
        <v>0</v>
      </c>
      <c r="L272" s="137"/>
      <c r="M272" s="137">
        <f t="shared" si="107"/>
        <v>1</v>
      </c>
      <c r="N272" s="143">
        <f t="shared" si="108"/>
        <v>0</v>
      </c>
      <c r="O272" s="131">
        <f t="shared" si="109"/>
        <v>0</v>
      </c>
      <c r="P272" s="144">
        <f t="shared" si="110"/>
        <v>777.91</v>
      </c>
      <c r="Q272" s="136">
        <f t="shared" si="99"/>
        <v>0</v>
      </c>
    </row>
    <row r="273" spans="1:17" s="67" customFormat="1" ht="25.5" x14ac:dyDescent="0.2">
      <c r="A273" s="125" t="s">
        <v>1784</v>
      </c>
      <c r="B273" s="126">
        <v>84862</v>
      </c>
      <c r="C273" s="126" t="s">
        <v>1324</v>
      </c>
      <c r="D273" s="127" t="s">
        <v>1785</v>
      </c>
      <c r="E273" s="128" t="s">
        <v>81</v>
      </c>
      <c r="F273" s="128">
        <v>9.6</v>
      </c>
      <c r="G273" s="137">
        <v>74.2</v>
      </c>
      <c r="H273" s="130">
        <v>203.05</v>
      </c>
      <c r="I273" s="131">
        <f t="shared" si="105"/>
        <v>1949.28</v>
      </c>
      <c r="J273" s="116">
        <f t="shared" si="106"/>
        <v>0</v>
      </c>
      <c r="K273" s="116">
        <f t="shared" si="106"/>
        <v>0</v>
      </c>
      <c r="L273" s="137"/>
      <c r="M273" s="137">
        <f t="shared" si="107"/>
        <v>9.6</v>
      </c>
      <c r="N273" s="143">
        <f t="shared" si="108"/>
        <v>0</v>
      </c>
      <c r="O273" s="131">
        <f t="shared" si="109"/>
        <v>0</v>
      </c>
      <c r="P273" s="144">
        <f t="shared" si="110"/>
        <v>1949.28</v>
      </c>
      <c r="Q273" s="136">
        <f t="shared" si="99"/>
        <v>0</v>
      </c>
    </row>
    <row r="274" spans="1:17" s="124" customFormat="1" x14ac:dyDescent="0.2">
      <c r="A274" s="113" t="s">
        <v>691</v>
      </c>
      <c r="B274" s="114"/>
      <c r="C274" s="114"/>
      <c r="D274" s="115" t="s">
        <v>1786</v>
      </c>
      <c r="E274" s="116"/>
      <c r="F274" s="116">
        <f>SUM(F275:F276)</f>
        <v>205</v>
      </c>
      <c r="G274" s="116">
        <f t="shared" ref="G274:P274" si="113">SUM(G275:G276)</f>
        <v>162.82</v>
      </c>
      <c r="H274" s="116">
        <f t="shared" si="113"/>
        <v>370.5</v>
      </c>
      <c r="I274" s="116">
        <f t="shared" si="113"/>
        <v>21904.989999999998</v>
      </c>
      <c r="J274" s="116">
        <f t="shared" si="113"/>
        <v>0</v>
      </c>
      <c r="K274" s="116">
        <f t="shared" si="113"/>
        <v>0</v>
      </c>
      <c r="L274" s="116">
        <f t="shared" si="113"/>
        <v>0</v>
      </c>
      <c r="M274" s="116">
        <f t="shared" si="113"/>
        <v>205</v>
      </c>
      <c r="N274" s="116">
        <f t="shared" si="113"/>
        <v>0</v>
      </c>
      <c r="O274" s="116">
        <f t="shared" si="113"/>
        <v>0</v>
      </c>
      <c r="P274" s="116">
        <f t="shared" si="113"/>
        <v>21904.989999999998</v>
      </c>
      <c r="Q274" s="123">
        <f t="shared" si="99"/>
        <v>0</v>
      </c>
    </row>
    <row r="275" spans="1:17" s="67" customFormat="1" ht="25.5" x14ac:dyDescent="0.2">
      <c r="A275" s="125" t="s">
        <v>1787</v>
      </c>
      <c r="B275" s="126" t="s">
        <v>1788</v>
      </c>
      <c r="C275" s="126" t="s">
        <v>1324</v>
      </c>
      <c r="D275" s="127" t="s">
        <v>1789</v>
      </c>
      <c r="E275" s="128" t="s">
        <v>14</v>
      </c>
      <c r="F275" s="128">
        <v>201</v>
      </c>
      <c r="G275" s="137">
        <v>62.36</v>
      </c>
      <c r="H275" s="130">
        <v>103.67</v>
      </c>
      <c r="I275" s="131">
        <f t="shared" si="105"/>
        <v>20837.669999999998</v>
      </c>
      <c r="J275" s="116">
        <f t="shared" si="106"/>
        <v>0</v>
      </c>
      <c r="K275" s="116">
        <f t="shared" si="106"/>
        <v>0</v>
      </c>
      <c r="L275" s="137"/>
      <c r="M275" s="137">
        <f t="shared" si="107"/>
        <v>201</v>
      </c>
      <c r="N275" s="143">
        <f t="shared" si="108"/>
        <v>0</v>
      </c>
      <c r="O275" s="131">
        <f t="shared" si="109"/>
        <v>0</v>
      </c>
      <c r="P275" s="144">
        <f t="shared" si="110"/>
        <v>20837.669999999998</v>
      </c>
      <c r="Q275" s="136">
        <f t="shared" si="99"/>
        <v>0</v>
      </c>
    </row>
    <row r="276" spans="1:17" s="67" customFormat="1" ht="25.5" x14ac:dyDescent="0.2">
      <c r="A276" s="125" t="s">
        <v>1790</v>
      </c>
      <c r="B276" s="126"/>
      <c r="C276" s="126" t="s">
        <v>1339</v>
      </c>
      <c r="D276" s="127" t="s">
        <v>1791</v>
      </c>
      <c r="E276" s="128" t="s">
        <v>102</v>
      </c>
      <c r="F276" s="128">
        <v>4</v>
      </c>
      <c r="G276" s="137">
        <v>100.46</v>
      </c>
      <c r="H276" s="130">
        <v>266.83</v>
      </c>
      <c r="I276" s="131">
        <f t="shared" si="105"/>
        <v>1067.32</v>
      </c>
      <c r="J276" s="116">
        <f t="shared" ref="J276:K282" si="114">SUM(J277:J284)</f>
        <v>0</v>
      </c>
      <c r="K276" s="116">
        <f t="shared" si="114"/>
        <v>0</v>
      </c>
      <c r="L276" s="137"/>
      <c r="M276" s="137">
        <f t="shared" si="107"/>
        <v>4</v>
      </c>
      <c r="N276" s="143">
        <f t="shared" si="108"/>
        <v>0</v>
      </c>
      <c r="O276" s="131">
        <f t="shared" si="109"/>
        <v>0</v>
      </c>
      <c r="P276" s="144">
        <f t="shared" si="110"/>
        <v>1067.32</v>
      </c>
      <c r="Q276" s="136">
        <f t="shared" si="99"/>
        <v>0</v>
      </c>
    </row>
    <row r="277" spans="1:17" s="124" customFormat="1" x14ac:dyDescent="0.2">
      <c r="A277" s="113">
        <v>20</v>
      </c>
      <c r="B277" s="114"/>
      <c r="C277" s="114"/>
      <c r="D277" s="115" t="s">
        <v>1232</v>
      </c>
      <c r="E277" s="116"/>
      <c r="F277" s="116">
        <f>SUM(F278:F282)</f>
        <v>1060.4899999999998</v>
      </c>
      <c r="G277" s="116">
        <f t="shared" ref="G277:P277" si="115">SUM(G278:G282)</f>
        <v>162.02000000000001</v>
      </c>
      <c r="H277" s="116">
        <f t="shared" si="115"/>
        <v>1345.37</v>
      </c>
      <c r="I277" s="116">
        <f t="shared" si="115"/>
        <v>4777.13</v>
      </c>
      <c r="J277" s="116">
        <f t="shared" si="115"/>
        <v>0</v>
      </c>
      <c r="K277" s="116">
        <f t="shared" si="115"/>
        <v>0</v>
      </c>
      <c r="L277" s="116">
        <f t="shared" si="115"/>
        <v>0</v>
      </c>
      <c r="M277" s="116">
        <f t="shared" si="115"/>
        <v>1060.4899999999998</v>
      </c>
      <c r="N277" s="116">
        <f t="shared" si="115"/>
        <v>0</v>
      </c>
      <c r="O277" s="116">
        <f t="shared" si="115"/>
        <v>0</v>
      </c>
      <c r="P277" s="116">
        <f t="shared" si="115"/>
        <v>4777.13</v>
      </c>
      <c r="Q277" s="123">
        <f t="shared" si="99"/>
        <v>0</v>
      </c>
    </row>
    <row r="278" spans="1:17" s="67" customFormat="1" x14ac:dyDescent="0.2">
      <c r="A278" s="125" t="s">
        <v>719</v>
      </c>
      <c r="B278" s="126" t="s">
        <v>1792</v>
      </c>
      <c r="C278" s="126" t="s">
        <v>1324</v>
      </c>
      <c r="D278" s="127" t="s">
        <v>1793</v>
      </c>
      <c r="E278" s="128" t="s">
        <v>14</v>
      </c>
      <c r="F278" s="128">
        <v>296.01</v>
      </c>
      <c r="G278" s="137">
        <v>37.18</v>
      </c>
      <c r="H278" s="130">
        <v>4.97</v>
      </c>
      <c r="I278" s="131">
        <f t="shared" si="105"/>
        <v>1471.17</v>
      </c>
      <c r="J278" s="116">
        <f t="shared" si="114"/>
        <v>0</v>
      </c>
      <c r="K278" s="116">
        <f t="shared" si="114"/>
        <v>0</v>
      </c>
      <c r="L278" s="137"/>
      <c r="M278" s="137">
        <f t="shared" si="107"/>
        <v>296.01</v>
      </c>
      <c r="N278" s="143">
        <f t="shared" si="108"/>
        <v>0</v>
      </c>
      <c r="O278" s="131">
        <f t="shared" si="109"/>
        <v>0</v>
      </c>
      <c r="P278" s="144">
        <f t="shared" si="110"/>
        <v>1471.17</v>
      </c>
      <c r="Q278" s="136">
        <f t="shared" si="99"/>
        <v>0</v>
      </c>
    </row>
    <row r="279" spans="1:17" s="67" customFormat="1" x14ac:dyDescent="0.2">
      <c r="A279" s="125" t="s">
        <v>726</v>
      </c>
      <c r="B279" s="126" t="s">
        <v>1794</v>
      </c>
      <c r="C279" s="126" t="s">
        <v>1324</v>
      </c>
      <c r="D279" s="127" t="s">
        <v>1795</v>
      </c>
      <c r="E279" s="128" t="s">
        <v>14</v>
      </c>
      <c r="F279" s="128">
        <v>21.9</v>
      </c>
      <c r="G279" s="137">
        <v>14.42</v>
      </c>
      <c r="H279" s="130">
        <v>9.57</v>
      </c>
      <c r="I279" s="131">
        <f t="shared" si="105"/>
        <v>209.58</v>
      </c>
      <c r="J279" s="116">
        <f t="shared" si="114"/>
        <v>0</v>
      </c>
      <c r="K279" s="116">
        <f t="shared" si="114"/>
        <v>0</v>
      </c>
      <c r="L279" s="137"/>
      <c r="M279" s="137">
        <f t="shared" si="107"/>
        <v>21.9</v>
      </c>
      <c r="N279" s="143">
        <f t="shared" si="108"/>
        <v>0</v>
      </c>
      <c r="O279" s="131">
        <f t="shared" si="109"/>
        <v>0</v>
      </c>
      <c r="P279" s="144">
        <f t="shared" si="110"/>
        <v>209.58</v>
      </c>
      <c r="Q279" s="136">
        <f t="shared" si="99"/>
        <v>0</v>
      </c>
    </row>
    <row r="280" spans="1:17" s="67" customFormat="1" x14ac:dyDescent="0.2">
      <c r="A280" s="125" t="s">
        <v>730</v>
      </c>
      <c r="B280" s="126" t="s">
        <v>1796</v>
      </c>
      <c r="C280" s="126" t="s">
        <v>1324</v>
      </c>
      <c r="D280" s="127" t="s">
        <v>1797</v>
      </c>
      <c r="E280" s="128" t="s">
        <v>14</v>
      </c>
      <c r="F280" s="128">
        <v>64.91</v>
      </c>
      <c r="G280" s="137">
        <v>22.57</v>
      </c>
      <c r="H280" s="130">
        <v>11.45</v>
      </c>
      <c r="I280" s="131">
        <f t="shared" si="105"/>
        <v>743.22</v>
      </c>
      <c r="J280" s="116">
        <f t="shared" si="114"/>
        <v>0</v>
      </c>
      <c r="K280" s="116">
        <f t="shared" si="114"/>
        <v>0</v>
      </c>
      <c r="L280" s="137"/>
      <c r="M280" s="137">
        <f t="shared" si="107"/>
        <v>64.91</v>
      </c>
      <c r="N280" s="143">
        <f t="shared" si="108"/>
        <v>0</v>
      </c>
      <c r="O280" s="131">
        <f t="shared" si="109"/>
        <v>0</v>
      </c>
      <c r="P280" s="144">
        <f t="shared" si="110"/>
        <v>743.22</v>
      </c>
      <c r="Q280" s="136">
        <f t="shared" si="99"/>
        <v>0</v>
      </c>
    </row>
    <row r="281" spans="1:17" s="67" customFormat="1" x14ac:dyDescent="0.2">
      <c r="A281" s="125" t="s">
        <v>739</v>
      </c>
      <c r="B281" s="126" t="s">
        <v>1798</v>
      </c>
      <c r="C281" s="126" t="s">
        <v>1324</v>
      </c>
      <c r="D281" s="127" t="s">
        <v>1799</v>
      </c>
      <c r="E281" s="128" t="s">
        <v>14</v>
      </c>
      <c r="F281" s="128">
        <v>676.67</v>
      </c>
      <c r="G281" s="137">
        <v>26.75</v>
      </c>
      <c r="H281" s="130">
        <v>1.53</v>
      </c>
      <c r="I281" s="131">
        <f t="shared" si="105"/>
        <v>1035.31</v>
      </c>
      <c r="J281" s="116">
        <f t="shared" si="114"/>
        <v>0</v>
      </c>
      <c r="K281" s="116">
        <f t="shared" si="114"/>
        <v>0</v>
      </c>
      <c r="L281" s="137"/>
      <c r="M281" s="137">
        <f t="shared" si="107"/>
        <v>676.67</v>
      </c>
      <c r="N281" s="143">
        <f t="shared" si="108"/>
        <v>0</v>
      </c>
      <c r="O281" s="131">
        <f t="shared" si="109"/>
        <v>0</v>
      </c>
      <c r="P281" s="144">
        <f t="shared" si="110"/>
        <v>1035.31</v>
      </c>
      <c r="Q281" s="136">
        <f t="shared" si="99"/>
        <v>0</v>
      </c>
    </row>
    <row r="282" spans="1:17" s="67" customFormat="1" x14ac:dyDescent="0.2">
      <c r="A282" s="125" t="s">
        <v>743</v>
      </c>
      <c r="B282" s="126">
        <v>84122</v>
      </c>
      <c r="C282" s="126" t="s">
        <v>1324</v>
      </c>
      <c r="D282" s="127" t="s">
        <v>1800</v>
      </c>
      <c r="E282" s="128" t="s">
        <v>102</v>
      </c>
      <c r="F282" s="128">
        <v>1</v>
      </c>
      <c r="G282" s="137">
        <v>61.1</v>
      </c>
      <c r="H282" s="130">
        <v>1317.85</v>
      </c>
      <c r="I282" s="131">
        <f t="shared" si="105"/>
        <v>1317.85</v>
      </c>
      <c r="J282" s="116">
        <f t="shared" si="114"/>
        <v>0</v>
      </c>
      <c r="K282" s="116">
        <f t="shared" si="114"/>
        <v>0</v>
      </c>
      <c r="L282" s="137"/>
      <c r="M282" s="137">
        <f t="shared" si="107"/>
        <v>1</v>
      </c>
      <c r="N282" s="143">
        <f t="shared" si="108"/>
        <v>0</v>
      </c>
      <c r="O282" s="131">
        <f t="shared" si="109"/>
        <v>0</v>
      </c>
      <c r="P282" s="144">
        <f t="shared" si="110"/>
        <v>1317.85</v>
      </c>
      <c r="Q282" s="136">
        <f t="shared" si="99"/>
        <v>0</v>
      </c>
    </row>
    <row r="283" spans="1:17" s="67" customFormat="1" ht="13.5" thickBot="1" x14ac:dyDescent="0.25">
      <c r="A283" s="180"/>
      <c r="B283" s="181"/>
      <c r="C283" s="182"/>
      <c r="D283" s="182"/>
      <c r="E283" s="182"/>
      <c r="F283" s="183"/>
      <c r="G283" s="182"/>
      <c r="H283" s="184" t="s">
        <v>1281</v>
      </c>
      <c r="I283" s="185">
        <f>SUM(I277,I267,I258,I213,I207,I193,I189,I167,I128,I119,I108,I97,I94,I91,I76,I68,I44,I31,I25,I13)</f>
        <v>676955.05160000001</v>
      </c>
      <c r="J283" s="186">
        <v>0</v>
      </c>
      <c r="K283" s="186">
        <v>0</v>
      </c>
      <c r="L283" s="182"/>
      <c r="M283" s="182"/>
      <c r="N283" s="185">
        <f>SUM(N277,N267,N258,N213,N207,N193,N189,N167,N128,N119,N108,N97,N94,N91,N76,N68,N44,N31,N25,N13)</f>
        <v>19735.7376</v>
      </c>
      <c r="O283" s="185">
        <f>SUM(O277,O267,O258,O213,O207,O193,O189,O167,O128,O119,O108,O97,O94,O91,O76,O68,O44,O31,O25,O13)</f>
        <v>136064.02578826001</v>
      </c>
      <c r="P283" s="185">
        <f>SUM(P277,P267,P258,P213,P207,P193,P189,P167,P128,P119,P108,P97,P94,P91,P76,P68,P44,P31,P25,P13)</f>
        <v>536675.06140000001</v>
      </c>
      <c r="Q283" s="187">
        <f>N283/I283</f>
        <v>2.9153689825275837E-2</v>
      </c>
    </row>
    <row r="284" spans="1:17" s="67" customFormat="1" x14ac:dyDescent="0.2">
      <c r="A284" s="69"/>
      <c r="B284" s="69"/>
      <c r="C284" s="59"/>
      <c r="D284" s="59"/>
      <c r="E284" s="59"/>
      <c r="F284" s="68"/>
      <c r="G284" s="59"/>
      <c r="H284" s="82"/>
      <c r="I284" s="77"/>
      <c r="J284" s="70"/>
      <c r="K284" s="70"/>
      <c r="L284" s="59"/>
      <c r="M284" s="59"/>
      <c r="N284" s="85"/>
      <c r="O284" s="77"/>
      <c r="P284" s="60"/>
      <c r="Q284" s="61"/>
    </row>
    <row r="285" spans="1:17" x14ac:dyDescent="0.2">
      <c r="Q285" s="72"/>
    </row>
    <row r="286" spans="1:17" x14ac:dyDescent="0.2">
      <c r="Q286" s="72"/>
    </row>
    <row r="288" spans="1:17" x14ac:dyDescent="0.2">
      <c r="E288" s="66" t="s">
        <v>1297</v>
      </c>
      <c r="I288" s="78" t="s">
        <v>1307</v>
      </c>
      <c r="N288" s="86" t="s">
        <v>1308</v>
      </c>
    </row>
    <row r="289" spans="5:16" x14ac:dyDescent="0.2">
      <c r="E289" s="66" t="s">
        <v>1298</v>
      </c>
      <c r="I289" s="78" t="s">
        <v>1305</v>
      </c>
      <c r="N289" s="86" t="s">
        <v>1299</v>
      </c>
    </row>
    <row r="290" spans="5:16" x14ac:dyDescent="0.2">
      <c r="E290" s="66" t="s">
        <v>1300</v>
      </c>
      <c r="I290" s="78" t="s">
        <v>1306</v>
      </c>
      <c r="N290" s="86" t="s">
        <v>1302</v>
      </c>
    </row>
    <row r="291" spans="5:16" x14ac:dyDescent="0.2">
      <c r="E291" s="66" t="s">
        <v>1315</v>
      </c>
      <c r="I291" s="78" t="s">
        <v>1301</v>
      </c>
      <c r="N291" s="86" t="s">
        <v>1303</v>
      </c>
    </row>
    <row r="292" spans="5:16" x14ac:dyDescent="0.2">
      <c r="N292" s="86" t="s">
        <v>1304</v>
      </c>
    </row>
    <row r="297" spans="5:16" x14ac:dyDescent="0.2">
      <c r="P297" s="73"/>
    </row>
    <row r="298" spans="5:16" x14ac:dyDescent="0.2">
      <c r="J298" s="73"/>
      <c r="P298" s="73"/>
    </row>
  </sheetData>
  <mergeCells count="13">
    <mergeCell ref="E1:Q5"/>
    <mergeCell ref="A6:D6"/>
    <mergeCell ref="E6:F6"/>
    <mergeCell ref="O6:Q6"/>
    <mergeCell ref="A7:D7"/>
    <mergeCell ref="E7:F7"/>
    <mergeCell ref="O7:Q7"/>
    <mergeCell ref="B8:D8"/>
    <mergeCell ref="E8:F8"/>
    <mergeCell ref="M8:N8"/>
    <mergeCell ref="O8:Q8"/>
    <mergeCell ref="A9:C10"/>
    <mergeCell ref="D9:D10"/>
  </mergeCells>
  <conditionalFormatting sqref="A13:E13 A88:E282 A15:E32 F13:F31 A38:E86 B33:E37 G45:H45 F44:F56 G50:L50 N50:O50 F66:F69 G44:P44 G56:I56 M56:P56 G66:P66 M67 F283:F284 G69:L69 N69:P69">
    <cfRule type="expression" dxfId="937" priority="15">
      <formula>$D13&lt;&gt;0</formula>
    </cfRule>
    <cfRule type="expression" dxfId="936" priority="16">
      <formula>$P13=1</formula>
    </cfRule>
  </conditionalFormatting>
  <conditionalFormatting sqref="H68 H86 H89 H25 H31:H32 H13 H38:I38 L38 N38:P38">
    <cfRule type="expression" dxfId="935" priority="13">
      <formula>$D13&lt;&gt;0</formula>
    </cfRule>
    <cfRule type="expression" dxfId="934" priority="14">
      <formula>$P13=1</formula>
    </cfRule>
  </conditionalFormatting>
  <conditionalFormatting sqref="F32:F43">
    <cfRule type="expression" dxfId="933" priority="11">
      <formula>$D32&lt;&gt;0</formula>
    </cfRule>
    <cfRule type="expression" dxfId="932" priority="12">
      <formula>$P32=1</formula>
    </cfRule>
  </conditionalFormatting>
  <conditionalFormatting sqref="A33:A37">
    <cfRule type="expression" dxfId="931" priority="9">
      <formula>$D33&lt;&gt;0</formula>
    </cfRule>
    <cfRule type="expression" dxfId="930" priority="10">
      <formula>$P33=1</formula>
    </cfRule>
  </conditionalFormatting>
  <conditionalFormatting sqref="F57:F65 G61:I61">
    <cfRule type="expression" dxfId="929" priority="7">
      <formula>$D57&lt;&gt;0</formula>
    </cfRule>
    <cfRule type="expression" dxfId="928" priority="8">
      <formula>$P57=1</formula>
    </cfRule>
  </conditionalFormatting>
  <conditionalFormatting sqref="F70:F75 G71:P71 G74:P74 M75:O75">
    <cfRule type="expression" dxfId="927" priority="5">
      <formula>$D70&lt;&gt;0</formula>
    </cfRule>
    <cfRule type="expression" dxfId="926" priority="6">
      <formula>$P70=1</formula>
    </cfRule>
  </conditionalFormatting>
  <conditionalFormatting sqref="M72:M73">
    <cfRule type="expression" dxfId="925" priority="3">
      <formula>$D72&lt;&gt;0</formula>
    </cfRule>
    <cfRule type="expression" dxfId="924" priority="4">
      <formula>$P72=1</formula>
    </cfRule>
  </conditionalFormatting>
  <conditionalFormatting sqref="F88:F282 F76:F86 G76:P77 G82:P82 G91:P91 G94:P94 G97:P97 G108:I109 G115:I115 L115:P115 L108:P109 G119:P119 N116:O118 G128:P128 G129:L129 N129:P129 P130:P150 G151:L151 N151:P151 M129:M166 G167:J168 L167:P168 M169:M179 P169:P179 G180:P180 J181:K188 J190:K192 G189:P189 J194:K206 G193:P193 N194:O206 J208:K212 G207:P207 J215:K223 J225:K245 G224:P224 J247:K250 G246:P246 J252:K257 G251:P251 J259:K266 J275:K276 J269:K273 J278:K282 G277:P277 G274:P274 G267:P268 G258:P258 G213:P214">
    <cfRule type="expression" dxfId="923" priority="1">
      <formula>$D76&lt;&gt;0</formula>
    </cfRule>
    <cfRule type="expression" dxfId="922" priority="2">
      <formula>$P76=1</formula>
    </cfRule>
  </conditionalFormatting>
  <printOptions horizontalCentered="1"/>
  <pageMargins left="0.31496062992125984" right="0.31496062992125984" top="0.39370078740157483" bottom="1.1417322834645669" header="0.31496062992125984" footer="0.31496062992125984"/>
  <pageSetup paperSize="9" scale="50" fitToHeight="0" orientation="landscape" r:id="rId1"/>
  <headerFooter>
    <oddFooter>&amp;C&amp;G</oddFooter>
  </headerFooter>
  <drawing r:id="rId2"/>
  <legacy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G293"/>
  <sheetViews>
    <sheetView showGridLines="0" zoomScale="85" zoomScaleNormal="85" zoomScaleSheetLayoutView="80" workbookViewId="0">
      <pane ySplit="13" topLeftCell="A14" activePane="bottomLeft" state="frozen"/>
      <selection pane="bottomLeft" activeCell="M13" sqref="M13"/>
    </sheetView>
  </sheetViews>
  <sheetFormatPr defaultColWidth="9.33203125" defaultRowHeight="12.75" x14ac:dyDescent="0.2"/>
  <cols>
    <col min="1" max="1" width="12.5" style="66" customWidth="1"/>
    <col min="2" max="2" width="11.33203125" style="66" customWidth="1"/>
    <col min="3" max="3" width="11.5" style="71" customWidth="1"/>
    <col min="4" max="4" width="84.83203125" style="66" customWidth="1"/>
    <col min="5" max="5" width="11.5" style="66" customWidth="1"/>
    <col min="6" max="6" width="14" style="66" hidden="1" customWidth="1"/>
    <col min="7" max="7" width="21.5" style="75" customWidth="1"/>
    <col min="8" max="8" width="19.6640625" style="66" bestFit="1" customWidth="1"/>
    <col min="9" max="9" width="23.5" style="189" customWidth="1"/>
    <col min="10" max="10" width="17.33203125" style="189" customWidth="1"/>
    <col min="11" max="11" width="12.83203125" style="66" customWidth="1"/>
    <col min="12" max="12" width="21.1640625" style="78" customWidth="1"/>
    <col min="13" max="13" width="18.6640625" style="78" customWidth="1"/>
    <col min="14" max="14" width="23.1640625" style="78" bestFit="1" customWidth="1"/>
    <col min="15" max="15" width="20.33203125" style="75" customWidth="1"/>
    <col min="16" max="16" width="12.5" style="66" customWidth="1"/>
    <col min="17" max="17" width="9.33203125" style="66"/>
    <col min="18" max="18" width="0" style="66" hidden="1" customWidth="1"/>
    <col min="19" max="19" width="13.83203125" style="189" hidden="1" customWidth="1"/>
    <col min="20" max="20" width="11.1640625" style="189" hidden="1" customWidth="1"/>
    <col min="21" max="25" width="0" style="66" hidden="1" customWidth="1"/>
    <col min="26" max="26" width="12.33203125" style="66" hidden="1" customWidth="1"/>
    <col min="27" max="27" width="0" style="66" hidden="1" customWidth="1"/>
    <col min="28" max="28" width="13.5" style="66" hidden="1" customWidth="1"/>
    <col min="29" max="30" width="0" style="66" hidden="1" customWidth="1"/>
    <col min="31" max="31" width="15.6640625" style="66" hidden="1" customWidth="1"/>
    <col min="32" max="33" width="11.5" style="66" hidden="1" customWidth="1"/>
    <col min="34" max="71" width="0" style="66" hidden="1" customWidth="1"/>
    <col min="72" max="16384" width="9.33203125" style="66"/>
  </cols>
  <sheetData>
    <row r="1" spans="1:32" s="51" customFormat="1" ht="12" customHeight="1" x14ac:dyDescent="0.2">
      <c r="A1" s="876"/>
      <c r="B1" s="877"/>
      <c r="C1" s="877"/>
      <c r="D1" s="877"/>
      <c r="E1" s="886" t="s">
        <v>1801</v>
      </c>
      <c r="F1" s="886"/>
      <c r="G1" s="886"/>
      <c r="H1" s="886"/>
      <c r="I1" s="886"/>
      <c r="J1" s="886"/>
      <c r="K1" s="886"/>
      <c r="L1" s="886"/>
      <c r="M1" s="886"/>
      <c r="N1" s="886"/>
      <c r="O1" s="886"/>
      <c r="P1" s="887"/>
      <c r="S1" s="188"/>
      <c r="T1" s="188"/>
    </row>
    <row r="2" spans="1:32" s="51" customFormat="1" ht="12" customHeight="1" x14ac:dyDescent="0.2">
      <c r="A2" s="878"/>
      <c r="B2" s="879"/>
      <c r="C2" s="879"/>
      <c r="D2" s="879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9"/>
      <c r="S2" s="188"/>
      <c r="T2" s="188"/>
    </row>
    <row r="3" spans="1:32" s="51" customFormat="1" ht="12" customHeight="1" x14ac:dyDescent="0.2">
      <c r="A3" s="878"/>
      <c r="B3" s="879"/>
      <c r="C3" s="879"/>
      <c r="D3" s="879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9"/>
      <c r="S3" s="188"/>
      <c r="T3" s="188"/>
    </row>
    <row r="4" spans="1:32" s="51" customFormat="1" ht="12" customHeight="1" x14ac:dyDescent="0.2">
      <c r="A4" s="878"/>
      <c r="B4" s="879"/>
      <c r="C4" s="879"/>
      <c r="D4" s="879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9"/>
      <c r="S4" s="188"/>
      <c r="T4" s="188"/>
    </row>
    <row r="5" spans="1:32" s="51" customFormat="1" ht="31.5" customHeight="1" thickBot="1" x14ac:dyDescent="0.25">
      <c r="A5" s="880"/>
      <c r="B5" s="881"/>
      <c r="C5" s="881"/>
      <c r="D5" s="881"/>
      <c r="E5" s="890"/>
      <c r="F5" s="890"/>
      <c r="G5" s="890"/>
      <c r="H5" s="890"/>
      <c r="I5" s="890"/>
      <c r="J5" s="890"/>
      <c r="K5" s="890"/>
      <c r="L5" s="890"/>
      <c r="M5" s="890"/>
      <c r="N5" s="890"/>
      <c r="O5" s="890"/>
      <c r="P5" s="891"/>
      <c r="S5" s="188"/>
      <c r="T5" s="188"/>
    </row>
    <row r="6" spans="1:32" s="51" customFormat="1" ht="12.75" customHeight="1" x14ac:dyDescent="0.2">
      <c r="A6" s="394"/>
      <c r="B6" s="394"/>
      <c r="C6" s="394"/>
      <c r="D6" s="394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S6" s="188">
        <v>30999.574999999997</v>
      </c>
      <c r="T6" s="188" t="s">
        <v>1288</v>
      </c>
      <c r="Z6" s="64">
        <v>30999.574999999997</v>
      </c>
      <c r="AB6" s="64">
        <v>44898.842499999999</v>
      </c>
      <c r="AE6" s="371">
        <v>38575.583824999994</v>
      </c>
      <c r="AF6" s="372">
        <f>AE6-I7</f>
        <v>38575.583824999994</v>
      </c>
    </row>
    <row r="7" spans="1:32" s="51" customFormat="1" x14ac:dyDescent="0.2">
      <c r="A7" s="874" t="s">
        <v>1320</v>
      </c>
      <c r="B7" s="874"/>
      <c r="C7" s="874"/>
      <c r="D7" s="874"/>
      <c r="E7" s="894" t="s">
        <v>2019</v>
      </c>
      <c r="F7" s="894"/>
      <c r="G7" s="894"/>
      <c r="H7" s="506" t="s">
        <v>1323</v>
      </c>
      <c r="I7" s="485"/>
      <c r="L7" s="484"/>
      <c r="M7" s="483" t="s">
        <v>2021</v>
      </c>
      <c r="N7" s="504">
        <v>43658</v>
      </c>
      <c r="O7" s="491"/>
      <c r="P7" s="491"/>
      <c r="S7" s="188">
        <v>203365.995</v>
      </c>
      <c r="T7" s="188" t="s">
        <v>1309</v>
      </c>
      <c r="AB7" s="64">
        <v>152813.08250000002</v>
      </c>
    </row>
    <row r="8" spans="1:32" s="51" customFormat="1" x14ac:dyDescent="0.2">
      <c r="A8" s="875" t="s">
        <v>2014</v>
      </c>
      <c r="B8" s="875"/>
      <c r="C8" s="875"/>
      <c r="D8" s="875"/>
      <c r="E8" s="893" t="s">
        <v>2020</v>
      </c>
      <c r="F8" s="893"/>
      <c r="G8" s="893"/>
      <c r="H8" s="488">
        <f>664297.16</f>
        <v>664297.16</v>
      </c>
      <c r="I8" s="485"/>
      <c r="J8" s="195"/>
      <c r="K8" s="486"/>
      <c r="L8" s="484"/>
      <c r="M8" s="503" t="s">
        <v>3</v>
      </c>
      <c r="N8" s="505">
        <v>0.27139999999999997</v>
      </c>
      <c r="O8" s="491"/>
      <c r="P8" s="491"/>
      <c r="S8" s="188">
        <v>485968.91500000004</v>
      </c>
      <c r="T8" s="188" t="s">
        <v>1294</v>
      </c>
      <c r="AB8" s="64">
        <v>511484.07750000001</v>
      </c>
      <c r="AE8" s="107" t="e">
        <f>H8/I9</f>
        <v>#DIV/0!</v>
      </c>
    </row>
    <row r="9" spans="1:32" s="51" customFormat="1" ht="27.75" customHeight="1" x14ac:dyDescent="0.2">
      <c r="A9" s="874" t="s">
        <v>2017</v>
      </c>
      <c r="B9" s="874"/>
      <c r="C9" s="874"/>
      <c r="D9" s="874"/>
      <c r="E9" s="194"/>
      <c r="F9" s="482"/>
      <c r="G9" s="489"/>
      <c r="H9" s="484"/>
      <c r="I9" s="485"/>
      <c r="J9" s="195"/>
      <c r="K9" s="497"/>
      <c r="L9" s="490"/>
      <c r="M9" s="497" t="s">
        <v>2016</v>
      </c>
      <c r="N9" s="875" t="s">
        <v>2015</v>
      </c>
      <c r="O9" s="875"/>
      <c r="P9" s="109"/>
      <c r="S9" s="188"/>
      <c r="T9" s="188"/>
      <c r="AB9" s="485"/>
      <c r="AE9" s="493"/>
    </row>
    <row r="10" spans="1:32" s="51" customFormat="1" ht="24" customHeight="1" thickBot="1" x14ac:dyDescent="0.25">
      <c r="A10" s="106"/>
      <c r="B10" s="106"/>
      <c r="C10" s="106"/>
      <c r="D10" s="106"/>
      <c r="E10" s="109"/>
      <c r="F10" s="482"/>
      <c r="G10" s="483"/>
      <c r="H10" s="511"/>
      <c r="I10" s="485"/>
      <c r="J10" s="195"/>
      <c r="K10" s="492"/>
      <c r="L10" s="490"/>
      <c r="M10" s="492"/>
      <c r="N10" s="492"/>
      <c r="O10" s="492"/>
      <c r="P10" s="492"/>
      <c r="S10" s="188"/>
      <c r="T10" s="188"/>
    </row>
    <row r="11" spans="1:32" ht="23.25" customHeight="1" thickBot="1" x14ac:dyDescent="0.25">
      <c r="A11" s="882" t="s">
        <v>1325</v>
      </c>
      <c r="B11" s="884" t="s">
        <v>1326</v>
      </c>
      <c r="C11" s="882" t="s">
        <v>1327</v>
      </c>
      <c r="D11" s="882" t="s">
        <v>5</v>
      </c>
      <c r="E11" s="882" t="s">
        <v>6</v>
      </c>
      <c r="F11" s="903" t="s">
        <v>1316</v>
      </c>
      <c r="G11" s="895" t="s">
        <v>1317</v>
      </c>
      <c r="H11" s="897" t="s">
        <v>2008</v>
      </c>
      <c r="I11" s="898"/>
      <c r="J11" s="898"/>
      <c r="K11" s="899"/>
      <c r="L11" s="900" t="s">
        <v>2009</v>
      </c>
      <c r="M11" s="901"/>
      <c r="N11" s="901"/>
      <c r="O11" s="902"/>
      <c r="P11" s="498"/>
      <c r="S11" s="189" t="s">
        <v>1282</v>
      </c>
      <c r="T11" s="189" t="s">
        <v>1283</v>
      </c>
    </row>
    <row r="12" spans="1:32" ht="24.75" customHeight="1" thickBot="1" x14ac:dyDescent="0.25">
      <c r="A12" s="883"/>
      <c r="B12" s="885"/>
      <c r="C12" s="883"/>
      <c r="D12" s="883"/>
      <c r="E12" s="883"/>
      <c r="F12" s="904"/>
      <c r="G12" s="896"/>
      <c r="H12" s="499" t="s">
        <v>2018</v>
      </c>
      <c r="I12" s="494" t="s">
        <v>2013</v>
      </c>
      <c r="J12" s="494" t="s">
        <v>1819</v>
      </c>
      <c r="K12" s="495" t="s">
        <v>1295</v>
      </c>
      <c r="L12" s="502" t="s">
        <v>2018</v>
      </c>
      <c r="M12" s="500" t="s">
        <v>2013</v>
      </c>
      <c r="N12" s="500" t="s">
        <v>1819</v>
      </c>
      <c r="O12" s="501" t="s">
        <v>1295</v>
      </c>
      <c r="P12" s="495" t="s">
        <v>1296</v>
      </c>
    </row>
    <row r="13" spans="1:32" s="106" customFormat="1" ht="34.5" customHeight="1" x14ac:dyDescent="0.2">
      <c r="A13" s="475"/>
      <c r="B13" s="476"/>
      <c r="C13" s="477"/>
      <c r="D13" s="478" t="s">
        <v>2010</v>
      </c>
      <c r="E13" s="409"/>
      <c r="F13" s="479"/>
      <c r="G13" s="411"/>
      <c r="H13" s="410"/>
      <c r="I13" s="480"/>
      <c r="J13" s="480"/>
      <c r="K13" s="480"/>
      <c r="L13" s="480">
        <f>L14+L26+L32+L45+L69+L77+L92+L95+L98+L109+L120+L129+L168+L190+L194+L208+L214+L259+L268+L278</f>
        <v>664297.16159999999</v>
      </c>
      <c r="M13" s="480">
        <f>M14+M26+M32+M45+M69+M77+M92+M95+M98+M109+M120+M129+M168+M190+M194+M208+M214+M259+M268+M278</f>
        <v>34784.832390000003</v>
      </c>
      <c r="N13" s="480">
        <f>N14+N26+N32+N45+N69+N77+N92+N95+N98+N109+N120+N129+N168+N190+N194+N208+N214+N259+N268+N278</f>
        <v>158810.39977826001</v>
      </c>
      <c r="O13" s="480">
        <f>O14+O26+O32+O45+O69+O77+O92+O95+O98+O109+O120+O129+O168+O190+O194+O208+O214+O259+O268+O278</f>
        <v>502087.74689999991</v>
      </c>
      <c r="P13" s="510">
        <f>N13/O13</f>
        <v>0.31630009048974073</v>
      </c>
      <c r="S13" s="190">
        <v>0</v>
      </c>
      <c r="T13" s="190">
        <v>2411.4</v>
      </c>
    </row>
    <row r="14" spans="1:32" x14ac:dyDescent="0.2">
      <c r="A14" s="412">
        <v>1</v>
      </c>
      <c r="B14" s="413"/>
      <c r="C14" s="413"/>
      <c r="D14" s="414" t="s">
        <v>9</v>
      </c>
      <c r="E14" s="415"/>
      <c r="F14" s="417"/>
      <c r="G14" s="418"/>
      <c r="H14" s="416"/>
      <c r="I14" s="420"/>
      <c r="J14" s="421"/>
      <c r="K14" s="420"/>
      <c r="L14" s="419">
        <f>SUM(L15:L25)</f>
        <v>32660.889999999992</v>
      </c>
      <c r="M14" s="419">
        <v>0</v>
      </c>
      <c r="N14" s="419">
        <f>SUM(N15:N25)</f>
        <v>32660.889999999992</v>
      </c>
      <c r="O14" s="422">
        <f t="shared" ref="O14:O26" si="0">L14-N14</f>
        <v>0</v>
      </c>
      <c r="P14" s="423">
        <f t="shared" ref="P14:P45" si="1">N14/L14</f>
        <v>1</v>
      </c>
      <c r="S14" s="189">
        <v>0</v>
      </c>
      <c r="T14" s="189">
        <v>10</v>
      </c>
    </row>
    <row r="15" spans="1:32" x14ac:dyDescent="0.2">
      <c r="A15" s="125" t="s">
        <v>10</v>
      </c>
      <c r="B15" s="126" t="s">
        <v>1328</v>
      </c>
      <c r="C15" s="126" t="s">
        <v>1324</v>
      </c>
      <c r="D15" s="127" t="s">
        <v>1329</v>
      </c>
      <c r="E15" s="128" t="s">
        <v>14</v>
      </c>
      <c r="F15" s="129"/>
      <c r="G15" s="130">
        <v>232.25</v>
      </c>
      <c r="H15" s="128">
        <v>10</v>
      </c>
      <c r="I15" s="132">
        <v>0</v>
      </c>
      <c r="J15" s="374">
        <f>'01'!G15+'02'!G15+'03'!H15+'04 CORRIGIDA'!J14+'05'!I15</f>
        <v>10</v>
      </c>
      <c r="K15" s="132">
        <v>0</v>
      </c>
      <c r="L15" s="131">
        <f t="shared" ref="L15:L31" si="2">ROUND(H15*G15,2)</f>
        <v>2322.5</v>
      </c>
      <c r="M15" s="135">
        <v>0</v>
      </c>
      <c r="N15" s="135">
        <f t="shared" ref="N15:N25" si="3">L15</f>
        <v>2322.5</v>
      </c>
      <c r="O15" s="375">
        <f t="shared" si="0"/>
        <v>0</v>
      </c>
      <c r="P15" s="136">
        <f t="shared" si="1"/>
        <v>1</v>
      </c>
      <c r="S15" s="189">
        <v>0</v>
      </c>
      <c r="T15" s="189">
        <v>312.39999999999998</v>
      </c>
    </row>
    <row r="16" spans="1:32" ht="25.5" customHeight="1" x14ac:dyDescent="0.2">
      <c r="A16" s="125" t="s">
        <v>1330</v>
      </c>
      <c r="B16" s="126" t="s">
        <v>1331</v>
      </c>
      <c r="C16" s="126" t="s">
        <v>1324</v>
      </c>
      <c r="D16" s="127" t="s">
        <v>1332</v>
      </c>
      <c r="E16" s="128" t="s">
        <v>14</v>
      </c>
      <c r="F16" s="137">
        <v>595.62</v>
      </c>
      <c r="G16" s="130">
        <v>39.78</v>
      </c>
      <c r="H16" s="128">
        <v>312.39999999999998</v>
      </c>
      <c r="I16" s="132">
        <v>0</v>
      </c>
      <c r="J16" s="374">
        <f>'01'!G16+'02'!G16+'03'!H16+'04 CORRIGIDA'!J15+'05'!I16</f>
        <v>312.39999999999998</v>
      </c>
      <c r="K16" s="132">
        <v>0</v>
      </c>
      <c r="L16" s="131">
        <f t="shared" si="2"/>
        <v>12427.27</v>
      </c>
      <c r="M16" s="135">
        <v>0</v>
      </c>
      <c r="N16" s="135">
        <f t="shared" si="3"/>
        <v>12427.27</v>
      </c>
      <c r="O16" s="375">
        <f t="shared" si="0"/>
        <v>0</v>
      </c>
      <c r="P16" s="136">
        <f t="shared" si="1"/>
        <v>1</v>
      </c>
      <c r="S16" s="189">
        <v>0</v>
      </c>
      <c r="T16" s="189">
        <v>1</v>
      </c>
    </row>
    <row r="17" spans="1:20" ht="25.5" x14ac:dyDescent="0.2">
      <c r="A17" s="125" t="s">
        <v>1333</v>
      </c>
      <c r="B17" s="126">
        <v>9540</v>
      </c>
      <c r="C17" s="126" t="s">
        <v>1324</v>
      </c>
      <c r="D17" s="127" t="s">
        <v>1334</v>
      </c>
      <c r="E17" s="128" t="s">
        <v>102</v>
      </c>
      <c r="F17" s="137">
        <v>256.73</v>
      </c>
      <c r="G17" s="130">
        <v>783.05</v>
      </c>
      <c r="H17" s="128">
        <v>1</v>
      </c>
      <c r="I17" s="132">
        <v>0</v>
      </c>
      <c r="J17" s="374">
        <f>'01'!G17+'02'!G17+'03'!H17+'04 CORRIGIDA'!J16+'05'!I17</f>
        <v>4.0500915358547882</v>
      </c>
      <c r="K17" s="132">
        <v>0</v>
      </c>
      <c r="L17" s="131">
        <f t="shared" si="2"/>
        <v>783.05</v>
      </c>
      <c r="M17" s="135">
        <v>0</v>
      </c>
      <c r="N17" s="135">
        <f t="shared" si="3"/>
        <v>783.05</v>
      </c>
      <c r="O17" s="375">
        <f t="shared" si="0"/>
        <v>0</v>
      </c>
      <c r="P17" s="136">
        <f t="shared" si="1"/>
        <v>1</v>
      </c>
      <c r="S17" s="189">
        <v>0</v>
      </c>
      <c r="T17" s="189">
        <v>1</v>
      </c>
    </row>
    <row r="18" spans="1:20" x14ac:dyDescent="0.2">
      <c r="A18" s="125" t="s">
        <v>1335</v>
      </c>
      <c r="B18" s="126" t="s">
        <v>1336</v>
      </c>
      <c r="C18" s="126" t="s">
        <v>1324</v>
      </c>
      <c r="D18" s="127" t="s">
        <v>1337</v>
      </c>
      <c r="E18" s="128" t="s">
        <v>102</v>
      </c>
      <c r="F18" s="137">
        <v>49.62</v>
      </c>
      <c r="G18" s="130">
        <v>1344.39</v>
      </c>
      <c r="H18" s="128">
        <v>1</v>
      </c>
      <c r="I18" s="132">
        <v>0</v>
      </c>
      <c r="J18" s="374">
        <f>'01'!G18+'02'!G18+'03'!H18+'04 CORRIGIDA'!J17+'05'!I18</f>
        <v>1</v>
      </c>
      <c r="K18" s="132">
        <v>0</v>
      </c>
      <c r="L18" s="131">
        <f t="shared" si="2"/>
        <v>1344.39</v>
      </c>
      <c r="M18" s="135">
        <v>0</v>
      </c>
      <c r="N18" s="135">
        <f t="shared" si="3"/>
        <v>1344.39</v>
      </c>
      <c r="O18" s="375">
        <f t="shared" si="0"/>
        <v>0</v>
      </c>
      <c r="P18" s="136">
        <f t="shared" si="1"/>
        <v>1</v>
      </c>
      <c r="S18" s="189">
        <v>0</v>
      </c>
      <c r="T18" s="189">
        <v>1</v>
      </c>
    </row>
    <row r="19" spans="1:20" x14ac:dyDescent="0.2">
      <c r="A19" s="125" t="s">
        <v>1338</v>
      </c>
      <c r="B19" s="126" t="s">
        <v>2007</v>
      </c>
      <c r="C19" s="126" t="s">
        <v>1339</v>
      </c>
      <c r="D19" s="127" t="s">
        <v>1340</v>
      </c>
      <c r="E19" s="128" t="s">
        <v>102</v>
      </c>
      <c r="F19" s="137">
        <v>5.2</v>
      </c>
      <c r="G19" s="130">
        <v>823.61</v>
      </c>
      <c r="H19" s="128">
        <v>1</v>
      </c>
      <c r="I19" s="132">
        <v>0</v>
      </c>
      <c r="J19" s="374">
        <f>'01'!G19+'02'!G19+'03'!H19+'04 CORRIGIDA'!J18+'05'!I19</f>
        <v>1</v>
      </c>
      <c r="K19" s="132">
        <v>0</v>
      </c>
      <c r="L19" s="131">
        <f t="shared" si="2"/>
        <v>823.61</v>
      </c>
      <c r="M19" s="135">
        <v>0</v>
      </c>
      <c r="N19" s="135">
        <f t="shared" si="3"/>
        <v>823.61</v>
      </c>
      <c r="O19" s="375">
        <f t="shared" si="0"/>
        <v>0</v>
      </c>
      <c r="P19" s="136">
        <f t="shared" si="1"/>
        <v>1</v>
      </c>
      <c r="S19" s="189">
        <v>0</v>
      </c>
      <c r="T19" s="189">
        <v>1</v>
      </c>
    </row>
    <row r="20" spans="1:20" ht="25.5" customHeight="1" x14ac:dyDescent="0.2">
      <c r="A20" s="125" t="s">
        <v>1341</v>
      </c>
      <c r="B20" s="126" t="s">
        <v>1342</v>
      </c>
      <c r="C20" s="126" t="s">
        <v>1343</v>
      </c>
      <c r="D20" s="127" t="s">
        <v>1344</v>
      </c>
      <c r="E20" s="128" t="s">
        <v>102</v>
      </c>
      <c r="F20" s="138"/>
      <c r="G20" s="130">
        <v>174.71</v>
      </c>
      <c r="H20" s="128">
        <v>1</v>
      </c>
      <c r="I20" s="132">
        <v>0</v>
      </c>
      <c r="J20" s="374">
        <f>'01'!G20+'02'!G20+'03'!H20+'04 CORRIGIDA'!J19+'05'!I20</f>
        <v>1</v>
      </c>
      <c r="K20" s="132">
        <v>0</v>
      </c>
      <c r="L20" s="131">
        <f t="shared" si="2"/>
        <v>174.71</v>
      </c>
      <c r="M20" s="135">
        <v>0</v>
      </c>
      <c r="N20" s="135">
        <f t="shared" si="3"/>
        <v>174.71</v>
      </c>
      <c r="O20" s="375">
        <f t="shared" si="0"/>
        <v>0</v>
      </c>
      <c r="P20" s="136">
        <f t="shared" si="1"/>
        <v>1</v>
      </c>
      <c r="S20" s="189">
        <v>0</v>
      </c>
      <c r="T20" s="189">
        <v>1</v>
      </c>
    </row>
    <row r="21" spans="1:20" ht="25.5" x14ac:dyDescent="0.2">
      <c r="A21" s="125" t="s">
        <v>1345</v>
      </c>
      <c r="B21" s="126" t="s">
        <v>1346</v>
      </c>
      <c r="C21" s="126" t="s">
        <v>1324</v>
      </c>
      <c r="D21" s="127" t="s">
        <v>1347</v>
      </c>
      <c r="E21" s="128" t="s">
        <v>102</v>
      </c>
      <c r="F21" s="129"/>
      <c r="G21" s="130">
        <v>1343.12</v>
      </c>
      <c r="H21" s="128">
        <v>1</v>
      </c>
      <c r="I21" s="132">
        <v>0</v>
      </c>
      <c r="J21" s="374">
        <f>'01'!G21+'02'!G21+'03'!H21+'04 CORRIGIDA'!J20+'05'!I21</f>
        <v>1</v>
      </c>
      <c r="K21" s="132">
        <v>0</v>
      </c>
      <c r="L21" s="131">
        <f t="shared" si="2"/>
        <v>1343.12</v>
      </c>
      <c r="M21" s="135">
        <v>0</v>
      </c>
      <c r="N21" s="135">
        <f t="shared" si="3"/>
        <v>1343.12</v>
      </c>
      <c r="O21" s="375">
        <f t="shared" si="0"/>
        <v>0</v>
      </c>
      <c r="P21" s="136">
        <f t="shared" si="1"/>
        <v>1</v>
      </c>
      <c r="S21" s="189">
        <v>0</v>
      </c>
      <c r="T21" s="189">
        <v>20</v>
      </c>
    </row>
    <row r="22" spans="1:20" x14ac:dyDescent="0.2">
      <c r="A22" s="125" t="s">
        <v>1348</v>
      </c>
      <c r="B22" s="126" t="s">
        <v>1349</v>
      </c>
      <c r="C22" s="126" t="s">
        <v>1324</v>
      </c>
      <c r="D22" s="127" t="s">
        <v>1350</v>
      </c>
      <c r="E22" s="128" t="s">
        <v>14</v>
      </c>
      <c r="F22" s="129"/>
      <c r="G22" s="130">
        <v>390.47</v>
      </c>
      <c r="H22" s="128">
        <v>20</v>
      </c>
      <c r="I22" s="132">
        <v>0</v>
      </c>
      <c r="J22" s="374">
        <f>'01'!G22+'02'!G22+'03'!H22+'04 CORRIGIDA'!J21+'05'!I22</f>
        <v>20</v>
      </c>
      <c r="K22" s="132">
        <v>0</v>
      </c>
      <c r="L22" s="131">
        <f t="shared" si="2"/>
        <v>7809.4</v>
      </c>
      <c r="M22" s="135">
        <v>0</v>
      </c>
      <c r="N22" s="135">
        <f t="shared" si="3"/>
        <v>7809.4</v>
      </c>
      <c r="O22" s="375">
        <f t="shared" si="0"/>
        <v>0</v>
      </c>
      <c r="P22" s="136">
        <f t="shared" si="1"/>
        <v>1</v>
      </c>
      <c r="S22" s="189">
        <v>0</v>
      </c>
      <c r="T22" s="189">
        <v>785</v>
      </c>
    </row>
    <row r="23" spans="1:20" x14ac:dyDescent="0.2">
      <c r="A23" s="125" t="s">
        <v>1351</v>
      </c>
      <c r="B23" s="126" t="s">
        <v>1352</v>
      </c>
      <c r="C23" s="126" t="s">
        <v>1324</v>
      </c>
      <c r="D23" s="127" t="s">
        <v>1353</v>
      </c>
      <c r="E23" s="128" t="s">
        <v>14</v>
      </c>
      <c r="F23" s="137">
        <v>302.64</v>
      </c>
      <c r="G23" s="130">
        <v>4.0999999999999996</v>
      </c>
      <c r="H23" s="128">
        <v>785</v>
      </c>
      <c r="I23" s="132">
        <v>0</v>
      </c>
      <c r="J23" s="374">
        <f>'01'!G23+'02'!G23+'03'!H23+'04 CORRIGIDA'!J22+'05'!I23</f>
        <v>785</v>
      </c>
      <c r="K23" s="132">
        <v>0</v>
      </c>
      <c r="L23" s="131">
        <f t="shared" si="2"/>
        <v>3218.5</v>
      </c>
      <c r="M23" s="135">
        <v>0</v>
      </c>
      <c r="N23" s="135">
        <f t="shared" si="3"/>
        <v>3218.5</v>
      </c>
      <c r="O23" s="375">
        <f t="shared" si="0"/>
        <v>0</v>
      </c>
      <c r="P23" s="136">
        <f t="shared" si="1"/>
        <v>1</v>
      </c>
      <c r="S23" s="189">
        <v>0</v>
      </c>
      <c r="T23" s="189">
        <v>49</v>
      </c>
    </row>
    <row r="24" spans="1:20" x14ac:dyDescent="0.2">
      <c r="A24" s="125" t="s">
        <v>1354</v>
      </c>
      <c r="B24" s="126" t="s">
        <v>1355</v>
      </c>
      <c r="C24" s="126" t="s">
        <v>1343</v>
      </c>
      <c r="D24" s="127" t="s">
        <v>1356</v>
      </c>
      <c r="E24" s="128" t="s">
        <v>81</v>
      </c>
      <c r="F24" s="137">
        <v>135.94</v>
      </c>
      <c r="G24" s="130">
        <v>46.26</v>
      </c>
      <c r="H24" s="128">
        <v>49</v>
      </c>
      <c r="I24" s="132">
        <v>0</v>
      </c>
      <c r="J24" s="374">
        <f>'01'!G24+'02'!G24+'03'!H24+'04 CORRIGIDA'!J23+'05'!I24</f>
        <v>49</v>
      </c>
      <c r="K24" s="132">
        <v>0</v>
      </c>
      <c r="L24" s="131">
        <f t="shared" si="2"/>
        <v>2266.7399999999998</v>
      </c>
      <c r="M24" s="135">
        <v>0</v>
      </c>
      <c r="N24" s="135">
        <f t="shared" si="3"/>
        <v>2266.7399999999998</v>
      </c>
      <c r="O24" s="375">
        <f t="shared" si="0"/>
        <v>0</v>
      </c>
      <c r="P24" s="136">
        <f t="shared" si="1"/>
        <v>1</v>
      </c>
      <c r="S24" s="189">
        <v>0</v>
      </c>
      <c r="T24" s="189">
        <v>1230</v>
      </c>
    </row>
    <row r="25" spans="1:20" s="106" customFormat="1" x14ac:dyDescent="0.2">
      <c r="A25" s="125" t="s">
        <v>1357</v>
      </c>
      <c r="B25" s="126">
        <v>72213</v>
      </c>
      <c r="C25" s="126" t="s">
        <v>1324</v>
      </c>
      <c r="D25" s="127" t="s">
        <v>1358</v>
      </c>
      <c r="E25" s="128" t="s">
        <v>14</v>
      </c>
      <c r="F25" s="137">
        <v>5.86</v>
      </c>
      <c r="G25" s="130">
        <v>0.12</v>
      </c>
      <c r="H25" s="128">
        <v>1230</v>
      </c>
      <c r="I25" s="132">
        <v>0</v>
      </c>
      <c r="J25" s="374">
        <f>'01'!G25+'02'!G25+'03'!H25+'04 CORRIGIDA'!J24+'05'!I25</f>
        <v>1230</v>
      </c>
      <c r="K25" s="132">
        <v>0</v>
      </c>
      <c r="L25" s="131">
        <f t="shared" si="2"/>
        <v>147.6</v>
      </c>
      <c r="M25" s="135">
        <v>0</v>
      </c>
      <c r="N25" s="135">
        <f t="shared" si="3"/>
        <v>147.6</v>
      </c>
      <c r="O25" s="375">
        <f t="shared" si="0"/>
        <v>0</v>
      </c>
      <c r="P25" s="136">
        <f t="shared" si="1"/>
        <v>1</v>
      </c>
      <c r="S25" s="190">
        <v>0</v>
      </c>
      <c r="T25" s="190">
        <v>415.90999999999997</v>
      </c>
    </row>
    <row r="26" spans="1:20" ht="25.5" customHeight="1" x14ac:dyDescent="0.2">
      <c r="A26" s="412">
        <v>2</v>
      </c>
      <c r="B26" s="413"/>
      <c r="C26" s="413"/>
      <c r="D26" s="414" t="s">
        <v>1359</v>
      </c>
      <c r="E26" s="415"/>
      <c r="F26" s="417"/>
      <c r="G26" s="418"/>
      <c r="H26" s="416"/>
      <c r="I26" s="420"/>
      <c r="J26" s="421"/>
      <c r="K26" s="420"/>
      <c r="L26" s="424">
        <f>SUM(L27:L31)</f>
        <v>11015.16</v>
      </c>
      <c r="M26" s="424">
        <f>SUM(M27:M31)</f>
        <v>0</v>
      </c>
      <c r="N26" s="424">
        <f>SUM(N27:N31)</f>
        <v>10356.599700000001</v>
      </c>
      <c r="O26" s="422">
        <f t="shared" si="0"/>
        <v>658.56029999999919</v>
      </c>
      <c r="P26" s="423">
        <f t="shared" si="1"/>
        <v>0.94021327879032179</v>
      </c>
      <c r="S26" s="189">
        <v>0</v>
      </c>
      <c r="T26" s="189">
        <v>154.94</v>
      </c>
    </row>
    <row r="27" spans="1:20" ht="25.5" x14ac:dyDescent="0.2">
      <c r="A27" s="125" t="s">
        <v>27</v>
      </c>
      <c r="B27" s="126">
        <v>55835</v>
      </c>
      <c r="C27" s="126" t="s">
        <v>1324</v>
      </c>
      <c r="D27" s="127" t="s">
        <v>1360</v>
      </c>
      <c r="E27" s="128" t="s">
        <v>48</v>
      </c>
      <c r="F27" s="129"/>
      <c r="G27" s="130">
        <v>29.27</v>
      </c>
      <c r="H27" s="128">
        <v>154.94</v>
      </c>
      <c r="I27" s="132">
        <v>0</v>
      </c>
      <c r="J27" s="374">
        <f>'01'!G27+'02'!G27+'03'!H27+'04 CORRIGIDA'!J26+'05'!I27</f>
        <v>154.94</v>
      </c>
      <c r="K27" s="132">
        <v>0</v>
      </c>
      <c r="L27" s="131">
        <f t="shared" si="2"/>
        <v>4535.09</v>
      </c>
      <c r="M27" s="131">
        <f>I27*G27</f>
        <v>0</v>
      </c>
      <c r="N27" s="131">
        <f>J27*G27</f>
        <v>4535.0937999999996</v>
      </c>
      <c r="O27" s="377">
        <v>0</v>
      </c>
      <c r="P27" s="136">
        <f t="shared" si="1"/>
        <v>1.0000008379106036</v>
      </c>
      <c r="S27" s="189">
        <v>0</v>
      </c>
      <c r="T27" s="189">
        <v>83.25</v>
      </c>
    </row>
    <row r="28" spans="1:20" x14ac:dyDescent="0.2">
      <c r="A28" s="125" t="s">
        <v>1263</v>
      </c>
      <c r="B28" s="126">
        <v>79478</v>
      </c>
      <c r="C28" s="126" t="s">
        <v>1324</v>
      </c>
      <c r="D28" s="127" t="s">
        <v>1361</v>
      </c>
      <c r="E28" s="128" t="s">
        <v>48</v>
      </c>
      <c r="F28" s="137">
        <v>302.64</v>
      </c>
      <c r="G28" s="130">
        <v>46.94</v>
      </c>
      <c r="H28" s="128">
        <v>83.25</v>
      </c>
      <c r="I28" s="132">
        <v>0</v>
      </c>
      <c r="J28" s="374">
        <f>'01'!G28+'02'!G28+'03'!H28+'04 CORRIGIDA'!J27+'05'!I28</f>
        <v>83.250000000000014</v>
      </c>
      <c r="K28" s="132">
        <v>0</v>
      </c>
      <c r="L28" s="131">
        <f t="shared" si="2"/>
        <v>3907.76</v>
      </c>
      <c r="M28" s="131">
        <f>I28*G28</f>
        <v>0</v>
      </c>
      <c r="N28" s="131">
        <f>J28*G28</f>
        <v>3907.7550000000006</v>
      </c>
      <c r="O28" s="377">
        <v>0</v>
      </c>
      <c r="P28" s="136">
        <f t="shared" si="1"/>
        <v>0.9999987204946057</v>
      </c>
      <c r="S28" s="189">
        <v>0</v>
      </c>
      <c r="T28" s="189">
        <v>114.83</v>
      </c>
    </row>
    <row r="29" spans="1:20" x14ac:dyDescent="0.2">
      <c r="A29" s="125" t="s">
        <v>1362</v>
      </c>
      <c r="B29" s="126">
        <v>79483</v>
      </c>
      <c r="C29" s="126" t="s">
        <v>1324</v>
      </c>
      <c r="D29" s="127" t="s">
        <v>1363</v>
      </c>
      <c r="E29" s="128" t="s">
        <v>14</v>
      </c>
      <c r="F29" s="137">
        <v>135.94</v>
      </c>
      <c r="G29" s="130">
        <v>5.4</v>
      </c>
      <c r="H29" s="128">
        <v>114.83</v>
      </c>
      <c r="I29" s="132">
        <v>0</v>
      </c>
      <c r="J29" s="374">
        <f>'01'!G29+'02'!G29+'03'!H29+'04 CORRIGIDA'!J28+'05'!I29</f>
        <v>114.834</v>
      </c>
      <c r="K29" s="132">
        <v>0</v>
      </c>
      <c r="L29" s="131">
        <f t="shared" si="2"/>
        <v>620.08000000000004</v>
      </c>
      <c r="M29" s="131">
        <f>I29*G29</f>
        <v>0</v>
      </c>
      <c r="N29" s="131">
        <f>J29*G29</f>
        <v>620.10360000000003</v>
      </c>
      <c r="O29" s="377">
        <v>0</v>
      </c>
      <c r="P29" s="136">
        <f t="shared" si="1"/>
        <v>1.0000380596052123</v>
      </c>
      <c r="S29" s="189">
        <v>0</v>
      </c>
      <c r="T29" s="189">
        <v>62.89</v>
      </c>
    </row>
    <row r="30" spans="1:20" x14ac:dyDescent="0.2">
      <c r="A30" s="125" t="s">
        <v>1364</v>
      </c>
      <c r="B30" s="126">
        <v>53527</v>
      </c>
      <c r="C30" s="126" t="s">
        <v>1324</v>
      </c>
      <c r="D30" s="127" t="s">
        <v>1365</v>
      </c>
      <c r="E30" s="128" t="s">
        <v>48</v>
      </c>
      <c r="F30" s="137">
        <v>5.86</v>
      </c>
      <c r="G30" s="130">
        <v>20.57</v>
      </c>
      <c r="H30" s="128">
        <v>62.89</v>
      </c>
      <c r="I30" s="132">
        <v>0</v>
      </c>
      <c r="J30" s="374">
        <f>'01'!G30+'02'!G30+'03'!H30+'04 CORRIGIDA'!J29+'05'!I30</f>
        <v>62.89</v>
      </c>
      <c r="K30" s="132">
        <v>0</v>
      </c>
      <c r="L30" s="131">
        <f t="shared" si="2"/>
        <v>1293.6500000000001</v>
      </c>
      <c r="M30" s="131">
        <f>I30*G30</f>
        <v>0</v>
      </c>
      <c r="N30" s="131">
        <f>J30*G30</f>
        <v>1293.6473000000001</v>
      </c>
      <c r="O30" s="377">
        <v>0</v>
      </c>
      <c r="P30" s="136">
        <f t="shared" si="1"/>
        <v>0.99999791288215512</v>
      </c>
      <c r="S30" s="189">
        <v>0</v>
      </c>
      <c r="T30" s="189">
        <v>0</v>
      </c>
    </row>
    <row r="31" spans="1:20" s="106" customFormat="1" x14ac:dyDescent="0.2">
      <c r="A31" s="125" t="s">
        <v>1366</v>
      </c>
      <c r="B31" s="126">
        <v>55835</v>
      </c>
      <c r="C31" s="126" t="s">
        <v>1324</v>
      </c>
      <c r="D31" s="127" t="s">
        <v>1367</v>
      </c>
      <c r="E31" s="128" t="s">
        <v>48</v>
      </c>
      <c r="F31" s="137">
        <v>59.37</v>
      </c>
      <c r="G31" s="130">
        <v>29.27</v>
      </c>
      <c r="H31" s="128">
        <v>22.5</v>
      </c>
      <c r="I31" s="132">
        <v>0</v>
      </c>
      <c r="J31" s="374">
        <f>'01'!G31+'02'!G31+'03'!H31+'04 CORRIGIDA'!J30+'05'!I31</f>
        <v>0</v>
      </c>
      <c r="K31" s="137">
        <f>H31-J31</f>
        <v>22.5</v>
      </c>
      <c r="L31" s="131">
        <f t="shared" si="2"/>
        <v>658.58</v>
      </c>
      <c r="M31" s="131">
        <f>I31*G31</f>
        <v>0</v>
      </c>
      <c r="N31" s="131">
        <f>J31*G31</f>
        <v>0</v>
      </c>
      <c r="O31" s="375">
        <f t="shared" ref="O31:O38" si="4">L31-N31</f>
        <v>658.58</v>
      </c>
      <c r="P31" s="136">
        <f t="shared" si="1"/>
        <v>0</v>
      </c>
      <c r="S31" s="190">
        <v>0</v>
      </c>
      <c r="T31" s="190">
        <v>1922.15</v>
      </c>
    </row>
    <row r="32" spans="1:20" s="106" customFormat="1" x14ac:dyDescent="0.2">
      <c r="A32" s="412">
        <v>3</v>
      </c>
      <c r="B32" s="413"/>
      <c r="C32" s="413"/>
      <c r="D32" s="414" t="s">
        <v>1368</v>
      </c>
      <c r="E32" s="415"/>
      <c r="F32" s="417"/>
      <c r="G32" s="418"/>
      <c r="H32" s="416"/>
      <c r="I32" s="420"/>
      <c r="J32" s="421"/>
      <c r="K32" s="420"/>
      <c r="L32" s="424">
        <f>SUM(L33,L39)</f>
        <v>35418.720000000001</v>
      </c>
      <c r="M32" s="424">
        <f>SUM(M33,M39)</f>
        <v>0</v>
      </c>
      <c r="N32" s="424">
        <f t="shared" ref="N32:N38" si="5">L32</f>
        <v>35418.720000000001</v>
      </c>
      <c r="O32" s="422">
        <f t="shared" si="4"/>
        <v>0</v>
      </c>
      <c r="P32" s="423">
        <f t="shared" si="1"/>
        <v>1</v>
      </c>
      <c r="S32" s="190">
        <v>0</v>
      </c>
      <c r="T32" s="190">
        <v>1242.5800000000002</v>
      </c>
    </row>
    <row r="33" spans="1:20" x14ac:dyDescent="0.2">
      <c r="A33" s="449" t="s">
        <v>41</v>
      </c>
      <c r="B33" s="450"/>
      <c r="C33" s="450"/>
      <c r="D33" s="451" t="s">
        <v>1369</v>
      </c>
      <c r="E33" s="452"/>
      <c r="F33" s="453"/>
      <c r="G33" s="454"/>
      <c r="H33" s="472"/>
      <c r="I33" s="456">
        <v>0</v>
      </c>
      <c r="J33" s="457">
        <f>'01'!G33+'02'!G33+'03'!H33+'04 CORRIGIDA'!J32+'05'!I33</f>
        <v>1231.6000000000001</v>
      </c>
      <c r="K33" s="456">
        <v>0</v>
      </c>
      <c r="L33" s="455">
        <f>SUM(L34:L38)</f>
        <v>16448.150000000001</v>
      </c>
      <c r="M33" s="460">
        <f>SUM(M34:M38)</f>
        <v>0</v>
      </c>
      <c r="N33" s="455">
        <f t="shared" si="5"/>
        <v>16448.150000000001</v>
      </c>
      <c r="O33" s="458">
        <f t="shared" si="4"/>
        <v>0</v>
      </c>
      <c r="P33" s="459">
        <f t="shared" si="1"/>
        <v>1</v>
      </c>
      <c r="S33" s="189">
        <v>0</v>
      </c>
      <c r="T33" s="189">
        <v>3.7699999999999996</v>
      </c>
    </row>
    <row r="34" spans="1:20" x14ac:dyDescent="0.2">
      <c r="A34" s="146" t="s">
        <v>43</v>
      </c>
      <c r="B34" s="126">
        <v>83532</v>
      </c>
      <c r="C34" s="126" t="s">
        <v>1324</v>
      </c>
      <c r="D34" s="127" t="s">
        <v>1370</v>
      </c>
      <c r="E34" s="128" t="s">
        <v>48</v>
      </c>
      <c r="F34" s="129"/>
      <c r="G34" s="130">
        <v>19.86</v>
      </c>
      <c r="H34" s="147">
        <v>3.77</v>
      </c>
      <c r="I34" s="132">
        <v>0</v>
      </c>
      <c r="J34" s="374">
        <f>'01'!G34+'02'!G34+'03'!H34+'04 CORRIGIDA'!J33+'05'!I34</f>
        <v>3.77</v>
      </c>
      <c r="K34" s="132">
        <v>0</v>
      </c>
      <c r="L34" s="131">
        <f t="shared" ref="L34:L44" si="6">ROUND(H34*G34,2)</f>
        <v>74.87</v>
      </c>
      <c r="M34" s="131">
        <f>I34*G34</f>
        <v>0</v>
      </c>
      <c r="N34" s="135">
        <f t="shared" si="5"/>
        <v>74.87</v>
      </c>
      <c r="O34" s="375">
        <f t="shared" si="4"/>
        <v>0</v>
      </c>
      <c r="P34" s="136">
        <f t="shared" si="1"/>
        <v>1</v>
      </c>
      <c r="S34" s="189">
        <v>0</v>
      </c>
      <c r="T34" s="189">
        <v>63.02</v>
      </c>
    </row>
    <row r="35" spans="1:20" ht="25.5" customHeight="1" x14ac:dyDescent="0.2">
      <c r="A35" s="146" t="s">
        <v>45</v>
      </c>
      <c r="B35" s="126">
        <v>5970</v>
      </c>
      <c r="C35" s="126" t="s">
        <v>1324</v>
      </c>
      <c r="D35" s="127" t="s">
        <v>1371</v>
      </c>
      <c r="E35" s="128" t="s">
        <v>14</v>
      </c>
      <c r="F35" s="137">
        <v>60.66</v>
      </c>
      <c r="G35" s="130">
        <v>93.42</v>
      </c>
      <c r="H35" s="147">
        <v>63.02</v>
      </c>
      <c r="I35" s="132">
        <v>0</v>
      </c>
      <c r="J35" s="374">
        <f>'01'!G35+'02'!G35+'03'!H35+'04 CORRIGIDA'!J34+'05'!I35</f>
        <v>63.021999999999998</v>
      </c>
      <c r="K35" s="132">
        <v>0</v>
      </c>
      <c r="L35" s="131">
        <f t="shared" si="6"/>
        <v>5887.33</v>
      </c>
      <c r="M35" s="131">
        <f>I35*G35</f>
        <v>0</v>
      </c>
      <c r="N35" s="135">
        <f t="shared" si="5"/>
        <v>5887.33</v>
      </c>
      <c r="O35" s="375">
        <f t="shared" si="4"/>
        <v>0</v>
      </c>
      <c r="P35" s="136">
        <f t="shared" si="1"/>
        <v>1</v>
      </c>
      <c r="S35" s="189">
        <v>0</v>
      </c>
      <c r="T35" s="189">
        <v>1094.27</v>
      </c>
    </row>
    <row r="36" spans="1:20" ht="25.5" customHeight="1" x14ac:dyDescent="0.2">
      <c r="A36" s="146" t="s">
        <v>47</v>
      </c>
      <c r="B36" s="126">
        <v>92793</v>
      </c>
      <c r="C36" s="126" t="s">
        <v>1324</v>
      </c>
      <c r="D36" s="127" t="s">
        <v>1372</v>
      </c>
      <c r="E36" s="128" t="s">
        <v>35</v>
      </c>
      <c r="F36" s="137">
        <v>5.86</v>
      </c>
      <c r="G36" s="130">
        <v>4.6500000000000004</v>
      </c>
      <c r="H36" s="147">
        <v>1094.27</v>
      </c>
      <c r="I36" s="132">
        <v>0</v>
      </c>
      <c r="J36" s="374">
        <f>'01'!G36+'02'!G36+'03'!H36+'04 CORRIGIDA'!J35+'05'!I36</f>
        <v>1094.2719999999999</v>
      </c>
      <c r="K36" s="132">
        <v>0</v>
      </c>
      <c r="L36" s="131">
        <f t="shared" si="6"/>
        <v>5088.3599999999997</v>
      </c>
      <c r="M36" s="131">
        <f>I36*G36</f>
        <v>0</v>
      </c>
      <c r="N36" s="135">
        <f t="shared" si="5"/>
        <v>5088.3599999999997</v>
      </c>
      <c r="O36" s="375">
        <f t="shared" si="4"/>
        <v>0</v>
      </c>
      <c r="P36" s="136">
        <f t="shared" si="1"/>
        <v>1</v>
      </c>
      <c r="S36" s="189">
        <v>0</v>
      </c>
      <c r="T36" s="189">
        <v>65.89</v>
      </c>
    </row>
    <row r="37" spans="1:20" ht="25.5" x14ac:dyDescent="0.2">
      <c r="A37" s="146" t="s">
        <v>49</v>
      </c>
      <c r="B37" s="126">
        <v>92791</v>
      </c>
      <c r="C37" s="126" t="s">
        <v>1324</v>
      </c>
      <c r="D37" s="127" t="s">
        <v>1373</v>
      </c>
      <c r="E37" s="128" t="s">
        <v>35</v>
      </c>
      <c r="F37" s="137">
        <v>302.64</v>
      </c>
      <c r="G37" s="130">
        <v>6.11</v>
      </c>
      <c r="H37" s="147">
        <v>54.91</v>
      </c>
      <c r="I37" s="132">
        <v>0</v>
      </c>
      <c r="J37" s="374">
        <f>'01'!G37+'02'!G37+'03'!H37+'04 CORRIGIDA'!J36+'05'!I37</f>
        <v>54.905999999999992</v>
      </c>
      <c r="K37" s="132">
        <v>0</v>
      </c>
      <c r="L37" s="131">
        <f t="shared" si="6"/>
        <v>335.5</v>
      </c>
      <c r="M37" s="131">
        <f>I37*G37</f>
        <v>0</v>
      </c>
      <c r="N37" s="135">
        <f t="shared" si="5"/>
        <v>335.5</v>
      </c>
      <c r="O37" s="375">
        <f t="shared" si="4"/>
        <v>0</v>
      </c>
      <c r="P37" s="136">
        <f t="shared" si="1"/>
        <v>1</v>
      </c>
      <c r="S37" s="189">
        <v>0</v>
      </c>
      <c r="T37" s="189">
        <v>15.630000000000003</v>
      </c>
    </row>
    <row r="38" spans="1:20" s="106" customFormat="1" x14ac:dyDescent="0.2">
      <c r="A38" s="146" t="s">
        <v>1374</v>
      </c>
      <c r="B38" s="126">
        <v>92720</v>
      </c>
      <c r="C38" s="126" t="s">
        <v>1324</v>
      </c>
      <c r="D38" s="127" t="s">
        <v>1375</v>
      </c>
      <c r="E38" s="128" t="s">
        <v>48</v>
      </c>
      <c r="F38" s="137">
        <v>135.94</v>
      </c>
      <c r="G38" s="130">
        <v>323.87</v>
      </c>
      <c r="H38" s="147">
        <v>15.63</v>
      </c>
      <c r="I38" s="132">
        <v>0</v>
      </c>
      <c r="J38" s="374">
        <f>'01'!G38+'02'!G38+'03'!H38+'04 CORRIGIDA'!J37+'05'!I38</f>
        <v>15.63</v>
      </c>
      <c r="K38" s="132">
        <v>0</v>
      </c>
      <c r="L38" s="131">
        <f t="shared" si="6"/>
        <v>5062.09</v>
      </c>
      <c r="M38" s="131">
        <f>I38*G38</f>
        <v>0</v>
      </c>
      <c r="N38" s="135">
        <f t="shared" si="5"/>
        <v>5062.09</v>
      </c>
      <c r="O38" s="375">
        <f t="shared" si="4"/>
        <v>0</v>
      </c>
      <c r="P38" s="136">
        <f t="shared" si="1"/>
        <v>1</v>
      </c>
      <c r="S38" s="190">
        <v>0</v>
      </c>
      <c r="T38" s="190">
        <v>679.56999999999994</v>
      </c>
    </row>
    <row r="39" spans="1:20" x14ac:dyDescent="0.2">
      <c r="A39" s="449" t="s">
        <v>50</v>
      </c>
      <c r="B39" s="450"/>
      <c r="C39" s="450"/>
      <c r="D39" s="451" t="s">
        <v>1376</v>
      </c>
      <c r="E39" s="452"/>
      <c r="F39" s="453"/>
      <c r="G39" s="454"/>
      <c r="H39" s="472"/>
      <c r="I39" s="456">
        <v>0</v>
      </c>
      <c r="J39" s="457">
        <f>'01'!G39+'02'!G39+'03'!H39+'04 CORRIGIDA'!J38+'05'!I39</f>
        <v>679.56999999999994</v>
      </c>
      <c r="K39" s="456">
        <v>0</v>
      </c>
      <c r="L39" s="454">
        <f>SUM(L40:L44)</f>
        <v>18970.57</v>
      </c>
      <c r="M39" s="454">
        <f>SUM(M40:M44)</f>
        <v>0</v>
      </c>
      <c r="N39" s="454">
        <f>SUM(N40:N44)</f>
        <v>18970.572</v>
      </c>
      <c r="O39" s="473">
        <f>0</f>
        <v>0</v>
      </c>
      <c r="P39" s="459">
        <f t="shared" si="1"/>
        <v>1.000000105426458</v>
      </c>
      <c r="S39" s="189">
        <v>0</v>
      </c>
      <c r="T39" s="189">
        <v>2.58</v>
      </c>
    </row>
    <row r="40" spans="1:20" x14ac:dyDescent="0.2">
      <c r="A40" s="125" t="s">
        <v>52</v>
      </c>
      <c r="B40" s="126">
        <v>83532</v>
      </c>
      <c r="C40" s="126" t="s">
        <v>1324</v>
      </c>
      <c r="D40" s="127" t="s">
        <v>1370</v>
      </c>
      <c r="E40" s="128" t="s">
        <v>48</v>
      </c>
      <c r="F40" s="137">
        <v>60.66</v>
      </c>
      <c r="G40" s="130">
        <v>19.86</v>
      </c>
      <c r="H40" s="147">
        <v>2.58</v>
      </c>
      <c r="I40" s="132">
        <v>0</v>
      </c>
      <c r="J40" s="374">
        <f>'01'!G40+'02'!G40+'03'!H40+'04 CORRIGIDA'!J39+'05'!I40</f>
        <v>2.58</v>
      </c>
      <c r="K40" s="120">
        <v>0</v>
      </c>
      <c r="L40" s="131">
        <f t="shared" si="6"/>
        <v>51.24</v>
      </c>
      <c r="M40" s="131">
        <f>I40*G40</f>
        <v>0</v>
      </c>
      <c r="N40" s="131">
        <f>J40*G40</f>
        <v>51.238799999999998</v>
      </c>
      <c r="O40" s="375">
        <f>L40-N40</f>
        <v>1.2000000000043087E-3</v>
      </c>
      <c r="P40" s="136">
        <f t="shared" si="1"/>
        <v>0.99997658079625285</v>
      </c>
      <c r="S40" s="189">
        <v>0</v>
      </c>
      <c r="T40" s="189">
        <v>139.57</v>
      </c>
    </row>
    <row r="41" spans="1:20" ht="25.5" customHeight="1" x14ac:dyDescent="0.2">
      <c r="A41" s="125" t="s">
        <v>53</v>
      </c>
      <c r="B41" s="126">
        <v>5970</v>
      </c>
      <c r="C41" s="126" t="s">
        <v>1324</v>
      </c>
      <c r="D41" s="127" t="s">
        <v>1371</v>
      </c>
      <c r="E41" s="128" t="s">
        <v>14</v>
      </c>
      <c r="F41" s="137">
        <v>5.86</v>
      </c>
      <c r="G41" s="130">
        <v>93.42</v>
      </c>
      <c r="H41" s="147">
        <v>139.57</v>
      </c>
      <c r="I41" s="132">
        <v>0</v>
      </c>
      <c r="J41" s="374">
        <f>'01'!G41+'02'!G41+'03'!H41+'04 CORRIGIDA'!J40+'05'!I41</f>
        <v>139.57</v>
      </c>
      <c r="K41" s="120">
        <v>0</v>
      </c>
      <c r="L41" s="131">
        <f t="shared" si="6"/>
        <v>13038.63</v>
      </c>
      <c r="M41" s="131">
        <f>I41*G41</f>
        <v>0</v>
      </c>
      <c r="N41" s="131">
        <f>J41*G41</f>
        <v>13038.6294</v>
      </c>
      <c r="O41" s="375">
        <f>L41-N41</f>
        <v>5.9999999939464033E-4</v>
      </c>
      <c r="P41" s="136">
        <f t="shared" si="1"/>
        <v>0.99999995398289554</v>
      </c>
      <c r="S41" s="189">
        <v>0</v>
      </c>
      <c r="T41" s="189">
        <v>389.64</v>
      </c>
    </row>
    <row r="42" spans="1:20" ht="25.5" customHeight="1" x14ac:dyDescent="0.2">
      <c r="A42" s="125" t="s">
        <v>54</v>
      </c>
      <c r="B42" s="126">
        <v>92793</v>
      </c>
      <c r="C42" s="126" t="s">
        <v>1324</v>
      </c>
      <c r="D42" s="127" t="s">
        <v>1372</v>
      </c>
      <c r="E42" s="128" t="s">
        <v>35</v>
      </c>
      <c r="F42" s="137">
        <v>302.64</v>
      </c>
      <c r="G42" s="130">
        <v>4.6500000000000004</v>
      </c>
      <c r="H42" s="147">
        <v>389.64</v>
      </c>
      <c r="I42" s="132">
        <v>0</v>
      </c>
      <c r="J42" s="374">
        <f>'01'!G42+'02'!G42+'03'!H42+'04 CORRIGIDA'!J41+'05'!I42</f>
        <v>389.64</v>
      </c>
      <c r="K42" s="120">
        <v>0</v>
      </c>
      <c r="L42" s="131">
        <f t="shared" si="6"/>
        <v>1811.83</v>
      </c>
      <c r="M42" s="131">
        <f>I42*G42</f>
        <v>0</v>
      </c>
      <c r="N42" s="131">
        <f>J42*G42</f>
        <v>1811.826</v>
      </c>
      <c r="O42" s="375">
        <f>L42-N42</f>
        <v>3.9999999999054126E-3</v>
      </c>
      <c r="P42" s="136">
        <f t="shared" si="1"/>
        <v>0.99999779228735597</v>
      </c>
      <c r="S42" s="189">
        <v>0</v>
      </c>
      <c r="T42" s="189">
        <v>137.72999999999999</v>
      </c>
    </row>
    <row r="43" spans="1:20" ht="25.5" x14ac:dyDescent="0.2">
      <c r="A43" s="125" t="s">
        <v>55</v>
      </c>
      <c r="B43" s="126">
        <v>92791</v>
      </c>
      <c r="C43" s="126" t="s">
        <v>1324</v>
      </c>
      <c r="D43" s="127" t="s">
        <v>1373</v>
      </c>
      <c r="E43" s="128" t="s">
        <v>35</v>
      </c>
      <c r="F43" s="137">
        <v>135.94</v>
      </c>
      <c r="G43" s="130">
        <v>5.91</v>
      </c>
      <c r="H43" s="147">
        <v>137.72999999999999</v>
      </c>
      <c r="I43" s="132">
        <v>0</v>
      </c>
      <c r="J43" s="374">
        <f>'01'!G43+'02'!G43+'03'!H43+'04 CORRIGIDA'!J42+'05'!I43</f>
        <v>137.72999999999999</v>
      </c>
      <c r="K43" s="120">
        <v>0</v>
      </c>
      <c r="L43" s="131">
        <f t="shared" si="6"/>
        <v>813.98</v>
      </c>
      <c r="M43" s="131">
        <f>I43*G43</f>
        <v>0</v>
      </c>
      <c r="N43" s="131">
        <f>J43*G43</f>
        <v>813.98429999999996</v>
      </c>
      <c r="O43" s="375">
        <f>L43-N43</f>
        <v>-4.2999999999437932E-3</v>
      </c>
      <c r="P43" s="136">
        <f t="shared" si="1"/>
        <v>1.0000052826850783</v>
      </c>
      <c r="S43" s="189">
        <v>0</v>
      </c>
      <c r="T43" s="189">
        <v>10.050000000000001</v>
      </c>
    </row>
    <row r="44" spans="1:20" s="109" customFormat="1" x14ac:dyDescent="0.2">
      <c r="A44" s="125" t="s">
        <v>1377</v>
      </c>
      <c r="B44" s="126">
        <v>92720</v>
      </c>
      <c r="C44" s="126" t="s">
        <v>1324</v>
      </c>
      <c r="D44" s="127" t="s">
        <v>1375</v>
      </c>
      <c r="E44" s="128" t="s">
        <v>48</v>
      </c>
      <c r="F44" s="129"/>
      <c r="G44" s="130">
        <v>323.87</v>
      </c>
      <c r="H44" s="147">
        <v>10.050000000000001</v>
      </c>
      <c r="I44" s="132">
        <v>0</v>
      </c>
      <c r="J44" s="374">
        <f>'01'!G44+'02'!G44+'03'!H44+'04 CORRIGIDA'!J43+'05'!I44</f>
        <v>10.050000000000001</v>
      </c>
      <c r="K44" s="120">
        <v>0</v>
      </c>
      <c r="L44" s="131">
        <f t="shared" si="6"/>
        <v>3254.89</v>
      </c>
      <c r="M44" s="131">
        <f>I44*G44</f>
        <v>0</v>
      </c>
      <c r="N44" s="131">
        <f>J44*G44</f>
        <v>3254.8935000000001</v>
      </c>
      <c r="O44" s="375">
        <f>L44-N44</f>
        <v>-3.5000000002582965E-3</v>
      </c>
      <c r="P44" s="136">
        <f t="shared" si="1"/>
        <v>1.0000010753051563</v>
      </c>
      <c r="S44" s="191">
        <v>0</v>
      </c>
      <c r="T44" s="191">
        <v>0</v>
      </c>
    </row>
    <row r="45" spans="1:20" s="109" customFormat="1" x14ac:dyDescent="0.2">
      <c r="A45" s="425">
        <v>4</v>
      </c>
      <c r="B45" s="426"/>
      <c r="C45" s="426"/>
      <c r="D45" s="427" t="s">
        <v>1378</v>
      </c>
      <c r="E45" s="415"/>
      <c r="F45" s="417"/>
      <c r="G45" s="418"/>
      <c r="H45" s="416"/>
      <c r="I45" s="420"/>
      <c r="J45" s="421"/>
      <c r="K45" s="420"/>
      <c r="L45" s="429">
        <f>SUM(L46,L51,L57,L62,L67)</f>
        <v>88897.260000000009</v>
      </c>
      <c r="M45" s="429">
        <f>SUM(M46,M51,M57,M62,M67)</f>
        <v>10218.212389999999</v>
      </c>
      <c r="N45" s="429">
        <f>SUM(N46,N51,N57,N62,N67)+0.01</f>
        <v>45962.000178260008</v>
      </c>
      <c r="O45" s="430">
        <f>SUM(O46,O51,O57,O62,O67)</f>
        <v>39126.034899999999</v>
      </c>
      <c r="P45" s="431">
        <f t="shared" si="1"/>
        <v>0.51702381128799701</v>
      </c>
      <c r="S45" s="191">
        <v>0</v>
      </c>
      <c r="T45" s="191">
        <v>0</v>
      </c>
    </row>
    <row r="46" spans="1:20" s="110" customFormat="1" x14ac:dyDescent="0.2">
      <c r="A46" s="461" t="s">
        <v>74</v>
      </c>
      <c r="B46" s="462"/>
      <c r="C46" s="462"/>
      <c r="D46" s="463" t="s">
        <v>1379</v>
      </c>
      <c r="E46" s="464"/>
      <c r="F46" s="452">
        <f t="shared" ref="F46:O46" si="7">SUM(F47:F50)</f>
        <v>499.24</v>
      </c>
      <c r="G46" s="465">
        <f t="shared" si="7"/>
        <v>428.05</v>
      </c>
      <c r="H46" s="464">
        <f>SUM(H47:H50)</f>
        <v>691.15</v>
      </c>
      <c r="I46" s="457">
        <v>0</v>
      </c>
      <c r="J46" s="457">
        <f>'01'!G46+'02'!G46+'03'!H46+'04 CORRIGIDA'!J45+'05'!I46</f>
        <v>51.01</v>
      </c>
      <c r="K46" s="457">
        <v>0</v>
      </c>
      <c r="L46" s="474">
        <f>SUM(L47:L50)</f>
        <v>17368.48</v>
      </c>
      <c r="M46" s="474">
        <f t="shared" si="7"/>
        <v>9811.4828999999991</v>
      </c>
      <c r="N46" s="474">
        <f t="shared" si="7"/>
        <v>15502.045099999999</v>
      </c>
      <c r="O46" s="471">
        <f t="shared" si="7"/>
        <v>1866.4349000000007</v>
      </c>
      <c r="P46" s="466">
        <f t="shared" ref="P46:P77" si="8">N46/L46</f>
        <v>0.89253896138291888</v>
      </c>
      <c r="S46" s="192">
        <v>22.81</v>
      </c>
      <c r="T46" s="192">
        <v>126.72</v>
      </c>
    </row>
    <row r="47" spans="1:20" s="110" customFormat="1" ht="25.5" x14ac:dyDescent="0.2">
      <c r="A47" s="379" t="s">
        <v>76</v>
      </c>
      <c r="B47" s="380">
        <v>92448</v>
      </c>
      <c r="C47" s="380" t="s">
        <v>1324</v>
      </c>
      <c r="D47" s="381" t="s">
        <v>1380</v>
      </c>
      <c r="E47" s="382" t="s">
        <v>14</v>
      </c>
      <c r="F47" s="137">
        <v>302.64</v>
      </c>
      <c r="G47" s="383">
        <v>93.42</v>
      </c>
      <c r="H47" s="382">
        <v>126.72</v>
      </c>
      <c r="I47" s="385">
        <v>91.3</v>
      </c>
      <c r="J47" s="374">
        <f>'01'!G47+'02'!G47+'03'!H47+'04 CORRIGIDA'!J46+'05'!I47</f>
        <v>114.11</v>
      </c>
      <c r="K47" s="376">
        <v>0</v>
      </c>
      <c r="L47" s="384">
        <f>ROUND(H47*G47,2)</f>
        <v>11838.18</v>
      </c>
      <c r="M47" s="386">
        <f>I47*G47</f>
        <v>8529.2459999999992</v>
      </c>
      <c r="N47" s="386">
        <f>J47*G47</f>
        <v>10660.156199999999</v>
      </c>
      <c r="O47" s="387">
        <f>L47-N47</f>
        <v>1178.0238000000008</v>
      </c>
      <c r="P47" s="388">
        <f t="shared" si="8"/>
        <v>0.90048945023643834</v>
      </c>
      <c r="S47" s="192">
        <v>78.55</v>
      </c>
      <c r="T47" s="192">
        <v>428.55</v>
      </c>
    </row>
    <row r="48" spans="1:20" s="110" customFormat="1" ht="25.5" x14ac:dyDescent="0.2">
      <c r="A48" s="379" t="s">
        <v>79</v>
      </c>
      <c r="B48" s="380">
        <v>92793</v>
      </c>
      <c r="C48" s="380" t="s">
        <v>1324</v>
      </c>
      <c r="D48" s="381" t="s">
        <v>1372</v>
      </c>
      <c r="E48" s="382" t="s">
        <v>35</v>
      </c>
      <c r="F48" s="137">
        <v>135.94</v>
      </c>
      <c r="G48" s="383">
        <v>4.6500000000000004</v>
      </c>
      <c r="H48" s="382">
        <v>428.55</v>
      </c>
      <c r="I48" s="385">
        <v>57.2</v>
      </c>
      <c r="J48" s="374">
        <f>'01'!G48+'02'!G48+'03'!H48+'04 CORRIGIDA'!J47+'05'!I48</f>
        <v>407.2</v>
      </c>
      <c r="K48" s="376">
        <f>0</f>
        <v>0</v>
      </c>
      <c r="L48" s="384">
        <f>ROUND(H48*G48,2)</f>
        <v>1992.76</v>
      </c>
      <c r="M48" s="386">
        <f>I48*G48</f>
        <v>265.98</v>
      </c>
      <c r="N48" s="386">
        <f>J48*G48</f>
        <v>1893.48</v>
      </c>
      <c r="O48" s="387">
        <f>L48-N48</f>
        <v>99.279999999999973</v>
      </c>
      <c r="P48" s="388">
        <f t="shared" si="8"/>
        <v>0.95017965033420981</v>
      </c>
      <c r="S48" s="192">
        <v>23.16</v>
      </c>
      <c r="T48" s="192">
        <v>127.36</v>
      </c>
    </row>
    <row r="49" spans="1:20" s="110" customFormat="1" ht="25.5" x14ac:dyDescent="0.2">
      <c r="A49" s="379" t="s">
        <v>83</v>
      </c>
      <c r="B49" s="380">
        <v>92791</v>
      </c>
      <c r="C49" s="380" t="s">
        <v>1324</v>
      </c>
      <c r="D49" s="381" t="s">
        <v>1373</v>
      </c>
      <c r="E49" s="382" t="s">
        <v>35</v>
      </c>
      <c r="F49" s="129"/>
      <c r="G49" s="383">
        <v>6.11</v>
      </c>
      <c r="H49" s="382">
        <v>127.36</v>
      </c>
      <c r="I49" s="385">
        <v>16.850000000000001</v>
      </c>
      <c r="J49" s="374">
        <f>'01'!G49+'02'!G49+'03'!H49+'04 CORRIGIDA'!J48+'05'!I49</f>
        <v>121.05000000000001</v>
      </c>
      <c r="K49" s="376">
        <v>0</v>
      </c>
      <c r="L49" s="384">
        <f>ROUND(H49*G49,2)</f>
        <v>778.17</v>
      </c>
      <c r="M49" s="386">
        <f>I49*G49-0.01</f>
        <v>102.94350000000001</v>
      </c>
      <c r="N49" s="386">
        <f>J49*G49</f>
        <v>739.61550000000011</v>
      </c>
      <c r="O49" s="387">
        <f>L49-N49</f>
        <v>38.554499999999848</v>
      </c>
      <c r="P49" s="388">
        <f t="shared" si="8"/>
        <v>0.95045491345078859</v>
      </c>
      <c r="S49" s="192">
        <v>4.5199999999999996</v>
      </c>
      <c r="T49" s="192">
        <v>8.52</v>
      </c>
    </row>
    <row r="50" spans="1:20" s="109" customFormat="1" x14ac:dyDescent="0.2">
      <c r="A50" s="379" t="s">
        <v>86</v>
      </c>
      <c r="B50" s="380">
        <v>92720</v>
      </c>
      <c r="C50" s="380" t="s">
        <v>1324</v>
      </c>
      <c r="D50" s="381" t="s">
        <v>1375</v>
      </c>
      <c r="E50" s="382" t="s">
        <v>48</v>
      </c>
      <c r="F50" s="137">
        <v>60.66</v>
      </c>
      <c r="G50" s="383">
        <v>323.87</v>
      </c>
      <c r="H50" s="382">
        <v>8.52</v>
      </c>
      <c r="I50" s="385">
        <v>2.82</v>
      </c>
      <c r="J50" s="374">
        <f>'01'!G50+'02'!G50+'03'!H50+'04 CORRIGIDA'!J49+'05'!I50</f>
        <v>6.82</v>
      </c>
      <c r="K50" s="376">
        <v>0</v>
      </c>
      <c r="L50" s="384">
        <f>ROUND(H50*G50,2)</f>
        <v>2759.37</v>
      </c>
      <c r="M50" s="386">
        <f>I50*G50</f>
        <v>913.3134</v>
      </c>
      <c r="N50" s="386">
        <f>J50*G50</f>
        <v>2208.7934</v>
      </c>
      <c r="O50" s="387">
        <f>L50-N50</f>
        <v>550.57659999999987</v>
      </c>
      <c r="P50" s="388">
        <f t="shared" si="8"/>
        <v>0.8004701797874153</v>
      </c>
      <c r="S50" s="191">
        <v>0</v>
      </c>
      <c r="T50" s="191">
        <v>0</v>
      </c>
    </row>
    <row r="51" spans="1:20" s="110" customFormat="1" x14ac:dyDescent="0.2">
      <c r="A51" s="461" t="s">
        <v>1381</v>
      </c>
      <c r="B51" s="462"/>
      <c r="C51" s="462"/>
      <c r="D51" s="463" t="s">
        <v>1382</v>
      </c>
      <c r="E51" s="465"/>
      <c r="F51" s="468"/>
      <c r="G51" s="465"/>
      <c r="H51" s="465"/>
      <c r="I51" s="465"/>
      <c r="J51" s="474"/>
      <c r="K51" s="474"/>
      <c r="L51" s="465">
        <f>SUM(L52:L56)</f>
        <v>33356.590000000004</v>
      </c>
      <c r="M51" s="465">
        <f>SUM(M52:M56)</f>
        <v>406.72949</v>
      </c>
      <c r="N51" s="467">
        <f>SUM(N52:N56)+0.01</f>
        <v>29547.357078260004</v>
      </c>
      <c r="O51" s="471">
        <v>0</v>
      </c>
      <c r="P51" s="520">
        <f t="shared" si="8"/>
        <v>0.88580268781251326</v>
      </c>
      <c r="S51" s="192">
        <v>30.35</v>
      </c>
      <c r="T51" s="192">
        <v>0</v>
      </c>
    </row>
    <row r="52" spans="1:20" s="110" customFormat="1" x14ac:dyDescent="0.2">
      <c r="A52" s="379" t="s">
        <v>1383</v>
      </c>
      <c r="B52" s="380">
        <v>92510</v>
      </c>
      <c r="C52" s="380" t="s">
        <v>1324</v>
      </c>
      <c r="D52" s="381" t="s">
        <v>1384</v>
      </c>
      <c r="E52" s="382" t="s">
        <v>14</v>
      </c>
      <c r="F52" s="137">
        <v>302.64</v>
      </c>
      <c r="G52" s="383">
        <v>93.42</v>
      </c>
      <c r="H52" s="382">
        <v>155.72999999999999</v>
      </c>
      <c r="I52" s="385">
        <v>1.5</v>
      </c>
      <c r="J52" s="374">
        <f>'01'!G52+'02'!G52+'03'!H52+'04 CORRIGIDA'!J51+'05'!I52</f>
        <v>126.88399</v>
      </c>
      <c r="K52" s="374">
        <v>0</v>
      </c>
      <c r="L52" s="384">
        <f>ROUND(H52*G52,2)</f>
        <v>14548.3</v>
      </c>
      <c r="M52" s="386">
        <f>I52*G52</f>
        <v>140.13</v>
      </c>
      <c r="N52" s="386">
        <f>J52*G52</f>
        <v>11853.5023458</v>
      </c>
      <c r="O52" s="387">
        <f>L52-N52</f>
        <v>2694.7976541999997</v>
      </c>
      <c r="P52" s="388">
        <f t="shared" si="8"/>
        <v>0.81476889710825318</v>
      </c>
      <c r="S52" s="192">
        <v>95.84</v>
      </c>
      <c r="T52" s="192">
        <v>0</v>
      </c>
    </row>
    <row r="53" spans="1:20" s="110" customFormat="1" ht="25.5" x14ac:dyDescent="0.2">
      <c r="A53" s="379" t="s">
        <v>1385</v>
      </c>
      <c r="B53" s="380">
        <v>92793</v>
      </c>
      <c r="C53" s="380" t="s">
        <v>1324</v>
      </c>
      <c r="D53" s="381" t="s">
        <v>1372</v>
      </c>
      <c r="E53" s="382" t="s">
        <v>35</v>
      </c>
      <c r="F53" s="137">
        <v>135.94</v>
      </c>
      <c r="G53" s="383">
        <v>4.6500000000000004</v>
      </c>
      <c r="H53" s="382">
        <v>1946.45</v>
      </c>
      <c r="I53" s="385">
        <v>18</v>
      </c>
      <c r="J53" s="374">
        <f>'01'!G53+'02'!G53+'03'!H53+'04 CORRIGIDA'!J52+'05'!I53</f>
        <v>1868.6077</v>
      </c>
      <c r="K53" s="374">
        <v>0</v>
      </c>
      <c r="L53" s="384">
        <f>ROUND(H53*G53,2)</f>
        <v>9050.99</v>
      </c>
      <c r="M53" s="386">
        <f>I53*G53</f>
        <v>83.7</v>
      </c>
      <c r="N53" s="386">
        <f>J53*G53</f>
        <v>8689.0258050000011</v>
      </c>
      <c r="O53" s="387">
        <f>L53-N53</f>
        <v>361.96419499999865</v>
      </c>
      <c r="P53" s="388">
        <f t="shared" si="8"/>
        <v>0.96000833113283757</v>
      </c>
      <c r="S53" s="192">
        <v>11.599999999999994</v>
      </c>
      <c r="T53" s="192">
        <v>0</v>
      </c>
    </row>
    <row r="54" spans="1:20" s="110" customFormat="1" ht="25.5" x14ac:dyDescent="0.2">
      <c r="A54" s="379" t="s">
        <v>1386</v>
      </c>
      <c r="B54" s="380">
        <v>92791</v>
      </c>
      <c r="C54" s="380" t="s">
        <v>1324</v>
      </c>
      <c r="D54" s="381" t="s">
        <v>1373</v>
      </c>
      <c r="E54" s="382" t="s">
        <v>35</v>
      </c>
      <c r="F54" s="138"/>
      <c r="G54" s="383">
        <v>6.11</v>
      </c>
      <c r="H54" s="382">
        <v>240.18</v>
      </c>
      <c r="I54" s="385">
        <v>2</v>
      </c>
      <c r="J54" s="374">
        <f>'01'!G54+'02'!G54+'03'!H54+'04 CORRIGIDA'!J53+'05'!I54</f>
        <v>230.58142000000001</v>
      </c>
      <c r="K54" s="374">
        <v>0</v>
      </c>
      <c r="L54" s="384">
        <f>ROUND(H54*G54,2)</f>
        <v>1467.5</v>
      </c>
      <c r="M54" s="386">
        <f>I54*G54</f>
        <v>12.22</v>
      </c>
      <c r="N54" s="386">
        <f>J54*G54</f>
        <v>1408.8524762000002</v>
      </c>
      <c r="O54" s="387">
        <f>L54-N54</f>
        <v>58.647523799999817</v>
      </c>
      <c r="P54" s="388">
        <f t="shared" si="8"/>
        <v>0.96003575890971049</v>
      </c>
      <c r="S54" s="192">
        <v>2.6700000000000017</v>
      </c>
      <c r="T54" s="192">
        <v>10.71</v>
      </c>
    </row>
    <row r="55" spans="1:20" x14ac:dyDescent="0.2">
      <c r="A55" s="379" t="s">
        <v>1387</v>
      </c>
      <c r="B55" s="380">
        <v>92720</v>
      </c>
      <c r="C55" s="380" t="s">
        <v>1324</v>
      </c>
      <c r="D55" s="381" t="s">
        <v>1375</v>
      </c>
      <c r="E55" s="382" t="s">
        <v>48</v>
      </c>
      <c r="F55" s="129"/>
      <c r="G55" s="383">
        <v>323.87</v>
      </c>
      <c r="H55" s="382">
        <v>10.71</v>
      </c>
      <c r="I55" s="385">
        <v>0.52700000000000002</v>
      </c>
      <c r="J55" s="374">
        <f>'01'!G55+'02'!G55+'03'!H55+'04 CORRIGIDA'!J54+'05'!I55</f>
        <v>8.567698</v>
      </c>
      <c r="K55" s="374">
        <v>0</v>
      </c>
      <c r="L55" s="384">
        <f>ROUND(H55*G55,2)</f>
        <v>3468.65</v>
      </c>
      <c r="M55" s="386">
        <f>I55*G55</f>
        <v>170.67949000000002</v>
      </c>
      <c r="N55" s="386">
        <f>J55*G55</f>
        <v>2774.8203512599998</v>
      </c>
      <c r="O55" s="387">
        <f>L55-N55</f>
        <v>693.82964874000027</v>
      </c>
      <c r="P55" s="388">
        <f t="shared" si="8"/>
        <v>0.79997127160710935</v>
      </c>
      <c r="S55" s="189">
        <v>0</v>
      </c>
      <c r="T55" s="189">
        <v>84.33</v>
      </c>
    </row>
    <row r="56" spans="1:20" s="106" customFormat="1" x14ac:dyDescent="0.2">
      <c r="A56" s="125" t="s">
        <v>1388</v>
      </c>
      <c r="B56" s="126" t="s">
        <v>1389</v>
      </c>
      <c r="C56" s="126" t="s">
        <v>1324</v>
      </c>
      <c r="D56" s="127" t="s">
        <v>1390</v>
      </c>
      <c r="E56" s="128" t="s">
        <v>14</v>
      </c>
      <c r="F56" s="129"/>
      <c r="G56" s="130">
        <v>57.17</v>
      </c>
      <c r="H56" s="128">
        <v>84.33</v>
      </c>
      <c r="I56" s="133">
        <v>0</v>
      </c>
      <c r="J56" s="374">
        <f>'01'!G56+'02'!G56+'03'!H56+'04 CORRIGIDA'!J55+'05'!I56</f>
        <v>84.33</v>
      </c>
      <c r="K56" s="132">
        <v>0</v>
      </c>
      <c r="L56" s="131">
        <f>ROUND(H56*G56,2)</f>
        <v>4821.1499999999996</v>
      </c>
      <c r="M56" s="131">
        <f>I56*G56</f>
        <v>0</v>
      </c>
      <c r="N56" s="386">
        <f>J56*G56</f>
        <v>4821.1460999999999</v>
      </c>
      <c r="O56" s="377">
        <v>0</v>
      </c>
      <c r="P56" s="136">
        <f t="shared" si="8"/>
        <v>0.99999919106437263</v>
      </c>
      <c r="S56" s="190">
        <v>0</v>
      </c>
      <c r="T56" s="190">
        <v>0</v>
      </c>
    </row>
    <row r="57" spans="1:20" x14ac:dyDescent="0.2">
      <c r="A57" s="449" t="s">
        <v>1391</v>
      </c>
      <c r="B57" s="450"/>
      <c r="C57" s="450"/>
      <c r="D57" s="451" t="s">
        <v>1392</v>
      </c>
      <c r="E57" s="465"/>
      <c r="F57" s="468"/>
      <c r="G57" s="465"/>
      <c r="H57" s="465"/>
      <c r="I57" s="465"/>
      <c r="J57" s="474"/>
      <c r="K57" s="474"/>
      <c r="L57" s="468">
        <f>SUM(L58:L61)</f>
        <v>13794.349999999999</v>
      </c>
      <c r="M57" s="468">
        <f>SUM(M58:M61)</f>
        <v>0</v>
      </c>
      <c r="N57" s="467">
        <f>SUM(N58:N61)</f>
        <v>0</v>
      </c>
      <c r="O57" s="469">
        <f>SUM(O58:O61)</f>
        <v>13794.349999999999</v>
      </c>
      <c r="P57" s="459">
        <f t="shared" si="8"/>
        <v>0</v>
      </c>
      <c r="S57" s="189">
        <v>0</v>
      </c>
      <c r="T57" s="189">
        <v>0</v>
      </c>
    </row>
    <row r="58" spans="1:20" x14ac:dyDescent="0.2">
      <c r="A58" s="125" t="s">
        <v>1393</v>
      </c>
      <c r="B58" s="126">
        <v>92510</v>
      </c>
      <c r="C58" s="126" t="s">
        <v>1324</v>
      </c>
      <c r="D58" s="127" t="s">
        <v>1384</v>
      </c>
      <c r="E58" s="128" t="s">
        <v>14</v>
      </c>
      <c r="F58" s="137">
        <v>41.64</v>
      </c>
      <c r="G58" s="130">
        <v>93.42</v>
      </c>
      <c r="H58" s="128">
        <v>111.8</v>
      </c>
      <c r="I58" s="133">
        <v>0</v>
      </c>
      <c r="J58" s="374">
        <f>'01'!G58+'02'!G58+'03'!H58+'04 CORRIGIDA'!J57+'05'!I58</f>
        <v>0</v>
      </c>
      <c r="K58" s="137">
        <f t="shared" ref="K58:K66" si="9">H58-J58</f>
        <v>111.8</v>
      </c>
      <c r="L58" s="131">
        <f>ROUND(H58*G58,2)</f>
        <v>10444.36</v>
      </c>
      <c r="M58" s="131">
        <f t="shared" ref="M58:M66" si="10">I58*G58</f>
        <v>0</v>
      </c>
      <c r="N58" s="386">
        <f t="shared" ref="N58:N66" si="11">J58*G58</f>
        <v>0</v>
      </c>
      <c r="O58" s="375">
        <f t="shared" ref="O58:O66" si="12">L58-N58</f>
        <v>10444.36</v>
      </c>
      <c r="P58" s="136">
        <f t="shared" si="8"/>
        <v>0</v>
      </c>
      <c r="S58" s="189">
        <v>0</v>
      </c>
      <c r="T58" s="189">
        <v>0</v>
      </c>
    </row>
    <row r="59" spans="1:20" ht="25.5" x14ac:dyDescent="0.2">
      <c r="A59" s="125" t="s">
        <v>1394</v>
      </c>
      <c r="B59" s="126">
        <v>92793</v>
      </c>
      <c r="C59" s="126" t="s">
        <v>1324</v>
      </c>
      <c r="D59" s="127" t="s">
        <v>1372</v>
      </c>
      <c r="E59" s="128" t="s">
        <v>35</v>
      </c>
      <c r="F59" s="137">
        <v>7.91</v>
      </c>
      <c r="G59" s="130">
        <v>4.6500000000000004</v>
      </c>
      <c r="H59" s="128">
        <v>135.38999999999999</v>
      </c>
      <c r="I59" s="133">
        <v>0</v>
      </c>
      <c r="J59" s="374">
        <f>'01'!G59+'02'!G59+'03'!H59+'04 CORRIGIDA'!J58+'05'!I59</f>
        <v>0</v>
      </c>
      <c r="K59" s="137">
        <f t="shared" si="9"/>
        <v>135.38999999999999</v>
      </c>
      <c r="L59" s="131">
        <f>ROUND(H59*G59,2)</f>
        <v>629.55999999999995</v>
      </c>
      <c r="M59" s="131">
        <f t="shared" si="10"/>
        <v>0</v>
      </c>
      <c r="N59" s="386">
        <f t="shared" si="11"/>
        <v>0</v>
      </c>
      <c r="O59" s="375">
        <f t="shared" si="12"/>
        <v>629.55999999999995</v>
      </c>
      <c r="P59" s="136">
        <f t="shared" si="8"/>
        <v>0</v>
      </c>
      <c r="S59" s="189">
        <v>0</v>
      </c>
      <c r="T59" s="189">
        <v>0</v>
      </c>
    </row>
    <row r="60" spans="1:20" ht="25.5" x14ac:dyDescent="0.2">
      <c r="A60" s="125" t="s">
        <v>1395</v>
      </c>
      <c r="B60" s="126">
        <v>92791</v>
      </c>
      <c r="C60" s="126" t="s">
        <v>1324</v>
      </c>
      <c r="D60" s="127" t="s">
        <v>1373</v>
      </c>
      <c r="E60" s="128" t="s">
        <v>35</v>
      </c>
      <c r="F60" s="137">
        <v>53.52</v>
      </c>
      <c r="G60" s="130">
        <v>6.11</v>
      </c>
      <c r="H60" s="128">
        <v>95.93</v>
      </c>
      <c r="I60" s="133">
        <v>0</v>
      </c>
      <c r="J60" s="374">
        <f>'01'!G60+'02'!G60+'03'!H60+'04 CORRIGIDA'!J59+'05'!I60</f>
        <v>0</v>
      </c>
      <c r="K60" s="137">
        <f t="shared" si="9"/>
        <v>95.93</v>
      </c>
      <c r="L60" s="131">
        <f>ROUND(H60*G60,2)</f>
        <v>586.13</v>
      </c>
      <c r="M60" s="131">
        <f t="shared" si="10"/>
        <v>0</v>
      </c>
      <c r="N60" s="386">
        <f t="shared" si="11"/>
        <v>0</v>
      </c>
      <c r="O60" s="375">
        <f t="shared" si="12"/>
        <v>586.13</v>
      </c>
      <c r="P60" s="136">
        <f t="shared" si="8"/>
        <v>0</v>
      </c>
      <c r="S60" s="189">
        <v>0</v>
      </c>
      <c r="T60" s="189">
        <v>0</v>
      </c>
    </row>
    <row r="61" spans="1:20" s="106" customFormat="1" x14ac:dyDescent="0.2">
      <c r="A61" s="125" t="s">
        <v>1396</v>
      </c>
      <c r="B61" s="126">
        <v>92720</v>
      </c>
      <c r="C61" s="126" t="s">
        <v>1324</v>
      </c>
      <c r="D61" s="127" t="s">
        <v>1375</v>
      </c>
      <c r="E61" s="128" t="s">
        <v>48</v>
      </c>
      <c r="F61" s="137">
        <v>203.72</v>
      </c>
      <c r="G61" s="130">
        <v>323.87</v>
      </c>
      <c r="H61" s="128">
        <v>6.59</v>
      </c>
      <c r="I61" s="133">
        <v>0</v>
      </c>
      <c r="J61" s="374">
        <f>'01'!G61+'02'!G61+'03'!H61+'04 CORRIGIDA'!J60+'05'!I61</f>
        <v>0</v>
      </c>
      <c r="K61" s="137">
        <f t="shared" si="9"/>
        <v>6.59</v>
      </c>
      <c r="L61" s="131">
        <f>ROUND(H61*G61,2)</f>
        <v>2134.3000000000002</v>
      </c>
      <c r="M61" s="131">
        <f t="shared" si="10"/>
        <v>0</v>
      </c>
      <c r="N61" s="386">
        <f t="shared" si="11"/>
        <v>0</v>
      </c>
      <c r="O61" s="375">
        <f t="shared" si="12"/>
        <v>2134.3000000000002</v>
      </c>
      <c r="P61" s="136">
        <f t="shared" si="8"/>
        <v>0</v>
      </c>
      <c r="S61" s="190">
        <v>0</v>
      </c>
      <c r="T61" s="190">
        <v>0</v>
      </c>
    </row>
    <row r="62" spans="1:20" x14ac:dyDescent="0.2">
      <c r="A62" s="449" t="s">
        <v>1397</v>
      </c>
      <c r="B62" s="450"/>
      <c r="C62" s="450"/>
      <c r="D62" s="451" t="s">
        <v>1398</v>
      </c>
      <c r="E62" s="465"/>
      <c r="F62" s="468"/>
      <c r="G62" s="465"/>
      <c r="H62" s="465"/>
      <c r="I62" s="465"/>
      <c r="J62" s="474"/>
      <c r="K62" s="474"/>
      <c r="L62" s="452">
        <f>SUM(L63:L66)</f>
        <v>23465.25</v>
      </c>
      <c r="M62" s="460">
        <f t="shared" si="10"/>
        <v>0</v>
      </c>
      <c r="N62" s="467">
        <f t="shared" si="11"/>
        <v>0</v>
      </c>
      <c r="O62" s="458">
        <f t="shared" si="12"/>
        <v>23465.25</v>
      </c>
      <c r="P62" s="459">
        <f t="shared" si="8"/>
        <v>0</v>
      </c>
      <c r="S62" s="189">
        <v>0</v>
      </c>
      <c r="T62" s="189">
        <v>0</v>
      </c>
    </row>
    <row r="63" spans="1:20" x14ac:dyDescent="0.2">
      <c r="A63" s="125" t="s">
        <v>1399</v>
      </c>
      <c r="B63" s="126">
        <v>92422</v>
      </c>
      <c r="C63" s="126" t="s">
        <v>1324</v>
      </c>
      <c r="D63" s="127" t="s">
        <v>1384</v>
      </c>
      <c r="E63" s="128" t="s">
        <v>14</v>
      </c>
      <c r="F63" s="137">
        <v>52.6</v>
      </c>
      <c r="G63" s="130">
        <v>93.42</v>
      </c>
      <c r="H63" s="128">
        <v>10.8</v>
      </c>
      <c r="I63" s="133">
        <v>0</v>
      </c>
      <c r="J63" s="374">
        <f>'01'!G63+'02'!G63+'03'!H63+'04 CORRIGIDA'!J62+'05'!I63</f>
        <v>0</v>
      </c>
      <c r="K63" s="137">
        <f t="shared" si="9"/>
        <v>10.8</v>
      </c>
      <c r="L63" s="131">
        <f>ROUND(H63*G63,2)</f>
        <v>1008.94</v>
      </c>
      <c r="M63" s="131">
        <f t="shared" si="10"/>
        <v>0</v>
      </c>
      <c r="N63" s="386">
        <f t="shared" si="11"/>
        <v>0</v>
      </c>
      <c r="O63" s="375">
        <f t="shared" si="12"/>
        <v>1008.94</v>
      </c>
      <c r="P63" s="136">
        <f t="shared" si="8"/>
        <v>0</v>
      </c>
      <c r="S63" s="189">
        <v>0</v>
      </c>
      <c r="T63" s="189">
        <v>0</v>
      </c>
    </row>
    <row r="64" spans="1:20" x14ac:dyDescent="0.2">
      <c r="A64" s="125" t="s">
        <v>1400</v>
      </c>
      <c r="B64" s="126" t="s">
        <v>1401</v>
      </c>
      <c r="C64" s="126" t="s">
        <v>1324</v>
      </c>
      <c r="D64" s="127" t="s">
        <v>1402</v>
      </c>
      <c r="E64" s="128" t="s">
        <v>48</v>
      </c>
      <c r="F64" s="137">
        <v>49.48</v>
      </c>
      <c r="G64" s="130">
        <v>98.55</v>
      </c>
      <c r="H64" s="128">
        <v>33.83</v>
      </c>
      <c r="I64" s="133">
        <v>0</v>
      </c>
      <c r="J64" s="374">
        <f>'01'!G64+'02'!G64+'03'!H64+'04 CORRIGIDA'!J63+'05'!I64</f>
        <v>0</v>
      </c>
      <c r="K64" s="137">
        <f t="shared" si="9"/>
        <v>33.83</v>
      </c>
      <c r="L64" s="131">
        <f>ROUND(H64*G64,2)</f>
        <v>3333.95</v>
      </c>
      <c r="M64" s="131">
        <f t="shared" si="10"/>
        <v>0</v>
      </c>
      <c r="N64" s="386">
        <f t="shared" si="11"/>
        <v>0</v>
      </c>
      <c r="O64" s="375">
        <f t="shared" si="12"/>
        <v>3333.95</v>
      </c>
      <c r="P64" s="136">
        <f t="shared" si="8"/>
        <v>0</v>
      </c>
      <c r="S64" s="189">
        <v>0</v>
      </c>
      <c r="T64" s="189">
        <v>0</v>
      </c>
    </row>
    <row r="65" spans="1:20" x14ac:dyDescent="0.2">
      <c r="A65" s="125" t="s">
        <v>1403</v>
      </c>
      <c r="B65" s="126">
        <v>85662</v>
      </c>
      <c r="C65" s="126" t="s">
        <v>1324</v>
      </c>
      <c r="D65" s="127" t="s">
        <v>1404</v>
      </c>
      <c r="E65" s="128" t="s">
        <v>14</v>
      </c>
      <c r="F65" s="138"/>
      <c r="G65" s="130">
        <v>10.34</v>
      </c>
      <c r="H65" s="128">
        <v>1001.47</v>
      </c>
      <c r="I65" s="133">
        <v>0</v>
      </c>
      <c r="J65" s="374">
        <f>'01'!G65+'02'!G65+'03'!H65+'04 CORRIGIDA'!J64+'05'!I65</f>
        <v>0</v>
      </c>
      <c r="K65" s="137">
        <f t="shared" si="9"/>
        <v>1001.47</v>
      </c>
      <c r="L65" s="131">
        <f>ROUND(H65*G65,2)</f>
        <v>10355.200000000001</v>
      </c>
      <c r="M65" s="131">
        <f t="shared" si="10"/>
        <v>0</v>
      </c>
      <c r="N65" s="386">
        <f t="shared" si="11"/>
        <v>0</v>
      </c>
      <c r="O65" s="375">
        <f t="shared" si="12"/>
        <v>10355.200000000001</v>
      </c>
      <c r="P65" s="136">
        <f t="shared" si="8"/>
        <v>0</v>
      </c>
      <c r="S65" s="189">
        <v>0</v>
      </c>
      <c r="T65" s="189">
        <v>0</v>
      </c>
    </row>
    <row r="66" spans="1:20" s="106" customFormat="1" x14ac:dyDescent="0.2">
      <c r="A66" s="125" t="s">
        <v>1405</v>
      </c>
      <c r="B66" s="126">
        <v>92720</v>
      </c>
      <c r="C66" s="126" t="s">
        <v>1324</v>
      </c>
      <c r="D66" s="127" t="s">
        <v>1375</v>
      </c>
      <c r="E66" s="128" t="s">
        <v>48</v>
      </c>
      <c r="F66" s="129"/>
      <c r="G66" s="130">
        <v>323.87</v>
      </c>
      <c r="H66" s="128">
        <v>27.07</v>
      </c>
      <c r="I66" s="133">
        <v>0</v>
      </c>
      <c r="J66" s="374">
        <f>'01'!G66+'02'!G66+'03'!H66+'04 CORRIGIDA'!J65+'05'!I66</f>
        <v>0</v>
      </c>
      <c r="K66" s="137">
        <f t="shared" si="9"/>
        <v>27.07</v>
      </c>
      <c r="L66" s="131">
        <f>ROUND(H66*G66,2)</f>
        <v>8767.16</v>
      </c>
      <c r="M66" s="131">
        <f t="shared" si="10"/>
        <v>0</v>
      </c>
      <c r="N66" s="386">
        <f t="shared" si="11"/>
        <v>0</v>
      </c>
      <c r="O66" s="375">
        <f t="shared" si="12"/>
        <v>8767.16</v>
      </c>
      <c r="P66" s="136">
        <f t="shared" si="8"/>
        <v>0</v>
      </c>
      <c r="S66" s="190">
        <v>0</v>
      </c>
      <c r="T66" s="190">
        <v>33.9</v>
      </c>
    </row>
    <row r="67" spans="1:20" x14ac:dyDescent="0.2">
      <c r="A67" s="449" t="s">
        <v>1406</v>
      </c>
      <c r="B67" s="450"/>
      <c r="C67" s="450"/>
      <c r="D67" s="451" t="s">
        <v>1407</v>
      </c>
      <c r="E67" s="465"/>
      <c r="F67" s="468"/>
      <c r="G67" s="465"/>
      <c r="H67" s="465"/>
      <c r="I67" s="465"/>
      <c r="J67" s="474"/>
      <c r="K67" s="474"/>
      <c r="L67" s="452">
        <f>L68</f>
        <v>912.59</v>
      </c>
      <c r="M67" s="468">
        <f>M68</f>
        <v>0</v>
      </c>
      <c r="N67" s="467">
        <f>N68</f>
        <v>912.58799999999997</v>
      </c>
      <c r="O67" s="469">
        <f>O68</f>
        <v>0</v>
      </c>
      <c r="P67" s="459">
        <f t="shared" si="8"/>
        <v>0.99999780843533237</v>
      </c>
      <c r="S67" s="189">
        <v>0</v>
      </c>
      <c r="T67" s="189">
        <v>33.9</v>
      </c>
    </row>
    <row r="68" spans="1:20" s="106" customFormat="1" x14ac:dyDescent="0.2">
      <c r="A68" s="125" t="s">
        <v>1408</v>
      </c>
      <c r="B68" s="126" t="s">
        <v>1409</v>
      </c>
      <c r="C68" s="126" t="s">
        <v>1324</v>
      </c>
      <c r="D68" s="127" t="s">
        <v>1410</v>
      </c>
      <c r="E68" s="128" t="s">
        <v>81</v>
      </c>
      <c r="F68" s="137">
        <v>329.55</v>
      </c>
      <c r="G68" s="130">
        <v>26.92</v>
      </c>
      <c r="H68" s="128">
        <v>33.9</v>
      </c>
      <c r="I68" s="133">
        <v>0</v>
      </c>
      <c r="J68" s="374">
        <f>'01'!G68+'02'!G68+'03'!H68+'04 CORRIGIDA'!J67+'05'!I68</f>
        <v>33.9</v>
      </c>
      <c r="K68" s="116">
        <f>0</f>
        <v>0</v>
      </c>
      <c r="L68" s="131">
        <f>ROUND(H68*G68,2)</f>
        <v>912.59</v>
      </c>
      <c r="M68" s="131">
        <f>I68*G68</f>
        <v>0</v>
      </c>
      <c r="N68" s="386">
        <f>J68*G68</f>
        <v>912.58799999999997</v>
      </c>
      <c r="O68" s="375">
        <f>0</f>
        <v>0</v>
      </c>
      <c r="P68" s="136">
        <f t="shared" si="8"/>
        <v>0.99999780843533237</v>
      </c>
      <c r="S68" s="190">
        <v>0</v>
      </c>
      <c r="T68" s="190">
        <v>0</v>
      </c>
    </row>
    <row r="69" spans="1:20" s="106" customFormat="1" x14ac:dyDescent="0.2">
      <c r="A69" s="412">
        <v>5</v>
      </c>
      <c r="B69" s="413"/>
      <c r="C69" s="413"/>
      <c r="D69" s="414" t="s">
        <v>1411</v>
      </c>
      <c r="E69" s="415"/>
      <c r="F69" s="417"/>
      <c r="G69" s="418"/>
      <c r="H69" s="416"/>
      <c r="I69" s="420"/>
      <c r="J69" s="421"/>
      <c r="K69" s="420"/>
      <c r="L69" s="424">
        <f>SUM(L70,L72,L75)</f>
        <v>31428.92</v>
      </c>
      <c r="M69" s="424">
        <f>SUM(M72,M75)</f>
        <v>0</v>
      </c>
      <c r="N69" s="432">
        <f>J69*G69</f>
        <v>0</v>
      </c>
      <c r="O69" s="422">
        <f>L69-N69</f>
        <v>31428.92</v>
      </c>
      <c r="P69" s="423">
        <f t="shared" si="8"/>
        <v>0</v>
      </c>
      <c r="S69" s="190">
        <v>0</v>
      </c>
      <c r="T69" s="190">
        <v>0</v>
      </c>
    </row>
    <row r="70" spans="1:20" x14ac:dyDescent="0.2">
      <c r="A70" s="449" t="s">
        <v>98</v>
      </c>
      <c r="B70" s="450"/>
      <c r="C70" s="450"/>
      <c r="D70" s="451" t="s">
        <v>1412</v>
      </c>
      <c r="E70" s="465"/>
      <c r="F70" s="468"/>
      <c r="G70" s="465"/>
      <c r="H70" s="465"/>
      <c r="I70" s="465"/>
      <c r="J70" s="474"/>
      <c r="K70" s="474"/>
      <c r="L70" s="452">
        <f>L71</f>
        <v>7200.78</v>
      </c>
      <c r="M70" s="468">
        <f>M71</f>
        <v>0</v>
      </c>
      <c r="N70" s="467">
        <f>N71</f>
        <v>0</v>
      </c>
      <c r="O70" s="469">
        <f>O71</f>
        <v>7200.78</v>
      </c>
      <c r="P70" s="459">
        <f t="shared" si="8"/>
        <v>0</v>
      </c>
      <c r="S70" s="189">
        <v>0</v>
      </c>
      <c r="T70" s="189">
        <v>0</v>
      </c>
    </row>
    <row r="71" spans="1:20" s="106" customFormat="1" ht="25.5" x14ac:dyDescent="0.2">
      <c r="A71" s="125" t="s">
        <v>100</v>
      </c>
      <c r="B71" s="126" t="s">
        <v>1413</v>
      </c>
      <c r="C71" s="126" t="s">
        <v>1324</v>
      </c>
      <c r="D71" s="127" t="s">
        <v>1414</v>
      </c>
      <c r="E71" s="128" t="s">
        <v>14</v>
      </c>
      <c r="F71" s="137">
        <v>222.6</v>
      </c>
      <c r="G71" s="130">
        <v>53.45</v>
      </c>
      <c r="H71" s="128">
        <v>134.72</v>
      </c>
      <c r="I71" s="133">
        <v>0</v>
      </c>
      <c r="J71" s="374">
        <f>'01'!G71+'02'!G71+'03'!H71+'04 CORRIGIDA'!J70+'05'!I71</f>
        <v>0</v>
      </c>
      <c r="K71" s="168">
        <f>H71-J71</f>
        <v>134.72</v>
      </c>
      <c r="L71" s="131">
        <f>ROUND(H71*G71,2)</f>
        <v>7200.78</v>
      </c>
      <c r="M71" s="131">
        <f>I71*G71</f>
        <v>0</v>
      </c>
      <c r="N71" s="386">
        <f>J71*G71</f>
        <v>0</v>
      </c>
      <c r="O71" s="375">
        <f>L71-N71</f>
        <v>7200.78</v>
      </c>
      <c r="P71" s="136">
        <f t="shared" si="8"/>
        <v>0</v>
      </c>
      <c r="S71" s="190">
        <v>0</v>
      </c>
      <c r="T71" s="190">
        <v>328.62</v>
      </c>
    </row>
    <row r="72" spans="1:20" x14ac:dyDescent="0.2">
      <c r="A72" s="449" t="s">
        <v>116</v>
      </c>
      <c r="B72" s="450"/>
      <c r="C72" s="450"/>
      <c r="D72" s="451" t="s">
        <v>1415</v>
      </c>
      <c r="E72" s="465"/>
      <c r="F72" s="468"/>
      <c r="G72" s="465"/>
      <c r="H72" s="465"/>
      <c r="I72" s="465"/>
      <c r="J72" s="474"/>
      <c r="K72" s="474"/>
      <c r="L72" s="468">
        <f>SUM(L73:L74)</f>
        <v>15726.869999999999</v>
      </c>
      <c r="M72" s="468">
        <f>SUM(M73:M74)</f>
        <v>0</v>
      </c>
      <c r="N72" s="467">
        <f>SUM(N73:N74)-0.01</f>
        <v>15726.755220000001</v>
      </c>
      <c r="O72" s="469">
        <f>SUM(O73:O74)</f>
        <v>0</v>
      </c>
      <c r="P72" s="459">
        <f t="shared" si="8"/>
        <v>0.99999270166282306</v>
      </c>
      <c r="S72" s="189">
        <v>0</v>
      </c>
      <c r="T72" s="189">
        <v>259.22000000000003</v>
      </c>
    </row>
    <row r="73" spans="1:20" ht="25.5" x14ac:dyDescent="0.2">
      <c r="A73" s="125" t="s">
        <v>118</v>
      </c>
      <c r="B73" s="126">
        <v>87519</v>
      </c>
      <c r="C73" s="126" t="s">
        <v>1324</v>
      </c>
      <c r="D73" s="127" t="s">
        <v>1416</v>
      </c>
      <c r="E73" s="128" t="s">
        <v>14</v>
      </c>
      <c r="F73" s="137">
        <v>378.98</v>
      </c>
      <c r="G73" s="130">
        <v>56.29</v>
      </c>
      <c r="H73" s="128">
        <v>259.22000000000003</v>
      </c>
      <c r="I73" s="133">
        <v>0</v>
      </c>
      <c r="J73" s="374">
        <f>'01'!G73+'02'!G73+'03'!H73+'04 CORRIGIDA'!J72+'05'!I73</f>
        <v>259.21800000000002</v>
      </c>
      <c r="K73" s="116">
        <f>0</f>
        <v>0</v>
      </c>
      <c r="L73" s="131">
        <f>ROUND(H73*G73,2)</f>
        <v>14591.49</v>
      </c>
      <c r="M73" s="131">
        <f>I73*G73</f>
        <v>0</v>
      </c>
      <c r="N73" s="386">
        <f>J73*G73</f>
        <v>14591.381220000001</v>
      </c>
      <c r="O73" s="375">
        <f>0</f>
        <v>0</v>
      </c>
      <c r="P73" s="136">
        <f t="shared" si="8"/>
        <v>0.99999254496970502</v>
      </c>
      <c r="S73" s="189">
        <v>0</v>
      </c>
      <c r="T73" s="189">
        <v>69.400000000000006</v>
      </c>
    </row>
    <row r="74" spans="1:20" s="106" customFormat="1" ht="38.25" x14ac:dyDescent="0.2">
      <c r="A74" s="125" t="s">
        <v>123</v>
      </c>
      <c r="B74" s="126" t="s">
        <v>1417</v>
      </c>
      <c r="C74" s="126" t="s">
        <v>1324</v>
      </c>
      <c r="D74" s="127" t="s">
        <v>1418</v>
      </c>
      <c r="E74" s="128" t="s">
        <v>81</v>
      </c>
      <c r="F74" s="137">
        <v>421.82</v>
      </c>
      <c r="G74" s="130">
        <v>16.36</v>
      </c>
      <c r="H74" s="128">
        <v>69.400000000000006</v>
      </c>
      <c r="I74" s="133">
        <v>0</v>
      </c>
      <c r="J74" s="374">
        <f>'01'!G74+'02'!G74+'03'!H74+'04 CORRIGIDA'!J73+'05'!I74</f>
        <v>69.400000000000006</v>
      </c>
      <c r="K74" s="116">
        <f>0</f>
        <v>0</v>
      </c>
      <c r="L74" s="131">
        <f>ROUND(H74*G74,2)</f>
        <v>1135.3800000000001</v>
      </c>
      <c r="M74" s="131">
        <f>I74*G74</f>
        <v>0</v>
      </c>
      <c r="N74" s="386">
        <f>J74*G74</f>
        <v>1135.384</v>
      </c>
      <c r="O74" s="375">
        <f>0</f>
        <v>0</v>
      </c>
      <c r="P74" s="136">
        <f t="shared" si="8"/>
        <v>1.0000035230495516</v>
      </c>
      <c r="S74" s="190">
        <v>0</v>
      </c>
      <c r="T74" s="190">
        <v>0</v>
      </c>
    </row>
    <row r="75" spans="1:20" x14ac:dyDescent="0.2">
      <c r="A75" s="449" t="s">
        <v>1419</v>
      </c>
      <c r="B75" s="450"/>
      <c r="C75" s="450"/>
      <c r="D75" s="451" t="s">
        <v>1420</v>
      </c>
      <c r="E75" s="465"/>
      <c r="F75" s="468"/>
      <c r="G75" s="465"/>
      <c r="H75" s="465"/>
      <c r="I75" s="465"/>
      <c r="J75" s="474"/>
      <c r="K75" s="474"/>
      <c r="L75" s="468">
        <f>L76</f>
        <v>8501.27</v>
      </c>
      <c r="M75" s="468">
        <f>M76</f>
        <v>0</v>
      </c>
      <c r="N75" s="467">
        <f>N76</f>
        <v>0</v>
      </c>
      <c r="O75" s="469">
        <f>L75</f>
        <v>8501.27</v>
      </c>
      <c r="P75" s="459">
        <f t="shared" si="8"/>
        <v>0</v>
      </c>
      <c r="S75" s="189">
        <v>0</v>
      </c>
      <c r="T75" s="189">
        <v>0</v>
      </c>
    </row>
    <row r="76" spans="1:20" ht="25.5" x14ac:dyDescent="0.2">
      <c r="A76" s="125" t="s">
        <v>1421</v>
      </c>
      <c r="B76" s="126" t="s">
        <v>1422</v>
      </c>
      <c r="C76" s="126" t="s">
        <v>1324</v>
      </c>
      <c r="D76" s="127" t="s">
        <v>1423</v>
      </c>
      <c r="E76" s="128" t="s">
        <v>14</v>
      </c>
      <c r="F76" s="138"/>
      <c r="G76" s="130">
        <v>57.41</v>
      </c>
      <c r="H76" s="128">
        <v>148.08000000000001</v>
      </c>
      <c r="I76" s="133">
        <v>0</v>
      </c>
      <c r="J76" s="374">
        <f>'01'!G76+'02'!G76+'03'!H76+'04 CORRIGIDA'!J75+'05'!I76</f>
        <v>0</v>
      </c>
      <c r="K76" s="128">
        <f>H76</f>
        <v>148.08000000000001</v>
      </c>
      <c r="L76" s="131">
        <f>ROUND(H76*G76,2)</f>
        <v>8501.27</v>
      </c>
      <c r="M76" s="149">
        <f>M77</f>
        <v>0</v>
      </c>
      <c r="N76" s="386">
        <f>N77</f>
        <v>0</v>
      </c>
      <c r="O76" s="377">
        <f>L76</f>
        <v>8501.27</v>
      </c>
      <c r="P76" s="136">
        <f t="shared" si="8"/>
        <v>0</v>
      </c>
      <c r="S76" s="189">
        <v>0</v>
      </c>
      <c r="T76" s="189">
        <v>0</v>
      </c>
    </row>
    <row r="77" spans="1:20" s="106" customFormat="1" x14ac:dyDescent="0.2">
      <c r="A77" s="412">
        <v>6</v>
      </c>
      <c r="B77" s="413"/>
      <c r="C77" s="413"/>
      <c r="D77" s="414" t="s">
        <v>97</v>
      </c>
      <c r="E77" s="415"/>
      <c r="F77" s="417"/>
      <c r="G77" s="418"/>
      <c r="H77" s="416"/>
      <c r="I77" s="420"/>
      <c r="J77" s="421"/>
      <c r="K77" s="420"/>
      <c r="L77" s="433">
        <f>SUM(L78,L83,L87,L90)</f>
        <v>10373.979999999998</v>
      </c>
      <c r="M77" s="433">
        <f>SUM(M78,M83,M87,M90)</f>
        <v>0</v>
      </c>
      <c r="N77" s="432">
        <f>SUM(N78,N83,N87,N90)</f>
        <v>0</v>
      </c>
      <c r="O77" s="434">
        <f>SUM(O78,O83,O87,O90)</f>
        <v>10373.979999999998</v>
      </c>
      <c r="P77" s="423">
        <f t="shared" si="8"/>
        <v>0</v>
      </c>
      <c r="S77" s="190">
        <v>0</v>
      </c>
      <c r="T77" s="190">
        <v>0</v>
      </c>
    </row>
    <row r="78" spans="1:20" x14ac:dyDescent="0.2">
      <c r="A78" s="449" t="s">
        <v>186</v>
      </c>
      <c r="B78" s="450"/>
      <c r="C78" s="450"/>
      <c r="D78" s="451" t="s">
        <v>1424</v>
      </c>
      <c r="E78" s="465"/>
      <c r="F78" s="468"/>
      <c r="G78" s="465"/>
      <c r="H78" s="465"/>
      <c r="I78" s="465"/>
      <c r="J78" s="474"/>
      <c r="K78" s="474"/>
      <c r="L78" s="468">
        <f>SUM(L79:L82)</f>
        <v>7440.7899999999991</v>
      </c>
      <c r="M78" s="468">
        <f>SUM(M79:M82)</f>
        <v>0</v>
      </c>
      <c r="N78" s="467">
        <f>SUM(N79:N82)</f>
        <v>0</v>
      </c>
      <c r="O78" s="469">
        <f>SUM(O79:O82)</f>
        <v>7440.7899999999991</v>
      </c>
      <c r="P78" s="459">
        <f t="shared" ref="P78:P87" si="13">N78/L78</f>
        <v>0</v>
      </c>
      <c r="S78" s="189">
        <v>0</v>
      </c>
      <c r="T78" s="189">
        <v>0</v>
      </c>
    </row>
    <row r="79" spans="1:20" ht="25.5" x14ac:dyDescent="0.2">
      <c r="A79" s="125" t="s">
        <v>1425</v>
      </c>
      <c r="B79" s="126">
        <v>90843</v>
      </c>
      <c r="C79" s="126" t="s">
        <v>1324</v>
      </c>
      <c r="D79" s="127" t="s">
        <v>1426</v>
      </c>
      <c r="E79" s="128" t="s">
        <v>102</v>
      </c>
      <c r="F79" s="129"/>
      <c r="G79" s="130">
        <v>688.65</v>
      </c>
      <c r="H79" s="128">
        <v>2</v>
      </c>
      <c r="I79" s="133">
        <v>0</v>
      </c>
      <c r="J79" s="374">
        <f>'01'!G79+'02'!G79+'03'!H79+'04 CORRIGIDA'!J78+'05'!I79</f>
        <v>0</v>
      </c>
      <c r="K79" s="137">
        <f>H79-J79</f>
        <v>2</v>
      </c>
      <c r="L79" s="135">
        <f>H79*G79</f>
        <v>1377.3</v>
      </c>
      <c r="M79" s="131">
        <f>I79*G79</f>
        <v>0</v>
      </c>
      <c r="N79" s="386">
        <f>J79*G79</f>
        <v>0</v>
      </c>
      <c r="O79" s="375">
        <f>L79-N79</f>
        <v>1377.3</v>
      </c>
      <c r="P79" s="136">
        <f t="shared" si="13"/>
        <v>0</v>
      </c>
      <c r="S79" s="189">
        <v>0</v>
      </c>
      <c r="T79" s="189">
        <v>0</v>
      </c>
    </row>
    <row r="80" spans="1:20" ht="25.5" x14ac:dyDescent="0.2">
      <c r="A80" s="125" t="s">
        <v>1427</v>
      </c>
      <c r="B80" s="126">
        <v>90844</v>
      </c>
      <c r="C80" s="126" t="s">
        <v>1324</v>
      </c>
      <c r="D80" s="127" t="s">
        <v>1428</v>
      </c>
      <c r="E80" s="128" t="s">
        <v>102</v>
      </c>
      <c r="F80" s="137">
        <v>179.33</v>
      </c>
      <c r="G80" s="130">
        <v>926.13</v>
      </c>
      <c r="H80" s="128">
        <v>1</v>
      </c>
      <c r="I80" s="133">
        <v>0</v>
      </c>
      <c r="J80" s="374">
        <f>'01'!G80+'02'!G80+'03'!H80+'04 CORRIGIDA'!J79+'05'!I80</f>
        <v>0</v>
      </c>
      <c r="K80" s="137">
        <f>H80-J80</f>
        <v>1</v>
      </c>
      <c r="L80" s="135">
        <f>H80*G80</f>
        <v>926.13</v>
      </c>
      <c r="M80" s="131">
        <f>I80*G80</f>
        <v>0</v>
      </c>
      <c r="N80" s="386">
        <f>J80*G80</f>
        <v>0</v>
      </c>
      <c r="O80" s="375">
        <f>L80-N80</f>
        <v>926.13</v>
      </c>
      <c r="P80" s="136">
        <f t="shared" si="13"/>
        <v>0</v>
      </c>
      <c r="S80" s="189">
        <v>0</v>
      </c>
      <c r="T80" s="189">
        <v>0</v>
      </c>
    </row>
    <row r="81" spans="1:20" ht="25.5" x14ac:dyDescent="0.2">
      <c r="A81" s="125" t="s">
        <v>1429</v>
      </c>
      <c r="B81" s="126" t="s">
        <v>1430</v>
      </c>
      <c r="C81" s="126" t="s">
        <v>1324</v>
      </c>
      <c r="D81" s="127" t="s">
        <v>1431</v>
      </c>
      <c r="E81" s="128" t="s">
        <v>102</v>
      </c>
      <c r="F81" s="137">
        <v>268.98</v>
      </c>
      <c r="G81" s="130">
        <v>825.22</v>
      </c>
      <c r="H81" s="128">
        <v>4</v>
      </c>
      <c r="I81" s="133">
        <v>0</v>
      </c>
      <c r="J81" s="374">
        <f>'01'!G81+'02'!G81+'03'!H81+'04 CORRIGIDA'!J80+'05'!I81</f>
        <v>0</v>
      </c>
      <c r="K81" s="137">
        <f>H81-J81</f>
        <v>4</v>
      </c>
      <c r="L81" s="135">
        <f>H81*G81</f>
        <v>3300.88</v>
      </c>
      <c r="M81" s="131">
        <f>I81*G81</f>
        <v>0</v>
      </c>
      <c r="N81" s="386">
        <f>J81*G81</f>
        <v>0</v>
      </c>
      <c r="O81" s="375">
        <f>L81-N81</f>
        <v>3300.88</v>
      </c>
      <c r="P81" s="136">
        <f t="shared" si="13"/>
        <v>0</v>
      </c>
      <c r="S81" s="189">
        <v>0</v>
      </c>
      <c r="T81" s="189">
        <v>0</v>
      </c>
    </row>
    <row r="82" spans="1:20" s="106" customFormat="1" ht="25.5" x14ac:dyDescent="0.2">
      <c r="A82" s="125" t="s">
        <v>1432</v>
      </c>
      <c r="B82" s="126" t="s">
        <v>1433</v>
      </c>
      <c r="C82" s="126" t="s">
        <v>1324</v>
      </c>
      <c r="D82" s="127" t="s">
        <v>1434</v>
      </c>
      <c r="E82" s="128" t="s">
        <v>102</v>
      </c>
      <c r="F82" s="137">
        <v>134.49</v>
      </c>
      <c r="G82" s="130">
        <v>918.24</v>
      </c>
      <c r="H82" s="128">
        <v>2</v>
      </c>
      <c r="I82" s="133">
        <v>0</v>
      </c>
      <c r="J82" s="374">
        <f>'01'!G82+'02'!G82+'03'!H82+'04 CORRIGIDA'!J81+'05'!I82</f>
        <v>0</v>
      </c>
      <c r="K82" s="137">
        <f>H82-J82</f>
        <v>2</v>
      </c>
      <c r="L82" s="135">
        <f>H82*G82</f>
        <v>1836.48</v>
      </c>
      <c r="M82" s="131">
        <f>I82*G82</f>
        <v>0</v>
      </c>
      <c r="N82" s="386">
        <f>J82*G82</f>
        <v>0</v>
      </c>
      <c r="O82" s="375">
        <f>L82-N82</f>
        <v>1836.48</v>
      </c>
      <c r="P82" s="136">
        <f t="shared" si="13"/>
        <v>0</v>
      </c>
      <c r="S82" s="190">
        <v>0</v>
      </c>
      <c r="T82" s="190">
        <v>0</v>
      </c>
    </row>
    <row r="83" spans="1:20" x14ac:dyDescent="0.2">
      <c r="A83" s="449" t="s">
        <v>188</v>
      </c>
      <c r="B83" s="450"/>
      <c r="C83" s="450"/>
      <c r="D83" s="451" t="s">
        <v>1435</v>
      </c>
      <c r="E83" s="465"/>
      <c r="F83" s="468"/>
      <c r="G83" s="465"/>
      <c r="H83" s="465"/>
      <c r="I83" s="465"/>
      <c r="J83" s="474"/>
      <c r="K83" s="474"/>
      <c r="L83" s="452">
        <f>SUM(L84:L86)</f>
        <v>773.29</v>
      </c>
      <c r="M83" s="468">
        <f>SUM(M84:M86)</f>
        <v>0</v>
      </c>
      <c r="N83" s="467">
        <f>SUM(N84:N86)</f>
        <v>0</v>
      </c>
      <c r="O83" s="469">
        <f>SUM(O84:O86)</f>
        <v>773.29</v>
      </c>
      <c r="P83" s="459">
        <f t="shared" si="13"/>
        <v>0</v>
      </c>
      <c r="S83" s="189">
        <v>0</v>
      </c>
      <c r="T83" s="189">
        <v>0</v>
      </c>
    </row>
    <row r="84" spans="1:20" ht="25.5" x14ac:dyDescent="0.2">
      <c r="A84" s="125" t="s">
        <v>1436</v>
      </c>
      <c r="B84" s="126" t="s">
        <v>2007</v>
      </c>
      <c r="C84" s="126" t="s">
        <v>1339</v>
      </c>
      <c r="D84" s="127" t="s">
        <v>1437</v>
      </c>
      <c r="E84" s="128" t="s">
        <v>81</v>
      </c>
      <c r="F84" s="137">
        <v>627.62</v>
      </c>
      <c r="G84" s="130">
        <v>48.24</v>
      </c>
      <c r="H84" s="128">
        <v>11.6</v>
      </c>
      <c r="I84" s="133">
        <v>0</v>
      </c>
      <c r="J84" s="374">
        <f>'01'!G84+'02'!G84+'03'!H84+'04 CORRIGIDA'!J83+'05'!I84</f>
        <v>0</v>
      </c>
      <c r="K84" s="137">
        <f t="shared" ref="K84:K91" si="14">H84-J84</f>
        <v>11.6</v>
      </c>
      <c r="L84" s="131">
        <f>ROUND(H84*G84,2)</f>
        <v>559.58000000000004</v>
      </c>
      <c r="M84" s="131">
        <f t="shared" ref="M84:M91" si="15">I84*G84</f>
        <v>0</v>
      </c>
      <c r="N84" s="386">
        <f t="shared" ref="N84:N91" si="16">J84*G84</f>
        <v>0</v>
      </c>
      <c r="O84" s="375">
        <f t="shared" ref="O84:O91" si="17">L84-N84</f>
        <v>559.58000000000004</v>
      </c>
      <c r="P84" s="136">
        <f t="shared" si="13"/>
        <v>0</v>
      </c>
      <c r="S84" s="189">
        <v>0</v>
      </c>
      <c r="T84" s="189">
        <v>0</v>
      </c>
    </row>
    <row r="85" spans="1:20" ht="25.5" x14ac:dyDescent="0.2">
      <c r="A85" s="125" t="s">
        <v>1438</v>
      </c>
      <c r="B85" s="126" t="s">
        <v>2007</v>
      </c>
      <c r="C85" s="126" t="s">
        <v>1339</v>
      </c>
      <c r="D85" s="127" t="s">
        <v>1439</v>
      </c>
      <c r="E85" s="128" t="s">
        <v>14</v>
      </c>
      <c r="F85" s="137">
        <v>358.64</v>
      </c>
      <c r="G85" s="130">
        <v>5.44</v>
      </c>
      <c r="H85" s="128">
        <v>4.3</v>
      </c>
      <c r="I85" s="133">
        <v>0</v>
      </c>
      <c r="J85" s="374">
        <f>'01'!G85+'02'!G85+'03'!H85+'04 CORRIGIDA'!J84+'05'!I85</f>
        <v>0</v>
      </c>
      <c r="K85" s="137">
        <f t="shared" si="14"/>
        <v>4.3</v>
      </c>
      <c r="L85" s="131">
        <f>ROUND(H85*G85,2)</f>
        <v>23.39</v>
      </c>
      <c r="M85" s="131">
        <f t="shared" si="15"/>
        <v>0</v>
      </c>
      <c r="N85" s="386">
        <f t="shared" si="16"/>
        <v>0</v>
      </c>
      <c r="O85" s="375">
        <f t="shared" si="17"/>
        <v>23.39</v>
      </c>
      <c r="P85" s="136">
        <f t="shared" si="13"/>
        <v>0</v>
      </c>
      <c r="S85" s="189">
        <v>0</v>
      </c>
      <c r="T85" s="189">
        <v>0</v>
      </c>
    </row>
    <row r="86" spans="1:20" s="106" customFormat="1" x14ac:dyDescent="0.2">
      <c r="A86" s="125" t="s">
        <v>1440</v>
      </c>
      <c r="B86" s="126" t="s">
        <v>1441</v>
      </c>
      <c r="C86" s="126" t="s">
        <v>1324</v>
      </c>
      <c r="D86" s="127" t="s">
        <v>1442</v>
      </c>
      <c r="E86" s="128" t="s">
        <v>102</v>
      </c>
      <c r="F86" s="137">
        <v>448.3</v>
      </c>
      <c r="G86" s="130">
        <v>31.72</v>
      </c>
      <c r="H86" s="128">
        <v>6</v>
      </c>
      <c r="I86" s="133">
        <v>0</v>
      </c>
      <c r="J86" s="374">
        <f>'01'!G86+'02'!G86+'03'!H86+'04 CORRIGIDA'!J85+'05'!I86</f>
        <v>0</v>
      </c>
      <c r="K86" s="137">
        <f t="shared" si="14"/>
        <v>6</v>
      </c>
      <c r="L86" s="131">
        <f>ROUND(H86*G86,2)</f>
        <v>190.32</v>
      </c>
      <c r="M86" s="131">
        <f t="shared" si="15"/>
        <v>0</v>
      </c>
      <c r="N86" s="386">
        <f t="shared" si="16"/>
        <v>0</v>
      </c>
      <c r="O86" s="375">
        <f t="shared" si="17"/>
        <v>190.32</v>
      </c>
      <c r="P86" s="136">
        <f t="shared" si="13"/>
        <v>0</v>
      </c>
      <c r="S86" s="190">
        <v>0</v>
      </c>
      <c r="T86" s="190">
        <v>0</v>
      </c>
    </row>
    <row r="87" spans="1:20" x14ac:dyDescent="0.2">
      <c r="A87" s="449" t="s">
        <v>1443</v>
      </c>
      <c r="B87" s="450"/>
      <c r="C87" s="450"/>
      <c r="D87" s="451" t="s">
        <v>1444</v>
      </c>
      <c r="E87" s="465"/>
      <c r="F87" s="468"/>
      <c r="G87" s="465"/>
      <c r="H87" s="465"/>
      <c r="I87" s="465"/>
      <c r="J87" s="474"/>
      <c r="K87" s="474"/>
      <c r="L87" s="460">
        <f>L89</f>
        <v>331.68</v>
      </c>
      <c r="M87" s="460">
        <f t="shared" si="15"/>
        <v>0</v>
      </c>
      <c r="N87" s="467">
        <f t="shared" si="16"/>
        <v>0</v>
      </c>
      <c r="O87" s="458">
        <f t="shared" si="17"/>
        <v>331.68</v>
      </c>
      <c r="P87" s="459">
        <f t="shared" si="13"/>
        <v>0</v>
      </c>
      <c r="S87" s="189">
        <v>0</v>
      </c>
      <c r="T87" s="189">
        <v>0</v>
      </c>
    </row>
    <row r="88" spans="1:20" x14ac:dyDescent="0.2">
      <c r="A88" s="125" t="s">
        <v>1445</v>
      </c>
      <c r="B88" s="126">
        <v>68052</v>
      </c>
      <c r="C88" s="126" t="s">
        <v>1324</v>
      </c>
      <c r="D88" s="397" t="s">
        <v>1446</v>
      </c>
      <c r="E88" s="128" t="s">
        <v>14</v>
      </c>
      <c r="F88" s="137">
        <v>390.13</v>
      </c>
      <c r="G88" s="130">
        <v>0</v>
      </c>
      <c r="H88" s="128">
        <v>10.8</v>
      </c>
      <c r="I88" s="133">
        <v>0</v>
      </c>
      <c r="J88" s="374">
        <f>'01'!G88+'02'!G88+'03'!H88+'04 CORRIGIDA'!J87+'05'!I88</f>
        <v>0</v>
      </c>
      <c r="K88" s="137">
        <f t="shared" si="14"/>
        <v>10.8</v>
      </c>
      <c r="L88" s="131">
        <f>ROUND(H88*G88,2)</f>
        <v>0</v>
      </c>
      <c r="M88" s="131">
        <f t="shared" si="15"/>
        <v>0</v>
      </c>
      <c r="N88" s="386">
        <f t="shared" si="16"/>
        <v>0</v>
      </c>
      <c r="O88" s="375">
        <f t="shared" si="17"/>
        <v>0</v>
      </c>
      <c r="P88" s="136">
        <v>1</v>
      </c>
      <c r="S88" s="189">
        <v>0</v>
      </c>
      <c r="T88" s="189">
        <v>0</v>
      </c>
    </row>
    <row r="89" spans="1:20" s="106" customFormat="1" ht="25.5" x14ac:dyDescent="0.2">
      <c r="A89" s="125" t="s">
        <v>1447</v>
      </c>
      <c r="B89" s="126">
        <v>85010</v>
      </c>
      <c r="C89" s="126" t="s">
        <v>1324</v>
      </c>
      <c r="D89" s="127" t="s">
        <v>1448</v>
      </c>
      <c r="E89" s="128" t="s">
        <v>14</v>
      </c>
      <c r="F89" s="137">
        <v>975.33</v>
      </c>
      <c r="G89" s="130">
        <v>159.46</v>
      </c>
      <c r="H89" s="128">
        <v>2.08</v>
      </c>
      <c r="I89" s="133">
        <v>0</v>
      </c>
      <c r="J89" s="374">
        <f>'01'!G89+'02'!G89+'03'!H89+'04 CORRIGIDA'!J88+'05'!I89</f>
        <v>0</v>
      </c>
      <c r="K89" s="137">
        <f t="shared" si="14"/>
        <v>2.08</v>
      </c>
      <c r="L89" s="131">
        <f>ROUND(H89*G89,2)</f>
        <v>331.68</v>
      </c>
      <c r="M89" s="131">
        <f t="shared" si="15"/>
        <v>0</v>
      </c>
      <c r="N89" s="386">
        <f t="shared" si="16"/>
        <v>0</v>
      </c>
      <c r="O89" s="375">
        <f t="shared" si="17"/>
        <v>331.68</v>
      </c>
      <c r="P89" s="136">
        <f t="shared" ref="P89:P120" si="18">N89/L89</f>
        <v>0</v>
      </c>
      <c r="S89" s="190">
        <v>0</v>
      </c>
      <c r="T89" s="190">
        <v>0</v>
      </c>
    </row>
    <row r="90" spans="1:20" x14ac:dyDescent="0.2">
      <c r="A90" s="449" t="s">
        <v>1449</v>
      </c>
      <c r="B90" s="450"/>
      <c r="C90" s="450"/>
      <c r="D90" s="451" t="s">
        <v>184</v>
      </c>
      <c r="E90" s="465"/>
      <c r="F90" s="468"/>
      <c r="G90" s="465"/>
      <c r="H90" s="465"/>
      <c r="I90" s="465"/>
      <c r="J90" s="474"/>
      <c r="K90" s="474"/>
      <c r="L90" s="460">
        <f>L91</f>
        <v>1828.22</v>
      </c>
      <c r="M90" s="460">
        <f t="shared" si="15"/>
        <v>0</v>
      </c>
      <c r="N90" s="467">
        <f t="shared" si="16"/>
        <v>0</v>
      </c>
      <c r="O90" s="458">
        <f t="shared" si="17"/>
        <v>1828.22</v>
      </c>
      <c r="P90" s="459">
        <f t="shared" si="18"/>
        <v>0</v>
      </c>
      <c r="S90" s="189">
        <v>0</v>
      </c>
      <c r="T90" s="189">
        <v>0</v>
      </c>
    </row>
    <row r="91" spans="1:20" ht="25.5" x14ac:dyDescent="0.2">
      <c r="A91" s="125" t="s">
        <v>1450</v>
      </c>
      <c r="B91" s="126" t="s">
        <v>1451</v>
      </c>
      <c r="C91" s="126" t="s">
        <v>1324</v>
      </c>
      <c r="D91" s="127" t="s">
        <v>1452</v>
      </c>
      <c r="E91" s="128" t="s">
        <v>14</v>
      </c>
      <c r="F91" s="137">
        <v>877.8</v>
      </c>
      <c r="G91" s="130">
        <v>423.2</v>
      </c>
      <c r="H91" s="128">
        <v>4.32</v>
      </c>
      <c r="I91" s="133">
        <v>0</v>
      </c>
      <c r="J91" s="374">
        <f>'01'!G91+'02'!G91+'03'!H91+'04 CORRIGIDA'!J90+'05'!I91</f>
        <v>0</v>
      </c>
      <c r="K91" s="137">
        <f t="shared" si="14"/>
        <v>4.32</v>
      </c>
      <c r="L91" s="131">
        <f>ROUND(H91*G91,2)</f>
        <v>1828.22</v>
      </c>
      <c r="M91" s="131">
        <f t="shared" si="15"/>
        <v>0</v>
      </c>
      <c r="N91" s="386">
        <f t="shared" si="16"/>
        <v>0</v>
      </c>
      <c r="O91" s="375">
        <f t="shared" si="17"/>
        <v>1828.22</v>
      </c>
      <c r="P91" s="136">
        <f t="shared" si="18"/>
        <v>0</v>
      </c>
      <c r="S91" s="189">
        <v>0</v>
      </c>
      <c r="T91" s="189">
        <v>0</v>
      </c>
    </row>
    <row r="92" spans="1:20" x14ac:dyDescent="0.2">
      <c r="A92" s="412">
        <v>7</v>
      </c>
      <c r="B92" s="413"/>
      <c r="C92" s="413"/>
      <c r="D92" s="414" t="s">
        <v>1453</v>
      </c>
      <c r="E92" s="415"/>
      <c r="F92" s="417"/>
      <c r="G92" s="418"/>
      <c r="H92" s="416"/>
      <c r="I92" s="420"/>
      <c r="J92" s="421"/>
      <c r="K92" s="420"/>
      <c r="L92" s="433">
        <f>SUM(L93:L94)</f>
        <v>173274.06</v>
      </c>
      <c r="M92" s="433">
        <f>SUM(M93:M94)</f>
        <v>0</v>
      </c>
      <c r="N92" s="432">
        <f>SUM(N93:N94)</f>
        <v>0</v>
      </c>
      <c r="O92" s="434">
        <f>SUM(O93:O94)</f>
        <v>173274.06</v>
      </c>
      <c r="P92" s="423">
        <f t="shared" si="18"/>
        <v>0</v>
      </c>
      <c r="S92" s="189">
        <v>0</v>
      </c>
      <c r="T92" s="189">
        <v>0</v>
      </c>
    </row>
    <row r="93" spans="1:20" ht="25.5" x14ac:dyDescent="0.2">
      <c r="A93" s="125" t="s">
        <v>193</v>
      </c>
      <c r="B93" s="126" t="s">
        <v>1454</v>
      </c>
      <c r="C93" s="126" t="s">
        <v>1324</v>
      </c>
      <c r="D93" s="127" t="s">
        <v>1455</v>
      </c>
      <c r="E93" s="128" t="s">
        <v>14</v>
      </c>
      <c r="F93" s="144">
        <v>1560.54</v>
      </c>
      <c r="G93" s="130">
        <v>51.14</v>
      </c>
      <c r="H93" s="128">
        <v>1030.4000000000001</v>
      </c>
      <c r="I93" s="133">
        <v>0</v>
      </c>
      <c r="J93" s="374">
        <f>'01'!G93+'02'!G93+'03'!H93+'04 CORRIGIDA'!J92+'05'!I93</f>
        <v>0</v>
      </c>
      <c r="K93" s="137">
        <f>H93-J93</f>
        <v>1030.4000000000001</v>
      </c>
      <c r="L93" s="131">
        <f>ROUND(H93*G93,2)</f>
        <v>52694.66</v>
      </c>
      <c r="M93" s="131">
        <f>I93*G93</f>
        <v>0</v>
      </c>
      <c r="N93" s="386">
        <f>J93*G93</f>
        <v>0</v>
      </c>
      <c r="O93" s="375">
        <f>L93-N93</f>
        <v>52694.66</v>
      </c>
      <c r="P93" s="136">
        <f t="shared" si="18"/>
        <v>0</v>
      </c>
      <c r="S93" s="189">
        <v>0</v>
      </c>
      <c r="T93" s="189">
        <v>0</v>
      </c>
    </row>
    <row r="94" spans="1:20" s="110" customFormat="1" x14ac:dyDescent="0.2">
      <c r="A94" s="125" t="s">
        <v>195</v>
      </c>
      <c r="B94" s="126">
        <v>72112</v>
      </c>
      <c r="C94" s="126" t="s">
        <v>1324</v>
      </c>
      <c r="D94" s="127" t="s">
        <v>1456</v>
      </c>
      <c r="E94" s="128" t="s">
        <v>14</v>
      </c>
      <c r="F94" s="144">
        <v>1950.67</v>
      </c>
      <c r="G94" s="130">
        <v>122.99</v>
      </c>
      <c r="H94" s="128">
        <v>980.4</v>
      </c>
      <c r="I94" s="133">
        <v>0</v>
      </c>
      <c r="J94" s="374">
        <f>'01'!G94+'02'!G94+'03'!H94+'04 CORRIGIDA'!J93+'05'!I94</f>
        <v>0</v>
      </c>
      <c r="K94" s="137">
        <f>H94-J94</f>
        <v>980.4</v>
      </c>
      <c r="L94" s="131">
        <f>ROUND(H94*G94,2)</f>
        <v>120579.4</v>
      </c>
      <c r="M94" s="131">
        <f>I94*G94</f>
        <v>0</v>
      </c>
      <c r="N94" s="386">
        <f>J94*G94</f>
        <v>0</v>
      </c>
      <c r="O94" s="375">
        <f>L94-N94</f>
        <v>120579.4</v>
      </c>
      <c r="P94" s="136">
        <f t="shared" si="18"/>
        <v>0</v>
      </c>
      <c r="S94" s="192">
        <v>0</v>
      </c>
      <c r="T94" s="192">
        <v>0</v>
      </c>
    </row>
    <row r="95" spans="1:20" s="110" customFormat="1" x14ac:dyDescent="0.2">
      <c r="A95" s="425">
        <v>8</v>
      </c>
      <c r="B95" s="426"/>
      <c r="C95" s="426"/>
      <c r="D95" s="427" t="s">
        <v>208</v>
      </c>
      <c r="E95" s="415"/>
      <c r="F95" s="417"/>
      <c r="G95" s="418"/>
      <c r="H95" s="416"/>
      <c r="I95" s="420"/>
      <c r="J95" s="421"/>
      <c r="K95" s="420"/>
      <c r="L95" s="428">
        <f>SUM(L96:L97)</f>
        <v>5634.27</v>
      </c>
      <c r="M95" s="429">
        <f>SUM(M96:M97)</f>
        <v>2048.5</v>
      </c>
      <c r="N95" s="432">
        <f>SUM(N96:N97)</f>
        <v>2048.5</v>
      </c>
      <c r="O95" s="430">
        <f>SUM(O96:O97)</f>
        <v>3376.58</v>
      </c>
      <c r="P95" s="431">
        <f t="shared" si="18"/>
        <v>0.36357860024457467</v>
      </c>
      <c r="S95" s="192">
        <v>265.61</v>
      </c>
      <c r="T95" s="192">
        <v>265.61</v>
      </c>
    </row>
    <row r="96" spans="1:20" x14ac:dyDescent="0.2">
      <c r="A96" s="379" t="s">
        <v>210</v>
      </c>
      <c r="B96" s="380" t="s">
        <v>1457</v>
      </c>
      <c r="C96" s="380" t="s">
        <v>1324</v>
      </c>
      <c r="D96" s="381" t="s">
        <v>1458</v>
      </c>
      <c r="E96" s="382" t="s">
        <v>14</v>
      </c>
      <c r="F96" s="144">
        <v>3121.08</v>
      </c>
      <c r="G96" s="383">
        <v>8.5</v>
      </c>
      <c r="H96" s="382">
        <v>265.61</v>
      </c>
      <c r="I96" s="385">
        <v>241</v>
      </c>
      <c r="J96" s="374">
        <f>'01'!G96+'02'!G96+'03'!H96+'04 CORRIGIDA'!J95+'05'!I96</f>
        <v>241</v>
      </c>
      <c r="K96" s="378">
        <v>0</v>
      </c>
      <c r="L96" s="384">
        <f>ROUND(H96*G96,2)</f>
        <v>2257.69</v>
      </c>
      <c r="M96" s="386">
        <f>I96*G96</f>
        <v>2048.5</v>
      </c>
      <c r="N96" s="386">
        <f>J96*G96</f>
        <v>2048.5</v>
      </c>
      <c r="O96" s="387">
        <f>TRUNC(0)</f>
        <v>0</v>
      </c>
      <c r="P96" s="388">
        <f t="shared" si="18"/>
        <v>0.90734334651790105</v>
      </c>
      <c r="S96" s="189">
        <v>0</v>
      </c>
      <c r="T96" s="189">
        <v>0</v>
      </c>
    </row>
    <row r="97" spans="1:20" s="109" customFormat="1" ht="25.5" x14ac:dyDescent="0.2">
      <c r="A97" s="125" t="s">
        <v>213</v>
      </c>
      <c r="B97" s="126">
        <v>68053</v>
      </c>
      <c r="C97" s="126" t="s">
        <v>1324</v>
      </c>
      <c r="D97" s="127" t="s">
        <v>1459</v>
      </c>
      <c r="E97" s="128" t="s">
        <v>14</v>
      </c>
      <c r="F97" s="144">
        <v>1137.9000000000001</v>
      </c>
      <c r="G97" s="130">
        <v>4.99</v>
      </c>
      <c r="H97" s="128">
        <v>676.67</v>
      </c>
      <c r="I97" s="133">
        <v>0</v>
      </c>
      <c r="J97" s="374">
        <f>'01'!G97+'02'!G97+'03'!H97+'04 CORRIGIDA'!J96+'05'!I97</f>
        <v>0</v>
      </c>
      <c r="K97" s="137">
        <f>H97-J97</f>
        <v>676.67</v>
      </c>
      <c r="L97" s="131">
        <f>ROUND(H97*G97,2)</f>
        <v>3376.58</v>
      </c>
      <c r="M97" s="131">
        <f>I97*G97</f>
        <v>0</v>
      </c>
      <c r="N97" s="386">
        <f>J97*G97</f>
        <v>0</v>
      </c>
      <c r="O97" s="375">
        <f>L97-N97</f>
        <v>3376.58</v>
      </c>
      <c r="P97" s="136">
        <f t="shared" si="18"/>
        <v>0</v>
      </c>
      <c r="S97" s="191">
        <v>0</v>
      </c>
      <c r="T97" s="191">
        <v>0</v>
      </c>
    </row>
    <row r="98" spans="1:20" x14ac:dyDescent="0.2">
      <c r="A98" s="425">
        <v>9</v>
      </c>
      <c r="B98" s="426"/>
      <c r="C98" s="426"/>
      <c r="D98" s="427" t="s">
        <v>1460</v>
      </c>
      <c r="E98" s="415"/>
      <c r="F98" s="417"/>
      <c r="G98" s="418"/>
      <c r="H98" s="416"/>
      <c r="I98" s="420"/>
      <c r="J98" s="421"/>
      <c r="K98" s="420"/>
      <c r="L98" s="428">
        <f>SUM(L99:L108)</f>
        <v>51794.2</v>
      </c>
      <c r="M98" s="429">
        <f>SUM(M99:M108)</f>
        <v>22206.5</v>
      </c>
      <c r="N98" s="432">
        <f>SUM(N99:N108)</f>
        <v>27113.3799</v>
      </c>
      <c r="O98" s="430">
        <f>SUM(O99:O108)</f>
        <v>24680.820099999997</v>
      </c>
      <c r="P98" s="431">
        <f t="shared" si="18"/>
        <v>0.52348293631333243</v>
      </c>
      <c r="S98" s="189">
        <v>0</v>
      </c>
      <c r="T98" s="189">
        <v>803.09</v>
      </c>
    </row>
    <row r="99" spans="1:20" x14ac:dyDescent="0.2">
      <c r="A99" s="125" t="s">
        <v>223</v>
      </c>
      <c r="B99" s="126">
        <v>87905</v>
      </c>
      <c r="C99" s="126" t="s">
        <v>1324</v>
      </c>
      <c r="D99" s="127" t="s">
        <v>1461</v>
      </c>
      <c r="E99" s="128" t="s">
        <v>14</v>
      </c>
      <c r="F99" s="137">
        <v>582.46</v>
      </c>
      <c r="G99" s="130">
        <v>6.11</v>
      </c>
      <c r="H99" s="128">
        <v>803.09</v>
      </c>
      <c r="I99" s="133">
        <v>0</v>
      </c>
      <c r="J99" s="374">
        <f>'01'!G99+'02'!G99+'03'!H99+'04 CORRIGIDA'!J98+'05'!I99</f>
        <v>803.09</v>
      </c>
      <c r="K99" s="137">
        <f t="shared" ref="K99:K108" si="19">H99-J99</f>
        <v>0</v>
      </c>
      <c r="L99" s="131">
        <f t="shared" ref="L99:L108" si="20">ROUND(H99*G99,2)</f>
        <v>4906.88</v>
      </c>
      <c r="M99" s="131">
        <f t="shared" ref="M99:M108" si="21">I99*G99</f>
        <v>0</v>
      </c>
      <c r="N99" s="386">
        <f t="shared" ref="N99:N108" si="22">J99*G99</f>
        <v>4906.8799000000008</v>
      </c>
      <c r="O99" s="375">
        <f t="shared" ref="O99:O108" si="23">L99-N99</f>
        <v>9.999999929277692E-5</v>
      </c>
      <c r="P99" s="136">
        <f t="shared" si="18"/>
        <v>0.9999999796204514</v>
      </c>
      <c r="S99" s="189">
        <v>0</v>
      </c>
      <c r="T99" s="189">
        <v>0</v>
      </c>
    </row>
    <row r="100" spans="1:20" s="110" customFormat="1" x14ac:dyDescent="0.2">
      <c r="A100" s="125" t="s">
        <v>239</v>
      </c>
      <c r="B100" s="126">
        <v>87882</v>
      </c>
      <c r="C100" s="126" t="s">
        <v>1324</v>
      </c>
      <c r="D100" s="127" t="s">
        <v>1462</v>
      </c>
      <c r="E100" s="128" t="s">
        <v>14</v>
      </c>
      <c r="F100" s="129"/>
      <c r="G100" s="130">
        <v>4.03</v>
      </c>
      <c r="H100" s="128">
        <v>84.33</v>
      </c>
      <c r="I100" s="133">
        <v>0</v>
      </c>
      <c r="J100" s="374">
        <f>'01'!G100+'02'!G100+'03'!H100+'04 CORRIGIDA'!J99+'05'!I100</f>
        <v>0</v>
      </c>
      <c r="K100" s="137">
        <f t="shared" si="19"/>
        <v>84.33</v>
      </c>
      <c r="L100" s="131">
        <f t="shared" si="20"/>
        <v>339.85</v>
      </c>
      <c r="M100" s="131">
        <f t="shared" si="21"/>
        <v>0</v>
      </c>
      <c r="N100" s="386">
        <f t="shared" si="22"/>
        <v>0</v>
      </c>
      <c r="O100" s="375">
        <f t="shared" si="23"/>
        <v>339.85</v>
      </c>
      <c r="P100" s="136">
        <f t="shared" si="18"/>
        <v>0</v>
      </c>
      <c r="S100" s="192">
        <v>600</v>
      </c>
      <c r="T100" s="192">
        <v>600</v>
      </c>
    </row>
    <row r="101" spans="1:20" s="110" customFormat="1" ht="25.5" x14ac:dyDescent="0.2">
      <c r="A101" s="379" t="s">
        <v>1463</v>
      </c>
      <c r="B101" s="380">
        <v>87531</v>
      </c>
      <c r="C101" s="380" t="s">
        <v>1324</v>
      </c>
      <c r="D101" s="381" t="s">
        <v>1464</v>
      </c>
      <c r="E101" s="382" t="s">
        <v>14</v>
      </c>
      <c r="F101" s="137">
        <v>180.11</v>
      </c>
      <c r="G101" s="383">
        <v>26.27</v>
      </c>
      <c r="H101" s="382">
        <v>743.93</v>
      </c>
      <c r="I101" s="385">
        <v>670</v>
      </c>
      <c r="J101" s="374">
        <f>'01'!G101+'02'!G101+'03'!H101+'04 CORRIGIDA'!J100+'05'!I101</f>
        <v>670</v>
      </c>
      <c r="K101" s="390">
        <f t="shared" si="19"/>
        <v>73.92999999999995</v>
      </c>
      <c r="L101" s="384">
        <f t="shared" si="20"/>
        <v>19543.04</v>
      </c>
      <c r="M101" s="386">
        <f t="shared" si="21"/>
        <v>17600.900000000001</v>
      </c>
      <c r="N101" s="386">
        <f t="shared" si="22"/>
        <v>17600.900000000001</v>
      </c>
      <c r="O101" s="387">
        <f t="shared" si="23"/>
        <v>1942.1399999999994</v>
      </c>
      <c r="P101" s="388">
        <f t="shared" si="18"/>
        <v>0.90062242107676194</v>
      </c>
      <c r="S101" s="192">
        <v>358.92</v>
      </c>
      <c r="T101" s="192">
        <v>358.92</v>
      </c>
    </row>
    <row r="102" spans="1:20" x14ac:dyDescent="0.2">
      <c r="A102" s="379" t="s">
        <v>1465</v>
      </c>
      <c r="B102" s="380" t="s">
        <v>1466</v>
      </c>
      <c r="C102" s="380" t="s">
        <v>1324</v>
      </c>
      <c r="D102" s="381" t="s">
        <v>1467</v>
      </c>
      <c r="E102" s="382" t="s">
        <v>14</v>
      </c>
      <c r="F102" s="137">
        <v>327.47000000000003</v>
      </c>
      <c r="G102" s="383">
        <v>12.12</v>
      </c>
      <c r="H102" s="382">
        <v>445.04</v>
      </c>
      <c r="I102" s="385">
        <v>380</v>
      </c>
      <c r="J102" s="374">
        <f>'01'!G102+'02'!G102+'03'!H102+'04 CORRIGIDA'!J101+'05'!I102</f>
        <v>380</v>
      </c>
      <c r="K102" s="390">
        <f t="shared" si="19"/>
        <v>65.04000000000002</v>
      </c>
      <c r="L102" s="384">
        <f t="shared" si="20"/>
        <v>5393.88</v>
      </c>
      <c r="M102" s="386">
        <f t="shared" si="21"/>
        <v>4605.5999999999995</v>
      </c>
      <c r="N102" s="386">
        <f t="shared" si="22"/>
        <v>4605.5999999999995</v>
      </c>
      <c r="O102" s="387">
        <f t="shared" si="23"/>
        <v>788.28000000000065</v>
      </c>
      <c r="P102" s="388">
        <f t="shared" si="18"/>
        <v>0.85385659302765349</v>
      </c>
      <c r="S102" s="189">
        <v>0</v>
      </c>
      <c r="T102" s="189">
        <v>0</v>
      </c>
    </row>
    <row r="103" spans="1:20" x14ac:dyDescent="0.2">
      <c r="A103" s="125" t="s">
        <v>1468</v>
      </c>
      <c r="B103" s="126" t="s">
        <v>1466</v>
      </c>
      <c r="C103" s="126" t="s">
        <v>1324</v>
      </c>
      <c r="D103" s="127" t="s">
        <v>1469</v>
      </c>
      <c r="E103" s="128" t="s">
        <v>14</v>
      </c>
      <c r="F103" s="137">
        <v>381.87</v>
      </c>
      <c r="G103" s="130">
        <v>14.08</v>
      </c>
      <c r="H103" s="128">
        <v>84.33</v>
      </c>
      <c r="I103" s="133">
        <v>0</v>
      </c>
      <c r="J103" s="374">
        <f>'01'!G103+'02'!G103+'03'!H103+'04 CORRIGIDA'!J102+'05'!I103</f>
        <v>0</v>
      </c>
      <c r="K103" s="137">
        <f t="shared" si="19"/>
        <v>84.33</v>
      </c>
      <c r="L103" s="131">
        <f t="shared" si="20"/>
        <v>1187.3699999999999</v>
      </c>
      <c r="M103" s="131">
        <f t="shared" si="21"/>
        <v>0</v>
      </c>
      <c r="N103" s="386">
        <f t="shared" si="22"/>
        <v>0</v>
      </c>
      <c r="O103" s="375">
        <f t="shared" si="23"/>
        <v>1187.3699999999999</v>
      </c>
      <c r="P103" s="136">
        <f t="shared" si="18"/>
        <v>0</v>
      </c>
      <c r="S103" s="189">
        <v>0</v>
      </c>
      <c r="T103" s="189">
        <v>0</v>
      </c>
    </row>
    <row r="104" spans="1:20" x14ac:dyDescent="0.2">
      <c r="A104" s="125" t="s">
        <v>1470</v>
      </c>
      <c r="B104" s="126">
        <v>87905</v>
      </c>
      <c r="C104" s="126" t="s">
        <v>1324</v>
      </c>
      <c r="D104" s="127" t="s">
        <v>1471</v>
      </c>
      <c r="E104" s="128" t="s">
        <v>14</v>
      </c>
      <c r="F104" s="138"/>
      <c r="G104" s="130">
        <v>6.11</v>
      </c>
      <c r="H104" s="128">
        <v>140.33000000000001</v>
      </c>
      <c r="I104" s="133">
        <v>0</v>
      </c>
      <c r="J104" s="374">
        <f>'01'!G104+'02'!G104+'03'!H104+'04 CORRIGIDA'!J103+'05'!I104</f>
        <v>0</v>
      </c>
      <c r="K104" s="137">
        <f t="shared" si="19"/>
        <v>140.33000000000001</v>
      </c>
      <c r="L104" s="131">
        <f t="shared" si="20"/>
        <v>857.42</v>
      </c>
      <c r="M104" s="131">
        <f t="shared" si="21"/>
        <v>0</v>
      </c>
      <c r="N104" s="386">
        <f t="shared" si="22"/>
        <v>0</v>
      </c>
      <c r="O104" s="375">
        <f t="shared" si="23"/>
        <v>857.42</v>
      </c>
      <c r="P104" s="136">
        <f t="shared" si="18"/>
        <v>0</v>
      </c>
      <c r="S104" s="189">
        <v>0</v>
      </c>
      <c r="T104" s="189">
        <v>0</v>
      </c>
    </row>
    <row r="105" spans="1:20" x14ac:dyDescent="0.2">
      <c r="A105" s="125" t="s">
        <v>1472</v>
      </c>
      <c r="B105" s="126">
        <v>87531</v>
      </c>
      <c r="C105" s="126" t="s">
        <v>1324</v>
      </c>
      <c r="D105" s="127" t="s">
        <v>1473</v>
      </c>
      <c r="E105" s="128" t="s">
        <v>14</v>
      </c>
      <c r="F105" s="138"/>
      <c r="G105" s="130">
        <v>26.27</v>
      </c>
      <c r="H105" s="128">
        <v>140.33000000000001</v>
      </c>
      <c r="I105" s="133">
        <v>0</v>
      </c>
      <c r="J105" s="374">
        <f>'01'!G105+'02'!G105+'03'!H105+'04 CORRIGIDA'!J104+'05'!I105</f>
        <v>0</v>
      </c>
      <c r="K105" s="137">
        <f t="shared" si="19"/>
        <v>140.33000000000001</v>
      </c>
      <c r="L105" s="131">
        <f t="shared" si="20"/>
        <v>3686.47</v>
      </c>
      <c r="M105" s="131">
        <f t="shared" si="21"/>
        <v>0</v>
      </c>
      <c r="N105" s="386">
        <f t="shared" si="22"/>
        <v>0</v>
      </c>
      <c r="O105" s="375">
        <f t="shared" si="23"/>
        <v>3686.47</v>
      </c>
      <c r="P105" s="136">
        <f t="shared" si="18"/>
        <v>0</v>
      </c>
      <c r="S105" s="189">
        <v>0</v>
      </c>
      <c r="T105" s="189">
        <v>0</v>
      </c>
    </row>
    <row r="106" spans="1:20" ht="25.5" x14ac:dyDescent="0.2">
      <c r="A106" s="125" t="s">
        <v>1474</v>
      </c>
      <c r="B106" s="126" t="s">
        <v>1466</v>
      </c>
      <c r="C106" s="126" t="s">
        <v>1324</v>
      </c>
      <c r="D106" s="127" t="s">
        <v>1475</v>
      </c>
      <c r="E106" s="128" t="s">
        <v>14</v>
      </c>
      <c r="F106" s="138"/>
      <c r="G106" s="130">
        <v>16.23</v>
      </c>
      <c r="H106" s="128">
        <v>140.33000000000001</v>
      </c>
      <c r="I106" s="133">
        <v>0</v>
      </c>
      <c r="J106" s="374">
        <f>'01'!G106+'02'!G106+'03'!H106+'04 CORRIGIDA'!J105+'05'!I106</f>
        <v>0</v>
      </c>
      <c r="K106" s="137">
        <f t="shared" si="19"/>
        <v>140.33000000000001</v>
      </c>
      <c r="L106" s="131">
        <f t="shared" si="20"/>
        <v>2277.56</v>
      </c>
      <c r="M106" s="131">
        <f t="shared" si="21"/>
        <v>0</v>
      </c>
      <c r="N106" s="386">
        <f t="shared" si="22"/>
        <v>0</v>
      </c>
      <c r="O106" s="375">
        <f t="shared" si="23"/>
        <v>2277.56</v>
      </c>
      <c r="P106" s="136">
        <f t="shared" si="18"/>
        <v>0</v>
      </c>
      <c r="S106" s="189">
        <v>0</v>
      </c>
      <c r="T106" s="189">
        <v>0</v>
      </c>
    </row>
    <row r="107" spans="1:20" ht="25.5" x14ac:dyDescent="0.2">
      <c r="A107" s="125" t="s">
        <v>1476</v>
      </c>
      <c r="B107" s="126">
        <v>87272</v>
      </c>
      <c r="C107" s="126" t="s">
        <v>1324</v>
      </c>
      <c r="D107" s="127" t="s">
        <v>1477</v>
      </c>
      <c r="E107" s="128" t="s">
        <v>14</v>
      </c>
      <c r="F107" s="137">
        <v>319.5</v>
      </c>
      <c r="G107" s="130">
        <v>45.67</v>
      </c>
      <c r="H107" s="128">
        <v>210.5</v>
      </c>
      <c r="I107" s="133">
        <v>0</v>
      </c>
      <c r="J107" s="374">
        <f>'01'!G107+'02'!G107+'03'!H107+'04 CORRIGIDA'!J106+'05'!I107</f>
        <v>0</v>
      </c>
      <c r="K107" s="137">
        <f t="shared" si="19"/>
        <v>210.5</v>
      </c>
      <c r="L107" s="131">
        <f t="shared" si="20"/>
        <v>9613.5400000000009</v>
      </c>
      <c r="M107" s="131">
        <f t="shared" si="21"/>
        <v>0</v>
      </c>
      <c r="N107" s="386">
        <f t="shared" si="22"/>
        <v>0</v>
      </c>
      <c r="O107" s="375">
        <f t="shared" si="23"/>
        <v>9613.5400000000009</v>
      </c>
      <c r="P107" s="136">
        <f t="shared" si="18"/>
        <v>0</v>
      </c>
      <c r="S107" s="189">
        <v>0</v>
      </c>
      <c r="T107" s="189">
        <v>0</v>
      </c>
    </row>
    <row r="108" spans="1:20" ht="25.5" x14ac:dyDescent="0.2">
      <c r="A108" s="125" t="s">
        <v>1478</v>
      </c>
      <c r="B108" s="126">
        <v>87267</v>
      </c>
      <c r="C108" s="126" t="s">
        <v>1324</v>
      </c>
      <c r="D108" s="127" t="s">
        <v>1479</v>
      </c>
      <c r="E108" s="128" t="s">
        <v>14</v>
      </c>
      <c r="F108" s="137">
        <v>347.14</v>
      </c>
      <c r="G108" s="130">
        <v>46.64</v>
      </c>
      <c r="H108" s="128">
        <v>85.51</v>
      </c>
      <c r="I108" s="133">
        <v>0</v>
      </c>
      <c r="J108" s="374">
        <f>'01'!G108+'02'!G108+'03'!H108+'04 CORRIGIDA'!J107+'05'!I108</f>
        <v>0</v>
      </c>
      <c r="K108" s="137">
        <f t="shared" si="19"/>
        <v>85.51</v>
      </c>
      <c r="L108" s="131">
        <f t="shared" si="20"/>
        <v>3988.19</v>
      </c>
      <c r="M108" s="131">
        <f t="shared" si="21"/>
        <v>0</v>
      </c>
      <c r="N108" s="386">
        <f t="shared" si="22"/>
        <v>0</v>
      </c>
      <c r="O108" s="375">
        <f t="shared" si="23"/>
        <v>3988.19</v>
      </c>
      <c r="P108" s="136">
        <f t="shared" si="18"/>
        <v>0</v>
      </c>
      <c r="S108" s="189">
        <v>0</v>
      </c>
      <c r="T108" s="189">
        <v>0</v>
      </c>
    </row>
    <row r="109" spans="1:20" s="106" customFormat="1" x14ac:dyDescent="0.2">
      <c r="A109" s="412">
        <v>10</v>
      </c>
      <c r="B109" s="413"/>
      <c r="C109" s="413"/>
      <c r="D109" s="414" t="s">
        <v>1480</v>
      </c>
      <c r="E109" s="415"/>
      <c r="F109" s="417"/>
      <c r="G109" s="418"/>
      <c r="H109" s="416"/>
      <c r="I109" s="420"/>
      <c r="J109" s="421"/>
      <c r="K109" s="420"/>
      <c r="L109" s="416">
        <f>SUM(L110,L116)</f>
        <v>60566.091099999991</v>
      </c>
      <c r="M109" s="433">
        <f>SUM(M110,M115)</f>
        <v>0</v>
      </c>
      <c r="N109" s="432">
        <f>SUM(N110,N115)</f>
        <v>0</v>
      </c>
      <c r="O109" s="434">
        <f>SUM(O110,O116)</f>
        <v>60566.091099999991</v>
      </c>
      <c r="P109" s="423">
        <f t="shared" si="18"/>
        <v>0</v>
      </c>
      <c r="S109" s="190">
        <v>0</v>
      </c>
      <c r="T109" s="190">
        <v>0</v>
      </c>
    </row>
    <row r="110" spans="1:20" x14ac:dyDescent="0.2">
      <c r="A110" s="449" t="s">
        <v>254</v>
      </c>
      <c r="B110" s="450"/>
      <c r="C110" s="450"/>
      <c r="D110" s="451" t="s">
        <v>1481</v>
      </c>
      <c r="E110" s="465"/>
      <c r="F110" s="468"/>
      <c r="G110" s="465"/>
      <c r="H110" s="465"/>
      <c r="I110" s="465"/>
      <c r="J110" s="474"/>
      <c r="K110" s="474"/>
      <c r="L110" s="452">
        <f>SUM(L111:L115)+0.01</f>
        <v>54520.321099999994</v>
      </c>
      <c r="M110" s="468">
        <f>SUM(M111:M115)</f>
        <v>0</v>
      </c>
      <c r="N110" s="467">
        <f>SUM(N111:N115)</f>
        <v>0</v>
      </c>
      <c r="O110" s="469">
        <f>SUM(O111:O115)+0.01</f>
        <v>54520.321099999994</v>
      </c>
      <c r="P110" s="459">
        <f t="shared" si="18"/>
        <v>0</v>
      </c>
      <c r="S110" s="189">
        <v>0</v>
      </c>
      <c r="T110" s="189">
        <v>0</v>
      </c>
    </row>
    <row r="111" spans="1:20" x14ac:dyDescent="0.2">
      <c r="A111" s="125" t="s">
        <v>1482</v>
      </c>
      <c r="B111" s="126" t="s">
        <v>2007</v>
      </c>
      <c r="C111" s="126" t="s">
        <v>1339</v>
      </c>
      <c r="D111" s="127" t="s">
        <v>1483</v>
      </c>
      <c r="E111" s="128" t="s">
        <v>14</v>
      </c>
      <c r="F111" s="137">
        <v>52.1</v>
      </c>
      <c r="G111" s="130">
        <v>30.94</v>
      </c>
      <c r="H111" s="128">
        <v>64.91</v>
      </c>
      <c r="I111" s="133">
        <v>0</v>
      </c>
      <c r="J111" s="374">
        <f>'01'!G111+'02'!G111+'03'!H111+'04 CORRIGIDA'!J110+'05'!I111</f>
        <v>0</v>
      </c>
      <c r="K111" s="137">
        <f>H111-J111</f>
        <v>64.91</v>
      </c>
      <c r="L111" s="131">
        <f>H111*G111</f>
        <v>2008.3154</v>
      </c>
      <c r="M111" s="131">
        <f>I111*G111</f>
        <v>0</v>
      </c>
      <c r="N111" s="386">
        <f t="shared" ref="N111:N119" si="24">SUM(N112:N116)</f>
        <v>0</v>
      </c>
      <c r="O111" s="375">
        <f>L111-N111</f>
        <v>2008.3154</v>
      </c>
      <c r="P111" s="136">
        <f t="shared" si="18"/>
        <v>0</v>
      </c>
      <c r="S111" s="189">
        <v>0</v>
      </c>
      <c r="T111" s="189">
        <v>0</v>
      </c>
    </row>
    <row r="112" spans="1:20" x14ac:dyDescent="0.2">
      <c r="A112" s="125" t="s">
        <v>1484</v>
      </c>
      <c r="B112" s="126">
        <v>87630</v>
      </c>
      <c r="C112" s="126" t="s">
        <v>1324</v>
      </c>
      <c r="D112" s="127" t="s">
        <v>1485</v>
      </c>
      <c r="E112" s="128" t="s">
        <v>14</v>
      </c>
      <c r="F112" s="137">
        <v>15.24</v>
      </c>
      <c r="G112" s="130">
        <v>30.71</v>
      </c>
      <c r="H112" s="128">
        <v>64.91</v>
      </c>
      <c r="I112" s="133">
        <v>0</v>
      </c>
      <c r="J112" s="374">
        <f>'01'!G112+'02'!G112+'03'!H112+'04 CORRIGIDA'!J111+'05'!I112</f>
        <v>0</v>
      </c>
      <c r="K112" s="137">
        <f>H112-J112</f>
        <v>64.91</v>
      </c>
      <c r="L112" s="131">
        <f>H112*G112</f>
        <v>1993.3860999999999</v>
      </c>
      <c r="M112" s="131">
        <f>I112*G112</f>
        <v>0</v>
      </c>
      <c r="N112" s="386">
        <f t="shared" si="24"/>
        <v>0</v>
      </c>
      <c r="O112" s="375">
        <f>L112-N112</f>
        <v>1993.3860999999999</v>
      </c>
      <c r="P112" s="136">
        <f t="shared" si="18"/>
        <v>0</v>
      </c>
      <c r="S112" s="189">
        <v>0</v>
      </c>
      <c r="T112" s="189">
        <v>0</v>
      </c>
    </row>
    <row r="113" spans="1:20" ht="25.5" x14ac:dyDescent="0.2">
      <c r="A113" s="125" t="s">
        <v>1486</v>
      </c>
      <c r="B113" s="126">
        <v>72136</v>
      </c>
      <c r="C113" s="126" t="s">
        <v>1324</v>
      </c>
      <c r="D113" s="127" t="s">
        <v>1487</v>
      </c>
      <c r="E113" s="128" t="s">
        <v>14</v>
      </c>
      <c r="F113" s="137">
        <v>584.54999999999995</v>
      </c>
      <c r="G113" s="130">
        <v>71.489999999999995</v>
      </c>
      <c r="H113" s="128">
        <v>676.67</v>
      </c>
      <c r="I113" s="133">
        <v>0</v>
      </c>
      <c r="J113" s="374">
        <f>'01'!G113+'02'!G113+'03'!H113+'04 CORRIGIDA'!J112+'05'!I113</f>
        <v>0</v>
      </c>
      <c r="K113" s="137">
        <f>H113-J113</f>
        <v>676.67</v>
      </c>
      <c r="L113" s="131">
        <f>H113*G113</f>
        <v>48375.138299999991</v>
      </c>
      <c r="M113" s="131">
        <f>I113*G113</f>
        <v>0</v>
      </c>
      <c r="N113" s="386">
        <f t="shared" si="24"/>
        <v>0</v>
      </c>
      <c r="O113" s="375">
        <f>L113-N113</f>
        <v>48375.138299999991</v>
      </c>
      <c r="P113" s="136">
        <f t="shared" si="18"/>
        <v>0</v>
      </c>
      <c r="S113" s="189">
        <v>0</v>
      </c>
      <c r="T113" s="189">
        <v>0</v>
      </c>
    </row>
    <row r="114" spans="1:20" ht="25.5" x14ac:dyDescent="0.2">
      <c r="A114" s="125" t="s">
        <v>1488</v>
      </c>
      <c r="B114" s="126">
        <v>87251</v>
      </c>
      <c r="C114" s="126" t="s">
        <v>1324</v>
      </c>
      <c r="D114" s="127" t="s">
        <v>1489</v>
      </c>
      <c r="E114" s="128" t="s">
        <v>14</v>
      </c>
      <c r="F114" s="137">
        <v>18.86</v>
      </c>
      <c r="G114" s="130">
        <v>31.13</v>
      </c>
      <c r="H114" s="128">
        <v>64.91</v>
      </c>
      <c r="I114" s="133">
        <v>0</v>
      </c>
      <c r="J114" s="374">
        <f>'01'!G114+'02'!G114+'03'!H114+'04 CORRIGIDA'!J113+'05'!I114</f>
        <v>0</v>
      </c>
      <c r="K114" s="137">
        <f>H114-J114</f>
        <v>64.91</v>
      </c>
      <c r="L114" s="131">
        <f>H114*G114</f>
        <v>2020.6482999999998</v>
      </c>
      <c r="M114" s="131">
        <f>I114*G114</f>
        <v>0</v>
      </c>
      <c r="N114" s="386">
        <f t="shared" si="24"/>
        <v>0</v>
      </c>
      <c r="O114" s="375">
        <f>L114-N114</f>
        <v>2020.6482999999998</v>
      </c>
      <c r="P114" s="136">
        <f t="shared" si="18"/>
        <v>0</v>
      </c>
      <c r="S114" s="189">
        <v>0</v>
      </c>
      <c r="T114" s="189">
        <v>0</v>
      </c>
    </row>
    <row r="115" spans="1:20" s="106" customFormat="1" x14ac:dyDescent="0.2">
      <c r="A115" s="125" t="s">
        <v>1490</v>
      </c>
      <c r="B115" s="126" t="s">
        <v>2007</v>
      </c>
      <c r="C115" s="126" t="s">
        <v>1339</v>
      </c>
      <c r="D115" s="127" t="s">
        <v>1491</v>
      </c>
      <c r="E115" s="128" t="s">
        <v>81</v>
      </c>
      <c r="F115" s="137">
        <v>42.78</v>
      </c>
      <c r="G115" s="130">
        <v>45.49</v>
      </c>
      <c r="H115" s="128">
        <v>2.7</v>
      </c>
      <c r="I115" s="133">
        <v>0</v>
      </c>
      <c r="J115" s="374">
        <f>'01'!G115+'02'!G115+'03'!H115+'04 CORRIGIDA'!J114+'05'!I115</f>
        <v>0</v>
      </c>
      <c r="K115" s="137">
        <f>H115-J115</f>
        <v>2.7</v>
      </c>
      <c r="L115" s="131">
        <f>H115*G115</f>
        <v>122.82300000000001</v>
      </c>
      <c r="M115" s="131">
        <f>I115*G115</f>
        <v>0</v>
      </c>
      <c r="N115" s="386">
        <f t="shared" si="24"/>
        <v>0</v>
      </c>
      <c r="O115" s="375">
        <f>L115-N115</f>
        <v>122.82300000000001</v>
      </c>
      <c r="P115" s="136">
        <f t="shared" si="18"/>
        <v>0</v>
      </c>
      <c r="S115" s="190">
        <v>0</v>
      </c>
      <c r="T115" s="190">
        <v>0</v>
      </c>
    </row>
    <row r="116" spans="1:20" x14ac:dyDescent="0.2">
      <c r="A116" s="449" t="s">
        <v>256</v>
      </c>
      <c r="B116" s="450"/>
      <c r="C116" s="450"/>
      <c r="D116" s="451" t="s">
        <v>1256</v>
      </c>
      <c r="E116" s="465"/>
      <c r="F116" s="468"/>
      <c r="G116" s="465"/>
      <c r="H116" s="465"/>
      <c r="I116" s="465"/>
      <c r="J116" s="474"/>
      <c r="K116" s="474"/>
      <c r="L116" s="452">
        <f>SUM(L117:L119)</f>
        <v>6045.77</v>
      </c>
      <c r="M116" s="468">
        <f>SUM(M117:M119)</f>
        <v>0</v>
      </c>
      <c r="N116" s="467">
        <f t="shared" si="24"/>
        <v>0</v>
      </c>
      <c r="O116" s="469">
        <f>SUM(O117:O119)</f>
        <v>6045.77</v>
      </c>
      <c r="P116" s="459">
        <f t="shared" si="18"/>
        <v>0</v>
      </c>
      <c r="S116" s="189">
        <v>0</v>
      </c>
      <c r="T116" s="189">
        <v>0</v>
      </c>
    </row>
    <row r="117" spans="1:20" x14ac:dyDescent="0.2">
      <c r="A117" s="125" t="s">
        <v>1492</v>
      </c>
      <c r="B117" s="126">
        <v>85181</v>
      </c>
      <c r="C117" s="126" t="s">
        <v>1324</v>
      </c>
      <c r="D117" s="127" t="s">
        <v>1493</v>
      </c>
      <c r="E117" s="128" t="s">
        <v>14</v>
      </c>
      <c r="F117" s="172"/>
      <c r="G117" s="130">
        <v>523.70000000000005</v>
      </c>
      <c r="H117" s="128">
        <v>9.7899999999999991</v>
      </c>
      <c r="I117" s="133">
        <v>0</v>
      </c>
      <c r="J117" s="374">
        <f>'01'!G117+'02'!G117+'03'!H117+'04 CORRIGIDA'!J116+'05'!I117</f>
        <v>0</v>
      </c>
      <c r="K117" s="137">
        <f>H117-J117</f>
        <v>9.7899999999999991</v>
      </c>
      <c r="L117" s="131">
        <f>ROUND(H117*G117,2)</f>
        <v>5127.0200000000004</v>
      </c>
      <c r="M117" s="178">
        <f>0</f>
        <v>0</v>
      </c>
      <c r="N117" s="386">
        <f t="shared" si="24"/>
        <v>0</v>
      </c>
      <c r="O117" s="375">
        <f>L117-N117</f>
        <v>5127.0200000000004</v>
      </c>
      <c r="P117" s="136">
        <f t="shared" si="18"/>
        <v>0</v>
      </c>
      <c r="S117" s="189">
        <v>0</v>
      </c>
      <c r="T117" s="189">
        <v>0</v>
      </c>
    </row>
    <row r="118" spans="1:20" x14ac:dyDescent="0.2">
      <c r="A118" s="125" t="s">
        <v>1494</v>
      </c>
      <c r="B118" s="126">
        <v>5652</v>
      </c>
      <c r="C118" s="126" t="s">
        <v>1324</v>
      </c>
      <c r="D118" s="127" t="s">
        <v>1495</v>
      </c>
      <c r="E118" s="128" t="s">
        <v>48</v>
      </c>
      <c r="F118" s="172"/>
      <c r="G118" s="130">
        <v>276.27</v>
      </c>
      <c r="H118" s="128">
        <v>1.82</v>
      </c>
      <c r="I118" s="133">
        <v>0</v>
      </c>
      <c r="J118" s="374">
        <f>'01'!G118+'02'!G118+'03'!H118+'04 CORRIGIDA'!J117+'05'!I118</f>
        <v>0</v>
      </c>
      <c r="K118" s="137">
        <f>H118-J118</f>
        <v>1.82</v>
      </c>
      <c r="L118" s="131">
        <f>ROUND(H118*G118,2)</f>
        <v>502.81</v>
      </c>
      <c r="M118" s="178">
        <f>0</f>
        <v>0</v>
      </c>
      <c r="N118" s="386">
        <f t="shared" si="24"/>
        <v>0</v>
      </c>
      <c r="O118" s="375">
        <f>L118-N118</f>
        <v>502.81</v>
      </c>
      <c r="P118" s="136">
        <f t="shared" si="18"/>
        <v>0</v>
      </c>
      <c r="S118" s="189">
        <v>0</v>
      </c>
      <c r="T118" s="189">
        <v>0</v>
      </c>
    </row>
    <row r="119" spans="1:20" s="106" customFormat="1" ht="25.5" x14ac:dyDescent="0.2">
      <c r="A119" s="125" t="s">
        <v>1496</v>
      </c>
      <c r="B119" s="126" t="s">
        <v>2007</v>
      </c>
      <c r="C119" s="126" t="s">
        <v>1339</v>
      </c>
      <c r="D119" s="127" t="s">
        <v>1497</v>
      </c>
      <c r="E119" s="128" t="s">
        <v>14</v>
      </c>
      <c r="F119" s="137">
        <v>7.73</v>
      </c>
      <c r="G119" s="130">
        <v>71.099999999999994</v>
      </c>
      <c r="H119" s="128">
        <v>5.85</v>
      </c>
      <c r="I119" s="133">
        <v>0</v>
      </c>
      <c r="J119" s="374">
        <f>'01'!G119+'02'!G119+'03'!H119+'04 CORRIGIDA'!J118+'05'!I119</f>
        <v>0</v>
      </c>
      <c r="K119" s="137">
        <f>H119-J119</f>
        <v>5.85</v>
      </c>
      <c r="L119" s="131">
        <f>ROUND(H119*G119,2)</f>
        <v>415.94</v>
      </c>
      <c r="M119" s="178">
        <f>0</f>
        <v>0</v>
      </c>
      <c r="N119" s="386">
        <f t="shared" si="24"/>
        <v>0</v>
      </c>
      <c r="O119" s="375">
        <f>L119-N119</f>
        <v>415.94</v>
      </c>
      <c r="P119" s="136">
        <f t="shared" si="18"/>
        <v>0</v>
      </c>
      <c r="S119" s="190">
        <v>0</v>
      </c>
      <c r="T119" s="190">
        <v>0</v>
      </c>
    </row>
    <row r="120" spans="1:20" x14ac:dyDescent="0.2">
      <c r="A120" s="412">
        <v>11</v>
      </c>
      <c r="B120" s="413"/>
      <c r="C120" s="413"/>
      <c r="D120" s="414" t="s">
        <v>1498</v>
      </c>
      <c r="E120" s="415"/>
      <c r="F120" s="417"/>
      <c r="G120" s="418"/>
      <c r="H120" s="416"/>
      <c r="I120" s="420"/>
      <c r="J120" s="421"/>
      <c r="K120" s="420"/>
      <c r="L120" s="433">
        <f>SUM(L121:L128)</f>
        <v>62088.5</v>
      </c>
      <c r="M120" s="433">
        <f>SUM(M121:M128)</f>
        <v>0</v>
      </c>
      <c r="N120" s="432">
        <f>SUM(N121:N128)</f>
        <v>0</v>
      </c>
      <c r="O120" s="434">
        <f>SUM(O121:O128)</f>
        <v>62088.5</v>
      </c>
      <c r="P120" s="423">
        <f t="shared" si="18"/>
        <v>0</v>
      </c>
      <c r="S120" s="189">
        <v>0</v>
      </c>
      <c r="T120" s="189">
        <v>0</v>
      </c>
    </row>
    <row r="121" spans="1:20" x14ac:dyDescent="0.2">
      <c r="A121" s="125" t="s">
        <v>274</v>
      </c>
      <c r="B121" s="126" t="s">
        <v>2007</v>
      </c>
      <c r="C121" s="126" t="s">
        <v>1339</v>
      </c>
      <c r="D121" s="127" t="s">
        <v>1499</v>
      </c>
      <c r="E121" s="128" t="s">
        <v>14</v>
      </c>
      <c r="F121" s="137">
        <v>14.07</v>
      </c>
      <c r="G121" s="130">
        <v>7.03</v>
      </c>
      <c r="H121" s="128">
        <v>529.37</v>
      </c>
      <c r="I121" s="133">
        <v>0</v>
      </c>
      <c r="J121" s="374">
        <f>'01'!G121+'02'!G121+'03'!H121+'04 CORRIGIDA'!J120+'05'!I121</f>
        <v>0</v>
      </c>
      <c r="K121" s="137">
        <f t="shared" ref="K121:K128" si="25">H121-J121</f>
        <v>529.37</v>
      </c>
      <c r="L121" s="131">
        <f t="shared" ref="L121:L128" si="26">ROUND(H121*G121,2)</f>
        <v>3721.47</v>
      </c>
      <c r="M121" s="131">
        <f t="shared" ref="M121:M128" si="27">I121*G121</f>
        <v>0</v>
      </c>
      <c r="N121" s="386">
        <f t="shared" ref="N121:N128" si="28">J121*G121</f>
        <v>0</v>
      </c>
      <c r="O121" s="375">
        <f t="shared" ref="O121:O128" si="29">L121-N121</f>
        <v>3721.47</v>
      </c>
      <c r="P121" s="136">
        <f t="shared" ref="P121:P139" si="30">N121/L121</f>
        <v>0</v>
      </c>
      <c r="S121" s="189">
        <v>0</v>
      </c>
      <c r="T121" s="189">
        <v>0</v>
      </c>
    </row>
    <row r="122" spans="1:20" x14ac:dyDescent="0.2">
      <c r="A122" s="125" t="s">
        <v>276</v>
      </c>
      <c r="B122" s="126">
        <v>88489</v>
      </c>
      <c r="C122" s="126" t="s">
        <v>1324</v>
      </c>
      <c r="D122" s="127" t="s">
        <v>1500</v>
      </c>
      <c r="E122" s="128" t="s">
        <v>14</v>
      </c>
      <c r="F122" s="137">
        <v>14.07</v>
      </c>
      <c r="G122" s="130">
        <v>9.48</v>
      </c>
      <c r="H122" s="128">
        <v>445.04</v>
      </c>
      <c r="I122" s="133">
        <v>0</v>
      </c>
      <c r="J122" s="374">
        <f>'01'!G122+'02'!G122+'03'!H122+'04 CORRIGIDA'!J121+'05'!I122</f>
        <v>0</v>
      </c>
      <c r="K122" s="137">
        <f t="shared" si="25"/>
        <v>445.04</v>
      </c>
      <c r="L122" s="131">
        <f t="shared" si="26"/>
        <v>4218.9799999999996</v>
      </c>
      <c r="M122" s="131">
        <f t="shared" si="27"/>
        <v>0</v>
      </c>
      <c r="N122" s="386">
        <f t="shared" si="28"/>
        <v>0</v>
      </c>
      <c r="O122" s="375">
        <f t="shared" si="29"/>
        <v>4218.9799999999996</v>
      </c>
      <c r="P122" s="136">
        <f t="shared" si="30"/>
        <v>0</v>
      </c>
      <c r="S122" s="189">
        <v>0</v>
      </c>
      <c r="T122" s="189">
        <v>0</v>
      </c>
    </row>
    <row r="123" spans="1:20" x14ac:dyDescent="0.2">
      <c r="A123" s="125" t="s">
        <v>278</v>
      </c>
      <c r="B123" s="126">
        <v>88486</v>
      </c>
      <c r="C123" s="126" t="s">
        <v>1324</v>
      </c>
      <c r="D123" s="127" t="s">
        <v>1501</v>
      </c>
      <c r="E123" s="128" t="s">
        <v>14</v>
      </c>
      <c r="F123" s="138"/>
      <c r="G123" s="130">
        <v>8.2899999999999991</v>
      </c>
      <c r="H123" s="128">
        <v>84.33</v>
      </c>
      <c r="I123" s="133">
        <v>0</v>
      </c>
      <c r="J123" s="374">
        <f>'01'!G123+'02'!G123+'03'!H123+'04 CORRIGIDA'!J122+'05'!I123</f>
        <v>0</v>
      </c>
      <c r="K123" s="137">
        <f t="shared" si="25"/>
        <v>84.33</v>
      </c>
      <c r="L123" s="131">
        <f t="shared" si="26"/>
        <v>699.1</v>
      </c>
      <c r="M123" s="131">
        <f t="shared" si="27"/>
        <v>0</v>
      </c>
      <c r="N123" s="386">
        <f t="shared" si="28"/>
        <v>0</v>
      </c>
      <c r="O123" s="375">
        <f t="shared" si="29"/>
        <v>699.1</v>
      </c>
      <c r="P123" s="136">
        <f t="shared" si="30"/>
        <v>0</v>
      </c>
      <c r="S123" s="189">
        <v>0</v>
      </c>
      <c r="T123" s="189">
        <v>0</v>
      </c>
    </row>
    <row r="124" spans="1:20" x14ac:dyDescent="0.2">
      <c r="A124" s="125" t="s">
        <v>281</v>
      </c>
      <c r="B124" s="126">
        <v>72815</v>
      </c>
      <c r="C124" s="126" t="s">
        <v>1324</v>
      </c>
      <c r="D124" s="127" t="s">
        <v>1502</v>
      </c>
      <c r="E124" s="128" t="s">
        <v>14</v>
      </c>
      <c r="F124" s="138"/>
      <c r="G124" s="130">
        <v>43.08</v>
      </c>
      <c r="H124" s="128">
        <v>483.8</v>
      </c>
      <c r="I124" s="133">
        <v>0</v>
      </c>
      <c r="J124" s="374">
        <f>'01'!G124+'02'!G124+'03'!H124+'04 CORRIGIDA'!J123+'05'!I124</f>
        <v>0</v>
      </c>
      <c r="K124" s="137">
        <f t="shared" si="25"/>
        <v>483.8</v>
      </c>
      <c r="L124" s="131">
        <f t="shared" si="26"/>
        <v>20842.099999999999</v>
      </c>
      <c r="M124" s="131">
        <f t="shared" si="27"/>
        <v>0</v>
      </c>
      <c r="N124" s="386">
        <f t="shared" si="28"/>
        <v>0</v>
      </c>
      <c r="O124" s="375">
        <f t="shared" si="29"/>
        <v>20842.099999999999</v>
      </c>
      <c r="P124" s="136">
        <f t="shared" si="30"/>
        <v>0</v>
      </c>
      <c r="S124" s="189">
        <v>0</v>
      </c>
      <c r="T124" s="189">
        <v>0</v>
      </c>
    </row>
    <row r="125" spans="1:20" x14ac:dyDescent="0.2">
      <c r="A125" s="125" t="s">
        <v>1503</v>
      </c>
      <c r="B125" s="126">
        <v>41595</v>
      </c>
      <c r="C125" s="126" t="s">
        <v>1324</v>
      </c>
      <c r="D125" s="127" t="s">
        <v>1504</v>
      </c>
      <c r="E125" s="128" t="s">
        <v>81</v>
      </c>
      <c r="F125" s="138"/>
      <c r="G125" s="130">
        <v>8.86</v>
      </c>
      <c r="H125" s="128">
        <v>275.60000000000002</v>
      </c>
      <c r="I125" s="133">
        <v>0</v>
      </c>
      <c r="J125" s="374">
        <f>'01'!G125+'02'!G125+'03'!H125+'04 CORRIGIDA'!J124+'05'!I125</f>
        <v>0</v>
      </c>
      <c r="K125" s="137">
        <f t="shared" si="25"/>
        <v>275.60000000000002</v>
      </c>
      <c r="L125" s="131">
        <f t="shared" si="26"/>
        <v>2441.8200000000002</v>
      </c>
      <c r="M125" s="131">
        <f t="shared" si="27"/>
        <v>0</v>
      </c>
      <c r="N125" s="386">
        <f t="shared" si="28"/>
        <v>0</v>
      </c>
      <c r="O125" s="375">
        <f t="shared" si="29"/>
        <v>2441.8200000000002</v>
      </c>
      <c r="P125" s="136">
        <f t="shared" si="30"/>
        <v>0</v>
      </c>
      <c r="S125" s="189">
        <v>0</v>
      </c>
      <c r="T125" s="189">
        <v>0</v>
      </c>
    </row>
    <row r="126" spans="1:20" x14ac:dyDescent="0.2">
      <c r="A126" s="125" t="s">
        <v>1505</v>
      </c>
      <c r="B126" s="126" t="s">
        <v>1506</v>
      </c>
      <c r="C126" s="126" t="s">
        <v>1324</v>
      </c>
      <c r="D126" s="127" t="s">
        <v>1507</v>
      </c>
      <c r="E126" s="128" t="s">
        <v>14</v>
      </c>
      <c r="F126" s="129"/>
      <c r="G126" s="130">
        <v>7.25</v>
      </c>
      <c r="H126" s="128">
        <v>366.82</v>
      </c>
      <c r="I126" s="133">
        <v>0</v>
      </c>
      <c r="J126" s="374">
        <f>'01'!G126+'02'!G126+'03'!H126+'04 CORRIGIDA'!J125+'05'!I126</f>
        <v>0</v>
      </c>
      <c r="K126" s="137">
        <f t="shared" si="25"/>
        <v>366.82</v>
      </c>
      <c r="L126" s="131">
        <f t="shared" si="26"/>
        <v>2659.45</v>
      </c>
      <c r="M126" s="131">
        <f t="shared" si="27"/>
        <v>0</v>
      </c>
      <c r="N126" s="386">
        <f t="shared" si="28"/>
        <v>0</v>
      </c>
      <c r="O126" s="375">
        <f t="shared" si="29"/>
        <v>2659.45</v>
      </c>
      <c r="P126" s="136">
        <f t="shared" si="30"/>
        <v>0</v>
      </c>
      <c r="S126" s="189">
        <v>0</v>
      </c>
      <c r="T126" s="189">
        <v>0</v>
      </c>
    </row>
    <row r="127" spans="1:20" x14ac:dyDescent="0.2">
      <c r="A127" s="125" t="s">
        <v>1508</v>
      </c>
      <c r="B127" s="126" t="s">
        <v>1509</v>
      </c>
      <c r="C127" s="126" t="s">
        <v>1324</v>
      </c>
      <c r="D127" s="127" t="s">
        <v>1510</v>
      </c>
      <c r="E127" s="128" t="s">
        <v>14</v>
      </c>
      <c r="F127" s="137">
        <v>37.78</v>
      </c>
      <c r="G127" s="130">
        <v>21.62</v>
      </c>
      <c r="H127" s="128">
        <v>567.82000000000005</v>
      </c>
      <c r="I127" s="133">
        <v>0</v>
      </c>
      <c r="J127" s="374">
        <f>'01'!G127+'02'!G127+'03'!H127+'04 CORRIGIDA'!J126+'05'!I127</f>
        <v>0</v>
      </c>
      <c r="K127" s="137">
        <f t="shared" si="25"/>
        <v>567.82000000000005</v>
      </c>
      <c r="L127" s="131">
        <f t="shared" si="26"/>
        <v>12276.27</v>
      </c>
      <c r="M127" s="131">
        <f t="shared" si="27"/>
        <v>0</v>
      </c>
      <c r="N127" s="386">
        <f t="shared" si="28"/>
        <v>0</v>
      </c>
      <c r="O127" s="375">
        <f t="shared" si="29"/>
        <v>12276.27</v>
      </c>
      <c r="P127" s="136">
        <f t="shared" si="30"/>
        <v>0</v>
      </c>
      <c r="S127" s="189">
        <v>0</v>
      </c>
      <c r="T127" s="189">
        <v>0</v>
      </c>
    </row>
    <row r="128" spans="1:20" x14ac:dyDescent="0.2">
      <c r="A128" s="125" t="s">
        <v>1511</v>
      </c>
      <c r="B128" s="126" t="s">
        <v>1512</v>
      </c>
      <c r="C128" s="126" t="s">
        <v>1324</v>
      </c>
      <c r="D128" s="127" t="s">
        <v>1513</v>
      </c>
      <c r="E128" s="128" t="s">
        <v>14</v>
      </c>
      <c r="F128" s="137">
        <v>21.63</v>
      </c>
      <c r="G128" s="130">
        <v>14.78</v>
      </c>
      <c r="H128" s="128">
        <v>1030.4000000000001</v>
      </c>
      <c r="I128" s="133">
        <v>0</v>
      </c>
      <c r="J128" s="374">
        <f>'01'!G128+'02'!G128+'03'!H128+'04 CORRIGIDA'!J127+'05'!I128</f>
        <v>0</v>
      </c>
      <c r="K128" s="137">
        <f t="shared" si="25"/>
        <v>1030.4000000000001</v>
      </c>
      <c r="L128" s="131">
        <f t="shared" si="26"/>
        <v>15229.31</v>
      </c>
      <c r="M128" s="131">
        <f t="shared" si="27"/>
        <v>0</v>
      </c>
      <c r="N128" s="386">
        <f t="shared" si="28"/>
        <v>0</v>
      </c>
      <c r="O128" s="375">
        <f t="shared" si="29"/>
        <v>15229.31</v>
      </c>
      <c r="P128" s="136">
        <f t="shared" si="30"/>
        <v>0</v>
      </c>
      <c r="S128" s="189">
        <v>0</v>
      </c>
      <c r="T128" s="189">
        <v>271</v>
      </c>
    </row>
    <row r="129" spans="1:20" s="106" customFormat="1" x14ac:dyDescent="0.2">
      <c r="A129" s="412">
        <v>12</v>
      </c>
      <c r="B129" s="413"/>
      <c r="C129" s="413"/>
      <c r="D129" s="414" t="s">
        <v>1514</v>
      </c>
      <c r="E129" s="415"/>
      <c r="F129" s="417"/>
      <c r="G129" s="418"/>
      <c r="H129" s="416"/>
      <c r="I129" s="420"/>
      <c r="J129" s="421"/>
      <c r="K129" s="420"/>
      <c r="L129" s="416">
        <f>SUM(L130,L152)</f>
        <v>4556.04</v>
      </c>
      <c r="M129" s="433">
        <f>SUM(M130,M152)</f>
        <v>0</v>
      </c>
      <c r="N129" s="432">
        <f>SUM(N130,N152)</f>
        <v>1885.7800000000002</v>
      </c>
      <c r="O129" s="434">
        <f>SUM(O130,O152)</f>
        <v>2670.26</v>
      </c>
      <c r="P129" s="423">
        <f t="shared" si="30"/>
        <v>0.4139076917674121</v>
      </c>
      <c r="S129" s="190">
        <v>0</v>
      </c>
      <c r="T129" s="190">
        <v>237</v>
      </c>
    </row>
    <row r="130" spans="1:20" x14ac:dyDescent="0.2">
      <c r="A130" s="449" t="s">
        <v>1515</v>
      </c>
      <c r="B130" s="450"/>
      <c r="C130" s="450"/>
      <c r="D130" s="451" t="s">
        <v>1516</v>
      </c>
      <c r="E130" s="465"/>
      <c r="F130" s="468"/>
      <c r="G130" s="465"/>
      <c r="H130" s="465"/>
      <c r="I130" s="465"/>
      <c r="J130" s="474"/>
      <c r="K130" s="474"/>
      <c r="L130" s="452">
        <f>SUM(L131:L151)</f>
        <v>1719.64</v>
      </c>
      <c r="M130" s="468">
        <f>SUM(M131:M151)</f>
        <v>0</v>
      </c>
      <c r="N130" s="467">
        <f>SUM(N131:N151)</f>
        <v>1719.64</v>
      </c>
      <c r="O130" s="458">
        <f t="shared" ref="O130:O139" si="31">L130-N130</f>
        <v>0</v>
      </c>
      <c r="P130" s="459">
        <f t="shared" si="30"/>
        <v>1</v>
      </c>
      <c r="S130" s="189">
        <v>0</v>
      </c>
      <c r="T130" s="189">
        <v>12</v>
      </c>
    </row>
    <row r="131" spans="1:20" x14ac:dyDescent="0.2">
      <c r="A131" s="125" t="s">
        <v>1517</v>
      </c>
      <c r="B131" s="126">
        <v>89401</v>
      </c>
      <c r="C131" s="126" t="s">
        <v>1324</v>
      </c>
      <c r="D131" s="127" t="s">
        <v>1518</v>
      </c>
      <c r="E131" s="128" t="s">
        <v>81</v>
      </c>
      <c r="F131" s="137">
        <v>22.03</v>
      </c>
      <c r="G131" s="130">
        <v>5.29</v>
      </c>
      <c r="H131" s="128">
        <v>12</v>
      </c>
      <c r="I131" s="133">
        <v>0</v>
      </c>
      <c r="J131" s="374">
        <f>'01'!G131+'02'!G131+'03'!H131+'04 CORRIGIDA'!J130+'05'!I131</f>
        <v>12</v>
      </c>
      <c r="K131" s="116">
        <f>0</f>
        <v>0</v>
      </c>
      <c r="L131" s="131">
        <f t="shared" ref="L131:L151" si="32">ROUND(H131*G131,2)</f>
        <v>63.48</v>
      </c>
      <c r="M131" s="131">
        <f t="shared" ref="M131:M151" si="33">I131*G131</f>
        <v>0</v>
      </c>
      <c r="N131" s="386">
        <f t="shared" ref="N131:N151" si="34">J131*G131</f>
        <v>63.480000000000004</v>
      </c>
      <c r="O131" s="375">
        <f t="shared" si="31"/>
        <v>0</v>
      </c>
      <c r="P131" s="136">
        <f t="shared" si="30"/>
        <v>1.0000000000000002</v>
      </c>
      <c r="S131" s="189">
        <v>0</v>
      </c>
      <c r="T131" s="189">
        <v>42</v>
      </c>
    </row>
    <row r="132" spans="1:20" x14ac:dyDescent="0.2">
      <c r="A132" s="125" t="s">
        <v>1519</v>
      </c>
      <c r="B132" s="126">
        <v>89446</v>
      </c>
      <c r="C132" s="126" t="s">
        <v>1324</v>
      </c>
      <c r="D132" s="127" t="s">
        <v>1520</v>
      </c>
      <c r="E132" s="128" t="s">
        <v>81</v>
      </c>
      <c r="F132" s="138"/>
      <c r="G132" s="130">
        <v>3.19</v>
      </c>
      <c r="H132" s="128">
        <v>42</v>
      </c>
      <c r="I132" s="133">
        <v>0</v>
      </c>
      <c r="J132" s="374">
        <f>'01'!G132+'02'!G132+'03'!H132+'04 CORRIGIDA'!J131+'05'!I132</f>
        <v>42</v>
      </c>
      <c r="K132" s="116">
        <f>0</f>
        <v>0</v>
      </c>
      <c r="L132" s="131">
        <f t="shared" si="32"/>
        <v>133.97999999999999</v>
      </c>
      <c r="M132" s="131">
        <f t="shared" si="33"/>
        <v>0</v>
      </c>
      <c r="N132" s="386">
        <f t="shared" si="34"/>
        <v>133.97999999999999</v>
      </c>
      <c r="O132" s="375">
        <f t="shared" si="31"/>
        <v>0</v>
      </c>
      <c r="P132" s="136">
        <f t="shared" si="30"/>
        <v>1</v>
      </c>
      <c r="S132" s="189">
        <v>0</v>
      </c>
      <c r="T132" s="189">
        <v>28</v>
      </c>
    </row>
    <row r="133" spans="1:20" x14ac:dyDescent="0.2">
      <c r="A133" s="125" t="s">
        <v>1521</v>
      </c>
      <c r="B133" s="126">
        <v>89447</v>
      </c>
      <c r="C133" s="126" t="s">
        <v>1324</v>
      </c>
      <c r="D133" s="127" t="s">
        <v>1522</v>
      </c>
      <c r="E133" s="128" t="s">
        <v>81</v>
      </c>
      <c r="F133" s="138"/>
      <c r="G133" s="130">
        <v>6.33</v>
      </c>
      <c r="H133" s="128">
        <v>28</v>
      </c>
      <c r="I133" s="133">
        <v>0</v>
      </c>
      <c r="J133" s="374">
        <f>'01'!G133+'02'!G133+'03'!H133+'04 CORRIGIDA'!J132+'05'!I133</f>
        <v>28</v>
      </c>
      <c r="K133" s="116">
        <f>0</f>
        <v>0</v>
      </c>
      <c r="L133" s="131">
        <f t="shared" si="32"/>
        <v>177.24</v>
      </c>
      <c r="M133" s="131">
        <f t="shared" si="33"/>
        <v>0</v>
      </c>
      <c r="N133" s="386">
        <f t="shared" si="34"/>
        <v>177.24</v>
      </c>
      <c r="O133" s="375">
        <f t="shared" si="31"/>
        <v>0</v>
      </c>
      <c r="P133" s="136">
        <f t="shared" si="30"/>
        <v>1</v>
      </c>
      <c r="S133" s="189">
        <v>0</v>
      </c>
      <c r="T133" s="189">
        <v>30</v>
      </c>
    </row>
    <row r="134" spans="1:20" x14ac:dyDescent="0.2">
      <c r="A134" s="125" t="s">
        <v>1523</v>
      </c>
      <c r="B134" s="126">
        <v>89448</v>
      </c>
      <c r="C134" s="126" t="s">
        <v>1324</v>
      </c>
      <c r="D134" s="127" t="s">
        <v>1524</v>
      </c>
      <c r="E134" s="128" t="s">
        <v>81</v>
      </c>
      <c r="F134" s="129"/>
      <c r="G134" s="130">
        <v>10.15</v>
      </c>
      <c r="H134" s="128">
        <v>30</v>
      </c>
      <c r="I134" s="133">
        <v>0</v>
      </c>
      <c r="J134" s="374">
        <f>'01'!G134+'02'!G134+'03'!H134+'04 CORRIGIDA'!J133+'05'!I134</f>
        <v>30</v>
      </c>
      <c r="K134" s="116">
        <f>0</f>
        <v>0</v>
      </c>
      <c r="L134" s="131">
        <f t="shared" si="32"/>
        <v>304.5</v>
      </c>
      <c r="M134" s="131">
        <f t="shared" si="33"/>
        <v>0</v>
      </c>
      <c r="N134" s="386">
        <f t="shared" si="34"/>
        <v>304.5</v>
      </c>
      <c r="O134" s="375">
        <f t="shared" si="31"/>
        <v>0</v>
      </c>
      <c r="P134" s="136">
        <f t="shared" si="30"/>
        <v>1</v>
      </c>
      <c r="S134" s="189">
        <v>0</v>
      </c>
      <c r="T134" s="189">
        <v>36</v>
      </c>
    </row>
    <row r="135" spans="1:20" x14ac:dyDescent="0.2">
      <c r="A135" s="125" t="s">
        <v>1525</v>
      </c>
      <c r="B135" s="126">
        <v>89449</v>
      </c>
      <c r="C135" s="126" t="s">
        <v>1324</v>
      </c>
      <c r="D135" s="127" t="s">
        <v>1526</v>
      </c>
      <c r="E135" s="128" t="s">
        <v>81</v>
      </c>
      <c r="F135" s="137">
        <v>5.81</v>
      </c>
      <c r="G135" s="130">
        <v>11.27</v>
      </c>
      <c r="H135" s="128">
        <v>36</v>
      </c>
      <c r="I135" s="133">
        <v>0</v>
      </c>
      <c r="J135" s="374">
        <f>'01'!G135+'02'!G135+'03'!H135+'04 CORRIGIDA'!J134+'05'!I135</f>
        <v>36</v>
      </c>
      <c r="K135" s="116">
        <f>0</f>
        <v>0</v>
      </c>
      <c r="L135" s="131">
        <f t="shared" si="32"/>
        <v>405.72</v>
      </c>
      <c r="M135" s="131">
        <f t="shared" si="33"/>
        <v>0</v>
      </c>
      <c r="N135" s="386">
        <f t="shared" si="34"/>
        <v>405.71999999999997</v>
      </c>
      <c r="O135" s="375">
        <f t="shared" si="31"/>
        <v>0</v>
      </c>
      <c r="P135" s="136">
        <f t="shared" si="30"/>
        <v>0.99999999999999989</v>
      </c>
      <c r="S135" s="189">
        <v>0</v>
      </c>
      <c r="T135" s="189">
        <v>15</v>
      </c>
    </row>
    <row r="136" spans="1:20" x14ac:dyDescent="0.2">
      <c r="A136" s="125" t="s">
        <v>1527</v>
      </c>
      <c r="B136" s="126">
        <v>89408</v>
      </c>
      <c r="C136" s="126" t="s">
        <v>1324</v>
      </c>
      <c r="D136" s="127" t="s">
        <v>1528</v>
      </c>
      <c r="E136" s="128" t="s">
        <v>102</v>
      </c>
      <c r="F136" s="137">
        <v>37.78</v>
      </c>
      <c r="G136" s="130">
        <v>4.28</v>
      </c>
      <c r="H136" s="128">
        <v>15</v>
      </c>
      <c r="I136" s="133">
        <v>0</v>
      </c>
      <c r="J136" s="374">
        <f>'01'!G136+'02'!G136+'03'!H136+'04 CORRIGIDA'!J135+'05'!I136</f>
        <v>15</v>
      </c>
      <c r="K136" s="116">
        <f>0</f>
        <v>0</v>
      </c>
      <c r="L136" s="131">
        <f t="shared" si="32"/>
        <v>64.2</v>
      </c>
      <c r="M136" s="131">
        <f t="shared" si="33"/>
        <v>0</v>
      </c>
      <c r="N136" s="386">
        <f t="shared" si="34"/>
        <v>64.2</v>
      </c>
      <c r="O136" s="375">
        <f t="shared" si="31"/>
        <v>0</v>
      </c>
      <c r="P136" s="136">
        <f t="shared" si="30"/>
        <v>1</v>
      </c>
      <c r="S136" s="189">
        <v>0</v>
      </c>
      <c r="T136" s="189">
        <v>8</v>
      </c>
    </row>
    <row r="137" spans="1:20" x14ac:dyDescent="0.2">
      <c r="A137" s="395" t="s">
        <v>1529</v>
      </c>
      <c r="B137" s="396">
        <v>89492</v>
      </c>
      <c r="C137" s="396" t="s">
        <v>1324</v>
      </c>
      <c r="D137" s="397" t="s">
        <v>1530</v>
      </c>
      <c r="E137" s="398" t="s">
        <v>102</v>
      </c>
      <c r="F137" s="399">
        <v>21.63</v>
      </c>
      <c r="G137" s="400">
        <v>4.79</v>
      </c>
      <c r="H137" s="398">
        <v>8</v>
      </c>
      <c r="I137" s="402">
        <v>0</v>
      </c>
      <c r="J137" s="403">
        <f>'01'!G137+'02'!G137+'03'!H137+'04 CORRIGIDA'!J136+'05'!I137</f>
        <v>8</v>
      </c>
      <c r="K137" s="404">
        <f>0</f>
        <v>0</v>
      </c>
      <c r="L137" s="401">
        <f t="shared" si="32"/>
        <v>38.32</v>
      </c>
      <c r="M137" s="401">
        <f t="shared" si="33"/>
        <v>0</v>
      </c>
      <c r="N137" s="405">
        <f t="shared" si="34"/>
        <v>38.32</v>
      </c>
      <c r="O137" s="406">
        <f t="shared" si="31"/>
        <v>0</v>
      </c>
      <c r="P137" s="407">
        <f t="shared" si="30"/>
        <v>1</v>
      </c>
      <c r="S137" s="189">
        <v>0</v>
      </c>
      <c r="T137" s="189">
        <v>6</v>
      </c>
    </row>
    <row r="138" spans="1:20" x14ac:dyDescent="0.2">
      <c r="A138" s="395" t="s">
        <v>1531</v>
      </c>
      <c r="B138" s="396">
        <v>89501</v>
      </c>
      <c r="C138" s="396" t="s">
        <v>1324</v>
      </c>
      <c r="D138" s="397" t="s">
        <v>1532</v>
      </c>
      <c r="E138" s="398" t="s">
        <v>102</v>
      </c>
      <c r="F138" s="399">
        <v>38.770000000000003</v>
      </c>
      <c r="G138" s="400">
        <v>9.3800000000000008</v>
      </c>
      <c r="H138" s="398">
        <v>6</v>
      </c>
      <c r="I138" s="402">
        <v>0</v>
      </c>
      <c r="J138" s="403">
        <f>'01'!G138+'02'!G138+'03'!H138+'04 CORRIGIDA'!J137+'05'!I138</f>
        <v>6</v>
      </c>
      <c r="K138" s="404">
        <f>0</f>
        <v>0</v>
      </c>
      <c r="L138" s="401">
        <f t="shared" si="32"/>
        <v>56.28</v>
      </c>
      <c r="M138" s="401">
        <f t="shared" si="33"/>
        <v>0</v>
      </c>
      <c r="N138" s="405">
        <f t="shared" si="34"/>
        <v>56.28</v>
      </c>
      <c r="O138" s="406">
        <f t="shared" si="31"/>
        <v>0</v>
      </c>
      <c r="P138" s="407">
        <f t="shared" si="30"/>
        <v>1</v>
      </c>
      <c r="S138" s="189">
        <v>0</v>
      </c>
      <c r="T138" s="189">
        <v>2</v>
      </c>
    </row>
    <row r="139" spans="1:20" ht="25.5" x14ac:dyDescent="0.2">
      <c r="A139" s="395" t="s">
        <v>1533</v>
      </c>
      <c r="B139" s="396">
        <v>90373</v>
      </c>
      <c r="C139" s="396" t="s">
        <v>1324</v>
      </c>
      <c r="D139" s="397" t="s">
        <v>1534</v>
      </c>
      <c r="E139" s="398" t="s">
        <v>102</v>
      </c>
      <c r="F139" s="138"/>
      <c r="G139" s="400">
        <v>10.06</v>
      </c>
      <c r="H139" s="398">
        <v>2</v>
      </c>
      <c r="I139" s="402">
        <v>0</v>
      </c>
      <c r="J139" s="403">
        <f>'01'!G139+'02'!G139+'03'!H139+'04 CORRIGIDA'!J138+'05'!I139</f>
        <v>2</v>
      </c>
      <c r="K139" s="404">
        <f>0</f>
        <v>0</v>
      </c>
      <c r="L139" s="401">
        <f t="shared" si="32"/>
        <v>20.12</v>
      </c>
      <c r="M139" s="401">
        <f t="shared" si="33"/>
        <v>0</v>
      </c>
      <c r="N139" s="405">
        <f t="shared" si="34"/>
        <v>20.12</v>
      </c>
      <c r="O139" s="406">
        <f t="shared" si="31"/>
        <v>0</v>
      </c>
      <c r="P139" s="407">
        <f t="shared" si="30"/>
        <v>1</v>
      </c>
      <c r="S139" s="189">
        <v>0</v>
      </c>
      <c r="T139" s="189">
        <v>4</v>
      </c>
    </row>
    <row r="140" spans="1:20" x14ac:dyDescent="0.2">
      <c r="A140" s="395" t="s">
        <v>1535</v>
      </c>
      <c r="B140" s="396" t="s">
        <v>2007</v>
      </c>
      <c r="C140" s="396" t="s">
        <v>1339</v>
      </c>
      <c r="D140" s="397" t="s">
        <v>1536</v>
      </c>
      <c r="E140" s="398" t="s">
        <v>102</v>
      </c>
      <c r="F140" s="138"/>
      <c r="G140" s="400">
        <v>0</v>
      </c>
      <c r="H140" s="398">
        <v>4</v>
      </c>
      <c r="I140" s="402">
        <v>0</v>
      </c>
      <c r="J140" s="403">
        <f>'01'!G140+'02'!G140+'03'!H140+'04 CORRIGIDA'!J139+'05'!I140</f>
        <v>4</v>
      </c>
      <c r="K140" s="404">
        <f>0</f>
        <v>0</v>
      </c>
      <c r="L140" s="401">
        <f t="shared" si="32"/>
        <v>0</v>
      </c>
      <c r="M140" s="401">
        <f t="shared" si="33"/>
        <v>0</v>
      </c>
      <c r="N140" s="405">
        <f t="shared" si="34"/>
        <v>0</v>
      </c>
      <c r="O140" s="408">
        <f>0</f>
        <v>0</v>
      </c>
      <c r="P140" s="407">
        <v>0</v>
      </c>
      <c r="S140" s="189">
        <v>0</v>
      </c>
      <c r="T140" s="189">
        <v>16</v>
      </c>
    </row>
    <row r="141" spans="1:20" ht="25.5" x14ac:dyDescent="0.2">
      <c r="A141" s="395" t="s">
        <v>1537</v>
      </c>
      <c r="B141" s="396">
        <v>90373</v>
      </c>
      <c r="C141" s="396" t="s">
        <v>1324</v>
      </c>
      <c r="D141" s="397" t="s">
        <v>1538</v>
      </c>
      <c r="E141" s="398" t="s">
        <v>102</v>
      </c>
      <c r="F141" s="138"/>
      <c r="G141" s="400">
        <v>10.06</v>
      </c>
      <c r="H141" s="398">
        <v>16</v>
      </c>
      <c r="I141" s="402">
        <v>0</v>
      </c>
      <c r="J141" s="403">
        <f>'01'!G141+'02'!G141+'03'!H141+'04 CORRIGIDA'!J140+'05'!I141</f>
        <v>16</v>
      </c>
      <c r="K141" s="404">
        <f>0</f>
        <v>0</v>
      </c>
      <c r="L141" s="401">
        <f t="shared" si="32"/>
        <v>160.96</v>
      </c>
      <c r="M141" s="401">
        <f t="shared" si="33"/>
        <v>0</v>
      </c>
      <c r="N141" s="405">
        <f t="shared" si="34"/>
        <v>160.96</v>
      </c>
      <c r="O141" s="406">
        <f t="shared" ref="O141:O151" si="35">L141-N141</f>
        <v>0</v>
      </c>
      <c r="P141" s="407">
        <f t="shared" ref="P141:P172" si="36">N141/L141</f>
        <v>1</v>
      </c>
      <c r="S141" s="189">
        <v>0</v>
      </c>
      <c r="T141" s="189">
        <v>4</v>
      </c>
    </row>
    <row r="142" spans="1:20" x14ac:dyDescent="0.2">
      <c r="A142" s="395" t="s">
        <v>1539</v>
      </c>
      <c r="B142" s="396">
        <v>89622</v>
      </c>
      <c r="C142" s="396" t="s">
        <v>1324</v>
      </c>
      <c r="D142" s="397" t="s">
        <v>1540</v>
      </c>
      <c r="E142" s="398" t="s">
        <v>102</v>
      </c>
      <c r="F142" s="399">
        <v>29.86</v>
      </c>
      <c r="G142" s="400">
        <v>9.23</v>
      </c>
      <c r="H142" s="398">
        <v>4</v>
      </c>
      <c r="I142" s="402">
        <v>0</v>
      </c>
      <c r="J142" s="403">
        <f>'01'!G142+'02'!G142+'03'!H142+'04 CORRIGIDA'!J141+'05'!I142</f>
        <v>4</v>
      </c>
      <c r="K142" s="404">
        <f>0</f>
        <v>0</v>
      </c>
      <c r="L142" s="401">
        <f t="shared" si="32"/>
        <v>36.92</v>
      </c>
      <c r="M142" s="401">
        <f t="shared" si="33"/>
        <v>0</v>
      </c>
      <c r="N142" s="405">
        <f t="shared" si="34"/>
        <v>36.92</v>
      </c>
      <c r="O142" s="406">
        <f t="shared" si="35"/>
        <v>0</v>
      </c>
      <c r="P142" s="407">
        <f t="shared" si="36"/>
        <v>1</v>
      </c>
      <c r="S142" s="189">
        <v>0</v>
      </c>
      <c r="T142" s="189">
        <v>2</v>
      </c>
    </row>
    <row r="143" spans="1:20" x14ac:dyDescent="0.2">
      <c r="A143" s="395" t="s">
        <v>1541</v>
      </c>
      <c r="B143" s="396">
        <v>89626</v>
      </c>
      <c r="C143" s="396" t="s">
        <v>1324</v>
      </c>
      <c r="D143" s="397" t="s">
        <v>1542</v>
      </c>
      <c r="E143" s="398" t="s">
        <v>102</v>
      </c>
      <c r="F143" s="399">
        <v>32.090000000000003</v>
      </c>
      <c r="G143" s="400">
        <v>17.79</v>
      </c>
      <c r="H143" s="398">
        <v>2</v>
      </c>
      <c r="I143" s="402">
        <v>0</v>
      </c>
      <c r="J143" s="403">
        <f>'01'!G143+'02'!G143+'03'!H143+'04 CORRIGIDA'!J142+'05'!I143</f>
        <v>2</v>
      </c>
      <c r="K143" s="404">
        <f>0</f>
        <v>0</v>
      </c>
      <c r="L143" s="401">
        <f t="shared" si="32"/>
        <v>35.58</v>
      </c>
      <c r="M143" s="401">
        <f t="shared" si="33"/>
        <v>0</v>
      </c>
      <c r="N143" s="405">
        <f t="shared" si="34"/>
        <v>35.58</v>
      </c>
      <c r="O143" s="406">
        <f t="shared" si="35"/>
        <v>0</v>
      </c>
      <c r="P143" s="407">
        <f t="shared" si="36"/>
        <v>1</v>
      </c>
      <c r="S143" s="189">
        <v>0</v>
      </c>
      <c r="T143" s="189">
        <v>8</v>
      </c>
    </row>
    <row r="144" spans="1:20" x14ac:dyDescent="0.2">
      <c r="A144" s="395" t="s">
        <v>1543</v>
      </c>
      <c r="B144" s="396">
        <v>89534</v>
      </c>
      <c r="C144" s="396" t="s">
        <v>1324</v>
      </c>
      <c r="D144" s="397" t="s">
        <v>1544</v>
      </c>
      <c r="E144" s="398" t="s">
        <v>102</v>
      </c>
      <c r="F144" s="399">
        <v>46.88</v>
      </c>
      <c r="G144" s="400">
        <v>2.9</v>
      </c>
      <c r="H144" s="398">
        <v>8</v>
      </c>
      <c r="I144" s="402">
        <v>0</v>
      </c>
      <c r="J144" s="403">
        <f>'01'!G144+'02'!G144+'03'!H144+'04 CORRIGIDA'!J143+'05'!I144</f>
        <v>8</v>
      </c>
      <c r="K144" s="404">
        <f>0</f>
        <v>0</v>
      </c>
      <c r="L144" s="401">
        <f t="shared" si="32"/>
        <v>23.2</v>
      </c>
      <c r="M144" s="401">
        <f t="shared" si="33"/>
        <v>0</v>
      </c>
      <c r="N144" s="405">
        <f t="shared" si="34"/>
        <v>23.2</v>
      </c>
      <c r="O144" s="406">
        <f t="shared" si="35"/>
        <v>0</v>
      </c>
      <c r="P144" s="407">
        <f t="shared" si="36"/>
        <v>1</v>
      </c>
      <c r="S144" s="189">
        <v>0</v>
      </c>
      <c r="T144" s="189">
        <v>4</v>
      </c>
    </row>
    <row r="145" spans="1:20" x14ac:dyDescent="0.2">
      <c r="A145" s="395" t="s">
        <v>1545</v>
      </c>
      <c r="B145" s="396">
        <v>89386</v>
      </c>
      <c r="C145" s="396" t="s">
        <v>1324</v>
      </c>
      <c r="D145" s="397" t="s">
        <v>1546</v>
      </c>
      <c r="E145" s="398" t="s">
        <v>102</v>
      </c>
      <c r="F145" s="399">
        <v>31.2</v>
      </c>
      <c r="G145" s="400">
        <v>6</v>
      </c>
      <c r="H145" s="398">
        <v>4</v>
      </c>
      <c r="I145" s="402">
        <v>0</v>
      </c>
      <c r="J145" s="403">
        <f>'01'!G145+'02'!G145+'03'!H145+'04 CORRIGIDA'!J144+'05'!I145</f>
        <v>4</v>
      </c>
      <c r="K145" s="404">
        <f>0</f>
        <v>0</v>
      </c>
      <c r="L145" s="401">
        <f t="shared" si="32"/>
        <v>24</v>
      </c>
      <c r="M145" s="401">
        <f t="shared" si="33"/>
        <v>0</v>
      </c>
      <c r="N145" s="405">
        <f t="shared" si="34"/>
        <v>24</v>
      </c>
      <c r="O145" s="406">
        <f t="shared" si="35"/>
        <v>0</v>
      </c>
      <c r="P145" s="407">
        <f t="shared" si="36"/>
        <v>1</v>
      </c>
      <c r="S145" s="189">
        <v>0</v>
      </c>
      <c r="T145" s="189">
        <v>4</v>
      </c>
    </row>
    <row r="146" spans="1:20" x14ac:dyDescent="0.2">
      <c r="A146" s="395" t="s">
        <v>1547</v>
      </c>
      <c r="B146" s="396">
        <v>89433</v>
      </c>
      <c r="C146" s="396" t="s">
        <v>1324</v>
      </c>
      <c r="D146" s="397" t="s">
        <v>1548</v>
      </c>
      <c r="E146" s="398" t="s">
        <v>102</v>
      </c>
      <c r="F146" s="399">
        <v>19.170000000000002</v>
      </c>
      <c r="G146" s="400">
        <v>5.63</v>
      </c>
      <c r="H146" s="398">
        <v>4</v>
      </c>
      <c r="I146" s="402">
        <v>0</v>
      </c>
      <c r="J146" s="403">
        <f>'01'!G146+'02'!G146+'03'!H146+'04 CORRIGIDA'!J145+'05'!I146</f>
        <v>4</v>
      </c>
      <c r="K146" s="404">
        <f>0</f>
        <v>0</v>
      </c>
      <c r="L146" s="401">
        <f t="shared" si="32"/>
        <v>22.52</v>
      </c>
      <c r="M146" s="401">
        <f t="shared" si="33"/>
        <v>0</v>
      </c>
      <c r="N146" s="405">
        <f t="shared" si="34"/>
        <v>22.52</v>
      </c>
      <c r="O146" s="406">
        <f t="shared" si="35"/>
        <v>0</v>
      </c>
      <c r="P146" s="407">
        <f t="shared" si="36"/>
        <v>1</v>
      </c>
      <c r="S146" s="189">
        <v>0</v>
      </c>
      <c r="T146" s="189">
        <v>2</v>
      </c>
    </row>
    <row r="147" spans="1:20" x14ac:dyDescent="0.2">
      <c r="A147" s="125" t="s">
        <v>1549</v>
      </c>
      <c r="B147" s="126">
        <v>89605</v>
      </c>
      <c r="C147" s="126" t="s">
        <v>1324</v>
      </c>
      <c r="D147" s="127" t="s">
        <v>1550</v>
      </c>
      <c r="E147" s="128" t="s">
        <v>102</v>
      </c>
      <c r="F147" s="137">
        <v>98.11</v>
      </c>
      <c r="G147" s="130">
        <v>11.65</v>
      </c>
      <c r="H147" s="128">
        <v>2</v>
      </c>
      <c r="I147" s="133">
        <v>0</v>
      </c>
      <c r="J147" s="374">
        <f>'01'!G147+'02'!G147+'03'!H147+'04 CORRIGIDA'!J146+'05'!I147</f>
        <v>2</v>
      </c>
      <c r="K147" s="116">
        <f>0</f>
        <v>0</v>
      </c>
      <c r="L147" s="131">
        <f t="shared" si="32"/>
        <v>23.3</v>
      </c>
      <c r="M147" s="131">
        <f t="shared" si="33"/>
        <v>0</v>
      </c>
      <c r="N147" s="386">
        <f t="shared" si="34"/>
        <v>23.3</v>
      </c>
      <c r="O147" s="375">
        <f t="shared" si="35"/>
        <v>0</v>
      </c>
      <c r="P147" s="136">
        <f t="shared" si="36"/>
        <v>1</v>
      </c>
      <c r="S147" s="189">
        <v>0</v>
      </c>
      <c r="T147" s="189">
        <v>2</v>
      </c>
    </row>
    <row r="148" spans="1:20" x14ac:dyDescent="0.2">
      <c r="A148" s="125" t="s">
        <v>1551</v>
      </c>
      <c r="B148" s="126">
        <v>90375</v>
      </c>
      <c r="C148" s="126" t="s">
        <v>1324</v>
      </c>
      <c r="D148" s="127" t="s">
        <v>1552</v>
      </c>
      <c r="E148" s="128" t="s">
        <v>102</v>
      </c>
      <c r="F148" s="137">
        <v>174.65</v>
      </c>
      <c r="G148" s="130">
        <v>6.61</v>
      </c>
      <c r="H148" s="128">
        <v>2</v>
      </c>
      <c r="I148" s="133">
        <v>0</v>
      </c>
      <c r="J148" s="374">
        <f>'01'!G148+'02'!G148+'03'!H148+'04 CORRIGIDA'!J147+'05'!I148</f>
        <v>2</v>
      </c>
      <c r="K148" s="116">
        <f>0</f>
        <v>0</v>
      </c>
      <c r="L148" s="131">
        <f t="shared" si="32"/>
        <v>13.22</v>
      </c>
      <c r="M148" s="131">
        <f t="shared" si="33"/>
        <v>0</v>
      </c>
      <c r="N148" s="386">
        <f t="shared" si="34"/>
        <v>13.22</v>
      </c>
      <c r="O148" s="375">
        <f t="shared" si="35"/>
        <v>0</v>
      </c>
      <c r="P148" s="136">
        <f t="shared" si="36"/>
        <v>1</v>
      </c>
      <c r="S148" s="189">
        <v>0</v>
      </c>
      <c r="T148" s="189">
        <v>4</v>
      </c>
    </row>
    <row r="149" spans="1:20" x14ac:dyDescent="0.2">
      <c r="A149" s="125" t="s">
        <v>1553</v>
      </c>
      <c r="B149" s="126">
        <v>90375</v>
      </c>
      <c r="C149" s="126" t="s">
        <v>1324</v>
      </c>
      <c r="D149" s="127" t="s">
        <v>1554</v>
      </c>
      <c r="E149" s="128" t="s">
        <v>102</v>
      </c>
      <c r="F149" s="138"/>
      <c r="G149" s="130">
        <v>6.61</v>
      </c>
      <c r="H149" s="128">
        <v>4</v>
      </c>
      <c r="I149" s="133">
        <v>0</v>
      </c>
      <c r="J149" s="374">
        <f>'01'!G149+'02'!G149+'03'!H149+'04 CORRIGIDA'!J148+'05'!I149</f>
        <v>4</v>
      </c>
      <c r="K149" s="116">
        <f>0</f>
        <v>0</v>
      </c>
      <c r="L149" s="131">
        <f t="shared" si="32"/>
        <v>26.44</v>
      </c>
      <c r="M149" s="131">
        <f t="shared" si="33"/>
        <v>0</v>
      </c>
      <c r="N149" s="386">
        <f t="shared" si="34"/>
        <v>26.44</v>
      </c>
      <c r="O149" s="375">
        <f t="shared" si="35"/>
        <v>0</v>
      </c>
      <c r="P149" s="136">
        <f t="shared" si="36"/>
        <v>1</v>
      </c>
      <c r="S149" s="189">
        <v>0</v>
      </c>
      <c r="T149" s="189">
        <v>6</v>
      </c>
    </row>
    <row r="150" spans="1:20" x14ac:dyDescent="0.2">
      <c r="A150" s="125" t="s">
        <v>1555</v>
      </c>
      <c r="B150" s="126">
        <v>89375</v>
      </c>
      <c r="C150" s="126" t="s">
        <v>1324</v>
      </c>
      <c r="D150" s="127" t="s">
        <v>1556</v>
      </c>
      <c r="E150" s="128" t="s">
        <v>102</v>
      </c>
      <c r="F150" s="138"/>
      <c r="G150" s="130">
        <v>7.45</v>
      </c>
      <c r="H150" s="128">
        <v>6</v>
      </c>
      <c r="I150" s="133">
        <v>0</v>
      </c>
      <c r="J150" s="374">
        <f>'01'!G150+'02'!G150+'03'!H150+'04 CORRIGIDA'!J149+'05'!I150</f>
        <v>6</v>
      </c>
      <c r="K150" s="116">
        <f>0</f>
        <v>0</v>
      </c>
      <c r="L150" s="131">
        <f t="shared" si="32"/>
        <v>44.7</v>
      </c>
      <c r="M150" s="131">
        <f t="shared" si="33"/>
        <v>0</v>
      </c>
      <c r="N150" s="386">
        <f t="shared" si="34"/>
        <v>44.7</v>
      </c>
      <c r="O150" s="375">
        <f t="shared" si="35"/>
        <v>0</v>
      </c>
      <c r="P150" s="136">
        <f t="shared" si="36"/>
        <v>1</v>
      </c>
      <c r="S150" s="189">
        <v>0</v>
      </c>
      <c r="T150" s="189">
        <v>2</v>
      </c>
    </row>
    <row r="151" spans="1:20" s="106" customFormat="1" x14ac:dyDescent="0.2">
      <c r="A151" s="125" t="s">
        <v>1557</v>
      </c>
      <c r="B151" s="126">
        <v>89594</v>
      </c>
      <c r="C151" s="126" t="s">
        <v>1324</v>
      </c>
      <c r="D151" s="127" t="s">
        <v>1558</v>
      </c>
      <c r="E151" s="128" t="s">
        <v>102</v>
      </c>
      <c r="F151" s="137">
        <v>33.909999999999997</v>
      </c>
      <c r="G151" s="130">
        <v>22.48</v>
      </c>
      <c r="H151" s="128">
        <v>2</v>
      </c>
      <c r="I151" s="133">
        <v>0</v>
      </c>
      <c r="J151" s="374">
        <f>'01'!G151+'02'!G151+'03'!H151+'04 CORRIGIDA'!J150+'05'!I151</f>
        <v>2</v>
      </c>
      <c r="K151" s="116">
        <f>0</f>
        <v>0</v>
      </c>
      <c r="L151" s="131">
        <f t="shared" si="32"/>
        <v>44.96</v>
      </c>
      <c r="M151" s="131">
        <f t="shared" si="33"/>
        <v>0</v>
      </c>
      <c r="N151" s="386">
        <f t="shared" si="34"/>
        <v>44.96</v>
      </c>
      <c r="O151" s="375">
        <f t="shared" si="35"/>
        <v>0</v>
      </c>
      <c r="P151" s="136">
        <f t="shared" si="36"/>
        <v>1</v>
      </c>
      <c r="S151" s="190">
        <v>0</v>
      </c>
      <c r="T151" s="190">
        <v>34</v>
      </c>
    </row>
    <row r="152" spans="1:20" x14ac:dyDescent="0.2">
      <c r="A152" s="449" t="s">
        <v>290</v>
      </c>
      <c r="B152" s="450"/>
      <c r="C152" s="450"/>
      <c r="D152" s="451" t="s">
        <v>1559</v>
      </c>
      <c r="E152" s="465"/>
      <c r="F152" s="468"/>
      <c r="G152" s="465"/>
      <c r="H152" s="465"/>
      <c r="I152" s="465"/>
      <c r="J152" s="474"/>
      <c r="K152" s="474"/>
      <c r="L152" s="452">
        <f>SUM(L153:L167)</f>
        <v>2836.4</v>
      </c>
      <c r="M152" s="468">
        <f>SUM(M153:M167)</f>
        <v>0</v>
      </c>
      <c r="N152" s="467">
        <f>SUM(N153:N167)</f>
        <v>166.14000000000001</v>
      </c>
      <c r="O152" s="469">
        <f>SUM(O153:O167)</f>
        <v>2670.26</v>
      </c>
      <c r="P152" s="459">
        <f t="shared" si="36"/>
        <v>5.8574249048089132E-2</v>
      </c>
      <c r="S152" s="189">
        <v>0</v>
      </c>
      <c r="T152" s="189">
        <v>0</v>
      </c>
    </row>
    <row r="153" spans="1:20" x14ac:dyDescent="0.2">
      <c r="A153" s="125" t="s">
        <v>1560</v>
      </c>
      <c r="B153" s="126">
        <v>89353</v>
      </c>
      <c r="C153" s="126" t="s">
        <v>1324</v>
      </c>
      <c r="D153" s="127" t="s">
        <v>1561</v>
      </c>
      <c r="E153" s="128" t="s">
        <v>102</v>
      </c>
      <c r="F153" s="137">
        <v>9.81</v>
      </c>
      <c r="G153" s="130">
        <v>30.67</v>
      </c>
      <c r="H153" s="128">
        <v>1</v>
      </c>
      <c r="I153" s="133">
        <v>0</v>
      </c>
      <c r="J153" s="374">
        <f>'01'!G153+'02'!G153+'03'!H153+'04 CORRIGIDA'!J152+'05'!I153</f>
        <v>0</v>
      </c>
      <c r="K153" s="116">
        <f>0</f>
        <v>0</v>
      </c>
      <c r="L153" s="131">
        <f t="shared" ref="L153:L167" si="37">ROUND(H153*G153,2)</f>
        <v>30.67</v>
      </c>
      <c r="M153" s="131">
        <f t="shared" ref="M153:M167" si="38">I153*G153</f>
        <v>0</v>
      </c>
      <c r="N153" s="386">
        <f t="shared" ref="N153:N167" si="39">J153*G153</f>
        <v>0</v>
      </c>
      <c r="O153" s="375">
        <f t="shared" ref="O153:O159" si="40">L153-N153</f>
        <v>30.67</v>
      </c>
      <c r="P153" s="136">
        <f t="shared" si="36"/>
        <v>0</v>
      </c>
      <c r="S153" s="189">
        <v>0</v>
      </c>
      <c r="T153" s="189">
        <v>0</v>
      </c>
    </row>
    <row r="154" spans="1:20" x14ac:dyDescent="0.2">
      <c r="A154" s="125" t="s">
        <v>1562</v>
      </c>
      <c r="B154" s="126" t="s">
        <v>1563</v>
      </c>
      <c r="C154" s="126" t="s">
        <v>1324</v>
      </c>
      <c r="D154" s="127" t="s">
        <v>1564</v>
      </c>
      <c r="E154" s="128" t="s">
        <v>102</v>
      </c>
      <c r="F154" s="137">
        <v>12.72</v>
      </c>
      <c r="G154" s="130">
        <v>86.64</v>
      </c>
      <c r="H154" s="128">
        <v>2</v>
      </c>
      <c r="I154" s="133">
        <v>0</v>
      </c>
      <c r="J154" s="374">
        <f>'01'!G154+'02'!G154+'03'!H154+'04 CORRIGIDA'!J153+'05'!I154</f>
        <v>0</v>
      </c>
      <c r="K154" s="116">
        <f>0</f>
        <v>0</v>
      </c>
      <c r="L154" s="131">
        <f t="shared" si="37"/>
        <v>173.28</v>
      </c>
      <c r="M154" s="131">
        <f t="shared" si="38"/>
        <v>0</v>
      </c>
      <c r="N154" s="386">
        <f t="shared" si="39"/>
        <v>0</v>
      </c>
      <c r="O154" s="375">
        <f t="shared" si="40"/>
        <v>173.28</v>
      </c>
      <c r="P154" s="136">
        <f t="shared" si="36"/>
        <v>0</v>
      </c>
      <c r="S154" s="189">
        <v>0</v>
      </c>
      <c r="T154" s="189">
        <v>0</v>
      </c>
    </row>
    <row r="155" spans="1:20" x14ac:dyDescent="0.2">
      <c r="A155" s="125" t="s">
        <v>1565</v>
      </c>
      <c r="B155" s="126" t="s">
        <v>1566</v>
      </c>
      <c r="C155" s="126" t="s">
        <v>1324</v>
      </c>
      <c r="D155" s="127" t="s">
        <v>1567</v>
      </c>
      <c r="E155" s="128" t="s">
        <v>102</v>
      </c>
      <c r="F155" s="138"/>
      <c r="G155" s="130">
        <v>52.59</v>
      </c>
      <c r="H155" s="128">
        <v>2</v>
      </c>
      <c r="I155" s="133">
        <v>0</v>
      </c>
      <c r="J155" s="374">
        <f>'01'!G155+'02'!G155+'03'!H155+'04 CORRIGIDA'!J154+'05'!I155</f>
        <v>0</v>
      </c>
      <c r="K155" s="116">
        <f>0</f>
        <v>0</v>
      </c>
      <c r="L155" s="131">
        <f t="shared" si="37"/>
        <v>105.18</v>
      </c>
      <c r="M155" s="131">
        <f t="shared" si="38"/>
        <v>0</v>
      </c>
      <c r="N155" s="386">
        <f t="shared" si="39"/>
        <v>0</v>
      </c>
      <c r="O155" s="375">
        <f t="shared" si="40"/>
        <v>105.18</v>
      </c>
      <c r="P155" s="136">
        <f t="shared" si="36"/>
        <v>0</v>
      </c>
      <c r="S155" s="189">
        <v>0</v>
      </c>
      <c r="T155" s="189">
        <v>0</v>
      </c>
    </row>
    <row r="156" spans="1:20" x14ac:dyDescent="0.2">
      <c r="A156" s="125" t="s">
        <v>1568</v>
      </c>
      <c r="B156" s="126" t="s">
        <v>1569</v>
      </c>
      <c r="C156" s="126" t="s">
        <v>1324</v>
      </c>
      <c r="D156" s="127" t="s">
        <v>1570</v>
      </c>
      <c r="E156" s="128" t="s">
        <v>102</v>
      </c>
      <c r="F156" s="138"/>
      <c r="G156" s="130">
        <v>120.21</v>
      </c>
      <c r="H156" s="128">
        <v>2</v>
      </c>
      <c r="I156" s="133">
        <v>0</v>
      </c>
      <c r="J156" s="374">
        <f>'01'!G156+'02'!G156+'03'!H156+'04 CORRIGIDA'!J155+'05'!I156</f>
        <v>0</v>
      </c>
      <c r="K156" s="116">
        <f>0</f>
        <v>0</v>
      </c>
      <c r="L156" s="131">
        <f t="shared" si="37"/>
        <v>240.42</v>
      </c>
      <c r="M156" s="131">
        <f t="shared" si="38"/>
        <v>0</v>
      </c>
      <c r="N156" s="386">
        <f t="shared" si="39"/>
        <v>0</v>
      </c>
      <c r="O156" s="375">
        <f t="shared" si="40"/>
        <v>240.42</v>
      </c>
      <c r="P156" s="136">
        <f t="shared" si="36"/>
        <v>0</v>
      </c>
      <c r="S156" s="189">
        <v>0</v>
      </c>
      <c r="T156" s="189">
        <v>0</v>
      </c>
    </row>
    <row r="157" spans="1:20" x14ac:dyDescent="0.2">
      <c r="A157" s="125" t="s">
        <v>1571</v>
      </c>
      <c r="B157" s="126" t="s">
        <v>1572</v>
      </c>
      <c r="C157" s="126" t="s">
        <v>1324</v>
      </c>
      <c r="D157" s="127" t="s">
        <v>1573</v>
      </c>
      <c r="E157" s="128" t="s">
        <v>102</v>
      </c>
      <c r="F157" s="129"/>
      <c r="G157" s="130">
        <v>67.349999999999994</v>
      </c>
      <c r="H157" s="128">
        <v>2</v>
      </c>
      <c r="I157" s="133">
        <v>0</v>
      </c>
      <c r="J157" s="374">
        <f>'01'!G157+'02'!G157+'03'!H157+'04 CORRIGIDA'!J156+'05'!I157</f>
        <v>0</v>
      </c>
      <c r="K157" s="116">
        <f>0</f>
        <v>0</v>
      </c>
      <c r="L157" s="131">
        <f t="shared" si="37"/>
        <v>134.69999999999999</v>
      </c>
      <c r="M157" s="131">
        <f t="shared" si="38"/>
        <v>0</v>
      </c>
      <c r="N157" s="386">
        <f t="shared" si="39"/>
        <v>0</v>
      </c>
      <c r="O157" s="375">
        <f t="shared" si="40"/>
        <v>134.69999999999999</v>
      </c>
      <c r="P157" s="136">
        <f t="shared" si="36"/>
        <v>0</v>
      </c>
      <c r="S157" s="189">
        <v>0</v>
      </c>
      <c r="T157" s="189">
        <v>0</v>
      </c>
    </row>
    <row r="158" spans="1:20" x14ac:dyDescent="0.2">
      <c r="A158" s="125" t="s">
        <v>1574</v>
      </c>
      <c r="B158" s="126">
        <v>89987</v>
      </c>
      <c r="C158" s="126" t="s">
        <v>1324</v>
      </c>
      <c r="D158" s="127" t="s">
        <v>1575</v>
      </c>
      <c r="E158" s="128" t="s">
        <v>102</v>
      </c>
      <c r="F158" s="137">
        <v>8.41</v>
      </c>
      <c r="G158" s="130">
        <v>35.92</v>
      </c>
      <c r="H158" s="128">
        <v>2</v>
      </c>
      <c r="I158" s="133">
        <v>0</v>
      </c>
      <c r="J158" s="374">
        <f>'01'!G158+'02'!G158+'03'!H158+'04 CORRIGIDA'!J157+'05'!I158</f>
        <v>0</v>
      </c>
      <c r="K158" s="116">
        <f>0</f>
        <v>0</v>
      </c>
      <c r="L158" s="131">
        <f t="shared" si="37"/>
        <v>71.84</v>
      </c>
      <c r="M158" s="131">
        <f t="shared" si="38"/>
        <v>0</v>
      </c>
      <c r="N158" s="386">
        <f t="shared" si="39"/>
        <v>0</v>
      </c>
      <c r="O158" s="375">
        <f t="shared" si="40"/>
        <v>71.84</v>
      </c>
      <c r="P158" s="136">
        <f t="shared" si="36"/>
        <v>0</v>
      </c>
      <c r="S158" s="189">
        <v>0</v>
      </c>
      <c r="T158" s="189">
        <v>0</v>
      </c>
    </row>
    <row r="159" spans="1:20" x14ac:dyDescent="0.2">
      <c r="A159" s="125" t="s">
        <v>1576</v>
      </c>
      <c r="B159" s="126">
        <v>89985</v>
      </c>
      <c r="C159" s="126" t="s">
        <v>1324</v>
      </c>
      <c r="D159" s="127" t="s">
        <v>1577</v>
      </c>
      <c r="E159" s="128" t="s">
        <v>102</v>
      </c>
      <c r="F159" s="137">
        <v>9.49</v>
      </c>
      <c r="G159" s="130">
        <v>64.02</v>
      </c>
      <c r="H159" s="128">
        <v>8</v>
      </c>
      <c r="I159" s="133">
        <v>0</v>
      </c>
      <c r="J159" s="374">
        <f>'01'!G159+'02'!G159+'03'!H159+'04 CORRIGIDA'!J158+'05'!I159</f>
        <v>0</v>
      </c>
      <c r="K159" s="116">
        <f>0</f>
        <v>0</v>
      </c>
      <c r="L159" s="131">
        <f t="shared" si="37"/>
        <v>512.16</v>
      </c>
      <c r="M159" s="131">
        <f t="shared" si="38"/>
        <v>0</v>
      </c>
      <c r="N159" s="386">
        <f t="shared" si="39"/>
        <v>0</v>
      </c>
      <c r="O159" s="375">
        <f t="shared" si="40"/>
        <v>512.16</v>
      </c>
      <c r="P159" s="136">
        <f t="shared" si="36"/>
        <v>0</v>
      </c>
      <c r="S159" s="189">
        <v>0</v>
      </c>
      <c r="T159" s="189">
        <v>12</v>
      </c>
    </row>
    <row r="160" spans="1:20" x14ac:dyDescent="0.2">
      <c r="A160" s="125" t="s">
        <v>1578</v>
      </c>
      <c r="B160" s="126">
        <v>89538</v>
      </c>
      <c r="C160" s="126" t="s">
        <v>1324</v>
      </c>
      <c r="D160" s="127" t="s">
        <v>1579</v>
      </c>
      <c r="E160" s="128" t="s">
        <v>102</v>
      </c>
      <c r="F160" s="137">
        <v>6.56</v>
      </c>
      <c r="G160" s="130">
        <v>2.75</v>
      </c>
      <c r="H160" s="128">
        <v>12</v>
      </c>
      <c r="I160" s="133">
        <v>0</v>
      </c>
      <c r="J160" s="374">
        <f>'01'!G160+'02'!G160+'03'!H160+'04 CORRIGIDA'!J159+'05'!I160</f>
        <v>12</v>
      </c>
      <c r="K160" s="116">
        <f>0</f>
        <v>0</v>
      </c>
      <c r="L160" s="131">
        <f t="shared" si="37"/>
        <v>33</v>
      </c>
      <c r="M160" s="131">
        <f t="shared" si="38"/>
        <v>0</v>
      </c>
      <c r="N160" s="386">
        <f t="shared" si="39"/>
        <v>33</v>
      </c>
      <c r="O160" s="389">
        <f>0</f>
        <v>0</v>
      </c>
      <c r="P160" s="136">
        <f t="shared" si="36"/>
        <v>1</v>
      </c>
      <c r="S160" s="189">
        <v>0</v>
      </c>
      <c r="T160" s="189">
        <v>4</v>
      </c>
    </row>
    <row r="161" spans="1:20" x14ac:dyDescent="0.2">
      <c r="A161" s="125" t="s">
        <v>1580</v>
      </c>
      <c r="B161" s="126">
        <v>89553</v>
      </c>
      <c r="C161" s="126" t="s">
        <v>1324</v>
      </c>
      <c r="D161" s="127" t="s">
        <v>1581</v>
      </c>
      <c r="E161" s="128" t="s">
        <v>102</v>
      </c>
      <c r="F161" s="138"/>
      <c r="G161" s="130">
        <v>4.01</v>
      </c>
      <c r="H161" s="128">
        <v>4</v>
      </c>
      <c r="I161" s="133">
        <v>0</v>
      </c>
      <c r="J161" s="374">
        <f>'01'!G161+'02'!G161+'03'!H161+'04 CORRIGIDA'!J160+'05'!I161</f>
        <v>4</v>
      </c>
      <c r="K161" s="116">
        <f>0</f>
        <v>0</v>
      </c>
      <c r="L161" s="131">
        <f t="shared" si="37"/>
        <v>16.04</v>
      </c>
      <c r="M161" s="131">
        <f t="shared" si="38"/>
        <v>0</v>
      </c>
      <c r="N161" s="386">
        <f t="shared" si="39"/>
        <v>16.04</v>
      </c>
      <c r="O161" s="389">
        <f>0</f>
        <v>0</v>
      </c>
      <c r="P161" s="136">
        <f t="shared" si="36"/>
        <v>1</v>
      </c>
      <c r="S161" s="189">
        <v>0</v>
      </c>
      <c r="T161" s="189">
        <v>4</v>
      </c>
    </row>
    <row r="162" spans="1:20" x14ac:dyDescent="0.2">
      <c r="A162" s="125" t="s">
        <v>1582</v>
      </c>
      <c r="B162" s="126">
        <v>89570</v>
      </c>
      <c r="C162" s="126" t="s">
        <v>1324</v>
      </c>
      <c r="D162" s="127" t="s">
        <v>1583</v>
      </c>
      <c r="E162" s="128" t="s">
        <v>102</v>
      </c>
      <c r="F162" s="137">
        <v>8.41</v>
      </c>
      <c r="G162" s="130">
        <v>6.66</v>
      </c>
      <c r="H162" s="128">
        <v>4</v>
      </c>
      <c r="I162" s="133">
        <v>0</v>
      </c>
      <c r="J162" s="374">
        <f>'01'!G162+'02'!G162+'03'!H162+'04 CORRIGIDA'!J161+'05'!I162</f>
        <v>4</v>
      </c>
      <c r="K162" s="116">
        <f>0</f>
        <v>0</v>
      </c>
      <c r="L162" s="131">
        <f t="shared" si="37"/>
        <v>26.64</v>
      </c>
      <c r="M162" s="131">
        <f t="shared" si="38"/>
        <v>0</v>
      </c>
      <c r="N162" s="386">
        <f t="shared" si="39"/>
        <v>26.64</v>
      </c>
      <c r="O162" s="389">
        <f>0</f>
        <v>0</v>
      </c>
      <c r="P162" s="136">
        <f t="shared" si="36"/>
        <v>1</v>
      </c>
      <c r="S162" s="189">
        <v>0</v>
      </c>
      <c r="T162" s="189">
        <v>4</v>
      </c>
    </row>
    <row r="163" spans="1:20" x14ac:dyDescent="0.2">
      <c r="A163" s="125" t="s">
        <v>1584</v>
      </c>
      <c r="B163" s="126">
        <v>89596</v>
      </c>
      <c r="C163" s="126" t="s">
        <v>1324</v>
      </c>
      <c r="D163" s="127" t="s">
        <v>1585</v>
      </c>
      <c r="E163" s="128" t="s">
        <v>102</v>
      </c>
      <c r="F163" s="138"/>
      <c r="G163" s="130">
        <v>7.49</v>
      </c>
      <c r="H163" s="128">
        <v>4</v>
      </c>
      <c r="I163" s="133">
        <v>0</v>
      </c>
      <c r="J163" s="374">
        <f>'01'!G163+'02'!G163+'03'!H163+'04 CORRIGIDA'!J162+'05'!I163</f>
        <v>4</v>
      </c>
      <c r="K163" s="116">
        <f>0</f>
        <v>0</v>
      </c>
      <c r="L163" s="131">
        <f t="shared" si="37"/>
        <v>29.96</v>
      </c>
      <c r="M163" s="131">
        <f t="shared" si="38"/>
        <v>0</v>
      </c>
      <c r="N163" s="386">
        <f t="shared" si="39"/>
        <v>29.96</v>
      </c>
      <c r="O163" s="389">
        <f>0</f>
        <v>0</v>
      </c>
      <c r="P163" s="136">
        <f t="shared" si="36"/>
        <v>1</v>
      </c>
      <c r="S163" s="189">
        <v>0</v>
      </c>
      <c r="T163" s="189">
        <v>10</v>
      </c>
    </row>
    <row r="164" spans="1:20" x14ac:dyDescent="0.2">
      <c r="A164" s="125" t="s">
        <v>1586</v>
      </c>
      <c r="B164" s="126">
        <v>86884</v>
      </c>
      <c r="C164" s="126" t="s">
        <v>1324</v>
      </c>
      <c r="D164" s="127" t="s">
        <v>1587</v>
      </c>
      <c r="E164" s="128" t="s">
        <v>102</v>
      </c>
      <c r="F164" s="137">
        <v>6.56</v>
      </c>
      <c r="G164" s="130">
        <v>6.05</v>
      </c>
      <c r="H164" s="128">
        <v>10</v>
      </c>
      <c r="I164" s="133">
        <v>0</v>
      </c>
      <c r="J164" s="374">
        <f>'01'!G164+'02'!G164+'03'!H164+'04 CORRIGIDA'!J163+'05'!I164</f>
        <v>10</v>
      </c>
      <c r="K164" s="116">
        <f>0</f>
        <v>0</v>
      </c>
      <c r="L164" s="131">
        <f t="shared" si="37"/>
        <v>60.5</v>
      </c>
      <c r="M164" s="131">
        <f t="shared" si="38"/>
        <v>0</v>
      </c>
      <c r="N164" s="386">
        <f t="shared" si="39"/>
        <v>60.5</v>
      </c>
      <c r="O164" s="389">
        <f>0</f>
        <v>0</v>
      </c>
      <c r="P164" s="136">
        <f t="shared" si="36"/>
        <v>1</v>
      </c>
      <c r="S164" s="189">
        <v>0</v>
      </c>
      <c r="T164" s="189">
        <v>0</v>
      </c>
    </row>
    <row r="165" spans="1:20" x14ac:dyDescent="0.2">
      <c r="A165" s="125" t="s">
        <v>1588</v>
      </c>
      <c r="B165" s="126">
        <v>72789</v>
      </c>
      <c r="C165" s="126" t="s">
        <v>1324</v>
      </c>
      <c r="D165" s="127" t="s">
        <v>1589</v>
      </c>
      <c r="E165" s="128" t="s">
        <v>102</v>
      </c>
      <c r="F165" s="137">
        <v>9.49</v>
      </c>
      <c r="G165" s="130">
        <v>16.59</v>
      </c>
      <c r="H165" s="128">
        <v>3</v>
      </c>
      <c r="I165" s="133">
        <v>0</v>
      </c>
      <c r="J165" s="374">
        <f>'01'!G165+'02'!G165+'03'!H165+'04 CORRIGIDA'!J164+'05'!I165</f>
        <v>0</v>
      </c>
      <c r="K165" s="128">
        <f>H165</f>
        <v>3</v>
      </c>
      <c r="L165" s="131">
        <f t="shared" si="37"/>
        <v>49.77</v>
      </c>
      <c r="M165" s="131">
        <f t="shared" si="38"/>
        <v>0</v>
      </c>
      <c r="N165" s="386">
        <f t="shared" si="39"/>
        <v>0</v>
      </c>
      <c r="O165" s="375">
        <f>L165-N165</f>
        <v>49.77</v>
      </c>
      <c r="P165" s="136">
        <f t="shared" si="36"/>
        <v>0</v>
      </c>
      <c r="S165" s="189">
        <v>0</v>
      </c>
      <c r="T165" s="189">
        <v>0</v>
      </c>
    </row>
    <row r="166" spans="1:20" x14ac:dyDescent="0.2">
      <c r="A166" s="125" t="s">
        <v>1590</v>
      </c>
      <c r="B166" s="126">
        <v>72792</v>
      </c>
      <c r="C166" s="126" t="s">
        <v>1324</v>
      </c>
      <c r="D166" s="127" t="s">
        <v>1591</v>
      </c>
      <c r="E166" s="128" t="s">
        <v>102</v>
      </c>
      <c r="F166" s="138"/>
      <c r="G166" s="130">
        <v>32.79</v>
      </c>
      <c r="H166" s="128">
        <v>2</v>
      </c>
      <c r="I166" s="133">
        <v>0</v>
      </c>
      <c r="J166" s="374">
        <f>'01'!G166+'02'!G166+'03'!H166+'04 CORRIGIDA'!J165+'05'!I166</f>
        <v>0</v>
      </c>
      <c r="K166" s="128">
        <f>H166</f>
        <v>2</v>
      </c>
      <c r="L166" s="131">
        <f t="shared" si="37"/>
        <v>65.58</v>
      </c>
      <c r="M166" s="131">
        <f t="shared" si="38"/>
        <v>0</v>
      </c>
      <c r="N166" s="386">
        <f t="shared" si="39"/>
        <v>0</v>
      </c>
      <c r="O166" s="375">
        <f>L166-N166</f>
        <v>65.58</v>
      </c>
      <c r="P166" s="136">
        <f t="shared" si="36"/>
        <v>0</v>
      </c>
      <c r="S166" s="189">
        <v>0</v>
      </c>
      <c r="T166" s="189">
        <v>0</v>
      </c>
    </row>
    <row r="167" spans="1:20" x14ac:dyDescent="0.2">
      <c r="A167" s="125" t="s">
        <v>1592</v>
      </c>
      <c r="B167" s="126" t="s">
        <v>2007</v>
      </c>
      <c r="C167" s="126" t="s">
        <v>1339</v>
      </c>
      <c r="D167" s="127" t="s">
        <v>1593</v>
      </c>
      <c r="E167" s="128" t="s">
        <v>102</v>
      </c>
      <c r="F167" s="137">
        <v>13.87</v>
      </c>
      <c r="G167" s="130">
        <v>1286.6600000000001</v>
      </c>
      <c r="H167" s="128">
        <v>1</v>
      </c>
      <c r="I167" s="133">
        <v>0</v>
      </c>
      <c r="J167" s="374">
        <f>'01'!G167+'02'!G167+'03'!H167+'04 CORRIGIDA'!J166+'05'!I167</f>
        <v>0</v>
      </c>
      <c r="K167" s="128">
        <f>H167</f>
        <v>1</v>
      </c>
      <c r="L167" s="131">
        <f t="shared" si="37"/>
        <v>1286.6600000000001</v>
      </c>
      <c r="M167" s="131">
        <f t="shared" si="38"/>
        <v>0</v>
      </c>
      <c r="N167" s="386">
        <f t="shared" si="39"/>
        <v>0</v>
      </c>
      <c r="O167" s="375">
        <f>L167-N167</f>
        <v>1286.6600000000001</v>
      </c>
      <c r="P167" s="136">
        <f t="shared" si="36"/>
        <v>0</v>
      </c>
      <c r="S167" s="189">
        <v>0</v>
      </c>
      <c r="T167" s="189">
        <v>0</v>
      </c>
    </row>
    <row r="168" spans="1:20" s="106" customFormat="1" x14ac:dyDescent="0.2">
      <c r="A168" s="412">
        <v>13</v>
      </c>
      <c r="B168" s="413"/>
      <c r="C168" s="413"/>
      <c r="D168" s="414" t="s">
        <v>1594</v>
      </c>
      <c r="E168" s="415"/>
      <c r="F168" s="417"/>
      <c r="G168" s="418"/>
      <c r="H168" s="416"/>
      <c r="I168" s="420"/>
      <c r="J168" s="421"/>
      <c r="K168" s="420"/>
      <c r="L168" s="416">
        <f>SUM(L169,L181)</f>
        <v>16232.49</v>
      </c>
      <c r="M168" s="433">
        <f>SUM(M169,M181)</f>
        <v>0</v>
      </c>
      <c r="N168" s="432">
        <f>SUM(N169,N181)</f>
        <v>3052.9100000000003</v>
      </c>
      <c r="O168" s="434">
        <f>SUM(O169,O181)</f>
        <v>13798.98</v>
      </c>
      <c r="P168" s="423">
        <f t="shared" si="36"/>
        <v>0.18807404162885671</v>
      </c>
      <c r="S168" s="190">
        <v>0</v>
      </c>
      <c r="T168" s="190">
        <v>0</v>
      </c>
    </row>
    <row r="169" spans="1:20" x14ac:dyDescent="0.2">
      <c r="A169" s="449" t="s">
        <v>306</v>
      </c>
      <c r="B169" s="450"/>
      <c r="C169" s="450"/>
      <c r="D169" s="451" t="s">
        <v>1516</v>
      </c>
      <c r="E169" s="452"/>
      <c r="F169" s="452">
        <f>SUM(F170:F180)</f>
        <v>1253.5100000000004</v>
      </c>
      <c r="G169" s="468">
        <f>SUM(G170:G180)</f>
        <v>199.35</v>
      </c>
      <c r="H169" s="452">
        <f>SUM(H170:H180)</f>
        <v>161</v>
      </c>
      <c r="I169" s="452">
        <f>SUM(I170:I180)</f>
        <v>0</v>
      </c>
      <c r="J169" s="457">
        <f>'01'!G169+'02'!G169+'03'!H169+'04 CORRIGIDA'!J168+'05'!I169</f>
        <v>161</v>
      </c>
      <c r="K169" s="452">
        <f>0</f>
        <v>0</v>
      </c>
      <c r="L169" s="470">
        <f>SUM(L171:L180)</f>
        <v>2433.5100000000002</v>
      </c>
      <c r="M169" s="468">
        <f>SUM(M170:M180)</f>
        <v>0</v>
      </c>
      <c r="N169" s="467">
        <f>SUM(N170:N180)</f>
        <v>3052.9100000000003</v>
      </c>
      <c r="O169" s="469">
        <f>0</f>
        <v>0</v>
      </c>
      <c r="P169" s="459">
        <f t="shared" si="36"/>
        <v>1.254529465668931</v>
      </c>
      <c r="S169" s="189">
        <v>0</v>
      </c>
      <c r="T169" s="189">
        <v>47.5</v>
      </c>
    </row>
    <row r="170" spans="1:20" x14ac:dyDescent="0.2">
      <c r="A170" s="125" t="s">
        <v>1595</v>
      </c>
      <c r="B170" s="126">
        <v>89711</v>
      </c>
      <c r="C170" s="126" t="s">
        <v>1324</v>
      </c>
      <c r="D170" s="127" t="s">
        <v>1596</v>
      </c>
      <c r="E170" s="128" t="s">
        <v>81</v>
      </c>
      <c r="F170" s="138"/>
      <c r="G170" s="130">
        <v>13.04</v>
      </c>
      <c r="H170" s="128">
        <v>47.5</v>
      </c>
      <c r="I170" s="133">
        <v>0</v>
      </c>
      <c r="J170" s="374">
        <f>'01'!G170+'02'!G170+'03'!H170+'04 CORRIGIDA'!J169+'05'!I170</f>
        <v>47.5</v>
      </c>
      <c r="K170" s="116">
        <f>0</f>
        <v>0</v>
      </c>
      <c r="L170" s="131">
        <f t="shared" ref="L170:L180" si="41">ROUND(H170*G170,2)</f>
        <v>619.4</v>
      </c>
      <c r="M170" s="131">
        <f t="shared" ref="M170:M180" si="42">I170*G170</f>
        <v>0</v>
      </c>
      <c r="N170" s="386">
        <f t="shared" ref="N170:N180" si="43">J170*G170</f>
        <v>619.4</v>
      </c>
      <c r="O170" s="389">
        <f>0</f>
        <v>0</v>
      </c>
      <c r="P170" s="136">
        <f t="shared" si="36"/>
        <v>1</v>
      </c>
      <c r="S170" s="189">
        <v>0</v>
      </c>
      <c r="T170" s="189">
        <v>21.5</v>
      </c>
    </row>
    <row r="171" spans="1:20" x14ac:dyDescent="0.2">
      <c r="A171" s="125" t="s">
        <v>1597</v>
      </c>
      <c r="B171" s="126">
        <v>89712</v>
      </c>
      <c r="C171" s="126" t="s">
        <v>1324</v>
      </c>
      <c r="D171" s="127" t="s">
        <v>1598</v>
      </c>
      <c r="E171" s="128" t="s">
        <v>81</v>
      </c>
      <c r="F171" s="138"/>
      <c r="G171" s="130">
        <v>18.98</v>
      </c>
      <c r="H171" s="128">
        <v>21.5</v>
      </c>
      <c r="I171" s="133">
        <v>0</v>
      </c>
      <c r="J171" s="374">
        <f>'01'!G171+'02'!G171+'03'!H171+'04 CORRIGIDA'!J170+'05'!I171</f>
        <v>21.5</v>
      </c>
      <c r="K171" s="116">
        <f>0</f>
        <v>0</v>
      </c>
      <c r="L171" s="131">
        <f t="shared" si="41"/>
        <v>408.07</v>
      </c>
      <c r="M171" s="131">
        <f t="shared" si="42"/>
        <v>0</v>
      </c>
      <c r="N171" s="386">
        <f t="shared" si="43"/>
        <v>408.07</v>
      </c>
      <c r="O171" s="389">
        <f>0</f>
        <v>0</v>
      </c>
      <c r="P171" s="136">
        <f t="shared" si="36"/>
        <v>1</v>
      </c>
      <c r="S171" s="189">
        <v>0</v>
      </c>
      <c r="T171" s="189">
        <v>36</v>
      </c>
    </row>
    <row r="172" spans="1:20" x14ac:dyDescent="0.2">
      <c r="A172" s="125" t="s">
        <v>1599</v>
      </c>
      <c r="B172" s="126">
        <v>89714</v>
      </c>
      <c r="C172" s="126" t="s">
        <v>1324</v>
      </c>
      <c r="D172" s="127" t="s">
        <v>1600</v>
      </c>
      <c r="E172" s="128" t="s">
        <v>81</v>
      </c>
      <c r="F172" s="137">
        <v>224.11</v>
      </c>
      <c r="G172" s="130">
        <v>36.869999999999997</v>
      </c>
      <c r="H172" s="128">
        <v>36</v>
      </c>
      <c r="I172" s="133">
        <v>0</v>
      </c>
      <c r="J172" s="374">
        <f>'01'!G172+'02'!G172+'03'!H172+'04 CORRIGIDA'!J171+'05'!I172</f>
        <v>36</v>
      </c>
      <c r="K172" s="116">
        <f>0</f>
        <v>0</v>
      </c>
      <c r="L172" s="131">
        <f t="shared" si="41"/>
        <v>1327.32</v>
      </c>
      <c r="M172" s="131">
        <f t="shared" si="42"/>
        <v>0</v>
      </c>
      <c r="N172" s="386">
        <f t="shared" si="43"/>
        <v>1327.32</v>
      </c>
      <c r="O172" s="389">
        <f>0</f>
        <v>0</v>
      </c>
      <c r="P172" s="136">
        <f t="shared" si="36"/>
        <v>1</v>
      </c>
      <c r="S172" s="189">
        <v>0</v>
      </c>
      <c r="T172" s="189">
        <v>7</v>
      </c>
    </row>
    <row r="173" spans="1:20" x14ac:dyDescent="0.2">
      <c r="A173" s="125" t="s">
        <v>1601</v>
      </c>
      <c r="B173" s="126">
        <v>89726</v>
      </c>
      <c r="C173" s="126" t="s">
        <v>1324</v>
      </c>
      <c r="D173" s="127" t="s">
        <v>1602</v>
      </c>
      <c r="E173" s="128" t="s">
        <v>102</v>
      </c>
      <c r="F173" s="137">
        <v>312.5</v>
      </c>
      <c r="G173" s="130">
        <v>6.33</v>
      </c>
      <c r="H173" s="128">
        <v>7</v>
      </c>
      <c r="I173" s="133">
        <v>0</v>
      </c>
      <c r="J173" s="374">
        <f>'01'!G173+'02'!G173+'03'!H173+'04 CORRIGIDA'!J172+'05'!I173</f>
        <v>7</v>
      </c>
      <c r="K173" s="116">
        <f>0</f>
        <v>0</v>
      </c>
      <c r="L173" s="131">
        <f t="shared" si="41"/>
        <v>44.31</v>
      </c>
      <c r="M173" s="131">
        <f t="shared" si="42"/>
        <v>0</v>
      </c>
      <c r="N173" s="386">
        <f t="shared" si="43"/>
        <v>44.31</v>
      </c>
      <c r="O173" s="389">
        <f>0</f>
        <v>0</v>
      </c>
      <c r="P173" s="136">
        <f t="shared" ref="P173:P204" si="44">N173/L173</f>
        <v>1</v>
      </c>
      <c r="S173" s="189">
        <v>0</v>
      </c>
      <c r="T173" s="189">
        <v>6</v>
      </c>
    </row>
    <row r="174" spans="1:20" x14ac:dyDescent="0.2">
      <c r="A174" s="125" t="s">
        <v>1603</v>
      </c>
      <c r="B174" s="126">
        <v>89744</v>
      </c>
      <c r="C174" s="126" t="s">
        <v>1324</v>
      </c>
      <c r="D174" s="127" t="s">
        <v>1604</v>
      </c>
      <c r="E174" s="128" t="s">
        <v>102</v>
      </c>
      <c r="F174" s="137">
        <v>323.14</v>
      </c>
      <c r="G174" s="130">
        <v>16.600000000000001</v>
      </c>
      <c r="H174" s="128">
        <v>6</v>
      </c>
      <c r="I174" s="133">
        <v>0</v>
      </c>
      <c r="J174" s="374">
        <f>'01'!G174+'02'!G174+'03'!H174+'04 CORRIGIDA'!J173+'05'!I174</f>
        <v>6</v>
      </c>
      <c r="K174" s="116">
        <f>0</f>
        <v>0</v>
      </c>
      <c r="L174" s="131">
        <f t="shared" si="41"/>
        <v>99.6</v>
      </c>
      <c r="M174" s="131">
        <f t="shared" si="42"/>
        <v>0</v>
      </c>
      <c r="N174" s="386">
        <f t="shared" si="43"/>
        <v>99.600000000000009</v>
      </c>
      <c r="O174" s="389">
        <f>0</f>
        <v>0</v>
      </c>
      <c r="P174" s="136">
        <f t="shared" si="44"/>
        <v>1.0000000000000002</v>
      </c>
      <c r="S174" s="189">
        <v>0</v>
      </c>
      <c r="T174" s="189">
        <v>10</v>
      </c>
    </row>
    <row r="175" spans="1:20" x14ac:dyDescent="0.2">
      <c r="A175" s="125" t="s">
        <v>1605</v>
      </c>
      <c r="B175" s="126">
        <v>89724</v>
      </c>
      <c r="C175" s="126" t="s">
        <v>1324</v>
      </c>
      <c r="D175" s="127" t="s">
        <v>1606</v>
      </c>
      <c r="E175" s="128" t="s">
        <v>102</v>
      </c>
      <c r="F175" s="137">
        <v>224.11</v>
      </c>
      <c r="G175" s="130">
        <v>5.6</v>
      </c>
      <c r="H175" s="128">
        <v>10</v>
      </c>
      <c r="I175" s="133">
        <v>0</v>
      </c>
      <c r="J175" s="374">
        <f>'01'!G175+'02'!G175+'03'!H175+'04 CORRIGIDA'!J174+'05'!I175</f>
        <v>10</v>
      </c>
      <c r="K175" s="116">
        <f>0</f>
        <v>0</v>
      </c>
      <c r="L175" s="131">
        <f t="shared" si="41"/>
        <v>56</v>
      </c>
      <c r="M175" s="131">
        <f t="shared" si="42"/>
        <v>0</v>
      </c>
      <c r="N175" s="386">
        <f t="shared" si="43"/>
        <v>56</v>
      </c>
      <c r="O175" s="389">
        <f>0</f>
        <v>0</v>
      </c>
      <c r="P175" s="136">
        <f t="shared" si="44"/>
        <v>1</v>
      </c>
      <c r="S175" s="189">
        <v>0</v>
      </c>
      <c r="T175" s="189">
        <v>6</v>
      </c>
    </row>
    <row r="176" spans="1:20" x14ac:dyDescent="0.2">
      <c r="A176" s="125" t="s">
        <v>1607</v>
      </c>
      <c r="B176" s="126">
        <v>89827</v>
      </c>
      <c r="C176" s="126" t="s">
        <v>1324</v>
      </c>
      <c r="D176" s="127" t="s">
        <v>1608</v>
      </c>
      <c r="E176" s="128" t="s">
        <v>102</v>
      </c>
      <c r="F176" s="137">
        <v>33.93</v>
      </c>
      <c r="G176" s="130">
        <v>10.23</v>
      </c>
      <c r="H176" s="128">
        <v>6</v>
      </c>
      <c r="I176" s="133">
        <v>0</v>
      </c>
      <c r="J176" s="374">
        <f>'01'!G176+'02'!G176+'03'!H176+'04 CORRIGIDA'!J175+'05'!I176</f>
        <v>6</v>
      </c>
      <c r="K176" s="116">
        <f>0</f>
        <v>0</v>
      </c>
      <c r="L176" s="131">
        <f t="shared" si="41"/>
        <v>61.38</v>
      </c>
      <c r="M176" s="131">
        <f t="shared" si="42"/>
        <v>0</v>
      </c>
      <c r="N176" s="386">
        <f t="shared" si="43"/>
        <v>61.38</v>
      </c>
      <c r="O176" s="389">
        <f>0</f>
        <v>0</v>
      </c>
      <c r="P176" s="136">
        <f t="shared" si="44"/>
        <v>1</v>
      </c>
      <c r="S176" s="189">
        <v>0</v>
      </c>
      <c r="T176" s="189">
        <v>5</v>
      </c>
    </row>
    <row r="177" spans="1:20" x14ac:dyDescent="0.2">
      <c r="A177" s="125" t="s">
        <v>1609</v>
      </c>
      <c r="B177" s="126">
        <v>89834</v>
      </c>
      <c r="C177" s="126" t="s">
        <v>1324</v>
      </c>
      <c r="D177" s="127" t="s">
        <v>1610</v>
      </c>
      <c r="E177" s="128" t="s">
        <v>102</v>
      </c>
      <c r="F177" s="137">
        <v>33.93</v>
      </c>
      <c r="G177" s="130">
        <v>25.46</v>
      </c>
      <c r="H177" s="128">
        <v>5</v>
      </c>
      <c r="I177" s="133">
        <v>0</v>
      </c>
      <c r="J177" s="374">
        <f>'01'!G177+'02'!G177+'03'!H177+'04 CORRIGIDA'!J176+'05'!I177</f>
        <v>5</v>
      </c>
      <c r="K177" s="116">
        <f>0</f>
        <v>0</v>
      </c>
      <c r="L177" s="131">
        <f t="shared" si="41"/>
        <v>127.3</v>
      </c>
      <c r="M177" s="131">
        <f t="shared" si="42"/>
        <v>0</v>
      </c>
      <c r="N177" s="386">
        <f t="shared" si="43"/>
        <v>127.30000000000001</v>
      </c>
      <c r="O177" s="389">
        <f>0</f>
        <v>0</v>
      </c>
      <c r="P177" s="136">
        <f t="shared" si="44"/>
        <v>1.0000000000000002</v>
      </c>
      <c r="S177" s="189">
        <v>0</v>
      </c>
      <c r="T177" s="189">
        <v>5</v>
      </c>
    </row>
    <row r="178" spans="1:20" x14ac:dyDescent="0.2">
      <c r="A178" s="125" t="s">
        <v>1611</v>
      </c>
      <c r="B178" s="126">
        <v>89797</v>
      </c>
      <c r="C178" s="126" t="s">
        <v>1324</v>
      </c>
      <c r="D178" s="127" t="s">
        <v>1612</v>
      </c>
      <c r="E178" s="128" t="s">
        <v>102</v>
      </c>
      <c r="F178" s="137">
        <v>33.93</v>
      </c>
      <c r="G178" s="130">
        <v>31.16</v>
      </c>
      <c r="H178" s="128">
        <v>5</v>
      </c>
      <c r="I178" s="133">
        <v>0</v>
      </c>
      <c r="J178" s="374">
        <f>'01'!G178+'02'!G178+'03'!H178+'04 CORRIGIDA'!J177+'05'!I178</f>
        <v>5</v>
      </c>
      <c r="K178" s="116">
        <f>0</f>
        <v>0</v>
      </c>
      <c r="L178" s="131">
        <f t="shared" si="41"/>
        <v>155.80000000000001</v>
      </c>
      <c r="M178" s="131">
        <f t="shared" si="42"/>
        <v>0</v>
      </c>
      <c r="N178" s="386">
        <f t="shared" si="43"/>
        <v>155.80000000000001</v>
      </c>
      <c r="O178" s="389">
        <f>0</f>
        <v>0</v>
      </c>
      <c r="P178" s="136">
        <f t="shared" si="44"/>
        <v>1</v>
      </c>
      <c r="S178" s="189">
        <v>0</v>
      </c>
      <c r="T178" s="189">
        <v>1</v>
      </c>
    </row>
    <row r="179" spans="1:20" x14ac:dyDescent="0.2">
      <c r="A179" s="125" t="s">
        <v>1613</v>
      </c>
      <c r="B179" s="126">
        <v>89852</v>
      </c>
      <c r="C179" s="126" t="s">
        <v>1324</v>
      </c>
      <c r="D179" s="127" t="s">
        <v>1614</v>
      </c>
      <c r="E179" s="128" t="s">
        <v>102</v>
      </c>
      <c r="F179" s="137">
        <v>33.93</v>
      </c>
      <c r="G179" s="130">
        <v>27.17</v>
      </c>
      <c r="H179" s="128">
        <v>1</v>
      </c>
      <c r="I179" s="133">
        <v>0</v>
      </c>
      <c r="J179" s="374">
        <f>'01'!G179+'02'!G179+'03'!H179+'04 CORRIGIDA'!J178+'05'!I179</f>
        <v>1</v>
      </c>
      <c r="K179" s="116">
        <f>0</f>
        <v>0</v>
      </c>
      <c r="L179" s="131">
        <f t="shared" si="41"/>
        <v>27.17</v>
      </c>
      <c r="M179" s="131">
        <f t="shared" si="42"/>
        <v>0</v>
      </c>
      <c r="N179" s="386">
        <f t="shared" si="43"/>
        <v>27.17</v>
      </c>
      <c r="O179" s="389">
        <f>0</f>
        <v>0</v>
      </c>
      <c r="P179" s="136">
        <f t="shared" si="44"/>
        <v>1</v>
      </c>
      <c r="S179" s="189">
        <v>0</v>
      </c>
      <c r="T179" s="189">
        <v>16</v>
      </c>
    </row>
    <row r="180" spans="1:20" s="106" customFormat="1" x14ac:dyDescent="0.2">
      <c r="A180" s="125" t="s">
        <v>1615</v>
      </c>
      <c r="B180" s="126">
        <v>89728</v>
      </c>
      <c r="C180" s="126" t="s">
        <v>1324</v>
      </c>
      <c r="D180" s="127" t="s">
        <v>1616</v>
      </c>
      <c r="E180" s="128" t="s">
        <v>102</v>
      </c>
      <c r="F180" s="137">
        <v>33.93</v>
      </c>
      <c r="G180" s="130">
        <v>7.91</v>
      </c>
      <c r="H180" s="128">
        <v>16</v>
      </c>
      <c r="I180" s="133">
        <v>0</v>
      </c>
      <c r="J180" s="374">
        <f>'01'!G180+'02'!G180+'03'!H180+'04 CORRIGIDA'!J179+'05'!I180</f>
        <v>16</v>
      </c>
      <c r="K180" s="116">
        <f>0</f>
        <v>0</v>
      </c>
      <c r="L180" s="131">
        <f t="shared" si="41"/>
        <v>126.56</v>
      </c>
      <c r="M180" s="131">
        <f t="shared" si="42"/>
        <v>0</v>
      </c>
      <c r="N180" s="386">
        <f t="shared" si="43"/>
        <v>126.56</v>
      </c>
      <c r="O180" s="389">
        <f>0</f>
        <v>0</v>
      </c>
      <c r="P180" s="136">
        <f t="shared" si="44"/>
        <v>1</v>
      </c>
      <c r="S180" s="190">
        <v>0</v>
      </c>
      <c r="T180" s="190">
        <v>0</v>
      </c>
    </row>
    <row r="181" spans="1:20" x14ac:dyDescent="0.2">
      <c r="A181" s="449" t="s">
        <v>309</v>
      </c>
      <c r="B181" s="450"/>
      <c r="C181" s="450"/>
      <c r="D181" s="451" t="s">
        <v>1617</v>
      </c>
      <c r="E181" s="465"/>
      <c r="F181" s="468"/>
      <c r="G181" s="465"/>
      <c r="H181" s="465"/>
      <c r="I181" s="465"/>
      <c r="J181" s="474"/>
      <c r="K181" s="474"/>
      <c r="L181" s="452">
        <f>SUM(L182:L189)</f>
        <v>13798.98</v>
      </c>
      <c r="M181" s="468">
        <f>SUM(M182:M189)</f>
        <v>0</v>
      </c>
      <c r="N181" s="467">
        <f>SUM(N182:N189)</f>
        <v>0</v>
      </c>
      <c r="O181" s="469">
        <f>SUM(O182:O189)</f>
        <v>13798.98</v>
      </c>
      <c r="P181" s="459">
        <f t="shared" si="44"/>
        <v>0</v>
      </c>
      <c r="S181" s="189">
        <v>0</v>
      </c>
      <c r="T181" s="189">
        <v>0</v>
      </c>
    </row>
    <row r="182" spans="1:20" x14ac:dyDescent="0.2">
      <c r="A182" s="125" t="s">
        <v>1618</v>
      </c>
      <c r="B182" s="126" t="s">
        <v>2007</v>
      </c>
      <c r="C182" s="126" t="s">
        <v>1339</v>
      </c>
      <c r="D182" s="127" t="s">
        <v>1619</v>
      </c>
      <c r="E182" s="128" t="s">
        <v>102</v>
      </c>
      <c r="F182" s="137">
        <v>190.09</v>
      </c>
      <c r="G182" s="130">
        <v>46.81</v>
      </c>
      <c r="H182" s="128">
        <v>6</v>
      </c>
      <c r="I182" s="116">
        <f>0</f>
        <v>0</v>
      </c>
      <c r="J182" s="374">
        <f>'01'!G182+'02'!G182+'03'!H182+'04 CORRIGIDA'!J181+'05'!I182</f>
        <v>0</v>
      </c>
      <c r="K182" s="137">
        <f t="shared" ref="K182:K189" si="45">H182-J182</f>
        <v>6</v>
      </c>
      <c r="L182" s="131">
        <f t="shared" ref="L182:L189" si="46">ROUND(H182*G182,2)</f>
        <v>280.86</v>
      </c>
      <c r="M182" s="131">
        <f t="shared" ref="M182:M189" si="47">I182*G182</f>
        <v>0</v>
      </c>
      <c r="N182" s="386">
        <f t="shared" ref="N182:N189" si="48">J182*G182</f>
        <v>0</v>
      </c>
      <c r="O182" s="375">
        <f t="shared" ref="O182:O189" si="49">L182-N182</f>
        <v>280.86</v>
      </c>
      <c r="P182" s="136">
        <f t="shared" si="44"/>
        <v>0</v>
      </c>
      <c r="S182" s="189">
        <v>0</v>
      </c>
      <c r="T182" s="189">
        <v>0</v>
      </c>
    </row>
    <row r="183" spans="1:20" x14ac:dyDescent="0.2">
      <c r="A183" s="125" t="s">
        <v>1620</v>
      </c>
      <c r="B183" s="126" t="s">
        <v>1621</v>
      </c>
      <c r="C183" s="126" t="s">
        <v>1324</v>
      </c>
      <c r="D183" s="127" t="s">
        <v>1622</v>
      </c>
      <c r="E183" s="128" t="s">
        <v>102</v>
      </c>
      <c r="F183" s="137">
        <v>222.14</v>
      </c>
      <c r="G183" s="130">
        <v>367.21</v>
      </c>
      <c r="H183" s="128">
        <v>2</v>
      </c>
      <c r="I183" s="116">
        <f>0</f>
        <v>0</v>
      </c>
      <c r="J183" s="374">
        <f>'01'!G183+'02'!G183+'03'!H183+'04 CORRIGIDA'!J182+'05'!I183</f>
        <v>0</v>
      </c>
      <c r="K183" s="137">
        <f t="shared" si="45"/>
        <v>2</v>
      </c>
      <c r="L183" s="131">
        <f t="shared" si="46"/>
        <v>734.42</v>
      </c>
      <c r="M183" s="131">
        <f t="shared" si="47"/>
        <v>0</v>
      </c>
      <c r="N183" s="386">
        <f t="shared" si="48"/>
        <v>0</v>
      </c>
      <c r="O183" s="375">
        <f t="shared" si="49"/>
        <v>734.42</v>
      </c>
      <c r="P183" s="136">
        <f t="shared" si="44"/>
        <v>0</v>
      </c>
      <c r="S183" s="189">
        <v>0</v>
      </c>
      <c r="T183" s="189">
        <v>0</v>
      </c>
    </row>
    <row r="184" spans="1:20" x14ac:dyDescent="0.2">
      <c r="A184" s="125" t="s">
        <v>1623</v>
      </c>
      <c r="B184" s="126">
        <v>89710</v>
      </c>
      <c r="C184" s="126" t="s">
        <v>1324</v>
      </c>
      <c r="D184" s="127" t="s">
        <v>1624</v>
      </c>
      <c r="E184" s="128" t="s">
        <v>102</v>
      </c>
      <c r="F184" s="137">
        <v>474.97</v>
      </c>
      <c r="G184" s="130">
        <v>7.75</v>
      </c>
      <c r="H184" s="128">
        <v>6</v>
      </c>
      <c r="I184" s="116">
        <f>0</f>
        <v>0</v>
      </c>
      <c r="J184" s="374">
        <f>'01'!G184+'02'!G184+'03'!H184+'04 CORRIGIDA'!J183+'05'!I184</f>
        <v>0</v>
      </c>
      <c r="K184" s="137">
        <f t="shared" si="45"/>
        <v>6</v>
      </c>
      <c r="L184" s="131">
        <f t="shared" si="46"/>
        <v>46.5</v>
      </c>
      <c r="M184" s="131">
        <f t="shared" si="47"/>
        <v>0</v>
      </c>
      <c r="N184" s="386">
        <f t="shared" si="48"/>
        <v>0</v>
      </c>
      <c r="O184" s="375">
        <f t="shared" si="49"/>
        <v>46.5</v>
      </c>
      <c r="P184" s="136">
        <f t="shared" si="44"/>
        <v>0</v>
      </c>
      <c r="S184" s="189">
        <v>0</v>
      </c>
      <c r="T184" s="189">
        <v>0</v>
      </c>
    </row>
    <row r="185" spans="1:20" x14ac:dyDescent="0.2">
      <c r="A185" s="125" t="s">
        <v>1625</v>
      </c>
      <c r="B185" s="126">
        <v>89798</v>
      </c>
      <c r="C185" s="126" t="s">
        <v>1324</v>
      </c>
      <c r="D185" s="127" t="s">
        <v>1626</v>
      </c>
      <c r="E185" s="128" t="s">
        <v>81</v>
      </c>
      <c r="F185" s="137">
        <v>891.52</v>
      </c>
      <c r="G185" s="130">
        <v>6.93</v>
      </c>
      <c r="H185" s="128">
        <v>8</v>
      </c>
      <c r="I185" s="116">
        <f>0</f>
        <v>0</v>
      </c>
      <c r="J185" s="374">
        <f>'01'!G185+'02'!G185+'03'!H185+'04 CORRIGIDA'!J184+'05'!I185</f>
        <v>0</v>
      </c>
      <c r="K185" s="137">
        <f t="shared" si="45"/>
        <v>8</v>
      </c>
      <c r="L185" s="131">
        <f t="shared" si="46"/>
        <v>55.44</v>
      </c>
      <c r="M185" s="131">
        <f t="shared" si="47"/>
        <v>0</v>
      </c>
      <c r="N185" s="386">
        <f t="shared" si="48"/>
        <v>0</v>
      </c>
      <c r="O185" s="375">
        <f t="shared" si="49"/>
        <v>55.44</v>
      </c>
      <c r="P185" s="136">
        <f t="shared" si="44"/>
        <v>0</v>
      </c>
      <c r="S185" s="189">
        <v>0</v>
      </c>
      <c r="T185" s="189">
        <v>0</v>
      </c>
    </row>
    <row r="186" spans="1:20" x14ac:dyDescent="0.2">
      <c r="A186" s="125" t="s">
        <v>1627</v>
      </c>
      <c r="B186" s="126">
        <v>86882</v>
      </c>
      <c r="C186" s="126" t="s">
        <v>1324</v>
      </c>
      <c r="D186" s="127" t="s">
        <v>1628</v>
      </c>
      <c r="E186" s="128" t="s">
        <v>102</v>
      </c>
      <c r="F186" s="137">
        <v>179</v>
      </c>
      <c r="G186" s="130">
        <v>13.42</v>
      </c>
      <c r="H186" s="128">
        <v>8</v>
      </c>
      <c r="I186" s="116">
        <f>0</f>
        <v>0</v>
      </c>
      <c r="J186" s="374">
        <f>'01'!G186+'02'!G186+'03'!H186+'04 CORRIGIDA'!J185+'05'!I186</f>
        <v>0</v>
      </c>
      <c r="K186" s="137">
        <f t="shared" si="45"/>
        <v>8</v>
      </c>
      <c r="L186" s="131">
        <f t="shared" si="46"/>
        <v>107.36</v>
      </c>
      <c r="M186" s="131">
        <f t="shared" si="47"/>
        <v>0</v>
      </c>
      <c r="N186" s="386">
        <f t="shared" si="48"/>
        <v>0</v>
      </c>
      <c r="O186" s="375">
        <f t="shared" si="49"/>
        <v>107.36</v>
      </c>
      <c r="P186" s="136">
        <f t="shared" si="44"/>
        <v>0</v>
      </c>
      <c r="S186" s="189">
        <v>0</v>
      </c>
      <c r="T186" s="189">
        <v>0</v>
      </c>
    </row>
    <row r="187" spans="1:20" x14ac:dyDescent="0.2">
      <c r="A187" s="125" t="s">
        <v>1629</v>
      </c>
      <c r="B187" s="126" t="s">
        <v>1630</v>
      </c>
      <c r="C187" s="126" t="s">
        <v>1324</v>
      </c>
      <c r="D187" s="127" t="s">
        <v>1631</v>
      </c>
      <c r="E187" s="128" t="s">
        <v>102</v>
      </c>
      <c r="F187" s="137">
        <v>144</v>
      </c>
      <c r="G187" s="130">
        <v>57.87</v>
      </c>
      <c r="H187" s="128">
        <v>8</v>
      </c>
      <c r="I187" s="116">
        <f>0</f>
        <v>0</v>
      </c>
      <c r="J187" s="374">
        <f>'01'!G187+'02'!G187+'03'!H187+'04 CORRIGIDA'!J186+'05'!I187</f>
        <v>0</v>
      </c>
      <c r="K187" s="137">
        <f t="shared" si="45"/>
        <v>8</v>
      </c>
      <c r="L187" s="131">
        <f t="shared" si="46"/>
        <v>462.96</v>
      </c>
      <c r="M187" s="131">
        <f t="shared" si="47"/>
        <v>0</v>
      </c>
      <c r="N187" s="386">
        <f t="shared" si="48"/>
        <v>0</v>
      </c>
      <c r="O187" s="375">
        <f t="shared" si="49"/>
        <v>462.96</v>
      </c>
      <c r="P187" s="136">
        <f t="shared" si="44"/>
        <v>0</v>
      </c>
      <c r="S187" s="189">
        <v>0</v>
      </c>
      <c r="T187" s="189">
        <v>0</v>
      </c>
    </row>
    <row r="188" spans="1:20" x14ac:dyDescent="0.2">
      <c r="A188" s="125" t="s">
        <v>1632</v>
      </c>
      <c r="B188" s="126" t="s">
        <v>1633</v>
      </c>
      <c r="C188" s="126" t="s">
        <v>1324</v>
      </c>
      <c r="D188" s="127" t="s">
        <v>1634</v>
      </c>
      <c r="E188" s="128" t="s">
        <v>102</v>
      </c>
      <c r="F188" s="137">
        <v>201.25</v>
      </c>
      <c r="G188" s="130">
        <v>3019.34</v>
      </c>
      <c r="H188" s="128">
        <v>1</v>
      </c>
      <c r="I188" s="116">
        <f>0</f>
        <v>0</v>
      </c>
      <c r="J188" s="374">
        <f>'01'!G188+'02'!G188+'03'!H188+'04 CORRIGIDA'!J187+'05'!I188</f>
        <v>0</v>
      </c>
      <c r="K188" s="137">
        <f t="shared" si="45"/>
        <v>1</v>
      </c>
      <c r="L188" s="131">
        <f t="shared" si="46"/>
        <v>3019.34</v>
      </c>
      <c r="M188" s="131">
        <f t="shared" si="47"/>
        <v>0</v>
      </c>
      <c r="N188" s="386">
        <f t="shared" si="48"/>
        <v>0</v>
      </c>
      <c r="O188" s="375">
        <f t="shared" si="49"/>
        <v>3019.34</v>
      </c>
      <c r="P188" s="136">
        <f t="shared" si="44"/>
        <v>0</v>
      </c>
      <c r="S188" s="189">
        <v>0</v>
      </c>
      <c r="T188" s="189">
        <v>0</v>
      </c>
    </row>
    <row r="189" spans="1:20" s="106" customFormat="1" x14ac:dyDescent="0.2">
      <c r="A189" s="125" t="s">
        <v>1635</v>
      </c>
      <c r="B189" s="126" t="s">
        <v>1636</v>
      </c>
      <c r="C189" s="126" t="s">
        <v>1324</v>
      </c>
      <c r="D189" s="127" t="s">
        <v>1637</v>
      </c>
      <c r="E189" s="128" t="s">
        <v>102</v>
      </c>
      <c r="F189" s="137">
        <v>356.72</v>
      </c>
      <c r="G189" s="130">
        <v>9092.1</v>
      </c>
      <c r="H189" s="128">
        <v>1</v>
      </c>
      <c r="I189" s="116">
        <f>0</f>
        <v>0</v>
      </c>
      <c r="J189" s="374">
        <f>'01'!G189+'02'!G189+'03'!H189+'04 CORRIGIDA'!J188+'05'!I189</f>
        <v>0</v>
      </c>
      <c r="K189" s="137">
        <f t="shared" si="45"/>
        <v>1</v>
      </c>
      <c r="L189" s="131">
        <f t="shared" si="46"/>
        <v>9092.1</v>
      </c>
      <c r="M189" s="131">
        <f t="shared" si="47"/>
        <v>0</v>
      </c>
      <c r="N189" s="386">
        <f t="shared" si="48"/>
        <v>0</v>
      </c>
      <c r="O189" s="375">
        <f t="shared" si="49"/>
        <v>9092.1</v>
      </c>
      <c r="P189" s="136">
        <f t="shared" si="44"/>
        <v>0</v>
      </c>
      <c r="S189" s="190">
        <v>0</v>
      </c>
      <c r="T189" s="190">
        <v>0</v>
      </c>
    </row>
    <row r="190" spans="1:20" x14ac:dyDescent="0.2">
      <c r="A190" s="412">
        <v>14</v>
      </c>
      <c r="B190" s="413"/>
      <c r="C190" s="413"/>
      <c r="D190" s="414" t="s">
        <v>656</v>
      </c>
      <c r="E190" s="415"/>
      <c r="F190" s="417"/>
      <c r="G190" s="418"/>
      <c r="H190" s="416"/>
      <c r="I190" s="420"/>
      <c r="J190" s="421"/>
      <c r="K190" s="420"/>
      <c r="L190" s="416">
        <f>SUM(L191:L193)</f>
        <v>11646.280500000001</v>
      </c>
      <c r="M190" s="433">
        <f>SUM(M191:M193)</f>
        <v>0</v>
      </c>
      <c r="N190" s="432">
        <f>SUM(N191:N193)</f>
        <v>0</v>
      </c>
      <c r="O190" s="434">
        <f>SUM(O191:O193)</f>
        <v>11646.280500000001</v>
      </c>
      <c r="P190" s="423">
        <f t="shared" si="44"/>
        <v>0</v>
      </c>
      <c r="S190" s="189">
        <v>0</v>
      </c>
      <c r="T190" s="189">
        <v>0</v>
      </c>
    </row>
    <row r="191" spans="1:20" x14ac:dyDescent="0.2">
      <c r="A191" s="125" t="s">
        <v>355</v>
      </c>
      <c r="B191" s="126">
        <v>83688</v>
      </c>
      <c r="C191" s="126" t="s">
        <v>1324</v>
      </c>
      <c r="D191" s="127" t="s">
        <v>1638</v>
      </c>
      <c r="E191" s="128" t="s">
        <v>81</v>
      </c>
      <c r="F191" s="137">
        <v>415</v>
      </c>
      <c r="G191" s="130">
        <v>141.97999999999999</v>
      </c>
      <c r="H191" s="128">
        <v>76.400000000000006</v>
      </c>
      <c r="I191" s="116">
        <f>0</f>
        <v>0</v>
      </c>
      <c r="J191" s="374">
        <f>'01'!G191+'02'!G191+'03'!H191+'04 CORRIGIDA'!J190+'05'!I191</f>
        <v>0</v>
      </c>
      <c r="K191" s="137">
        <f>H191-J191</f>
        <v>76.400000000000006</v>
      </c>
      <c r="L191" s="130">
        <f>G191*H191</f>
        <v>10847.272000000001</v>
      </c>
      <c r="M191" s="131">
        <f>I191*G191</f>
        <v>0</v>
      </c>
      <c r="N191" s="386">
        <f>J191*G191</f>
        <v>0</v>
      </c>
      <c r="O191" s="375">
        <f>L191-N191</f>
        <v>10847.272000000001</v>
      </c>
      <c r="P191" s="136">
        <f t="shared" si="44"/>
        <v>0</v>
      </c>
      <c r="S191" s="189">
        <v>0</v>
      </c>
      <c r="T191" s="189">
        <v>0</v>
      </c>
    </row>
    <row r="192" spans="1:20" x14ac:dyDescent="0.2">
      <c r="A192" s="125" t="s">
        <v>1639</v>
      </c>
      <c r="B192" s="126" t="s">
        <v>2007</v>
      </c>
      <c r="C192" s="126" t="s">
        <v>1339</v>
      </c>
      <c r="D192" s="127" t="s">
        <v>1640</v>
      </c>
      <c r="E192" s="128" t="s">
        <v>102</v>
      </c>
      <c r="F192" s="137">
        <v>63.04</v>
      </c>
      <c r="G192" s="130">
        <v>76.84</v>
      </c>
      <c r="H192" s="128">
        <v>8</v>
      </c>
      <c r="I192" s="116">
        <f>0</f>
        <v>0</v>
      </c>
      <c r="J192" s="374">
        <f>'01'!G192+'02'!G192+'03'!H192+'04 CORRIGIDA'!J191+'05'!I192</f>
        <v>0</v>
      </c>
      <c r="K192" s="137">
        <f>H192-J192</f>
        <v>8</v>
      </c>
      <c r="L192" s="391">
        <f>G192*H192</f>
        <v>614.72</v>
      </c>
      <c r="M192" s="131">
        <f>I192*G192</f>
        <v>0</v>
      </c>
      <c r="N192" s="386">
        <f>J192*G192</f>
        <v>0</v>
      </c>
      <c r="O192" s="375">
        <f>L192-N192</f>
        <v>614.72</v>
      </c>
      <c r="P192" s="136">
        <f t="shared" si="44"/>
        <v>0</v>
      </c>
      <c r="S192" s="189">
        <v>0</v>
      </c>
      <c r="T192" s="189">
        <v>0</v>
      </c>
    </row>
    <row r="193" spans="1:20" s="106" customFormat="1" x14ac:dyDescent="0.2">
      <c r="A193" s="125" t="s">
        <v>1641</v>
      </c>
      <c r="B193" s="126">
        <v>88549</v>
      </c>
      <c r="C193" s="126" t="s">
        <v>1324</v>
      </c>
      <c r="D193" s="127" t="s">
        <v>1642</v>
      </c>
      <c r="E193" s="128" t="s">
        <v>48</v>
      </c>
      <c r="F193" s="172"/>
      <c r="G193" s="130">
        <v>98.55</v>
      </c>
      <c r="H193" s="128">
        <v>1.87</v>
      </c>
      <c r="I193" s="116">
        <f>0</f>
        <v>0</v>
      </c>
      <c r="J193" s="374">
        <f>'01'!G193+'02'!G193+'03'!H193+'04 CORRIGIDA'!J192+'05'!I193</f>
        <v>0</v>
      </c>
      <c r="K193" s="137">
        <f>H193-J193</f>
        <v>1.87</v>
      </c>
      <c r="L193" s="130">
        <f>G193*H193</f>
        <v>184.2885</v>
      </c>
      <c r="M193" s="131">
        <f>I193*G193</f>
        <v>0</v>
      </c>
      <c r="N193" s="386">
        <f>J193*G193</f>
        <v>0</v>
      </c>
      <c r="O193" s="375">
        <f>L193-N193</f>
        <v>184.2885</v>
      </c>
      <c r="P193" s="136">
        <f t="shared" si="44"/>
        <v>0</v>
      </c>
      <c r="S193" s="190">
        <v>0</v>
      </c>
      <c r="T193" s="190">
        <v>0</v>
      </c>
    </row>
    <row r="194" spans="1:20" x14ac:dyDescent="0.2">
      <c r="A194" s="412">
        <v>15</v>
      </c>
      <c r="B194" s="413"/>
      <c r="C194" s="413"/>
      <c r="D194" s="414" t="s">
        <v>1643</v>
      </c>
      <c r="E194" s="415"/>
      <c r="F194" s="417"/>
      <c r="G194" s="418"/>
      <c r="H194" s="416"/>
      <c r="I194" s="420"/>
      <c r="J194" s="421"/>
      <c r="K194" s="420"/>
      <c r="L194" s="416">
        <f>SUM(L195:L207)</f>
        <v>7636.1200000000017</v>
      </c>
      <c r="M194" s="433">
        <f>0</f>
        <v>0</v>
      </c>
      <c r="N194" s="432">
        <f>SUM(N195:N207)</f>
        <v>0</v>
      </c>
      <c r="O194" s="434">
        <f>SUM(O195:O207)</f>
        <v>7636.1200000000017</v>
      </c>
      <c r="P194" s="423">
        <f t="shared" si="44"/>
        <v>0</v>
      </c>
      <c r="S194" s="189">
        <v>0</v>
      </c>
      <c r="T194" s="189">
        <v>0</v>
      </c>
    </row>
    <row r="195" spans="1:20" x14ac:dyDescent="0.2">
      <c r="A195" s="125" t="s">
        <v>494</v>
      </c>
      <c r="B195" s="126">
        <v>6021</v>
      </c>
      <c r="C195" s="126" t="s">
        <v>1324</v>
      </c>
      <c r="D195" s="127" t="s">
        <v>1644</v>
      </c>
      <c r="E195" s="128" t="s">
        <v>102</v>
      </c>
      <c r="F195" s="129"/>
      <c r="G195" s="130">
        <v>330.33</v>
      </c>
      <c r="H195" s="128">
        <v>6</v>
      </c>
      <c r="I195" s="116">
        <f>0</f>
        <v>0</v>
      </c>
      <c r="J195" s="374">
        <f>'01'!G195+'02'!G195+'03'!H195+'04 CORRIGIDA'!J194+'05'!I195</f>
        <v>0</v>
      </c>
      <c r="K195" s="137">
        <f t="shared" ref="K195:K207" si="50">H195-J195</f>
        <v>6</v>
      </c>
      <c r="L195" s="131">
        <f t="shared" ref="L195:L207" si="51">ROUND(H195*G195,2)</f>
        <v>1981.98</v>
      </c>
      <c r="M195" s="131">
        <f t="shared" ref="M195:M207" si="52">I195*G195</f>
        <v>0</v>
      </c>
      <c r="N195" s="386">
        <f t="shared" ref="N195:N213" si="53">J195*G195</f>
        <v>0</v>
      </c>
      <c r="O195" s="375">
        <f t="shared" ref="O195:O207" si="54">L195-N195</f>
        <v>1981.98</v>
      </c>
      <c r="P195" s="136">
        <f t="shared" si="44"/>
        <v>0</v>
      </c>
      <c r="S195" s="189">
        <v>0</v>
      </c>
      <c r="T195" s="189">
        <v>0</v>
      </c>
    </row>
    <row r="196" spans="1:20" ht="25.5" x14ac:dyDescent="0.2">
      <c r="A196" s="125" t="s">
        <v>496</v>
      </c>
      <c r="B196" s="126">
        <v>40729</v>
      </c>
      <c r="C196" s="126" t="s">
        <v>1324</v>
      </c>
      <c r="D196" s="127" t="s">
        <v>1645</v>
      </c>
      <c r="E196" s="128" t="s">
        <v>102</v>
      </c>
      <c r="F196" s="129"/>
      <c r="G196" s="130">
        <v>204.63</v>
      </c>
      <c r="H196" s="128">
        <v>6</v>
      </c>
      <c r="I196" s="116">
        <f>0</f>
        <v>0</v>
      </c>
      <c r="J196" s="374">
        <f>'01'!G196+'02'!G196+'03'!H196+'04 CORRIGIDA'!J195+'05'!I196</f>
        <v>0</v>
      </c>
      <c r="K196" s="137">
        <f t="shared" si="50"/>
        <v>6</v>
      </c>
      <c r="L196" s="131">
        <f t="shared" si="51"/>
        <v>1227.78</v>
      </c>
      <c r="M196" s="131">
        <f t="shared" si="52"/>
        <v>0</v>
      </c>
      <c r="N196" s="386">
        <f t="shared" si="53"/>
        <v>0</v>
      </c>
      <c r="O196" s="375">
        <f t="shared" si="54"/>
        <v>1227.78</v>
      </c>
      <c r="P196" s="136">
        <f t="shared" si="44"/>
        <v>0</v>
      </c>
      <c r="S196" s="189">
        <v>0</v>
      </c>
      <c r="T196" s="189">
        <v>0</v>
      </c>
    </row>
    <row r="197" spans="1:20" x14ac:dyDescent="0.2">
      <c r="A197" s="125" t="s">
        <v>498</v>
      </c>
      <c r="B197" s="126">
        <v>86901</v>
      </c>
      <c r="C197" s="126" t="s">
        <v>1324</v>
      </c>
      <c r="D197" s="127" t="s">
        <v>1646</v>
      </c>
      <c r="E197" s="128" t="s">
        <v>102</v>
      </c>
      <c r="F197" s="137">
        <v>11.27</v>
      </c>
      <c r="G197" s="130">
        <v>102.4</v>
      </c>
      <c r="H197" s="128">
        <v>6</v>
      </c>
      <c r="I197" s="116">
        <f>0</f>
        <v>0</v>
      </c>
      <c r="J197" s="374">
        <f>'01'!G197+'02'!G197+'03'!H197+'04 CORRIGIDA'!J196+'05'!I197</f>
        <v>0</v>
      </c>
      <c r="K197" s="137">
        <f t="shared" si="50"/>
        <v>6</v>
      </c>
      <c r="L197" s="131">
        <f t="shared" si="51"/>
        <v>614.4</v>
      </c>
      <c r="M197" s="131">
        <f t="shared" si="52"/>
        <v>0</v>
      </c>
      <c r="N197" s="386">
        <f t="shared" si="53"/>
        <v>0</v>
      </c>
      <c r="O197" s="375">
        <f t="shared" si="54"/>
        <v>614.4</v>
      </c>
      <c r="P197" s="136">
        <f t="shared" si="44"/>
        <v>0</v>
      </c>
      <c r="S197" s="189">
        <v>0</v>
      </c>
      <c r="T197" s="189">
        <v>0</v>
      </c>
    </row>
    <row r="198" spans="1:20" x14ac:dyDescent="0.2">
      <c r="A198" s="125" t="s">
        <v>500</v>
      </c>
      <c r="B198" s="126">
        <v>86942</v>
      </c>
      <c r="C198" s="126" t="s">
        <v>1324</v>
      </c>
      <c r="D198" s="127" t="s">
        <v>1647</v>
      </c>
      <c r="E198" s="128" t="s">
        <v>102</v>
      </c>
      <c r="F198" s="137">
        <v>11.89</v>
      </c>
      <c r="G198" s="130">
        <v>160.06</v>
      </c>
      <c r="H198" s="128">
        <v>2</v>
      </c>
      <c r="I198" s="116">
        <f>0</f>
        <v>0</v>
      </c>
      <c r="J198" s="374">
        <f>'01'!G198+'02'!G198+'03'!H198+'04 CORRIGIDA'!J197+'05'!I198</f>
        <v>0</v>
      </c>
      <c r="K198" s="137">
        <f t="shared" si="50"/>
        <v>2</v>
      </c>
      <c r="L198" s="131">
        <f t="shared" si="51"/>
        <v>320.12</v>
      </c>
      <c r="M198" s="131">
        <f t="shared" si="52"/>
        <v>0</v>
      </c>
      <c r="N198" s="386">
        <f t="shared" si="53"/>
        <v>0</v>
      </c>
      <c r="O198" s="375">
        <f t="shared" si="54"/>
        <v>320.12</v>
      </c>
      <c r="P198" s="136">
        <f t="shared" si="44"/>
        <v>0</v>
      </c>
      <c r="S198" s="189">
        <v>0</v>
      </c>
      <c r="T198" s="189">
        <v>0</v>
      </c>
    </row>
    <row r="199" spans="1:20" ht="25.5" x14ac:dyDescent="0.2">
      <c r="A199" s="125" t="s">
        <v>502</v>
      </c>
      <c r="B199" s="126" t="s">
        <v>2007</v>
      </c>
      <c r="C199" s="126" t="s">
        <v>1339</v>
      </c>
      <c r="D199" s="127" t="s">
        <v>1648</v>
      </c>
      <c r="E199" s="128" t="s">
        <v>102</v>
      </c>
      <c r="F199" s="137">
        <v>28.56</v>
      </c>
      <c r="G199" s="130">
        <v>223.26</v>
      </c>
      <c r="H199" s="128">
        <v>2</v>
      </c>
      <c r="I199" s="116">
        <f>0</f>
        <v>0</v>
      </c>
      <c r="J199" s="374">
        <f>'01'!G199+'02'!G199+'03'!H199+'04 CORRIGIDA'!J198+'05'!I199</f>
        <v>0</v>
      </c>
      <c r="K199" s="137">
        <f t="shared" si="50"/>
        <v>2</v>
      </c>
      <c r="L199" s="131">
        <f t="shared" si="51"/>
        <v>446.52</v>
      </c>
      <c r="M199" s="131">
        <f t="shared" si="52"/>
        <v>0</v>
      </c>
      <c r="N199" s="386">
        <f t="shared" si="53"/>
        <v>0</v>
      </c>
      <c r="O199" s="375">
        <f t="shared" si="54"/>
        <v>446.52</v>
      </c>
      <c r="P199" s="136">
        <f t="shared" si="44"/>
        <v>0</v>
      </c>
      <c r="S199" s="189">
        <v>0</v>
      </c>
      <c r="T199" s="189">
        <v>0</v>
      </c>
    </row>
    <row r="200" spans="1:20" ht="25.5" x14ac:dyDescent="0.2">
      <c r="A200" s="125" t="s">
        <v>504</v>
      </c>
      <c r="B200" s="126">
        <v>86906</v>
      </c>
      <c r="C200" s="126" t="s">
        <v>1324</v>
      </c>
      <c r="D200" s="127" t="s">
        <v>1649</v>
      </c>
      <c r="E200" s="128" t="s">
        <v>102</v>
      </c>
      <c r="F200" s="137">
        <v>35.53</v>
      </c>
      <c r="G200" s="130">
        <v>39.97</v>
      </c>
      <c r="H200" s="128">
        <v>8</v>
      </c>
      <c r="I200" s="116">
        <f>0</f>
        <v>0</v>
      </c>
      <c r="J200" s="374">
        <f>'01'!G200+'02'!G200+'03'!H200+'04 CORRIGIDA'!J199+'05'!I200</f>
        <v>0</v>
      </c>
      <c r="K200" s="137">
        <f t="shared" si="50"/>
        <v>8</v>
      </c>
      <c r="L200" s="131">
        <f t="shared" si="51"/>
        <v>319.76</v>
      </c>
      <c r="M200" s="131">
        <f t="shared" si="52"/>
        <v>0</v>
      </c>
      <c r="N200" s="386">
        <f t="shared" si="53"/>
        <v>0</v>
      </c>
      <c r="O200" s="375">
        <f t="shared" si="54"/>
        <v>319.76</v>
      </c>
      <c r="P200" s="136">
        <f t="shared" si="44"/>
        <v>0</v>
      </c>
      <c r="S200" s="189">
        <v>0</v>
      </c>
      <c r="T200" s="189">
        <v>0</v>
      </c>
    </row>
    <row r="201" spans="1:20" x14ac:dyDescent="0.2">
      <c r="A201" s="125" t="s">
        <v>506</v>
      </c>
      <c r="B201" s="126">
        <v>86914</v>
      </c>
      <c r="C201" s="126" t="s">
        <v>1324</v>
      </c>
      <c r="D201" s="127" t="s">
        <v>1650</v>
      </c>
      <c r="E201" s="128" t="s">
        <v>102</v>
      </c>
      <c r="F201" s="137">
        <v>47.11</v>
      </c>
      <c r="G201" s="130">
        <v>31.02</v>
      </c>
      <c r="H201" s="128">
        <v>2</v>
      </c>
      <c r="I201" s="116">
        <f>0</f>
        <v>0</v>
      </c>
      <c r="J201" s="374">
        <f>'01'!G201+'02'!G201+'03'!H201+'04 CORRIGIDA'!J200+'05'!I201</f>
        <v>0</v>
      </c>
      <c r="K201" s="137">
        <f t="shared" si="50"/>
        <v>2</v>
      </c>
      <c r="L201" s="131">
        <f t="shared" si="51"/>
        <v>62.04</v>
      </c>
      <c r="M201" s="131">
        <f t="shared" si="52"/>
        <v>0</v>
      </c>
      <c r="N201" s="386">
        <f t="shared" si="53"/>
        <v>0</v>
      </c>
      <c r="O201" s="375">
        <f t="shared" si="54"/>
        <v>62.04</v>
      </c>
      <c r="P201" s="136">
        <f t="shared" si="44"/>
        <v>0</v>
      </c>
      <c r="S201" s="189">
        <v>0</v>
      </c>
      <c r="T201" s="189">
        <v>0</v>
      </c>
    </row>
    <row r="202" spans="1:20" ht="25.5" x14ac:dyDescent="0.2">
      <c r="A202" s="125" t="s">
        <v>508</v>
      </c>
      <c r="B202" s="126">
        <v>9535</v>
      </c>
      <c r="C202" s="126" t="s">
        <v>1324</v>
      </c>
      <c r="D202" s="127" t="s">
        <v>1651</v>
      </c>
      <c r="E202" s="128" t="s">
        <v>102</v>
      </c>
      <c r="F202" s="129"/>
      <c r="G202" s="130">
        <v>30.06</v>
      </c>
      <c r="H202" s="128">
        <v>6</v>
      </c>
      <c r="I202" s="116">
        <f>0</f>
        <v>0</v>
      </c>
      <c r="J202" s="374">
        <f>'01'!G202+'02'!G202+'03'!H202+'04 CORRIGIDA'!J201+'05'!I202</f>
        <v>0</v>
      </c>
      <c r="K202" s="137">
        <f t="shared" si="50"/>
        <v>6</v>
      </c>
      <c r="L202" s="131">
        <f t="shared" si="51"/>
        <v>180.36</v>
      </c>
      <c r="M202" s="131">
        <f t="shared" si="52"/>
        <v>0</v>
      </c>
      <c r="N202" s="386">
        <f t="shared" si="53"/>
        <v>0</v>
      </c>
      <c r="O202" s="375">
        <f t="shared" si="54"/>
        <v>180.36</v>
      </c>
      <c r="P202" s="136">
        <f t="shared" si="44"/>
        <v>0</v>
      </c>
      <c r="S202" s="189">
        <v>0</v>
      </c>
      <c r="T202" s="189">
        <v>0</v>
      </c>
    </row>
    <row r="203" spans="1:20" ht="25.5" x14ac:dyDescent="0.2">
      <c r="A203" s="125" t="s">
        <v>511</v>
      </c>
      <c r="B203" s="126" t="s">
        <v>2007</v>
      </c>
      <c r="C203" s="126" t="s">
        <v>1339</v>
      </c>
      <c r="D203" s="127" t="s">
        <v>1652</v>
      </c>
      <c r="E203" s="128" t="s">
        <v>102</v>
      </c>
      <c r="F203" s="137">
        <v>5.09</v>
      </c>
      <c r="G203" s="130">
        <v>141.72</v>
      </c>
      <c r="H203" s="128">
        <v>6</v>
      </c>
      <c r="I203" s="116">
        <f>0</f>
        <v>0</v>
      </c>
      <c r="J203" s="374">
        <f>'01'!G203+'02'!G203+'03'!H203+'04 CORRIGIDA'!J202+'05'!I203</f>
        <v>0</v>
      </c>
      <c r="K203" s="137">
        <f t="shared" si="50"/>
        <v>6</v>
      </c>
      <c r="L203" s="131">
        <f t="shared" si="51"/>
        <v>850.32</v>
      </c>
      <c r="M203" s="131">
        <f t="shared" si="52"/>
        <v>0</v>
      </c>
      <c r="N203" s="386">
        <f t="shared" si="53"/>
        <v>0</v>
      </c>
      <c r="O203" s="375">
        <f t="shared" si="54"/>
        <v>850.32</v>
      </c>
      <c r="P203" s="136">
        <f t="shared" si="44"/>
        <v>0</v>
      </c>
      <c r="S203" s="189">
        <v>0</v>
      </c>
      <c r="T203" s="189">
        <v>0</v>
      </c>
    </row>
    <row r="204" spans="1:20" x14ac:dyDescent="0.2">
      <c r="A204" s="125" t="s">
        <v>513</v>
      </c>
      <c r="B204" s="126" t="s">
        <v>2007</v>
      </c>
      <c r="C204" s="126" t="s">
        <v>1339</v>
      </c>
      <c r="D204" s="127" t="s">
        <v>1653</v>
      </c>
      <c r="E204" s="128" t="s">
        <v>102</v>
      </c>
      <c r="F204" s="137">
        <v>6.77</v>
      </c>
      <c r="G204" s="130">
        <v>39.700000000000003</v>
      </c>
      <c r="H204" s="128">
        <v>4</v>
      </c>
      <c r="I204" s="116">
        <f>0</f>
        <v>0</v>
      </c>
      <c r="J204" s="374">
        <f>'01'!G204+'02'!G204+'03'!H204+'04 CORRIGIDA'!J203+'05'!I204</f>
        <v>0</v>
      </c>
      <c r="K204" s="137">
        <f t="shared" si="50"/>
        <v>4</v>
      </c>
      <c r="L204" s="131">
        <f t="shared" si="51"/>
        <v>158.80000000000001</v>
      </c>
      <c r="M204" s="131">
        <f t="shared" si="52"/>
        <v>0</v>
      </c>
      <c r="N204" s="386">
        <f t="shared" si="53"/>
        <v>0</v>
      </c>
      <c r="O204" s="375">
        <f t="shared" si="54"/>
        <v>158.80000000000001</v>
      </c>
      <c r="P204" s="136">
        <f t="shared" si="44"/>
        <v>0</v>
      </c>
      <c r="S204" s="189">
        <v>0</v>
      </c>
      <c r="T204" s="189">
        <v>0</v>
      </c>
    </row>
    <row r="205" spans="1:20" x14ac:dyDescent="0.2">
      <c r="A205" s="125" t="s">
        <v>515</v>
      </c>
      <c r="B205" s="126" t="s">
        <v>2007</v>
      </c>
      <c r="C205" s="126" t="s">
        <v>1339</v>
      </c>
      <c r="D205" s="127" t="s">
        <v>1654</v>
      </c>
      <c r="E205" s="128" t="s">
        <v>102</v>
      </c>
      <c r="F205" s="137">
        <v>10.76</v>
      </c>
      <c r="G205" s="130">
        <v>30.45</v>
      </c>
      <c r="H205" s="128">
        <v>4</v>
      </c>
      <c r="I205" s="116">
        <f>0</f>
        <v>0</v>
      </c>
      <c r="J205" s="374">
        <f>'01'!G205+'02'!G205+'03'!H205+'04 CORRIGIDA'!J204+'05'!I205</f>
        <v>0</v>
      </c>
      <c r="K205" s="137">
        <f t="shared" si="50"/>
        <v>4</v>
      </c>
      <c r="L205" s="131">
        <f t="shared" si="51"/>
        <v>121.8</v>
      </c>
      <c r="M205" s="131">
        <f t="shared" si="52"/>
        <v>0</v>
      </c>
      <c r="N205" s="386">
        <f t="shared" si="53"/>
        <v>0</v>
      </c>
      <c r="O205" s="375">
        <f t="shared" si="54"/>
        <v>121.8</v>
      </c>
      <c r="P205" s="136">
        <f t="shared" ref="P205:P236" si="55">N205/L205</f>
        <v>0</v>
      </c>
      <c r="S205" s="189">
        <v>0</v>
      </c>
      <c r="T205" s="189">
        <v>0</v>
      </c>
    </row>
    <row r="206" spans="1:20" ht="25.5" x14ac:dyDescent="0.2">
      <c r="A206" s="125" t="s">
        <v>517</v>
      </c>
      <c r="B206" s="126" t="s">
        <v>2007</v>
      </c>
      <c r="C206" s="126" t="s">
        <v>1339</v>
      </c>
      <c r="D206" s="127" t="s">
        <v>1655</v>
      </c>
      <c r="E206" s="128" t="s">
        <v>102</v>
      </c>
      <c r="F206" s="137">
        <v>42.01</v>
      </c>
      <c r="G206" s="130">
        <v>32.1</v>
      </c>
      <c r="H206" s="128">
        <v>6</v>
      </c>
      <c r="I206" s="116">
        <f>0</f>
        <v>0</v>
      </c>
      <c r="J206" s="374">
        <f>'01'!G206+'02'!G206+'03'!H206+'04 CORRIGIDA'!J205+'05'!I206</f>
        <v>0</v>
      </c>
      <c r="K206" s="137">
        <f t="shared" si="50"/>
        <v>6</v>
      </c>
      <c r="L206" s="131">
        <f t="shared" si="51"/>
        <v>192.6</v>
      </c>
      <c r="M206" s="131">
        <f t="shared" si="52"/>
        <v>0</v>
      </c>
      <c r="N206" s="386">
        <f t="shared" si="53"/>
        <v>0</v>
      </c>
      <c r="O206" s="375">
        <f t="shared" si="54"/>
        <v>192.6</v>
      </c>
      <c r="P206" s="136">
        <f t="shared" si="55"/>
        <v>0</v>
      </c>
      <c r="S206" s="189">
        <v>0</v>
      </c>
      <c r="T206" s="189">
        <v>0</v>
      </c>
    </row>
    <row r="207" spans="1:20" s="106" customFormat="1" x14ac:dyDescent="0.2">
      <c r="A207" s="125" t="s">
        <v>519</v>
      </c>
      <c r="B207" s="126" t="s">
        <v>2007</v>
      </c>
      <c r="C207" s="126" t="s">
        <v>1339</v>
      </c>
      <c r="D207" s="127" t="s">
        <v>1656</v>
      </c>
      <c r="E207" s="128" t="s">
        <v>102</v>
      </c>
      <c r="F207" s="137">
        <v>19.79</v>
      </c>
      <c r="G207" s="130">
        <v>579.82000000000005</v>
      </c>
      <c r="H207" s="128">
        <v>2</v>
      </c>
      <c r="I207" s="116">
        <f>0</f>
        <v>0</v>
      </c>
      <c r="J207" s="374">
        <f>'01'!G207+'02'!G207+'03'!H207+'04 CORRIGIDA'!J206+'05'!I207</f>
        <v>0</v>
      </c>
      <c r="K207" s="137">
        <f t="shared" si="50"/>
        <v>2</v>
      </c>
      <c r="L207" s="131">
        <f t="shared" si="51"/>
        <v>1159.6400000000001</v>
      </c>
      <c r="M207" s="131">
        <f t="shared" si="52"/>
        <v>0</v>
      </c>
      <c r="N207" s="386">
        <f t="shared" si="53"/>
        <v>0</v>
      </c>
      <c r="O207" s="375">
        <f t="shared" si="54"/>
        <v>1159.6400000000001</v>
      </c>
      <c r="P207" s="136">
        <f t="shared" si="55"/>
        <v>0</v>
      </c>
      <c r="S207" s="190">
        <v>0</v>
      </c>
      <c r="T207" s="190">
        <v>0</v>
      </c>
    </row>
    <row r="208" spans="1:20" x14ac:dyDescent="0.2">
      <c r="A208" s="412">
        <v>16</v>
      </c>
      <c r="B208" s="413"/>
      <c r="C208" s="413"/>
      <c r="D208" s="414" t="s">
        <v>1657</v>
      </c>
      <c r="E208" s="415"/>
      <c r="F208" s="417"/>
      <c r="G208" s="418"/>
      <c r="H208" s="416"/>
      <c r="I208" s="420"/>
      <c r="J208" s="421"/>
      <c r="K208" s="420"/>
      <c r="L208" s="416">
        <f>SUM(L209:L213)</f>
        <v>792.22</v>
      </c>
      <c r="M208" s="433">
        <f>SUM(M209:M213)</f>
        <v>0</v>
      </c>
      <c r="N208" s="432">
        <f t="shared" si="53"/>
        <v>0</v>
      </c>
      <c r="O208" s="434">
        <f>SUM(O209:O213)</f>
        <v>792.22</v>
      </c>
      <c r="P208" s="423">
        <f t="shared" si="55"/>
        <v>0</v>
      </c>
      <c r="S208" s="189">
        <v>0</v>
      </c>
      <c r="T208" s="189">
        <v>0</v>
      </c>
    </row>
    <row r="209" spans="1:20" x14ac:dyDescent="0.2">
      <c r="A209" s="125" t="s">
        <v>616</v>
      </c>
      <c r="B209" s="126" t="s">
        <v>2007</v>
      </c>
      <c r="C209" s="126" t="s">
        <v>1339</v>
      </c>
      <c r="D209" s="127" t="s">
        <v>1658</v>
      </c>
      <c r="E209" s="128" t="s">
        <v>102</v>
      </c>
      <c r="F209" s="137">
        <v>40.08</v>
      </c>
      <c r="G209" s="130">
        <v>109.5</v>
      </c>
      <c r="H209" s="128">
        <v>2</v>
      </c>
      <c r="I209" s="116">
        <f>0</f>
        <v>0</v>
      </c>
      <c r="J209" s="374">
        <f>'01'!G209+'02'!G209+'03'!H209+'04 CORRIGIDA'!J208+'05'!I209</f>
        <v>0</v>
      </c>
      <c r="K209" s="137">
        <f>H209-J209</f>
        <v>2</v>
      </c>
      <c r="L209" s="131">
        <f>ROUND(H209*G209,2)</f>
        <v>219</v>
      </c>
      <c r="M209" s="131">
        <f>I209*G209</f>
        <v>0</v>
      </c>
      <c r="N209" s="386">
        <f t="shared" si="53"/>
        <v>0</v>
      </c>
      <c r="O209" s="375">
        <f>L209-N209</f>
        <v>219</v>
      </c>
      <c r="P209" s="136">
        <f t="shared" si="55"/>
        <v>0</v>
      </c>
      <c r="S209" s="189">
        <v>0</v>
      </c>
      <c r="T209" s="189">
        <v>0</v>
      </c>
    </row>
    <row r="210" spans="1:20" x14ac:dyDescent="0.2">
      <c r="A210" s="125" t="s">
        <v>618</v>
      </c>
      <c r="B210" s="126" t="s">
        <v>2007</v>
      </c>
      <c r="C210" s="126" t="s">
        <v>1339</v>
      </c>
      <c r="D210" s="127" t="s">
        <v>1659</v>
      </c>
      <c r="E210" s="128" t="s">
        <v>102</v>
      </c>
      <c r="F210" s="137">
        <v>199.75</v>
      </c>
      <c r="G210" s="130">
        <v>227.16</v>
      </c>
      <c r="H210" s="128">
        <v>2</v>
      </c>
      <c r="I210" s="116">
        <f>0</f>
        <v>0</v>
      </c>
      <c r="J210" s="374">
        <f>'01'!G210+'02'!G210+'03'!H210+'04 CORRIGIDA'!J209+'05'!I210</f>
        <v>0</v>
      </c>
      <c r="K210" s="137">
        <f>H210-J210</f>
        <v>2</v>
      </c>
      <c r="L210" s="131">
        <f>ROUND(H210*G210,2)</f>
        <v>454.32</v>
      </c>
      <c r="M210" s="131">
        <f>I210*G210</f>
        <v>0</v>
      </c>
      <c r="N210" s="386">
        <f t="shared" si="53"/>
        <v>0</v>
      </c>
      <c r="O210" s="375">
        <f>L210-N210</f>
        <v>454.32</v>
      </c>
      <c r="P210" s="136">
        <f t="shared" si="55"/>
        <v>0</v>
      </c>
      <c r="S210" s="189">
        <v>0</v>
      </c>
      <c r="T210" s="189">
        <v>0</v>
      </c>
    </row>
    <row r="211" spans="1:20" x14ac:dyDescent="0.2">
      <c r="A211" s="125" t="s">
        <v>620</v>
      </c>
      <c r="B211" s="126" t="s">
        <v>2007</v>
      </c>
      <c r="C211" s="126" t="s">
        <v>1339</v>
      </c>
      <c r="D211" s="127" t="s">
        <v>1660</v>
      </c>
      <c r="E211" s="128" t="s">
        <v>102</v>
      </c>
      <c r="F211" s="129"/>
      <c r="G211" s="130">
        <v>27.98</v>
      </c>
      <c r="H211" s="128">
        <v>2</v>
      </c>
      <c r="I211" s="116">
        <f>0</f>
        <v>0</v>
      </c>
      <c r="J211" s="374">
        <f>'01'!G211+'02'!G211+'03'!H211+'04 CORRIGIDA'!J210+'05'!I211</f>
        <v>0</v>
      </c>
      <c r="K211" s="137">
        <f>H211-J211</f>
        <v>2</v>
      </c>
      <c r="L211" s="131">
        <f>ROUND(H211*G211,2)</f>
        <v>55.96</v>
      </c>
      <c r="M211" s="131">
        <f>I211*G211</f>
        <v>0</v>
      </c>
      <c r="N211" s="386">
        <f t="shared" si="53"/>
        <v>0</v>
      </c>
      <c r="O211" s="375">
        <f>L211-N211</f>
        <v>55.96</v>
      </c>
      <c r="P211" s="136">
        <f t="shared" si="55"/>
        <v>0</v>
      </c>
      <c r="S211" s="189">
        <v>0</v>
      </c>
      <c r="T211" s="189">
        <v>0</v>
      </c>
    </row>
    <row r="212" spans="1:20" x14ac:dyDescent="0.2">
      <c r="A212" s="125" t="s">
        <v>1661</v>
      </c>
      <c r="B212" s="126" t="s">
        <v>2007</v>
      </c>
      <c r="C212" s="126" t="s">
        <v>1339</v>
      </c>
      <c r="D212" s="127" t="s">
        <v>1662</v>
      </c>
      <c r="E212" s="128" t="s">
        <v>102</v>
      </c>
      <c r="F212" s="137">
        <v>3.37</v>
      </c>
      <c r="G212" s="130">
        <v>16.36</v>
      </c>
      <c r="H212" s="128">
        <v>2</v>
      </c>
      <c r="I212" s="116">
        <f>0</f>
        <v>0</v>
      </c>
      <c r="J212" s="374">
        <f>'01'!G212+'02'!G212+'03'!H212+'04 CORRIGIDA'!J211+'05'!I212</f>
        <v>0</v>
      </c>
      <c r="K212" s="137">
        <f>H212-J212</f>
        <v>2</v>
      </c>
      <c r="L212" s="131">
        <f>ROUND(H212*G212,2)</f>
        <v>32.72</v>
      </c>
      <c r="M212" s="131">
        <f>I212*G212</f>
        <v>0</v>
      </c>
      <c r="N212" s="386">
        <f t="shared" si="53"/>
        <v>0</v>
      </c>
      <c r="O212" s="375">
        <f>L212-N212</f>
        <v>32.72</v>
      </c>
      <c r="P212" s="136">
        <f t="shared" si="55"/>
        <v>0</v>
      </c>
      <c r="S212" s="189">
        <v>0</v>
      </c>
      <c r="T212" s="189">
        <v>0</v>
      </c>
    </row>
    <row r="213" spans="1:20" s="194" customFormat="1" x14ac:dyDescent="0.2">
      <c r="A213" s="125" t="s">
        <v>1663</v>
      </c>
      <c r="B213" s="126" t="s">
        <v>2007</v>
      </c>
      <c r="C213" s="126" t="s">
        <v>1339</v>
      </c>
      <c r="D213" s="127" t="s">
        <v>1664</v>
      </c>
      <c r="E213" s="128" t="s">
        <v>102</v>
      </c>
      <c r="F213" s="137">
        <v>10.220000000000001</v>
      </c>
      <c r="G213" s="130">
        <v>15.11</v>
      </c>
      <c r="H213" s="128">
        <v>2</v>
      </c>
      <c r="I213" s="116">
        <f>0</f>
        <v>0</v>
      </c>
      <c r="J213" s="374">
        <f>'01'!G213+'02'!G213+'03'!H213+'04 CORRIGIDA'!J212+'05'!I213</f>
        <v>0</v>
      </c>
      <c r="K213" s="137">
        <f>H213-J213</f>
        <v>2</v>
      </c>
      <c r="L213" s="131">
        <f>ROUND(H213*G213,2)</f>
        <v>30.22</v>
      </c>
      <c r="M213" s="131">
        <f>I213*G213</f>
        <v>0</v>
      </c>
      <c r="N213" s="386">
        <f t="shared" si="53"/>
        <v>0</v>
      </c>
      <c r="O213" s="375">
        <f>L213-N213</f>
        <v>30.22</v>
      </c>
      <c r="P213" s="136">
        <f t="shared" si="55"/>
        <v>0</v>
      </c>
      <c r="S213" s="195">
        <v>0</v>
      </c>
      <c r="T213" s="195">
        <v>0</v>
      </c>
    </row>
    <row r="214" spans="1:20" s="106" customFormat="1" x14ac:dyDescent="0.2">
      <c r="A214" s="425">
        <v>17</v>
      </c>
      <c r="B214" s="414"/>
      <c r="C214" s="414"/>
      <c r="D214" s="414" t="s">
        <v>1665</v>
      </c>
      <c r="E214" s="415"/>
      <c r="F214" s="417"/>
      <c r="G214" s="418"/>
      <c r="H214" s="416"/>
      <c r="I214" s="420"/>
      <c r="J214" s="421"/>
      <c r="K214" s="420"/>
      <c r="L214" s="435">
        <f>SUM(L215,L225,L247,L252)</f>
        <v>20098.660000000003</v>
      </c>
      <c r="M214" s="436">
        <f>SUM(M215,M225,M247,M252)</f>
        <v>311.62</v>
      </c>
      <c r="N214" s="419">
        <f>SUM(N215,N225,N247,N252)</f>
        <v>311.62</v>
      </c>
      <c r="O214" s="430">
        <f>SUM(O215,O225,O247,O252)</f>
        <v>19787.04</v>
      </c>
      <c r="P214" s="437">
        <f t="shared" si="55"/>
        <v>1.550451622147944E-2</v>
      </c>
      <c r="S214" s="190">
        <v>0</v>
      </c>
      <c r="T214" s="190">
        <v>0</v>
      </c>
    </row>
    <row r="215" spans="1:20" x14ac:dyDescent="0.2">
      <c r="A215" s="449" t="s">
        <v>625</v>
      </c>
      <c r="B215" s="450"/>
      <c r="C215" s="450"/>
      <c r="D215" s="451" t="s">
        <v>1666</v>
      </c>
      <c r="E215" s="452"/>
      <c r="F215" s="452">
        <f t="shared" ref="F215:O215" si="56">SUM(F216:F224)</f>
        <v>158.63</v>
      </c>
      <c r="G215" s="468">
        <f t="shared" si="56"/>
        <v>1119.23</v>
      </c>
      <c r="H215" s="452">
        <f>SUM(H216:H224)</f>
        <v>30</v>
      </c>
      <c r="I215" s="452">
        <f>0</f>
        <v>0</v>
      </c>
      <c r="J215" s="457">
        <f>'01'!G215+'02'!G215+'03'!H215+'04 CORRIGIDA'!J214+'05'!I215</f>
        <v>0</v>
      </c>
      <c r="K215" s="452">
        <f t="shared" si="56"/>
        <v>23</v>
      </c>
      <c r="L215" s="452">
        <f>SUM(L216:L224)</f>
        <v>1711.6100000000001</v>
      </c>
      <c r="M215" s="468">
        <f t="shared" si="56"/>
        <v>0</v>
      </c>
      <c r="N215" s="468">
        <f t="shared" si="56"/>
        <v>0</v>
      </c>
      <c r="O215" s="469">
        <f t="shared" si="56"/>
        <v>1711.6100000000001</v>
      </c>
      <c r="P215" s="459">
        <f t="shared" si="55"/>
        <v>0</v>
      </c>
      <c r="S215" s="189">
        <v>0</v>
      </c>
      <c r="T215" s="189">
        <v>0</v>
      </c>
    </row>
    <row r="216" spans="1:20" x14ac:dyDescent="0.2">
      <c r="A216" s="125" t="s">
        <v>1667</v>
      </c>
      <c r="B216" s="126">
        <v>83463</v>
      </c>
      <c r="C216" s="126" t="s">
        <v>1324</v>
      </c>
      <c r="D216" s="127" t="s">
        <v>1668</v>
      </c>
      <c r="E216" s="128" t="s">
        <v>102</v>
      </c>
      <c r="F216" s="137">
        <v>12.73</v>
      </c>
      <c r="G216" s="130">
        <v>211.62</v>
      </c>
      <c r="H216" s="128">
        <v>1</v>
      </c>
      <c r="I216" s="116">
        <f>0</f>
        <v>0</v>
      </c>
      <c r="J216" s="374">
        <f>'01'!G216+'02'!G216+'03'!H216+'04 CORRIGIDA'!J215+'05'!I216</f>
        <v>0</v>
      </c>
      <c r="K216" s="137">
        <f>H216-J216</f>
        <v>1</v>
      </c>
      <c r="L216" s="131">
        <f t="shared" ref="L216:L224" si="57">ROUND(H216*G216,2)</f>
        <v>211.62</v>
      </c>
      <c r="M216" s="131">
        <f>I216*G216</f>
        <v>0</v>
      </c>
      <c r="N216" s="386">
        <f t="shared" ref="N216:N224" si="58">J216*G216</f>
        <v>0</v>
      </c>
      <c r="O216" s="375">
        <f t="shared" ref="O216:O224" si="59">L216-N216</f>
        <v>211.62</v>
      </c>
      <c r="P216" s="136">
        <f t="shared" si="55"/>
        <v>0</v>
      </c>
      <c r="S216" s="189">
        <v>0</v>
      </c>
      <c r="T216" s="189">
        <v>0</v>
      </c>
    </row>
    <row r="217" spans="1:20" x14ac:dyDescent="0.2">
      <c r="A217" s="125" t="s">
        <v>1669</v>
      </c>
      <c r="B217" s="126" t="s">
        <v>1670</v>
      </c>
      <c r="C217" s="126" t="s">
        <v>1324</v>
      </c>
      <c r="D217" s="127" t="s">
        <v>1671</v>
      </c>
      <c r="E217" s="128" t="s">
        <v>102</v>
      </c>
      <c r="F217" s="137">
        <v>8.5299999999999994</v>
      </c>
      <c r="G217" s="130">
        <v>332.47</v>
      </c>
      <c r="H217" s="128">
        <v>1</v>
      </c>
      <c r="I217" s="116">
        <f>0</f>
        <v>0</v>
      </c>
      <c r="J217" s="374">
        <f>'01'!G217+'02'!G217+'03'!H217+'04 CORRIGIDA'!J216+'05'!I217</f>
        <v>0</v>
      </c>
      <c r="K217" s="137">
        <f>H217-J217</f>
        <v>1</v>
      </c>
      <c r="L217" s="131">
        <f t="shared" si="57"/>
        <v>332.47</v>
      </c>
      <c r="M217" s="131">
        <f>I217*G217</f>
        <v>0</v>
      </c>
      <c r="N217" s="386">
        <f t="shared" si="58"/>
        <v>0</v>
      </c>
      <c r="O217" s="375">
        <f t="shared" si="59"/>
        <v>332.47</v>
      </c>
      <c r="P217" s="136">
        <f t="shared" si="55"/>
        <v>0</v>
      </c>
      <c r="S217" s="189">
        <v>0</v>
      </c>
      <c r="T217" s="189">
        <v>0</v>
      </c>
    </row>
    <row r="218" spans="1:20" x14ac:dyDescent="0.2">
      <c r="A218" s="125" t="s">
        <v>1672</v>
      </c>
      <c r="B218" s="126" t="s">
        <v>1673</v>
      </c>
      <c r="C218" s="126" t="s">
        <v>1343</v>
      </c>
      <c r="D218" s="127" t="s">
        <v>1674</v>
      </c>
      <c r="E218" s="128" t="s">
        <v>102</v>
      </c>
      <c r="F218" s="137">
        <v>22.59</v>
      </c>
      <c r="G218" s="130">
        <v>65.62</v>
      </c>
      <c r="H218" s="128">
        <v>1</v>
      </c>
      <c r="I218" s="116">
        <f>0</f>
        <v>0</v>
      </c>
      <c r="J218" s="374">
        <f>'01'!G218+'02'!G218+'03'!H218+'04 CORRIGIDA'!J217+'05'!I218</f>
        <v>0</v>
      </c>
      <c r="K218" s="137">
        <f>H218-J218</f>
        <v>1</v>
      </c>
      <c r="L218" s="131">
        <f t="shared" si="57"/>
        <v>65.62</v>
      </c>
      <c r="M218" s="131">
        <f>I218*G218</f>
        <v>0</v>
      </c>
      <c r="N218" s="386">
        <f t="shared" si="58"/>
        <v>0</v>
      </c>
      <c r="O218" s="375">
        <f t="shared" si="59"/>
        <v>65.62</v>
      </c>
      <c r="P218" s="136">
        <f t="shared" si="55"/>
        <v>0</v>
      </c>
      <c r="S218" s="189">
        <v>0</v>
      </c>
      <c r="T218" s="189">
        <v>0</v>
      </c>
    </row>
    <row r="219" spans="1:20" x14ac:dyDescent="0.2">
      <c r="A219" s="125" t="s">
        <v>1675</v>
      </c>
      <c r="B219" s="126" t="s">
        <v>1676</v>
      </c>
      <c r="C219" s="126" t="s">
        <v>1324</v>
      </c>
      <c r="D219" s="127" t="s">
        <v>1677</v>
      </c>
      <c r="E219" s="128" t="s">
        <v>102</v>
      </c>
      <c r="F219" s="129"/>
      <c r="G219" s="130">
        <v>11.27</v>
      </c>
      <c r="H219" s="128">
        <v>7</v>
      </c>
      <c r="I219" s="116">
        <f>0</f>
        <v>0</v>
      </c>
      <c r="J219" s="374">
        <f>'01'!G219+'02'!G219+'03'!H219+'04 CORRIGIDA'!J218+'05'!I219</f>
        <v>0</v>
      </c>
      <c r="K219" s="129"/>
      <c r="L219" s="131">
        <f t="shared" si="57"/>
        <v>78.89</v>
      </c>
      <c r="M219" s="135"/>
      <c r="N219" s="386">
        <f t="shared" si="58"/>
        <v>0</v>
      </c>
      <c r="O219" s="375">
        <f t="shared" si="59"/>
        <v>78.89</v>
      </c>
      <c r="P219" s="136">
        <f t="shared" si="55"/>
        <v>0</v>
      </c>
      <c r="S219" s="189">
        <v>0</v>
      </c>
      <c r="T219" s="189">
        <v>0</v>
      </c>
    </row>
    <row r="220" spans="1:20" x14ac:dyDescent="0.2">
      <c r="A220" s="125" t="s">
        <v>1678</v>
      </c>
      <c r="B220" s="126" t="s">
        <v>1676</v>
      </c>
      <c r="C220" s="126" t="s">
        <v>1324</v>
      </c>
      <c r="D220" s="127" t="s">
        <v>1679</v>
      </c>
      <c r="E220" s="128" t="s">
        <v>102</v>
      </c>
      <c r="F220" s="137">
        <v>4.09</v>
      </c>
      <c r="G220" s="130">
        <v>11.27</v>
      </c>
      <c r="H220" s="128">
        <v>5</v>
      </c>
      <c r="I220" s="116">
        <f>0</f>
        <v>0</v>
      </c>
      <c r="J220" s="374">
        <f>'01'!G220+'02'!G220+'03'!H220+'04 CORRIGIDA'!J219+'05'!I220</f>
        <v>0</v>
      </c>
      <c r="K220" s="137">
        <f>H220-J220</f>
        <v>5</v>
      </c>
      <c r="L220" s="131">
        <f t="shared" si="57"/>
        <v>56.35</v>
      </c>
      <c r="M220" s="131">
        <f>I220*G220</f>
        <v>0</v>
      </c>
      <c r="N220" s="386">
        <f t="shared" si="58"/>
        <v>0</v>
      </c>
      <c r="O220" s="375">
        <f t="shared" si="59"/>
        <v>56.35</v>
      </c>
      <c r="P220" s="136">
        <f t="shared" si="55"/>
        <v>0</v>
      </c>
      <c r="S220" s="189">
        <v>0</v>
      </c>
      <c r="T220" s="189">
        <v>0</v>
      </c>
    </row>
    <row r="221" spans="1:20" x14ac:dyDescent="0.2">
      <c r="A221" s="125" t="s">
        <v>1680</v>
      </c>
      <c r="B221" s="126" t="s">
        <v>1676</v>
      </c>
      <c r="C221" s="126" t="s">
        <v>1324</v>
      </c>
      <c r="D221" s="127" t="s">
        <v>1681</v>
      </c>
      <c r="E221" s="128" t="s">
        <v>102</v>
      </c>
      <c r="F221" s="137">
        <v>5.71</v>
      </c>
      <c r="G221" s="130">
        <v>11.27</v>
      </c>
      <c r="H221" s="128">
        <v>8</v>
      </c>
      <c r="I221" s="116">
        <f>0</f>
        <v>0</v>
      </c>
      <c r="J221" s="374">
        <f>'01'!G221+'02'!G221+'03'!H221+'04 CORRIGIDA'!J220+'05'!I221</f>
        <v>0</v>
      </c>
      <c r="K221" s="137">
        <f>H221-J221</f>
        <v>8</v>
      </c>
      <c r="L221" s="131">
        <f t="shared" si="57"/>
        <v>90.16</v>
      </c>
      <c r="M221" s="131">
        <f>I221*G221</f>
        <v>0</v>
      </c>
      <c r="N221" s="386">
        <f t="shared" si="58"/>
        <v>0</v>
      </c>
      <c r="O221" s="375">
        <f t="shared" si="59"/>
        <v>90.16</v>
      </c>
      <c r="P221" s="136">
        <f t="shared" si="55"/>
        <v>0</v>
      </c>
      <c r="S221" s="189">
        <v>0</v>
      </c>
      <c r="T221" s="189">
        <v>0</v>
      </c>
    </row>
    <row r="222" spans="1:20" x14ac:dyDescent="0.2">
      <c r="A222" s="125" t="s">
        <v>1682</v>
      </c>
      <c r="B222" s="126" t="s">
        <v>1683</v>
      </c>
      <c r="C222" s="126" t="s">
        <v>1324</v>
      </c>
      <c r="D222" s="127" t="s">
        <v>1684</v>
      </c>
      <c r="E222" s="128" t="s">
        <v>102</v>
      </c>
      <c r="F222" s="137">
        <v>8.99</v>
      </c>
      <c r="G222" s="130">
        <v>97.76</v>
      </c>
      <c r="H222" s="128">
        <v>2</v>
      </c>
      <c r="I222" s="116">
        <f>0</f>
        <v>0</v>
      </c>
      <c r="J222" s="374">
        <f>'01'!G222+'02'!G222+'03'!H222+'04 CORRIGIDA'!J221+'05'!I222</f>
        <v>0</v>
      </c>
      <c r="K222" s="137">
        <f>H222-J222</f>
        <v>2</v>
      </c>
      <c r="L222" s="131">
        <f t="shared" si="57"/>
        <v>195.52</v>
      </c>
      <c r="M222" s="131">
        <f>I222*G222</f>
        <v>0</v>
      </c>
      <c r="N222" s="386">
        <f t="shared" si="58"/>
        <v>0</v>
      </c>
      <c r="O222" s="375">
        <f t="shared" si="59"/>
        <v>195.52</v>
      </c>
      <c r="P222" s="136">
        <f t="shared" si="55"/>
        <v>0</v>
      </c>
      <c r="S222" s="189">
        <v>0</v>
      </c>
      <c r="T222" s="189">
        <v>0</v>
      </c>
    </row>
    <row r="223" spans="1:20" x14ac:dyDescent="0.2">
      <c r="A223" s="125" t="s">
        <v>1685</v>
      </c>
      <c r="B223" s="126" t="s">
        <v>1686</v>
      </c>
      <c r="C223" s="126" t="s">
        <v>1324</v>
      </c>
      <c r="D223" s="127" t="s">
        <v>1687</v>
      </c>
      <c r="E223" s="128" t="s">
        <v>102</v>
      </c>
      <c r="F223" s="137">
        <v>23.78</v>
      </c>
      <c r="G223" s="130">
        <v>276.94</v>
      </c>
      <c r="H223" s="128">
        <v>1</v>
      </c>
      <c r="I223" s="116">
        <f>0</f>
        <v>0</v>
      </c>
      <c r="J223" s="374">
        <f>'01'!G223+'02'!G223+'03'!H223+'04 CORRIGIDA'!J222+'05'!I223</f>
        <v>0</v>
      </c>
      <c r="K223" s="137">
        <f>H223-J223</f>
        <v>1</v>
      </c>
      <c r="L223" s="131">
        <f t="shared" si="57"/>
        <v>276.94</v>
      </c>
      <c r="M223" s="131">
        <f>I223*G223</f>
        <v>0</v>
      </c>
      <c r="N223" s="386">
        <f t="shared" si="58"/>
        <v>0</v>
      </c>
      <c r="O223" s="375">
        <f t="shared" si="59"/>
        <v>276.94</v>
      </c>
      <c r="P223" s="136">
        <f t="shared" si="55"/>
        <v>0</v>
      </c>
      <c r="S223" s="189">
        <v>0</v>
      </c>
      <c r="T223" s="189">
        <v>0</v>
      </c>
    </row>
    <row r="224" spans="1:20" s="109" customFormat="1" ht="25.5" x14ac:dyDescent="0.2">
      <c r="A224" s="125" t="s">
        <v>1688</v>
      </c>
      <c r="B224" s="126" t="s">
        <v>2007</v>
      </c>
      <c r="C224" s="126" t="s">
        <v>1339</v>
      </c>
      <c r="D224" s="127" t="s">
        <v>1689</v>
      </c>
      <c r="E224" s="128" t="s">
        <v>102</v>
      </c>
      <c r="F224" s="137">
        <v>72.209999999999994</v>
      </c>
      <c r="G224" s="130">
        <v>101.01</v>
      </c>
      <c r="H224" s="128">
        <v>4</v>
      </c>
      <c r="I224" s="116">
        <f>0</f>
        <v>0</v>
      </c>
      <c r="J224" s="374">
        <f>'01'!G224+'02'!G224+'03'!H224+'04 CORRIGIDA'!J223+'05'!I224</f>
        <v>0</v>
      </c>
      <c r="K224" s="137">
        <f>H224-J224</f>
        <v>4</v>
      </c>
      <c r="L224" s="131">
        <f t="shared" si="57"/>
        <v>404.04</v>
      </c>
      <c r="M224" s="131">
        <f>I224*G224</f>
        <v>0</v>
      </c>
      <c r="N224" s="386">
        <f t="shared" si="58"/>
        <v>0</v>
      </c>
      <c r="O224" s="375">
        <f t="shared" si="59"/>
        <v>404.04</v>
      </c>
      <c r="P224" s="136">
        <f t="shared" si="55"/>
        <v>0</v>
      </c>
      <c r="S224" s="191">
        <v>0</v>
      </c>
      <c r="T224" s="191">
        <v>0</v>
      </c>
    </row>
    <row r="225" spans="1:20" s="110" customFormat="1" x14ac:dyDescent="0.2">
      <c r="A225" s="449" t="s">
        <v>631</v>
      </c>
      <c r="B225" s="450"/>
      <c r="C225" s="450"/>
      <c r="D225" s="451" t="s">
        <v>1690</v>
      </c>
      <c r="E225" s="452"/>
      <c r="F225" s="452">
        <f t="shared" ref="F225:O225" si="60">SUM(F226:F246)</f>
        <v>274.84000000000003</v>
      </c>
      <c r="G225" s="468">
        <f t="shared" si="60"/>
        <v>275.86999999999995</v>
      </c>
      <c r="H225" s="452">
        <f>SUM(H226:H246)</f>
        <v>321</v>
      </c>
      <c r="I225" s="452">
        <f>I226+I227</f>
        <v>46</v>
      </c>
      <c r="J225" s="457">
        <f>'01'!G225+'02'!G225+'03'!H225+'04 CORRIGIDA'!J224+'05'!I225</f>
        <v>46</v>
      </c>
      <c r="K225" s="452">
        <v>0</v>
      </c>
      <c r="L225" s="452">
        <f>SUM(L226:L246)</f>
        <v>3741.5200000000004</v>
      </c>
      <c r="M225" s="468">
        <f t="shared" si="60"/>
        <v>311.62</v>
      </c>
      <c r="N225" s="468">
        <f t="shared" si="60"/>
        <v>311.62</v>
      </c>
      <c r="O225" s="469">
        <f t="shared" si="60"/>
        <v>3429.9</v>
      </c>
      <c r="P225" s="459">
        <f t="shared" si="55"/>
        <v>8.3287006350360279E-2</v>
      </c>
      <c r="S225" s="192">
        <v>28</v>
      </c>
      <c r="T225" s="192">
        <v>0</v>
      </c>
    </row>
    <row r="226" spans="1:20" s="110" customFormat="1" x14ac:dyDescent="0.2">
      <c r="A226" s="379" t="s">
        <v>1691</v>
      </c>
      <c r="B226" s="380">
        <v>91854</v>
      </c>
      <c r="C226" s="380" t="s">
        <v>1324</v>
      </c>
      <c r="D226" s="381" t="s">
        <v>1692</v>
      </c>
      <c r="E226" s="382" t="s">
        <v>81</v>
      </c>
      <c r="F226" s="137">
        <v>6.88</v>
      </c>
      <c r="G226" s="383">
        <v>6.16</v>
      </c>
      <c r="H226" s="382">
        <v>28</v>
      </c>
      <c r="I226" s="392">
        <v>28</v>
      </c>
      <c r="J226" s="374">
        <f>'01'!G226+'02'!G226+'03'!H226+'04 CORRIGIDA'!J225+'05'!I226</f>
        <v>28</v>
      </c>
      <c r="K226" s="508">
        <f>H226-J226</f>
        <v>0</v>
      </c>
      <c r="L226" s="509">
        <f t="shared" ref="L226:L246" si="61">ROUND(H226*G226,2)</f>
        <v>172.48</v>
      </c>
      <c r="M226" s="386">
        <f t="shared" ref="M226:M246" si="62">I226*G226</f>
        <v>172.48000000000002</v>
      </c>
      <c r="N226" s="386">
        <f t="shared" ref="N226:N246" si="63">J226*G226</f>
        <v>172.48000000000002</v>
      </c>
      <c r="O226" s="387">
        <f t="shared" ref="O226:O246" si="64">L226-N226</f>
        <v>0</v>
      </c>
      <c r="P226" s="388">
        <f t="shared" si="55"/>
        <v>1.0000000000000002</v>
      </c>
      <c r="S226" s="192">
        <v>18</v>
      </c>
      <c r="T226" s="192">
        <v>0</v>
      </c>
    </row>
    <row r="227" spans="1:20" x14ac:dyDescent="0.2">
      <c r="A227" s="379" t="s">
        <v>1693</v>
      </c>
      <c r="B227" s="380">
        <v>91856</v>
      </c>
      <c r="C227" s="380" t="s">
        <v>1324</v>
      </c>
      <c r="D227" s="381" t="s">
        <v>1694</v>
      </c>
      <c r="E227" s="382" t="s">
        <v>81</v>
      </c>
      <c r="F227" s="137">
        <v>9.86</v>
      </c>
      <c r="G227" s="383">
        <v>7.73</v>
      </c>
      <c r="H227" s="382">
        <v>18</v>
      </c>
      <c r="I227" s="392">
        <v>18</v>
      </c>
      <c r="J227" s="374">
        <f>'01'!G227+'02'!G227+'03'!H227+'04 CORRIGIDA'!J226+'05'!I227</f>
        <v>18</v>
      </c>
      <c r="K227" s="508">
        <f>H227-J227</f>
        <v>0</v>
      </c>
      <c r="L227" s="509">
        <f t="shared" si="61"/>
        <v>139.13999999999999</v>
      </c>
      <c r="M227" s="386">
        <f t="shared" si="62"/>
        <v>139.14000000000001</v>
      </c>
      <c r="N227" s="386">
        <f t="shared" si="63"/>
        <v>139.14000000000001</v>
      </c>
      <c r="O227" s="387">
        <f t="shared" si="64"/>
        <v>0</v>
      </c>
      <c r="P227" s="388">
        <f t="shared" si="55"/>
        <v>1.0000000000000002</v>
      </c>
      <c r="S227" s="189">
        <v>0</v>
      </c>
      <c r="T227" s="189">
        <v>0</v>
      </c>
    </row>
    <row r="228" spans="1:20" x14ac:dyDescent="0.2">
      <c r="A228" s="125" t="s">
        <v>1695</v>
      </c>
      <c r="B228" s="126">
        <v>91873</v>
      </c>
      <c r="C228" s="126" t="s">
        <v>1324</v>
      </c>
      <c r="D228" s="127" t="s">
        <v>1696</v>
      </c>
      <c r="E228" s="128" t="s">
        <v>81</v>
      </c>
      <c r="F228" s="137">
        <v>10.4</v>
      </c>
      <c r="G228" s="130">
        <v>12.57</v>
      </c>
      <c r="H228" s="128">
        <v>18</v>
      </c>
      <c r="I228" s="116">
        <f t="shared" ref="I228:I245" si="65">SUM(I229:I236)</f>
        <v>0</v>
      </c>
      <c r="J228" s="374">
        <f>'01'!G228+'02'!G228+'03'!H228+'04 CORRIGIDA'!J227+'05'!I228</f>
        <v>0</v>
      </c>
      <c r="K228" s="137">
        <f>H228-J228</f>
        <v>18</v>
      </c>
      <c r="L228" s="171">
        <f t="shared" si="61"/>
        <v>226.26</v>
      </c>
      <c r="M228" s="131">
        <f t="shared" si="62"/>
        <v>0</v>
      </c>
      <c r="N228" s="131">
        <f t="shared" si="63"/>
        <v>0</v>
      </c>
      <c r="O228" s="375">
        <f t="shared" si="64"/>
        <v>226.26</v>
      </c>
      <c r="P228" s="136">
        <f t="shared" si="55"/>
        <v>0</v>
      </c>
      <c r="S228" s="189">
        <v>0</v>
      </c>
      <c r="T228" s="189">
        <v>0</v>
      </c>
    </row>
    <row r="229" spans="1:20" x14ac:dyDescent="0.2">
      <c r="A229" s="125" t="s">
        <v>1697</v>
      </c>
      <c r="B229" s="126">
        <v>72308</v>
      </c>
      <c r="C229" s="126" t="s">
        <v>1324</v>
      </c>
      <c r="D229" s="127" t="s">
        <v>1698</v>
      </c>
      <c r="E229" s="128" t="s">
        <v>81</v>
      </c>
      <c r="F229" s="137">
        <v>9.6</v>
      </c>
      <c r="G229" s="130">
        <v>14.39</v>
      </c>
      <c r="H229" s="128">
        <v>82</v>
      </c>
      <c r="I229" s="116">
        <f t="shared" si="65"/>
        <v>0</v>
      </c>
      <c r="J229" s="374">
        <f>'01'!G229+'02'!G229+'03'!H229+'04 CORRIGIDA'!J228+'05'!I229</f>
        <v>0</v>
      </c>
      <c r="K229" s="137">
        <f>H229-J229</f>
        <v>82</v>
      </c>
      <c r="L229" s="171">
        <f t="shared" si="61"/>
        <v>1179.98</v>
      </c>
      <c r="M229" s="131">
        <f t="shared" si="62"/>
        <v>0</v>
      </c>
      <c r="N229" s="131">
        <f t="shared" si="63"/>
        <v>0</v>
      </c>
      <c r="O229" s="375">
        <f t="shared" si="64"/>
        <v>1179.98</v>
      </c>
      <c r="P229" s="136">
        <f t="shared" si="55"/>
        <v>0</v>
      </c>
      <c r="S229" s="189">
        <v>0</v>
      </c>
      <c r="T229" s="189">
        <v>0</v>
      </c>
    </row>
    <row r="230" spans="1:20" x14ac:dyDescent="0.2">
      <c r="A230" s="125" t="s">
        <v>1699</v>
      </c>
      <c r="B230" s="126">
        <v>72309</v>
      </c>
      <c r="C230" s="126" t="s">
        <v>1324</v>
      </c>
      <c r="D230" s="127" t="s">
        <v>1700</v>
      </c>
      <c r="E230" s="128" t="s">
        <v>81</v>
      </c>
      <c r="F230" s="137">
        <v>7.38</v>
      </c>
      <c r="G230" s="130">
        <v>22.92</v>
      </c>
      <c r="H230" s="128">
        <v>13</v>
      </c>
      <c r="I230" s="116">
        <f t="shared" si="65"/>
        <v>0</v>
      </c>
      <c r="J230" s="374">
        <f>'01'!G230+'02'!G230+'03'!H230+'04 CORRIGIDA'!J229+'05'!I230</f>
        <v>0</v>
      </c>
      <c r="K230" s="137">
        <f>H230-J230</f>
        <v>13</v>
      </c>
      <c r="L230" s="171">
        <f t="shared" si="61"/>
        <v>297.95999999999998</v>
      </c>
      <c r="M230" s="131">
        <f t="shared" si="62"/>
        <v>0</v>
      </c>
      <c r="N230" s="131">
        <f t="shared" si="63"/>
        <v>0</v>
      </c>
      <c r="O230" s="375">
        <f t="shared" si="64"/>
        <v>297.95999999999998</v>
      </c>
      <c r="P230" s="136">
        <f t="shared" si="55"/>
        <v>0</v>
      </c>
      <c r="S230" s="189">
        <v>0</v>
      </c>
      <c r="T230" s="189">
        <v>0</v>
      </c>
    </row>
    <row r="231" spans="1:20" x14ac:dyDescent="0.2">
      <c r="A231" s="125" t="s">
        <v>2011</v>
      </c>
      <c r="B231" s="126" t="s">
        <v>2012</v>
      </c>
      <c r="C231" s="126" t="s">
        <v>1324</v>
      </c>
      <c r="D231" s="127" t="s">
        <v>1702</v>
      </c>
      <c r="E231" s="128" t="s">
        <v>81</v>
      </c>
      <c r="F231" s="129"/>
      <c r="G231" s="130">
        <v>24.94</v>
      </c>
      <c r="H231" s="128">
        <v>30</v>
      </c>
      <c r="I231" s="116">
        <f t="shared" si="65"/>
        <v>0</v>
      </c>
      <c r="J231" s="374">
        <f>'01'!G231+'02'!G231+'03'!H231+'04 CORRIGIDA'!J230+'05'!I231</f>
        <v>0</v>
      </c>
      <c r="K231" s="137"/>
      <c r="L231" s="171">
        <f t="shared" si="61"/>
        <v>748.2</v>
      </c>
      <c r="M231" s="131">
        <f t="shared" si="62"/>
        <v>0</v>
      </c>
      <c r="N231" s="131">
        <f t="shared" si="63"/>
        <v>0</v>
      </c>
      <c r="O231" s="375">
        <f t="shared" si="64"/>
        <v>748.2</v>
      </c>
      <c r="P231" s="136">
        <f t="shared" si="55"/>
        <v>0</v>
      </c>
      <c r="S231" s="189">
        <v>0</v>
      </c>
      <c r="T231" s="189">
        <v>0</v>
      </c>
    </row>
    <row r="232" spans="1:20" x14ac:dyDescent="0.2">
      <c r="A232" s="125" t="s">
        <v>1703</v>
      </c>
      <c r="B232" s="126" t="s">
        <v>1704</v>
      </c>
      <c r="C232" s="126" t="s">
        <v>1324</v>
      </c>
      <c r="D232" s="127" t="s">
        <v>1705</v>
      </c>
      <c r="E232" s="128" t="s">
        <v>102</v>
      </c>
      <c r="F232" s="137">
        <v>3.06</v>
      </c>
      <c r="G232" s="130">
        <v>23.12</v>
      </c>
      <c r="H232" s="128">
        <v>5</v>
      </c>
      <c r="I232" s="116">
        <f t="shared" si="65"/>
        <v>0</v>
      </c>
      <c r="J232" s="374">
        <f>'01'!G232+'02'!G232+'03'!H232+'04 CORRIGIDA'!J231+'05'!I232</f>
        <v>0</v>
      </c>
      <c r="K232" s="137">
        <f t="shared" ref="K232:K237" si="66">H232-J232</f>
        <v>5</v>
      </c>
      <c r="L232" s="171">
        <f t="shared" si="61"/>
        <v>115.6</v>
      </c>
      <c r="M232" s="131">
        <f t="shared" si="62"/>
        <v>0</v>
      </c>
      <c r="N232" s="131">
        <f t="shared" si="63"/>
        <v>0</v>
      </c>
      <c r="O232" s="375">
        <f t="shared" si="64"/>
        <v>115.6</v>
      </c>
      <c r="P232" s="136">
        <f t="shared" si="55"/>
        <v>0</v>
      </c>
      <c r="S232" s="189">
        <v>0</v>
      </c>
      <c r="T232" s="189">
        <v>0</v>
      </c>
    </row>
    <row r="233" spans="1:20" x14ac:dyDescent="0.2">
      <c r="A233" s="125" t="s">
        <v>1706</v>
      </c>
      <c r="B233" s="126" t="s">
        <v>1707</v>
      </c>
      <c r="C233" s="126" t="s">
        <v>1324</v>
      </c>
      <c r="D233" s="127" t="s">
        <v>1708</v>
      </c>
      <c r="E233" s="128" t="s">
        <v>102</v>
      </c>
      <c r="F233" s="137">
        <v>4.18</v>
      </c>
      <c r="G233" s="130">
        <v>25.34</v>
      </c>
      <c r="H233" s="128">
        <v>5</v>
      </c>
      <c r="I233" s="116">
        <f t="shared" si="65"/>
        <v>0</v>
      </c>
      <c r="J233" s="374">
        <f>'01'!G233+'02'!G233+'03'!H233+'04 CORRIGIDA'!J232+'05'!I233</f>
        <v>0</v>
      </c>
      <c r="K233" s="137">
        <f t="shared" si="66"/>
        <v>5</v>
      </c>
      <c r="L233" s="171">
        <f t="shared" si="61"/>
        <v>126.7</v>
      </c>
      <c r="M233" s="131">
        <f t="shared" si="62"/>
        <v>0</v>
      </c>
      <c r="N233" s="131">
        <f t="shared" si="63"/>
        <v>0</v>
      </c>
      <c r="O233" s="375">
        <f t="shared" si="64"/>
        <v>126.7</v>
      </c>
      <c r="P233" s="136">
        <f t="shared" si="55"/>
        <v>0</v>
      </c>
      <c r="S233" s="189">
        <v>0</v>
      </c>
      <c r="T233" s="189">
        <v>0</v>
      </c>
    </row>
    <row r="234" spans="1:20" x14ac:dyDescent="0.2">
      <c r="A234" s="125" t="s">
        <v>1709</v>
      </c>
      <c r="B234" s="126" t="s">
        <v>1704</v>
      </c>
      <c r="C234" s="126" t="s">
        <v>1324</v>
      </c>
      <c r="D234" s="127" t="s">
        <v>1710</v>
      </c>
      <c r="E234" s="128" t="s">
        <v>102</v>
      </c>
      <c r="F234" s="137">
        <v>6.7</v>
      </c>
      <c r="G234" s="130">
        <v>25.88</v>
      </c>
      <c r="H234" s="128">
        <v>4</v>
      </c>
      <c r="I234" s="116">
        <f t="shared" si="65"/>
        <v>0</v>
      </c>
      <c r="J234" s="374">
        <f>'01'!G234+'02'!G234+'03'!H234+'04 CORRIGIDA'!J233+'05'!I234</f>
        <v>0</v>
      </c>
      <c r="K234" s="137">
        <f t="shared" si="66"/>
        <v>4</v>
      </c>
      <c r="L234" s="131">
        <f t="shared" si="61"/>
        <v>103.52</v>
      </c>
      <c r="M234" s="131">
        <f t="shared" si="62"/>
        <v>0</v>
      </c>
      <c r="N234" s="131">
        <f t="shared" si="63"/>
        <v>0</v>
      </c>
      <c r="O234" s="375">
        <f t="shared" si="64"/>
        <v>103.52</v>
      </c>
      <c r="P234" s="136">
        <f t="shared" si="55"/>
        <v>0</v>
      </c>
      <c r="S234" s="189">
        <v>0</v>
      </c>
      <c r="T234" s="189">
        <v>0</v>
      </c>
    </row>
    <row r="235" spans="1:20" x14ac:dyDescent="0.2">
      <c r="A235" s="125" t="s">
        <v>1711</v>
      </c>
      <c r="B235" s="126" t="s">
        <v>1712</v>
      </c>
      <c r="C235" s="126" t="s">
        <v>1324</v>
      </c>
      <c r="D235" s="127" t="s">
        <v>1713</v>
      </c>
      <c r="E235" s="128" t="s">
        <v>102</v>
      </c>
      <c r="F235" s="137">
        <v>12.3</v>
      </c>
      <c r="G235" s="130">
        <v>26.28</v>
      </c>
      <c r="H235" s="128">
        <v>1</v>
      </c>
      <c r="I235" s="116">
        <f t="shared" si="65"/>
        <v>0</v>
      </c>
      <c r="J235" s="374">
        <f>'01'!G235+'02'!G235+'03'!H235+'04 CORRIGIDA'!J234+'05'!I235</f>
        <v>0</v>
      </c>
      <c r="K235" s="137">
        <f t="shared" si="66"/>
        <v>1</v>
      </c>
      <c r="L235" s="131">
        <f t="shared" si="61"/>
        <v>26.28</v>
      </c>
      <c r="M235" s="131">
        <f t="shared" si="62"/>
        <v>0</v>
      </c>
      <c r="N235" s="131">
        <f t="shared" si="63"/>
        <v>0</v>
      </c>
      <c r="O235" s="375">
        <f t="shared" si="64"/>
        <v>26.28</v>
      </c>
      <c r="P235" s="136">
        <f t="shared" si="55"/>
        <v>0</v>
      </c>
      <c r="S235" s="189">
        <v>0</v>
      </c>
      <c r="T235" s="189">
        <v>0</v>
      </c>
    </row>
    <row r="236" spans="1:20" x14ac:dyDescent="0.2">
      <c r="A236" s="125" t="s">
        <v>1714</v>
      </c>
      <c r="B236" s="126" t="s">
        <v>1715</v>
      </c>
      <c r="C236" s="126" t="s">
        <v>1343</v>
      </c>
      <c r="D236" s="127" t="s">
        <v>1716</v>
      </c>
      <c r="E236" s="128" t="s">
        <v>102</v>
      </c>
      <c r="F236" s="137">
        <v>33.06</v>
      </c>
      <c r="G236" s="130">
        <v>1.94</v>
      </c>
      <c r="H236" s="128">
        <v>50</v>
      </c>
      <c r="I236" s="116">
        <f t="shared" si="65"/>
        <v>0</v>
      </c>
      <c r="J236" s="374">
        <f>'01'!G236+'02'!G236+'03'!H236+'04 CORRIGIDA'!J235+'05'!I236</f>
        <v>0</v>
      </c>
      <c r="K236" s="137">
        <f t="shared" si="66"/>
        <v>50</v>
      </c>
      <c r="L236" s="131">
        <f t="shared" si="61"/>
        <v>97</v>
      </c>
      <c r="M236" s="131">
        <f t="shared" si="62"/>
        <v>0</v>
      </c>
      <c r="N236" s="131">
        <f t="shared" si="63"/>
        <v>0</v>
      </c>
      <c r="O236" s="375">
        <f t="shared" si="64"/>
        <v>97</v>
      </c>
      <c r="P236" s="136">
        <f t="shared" si="55"/>
        <v>0</v>
      </c>
      <c r="S236" s="189">
        <v>0</v>
      </c>
      <c r="T236" s="189">
        <v>0</v>
      </c>
    </row>
    <row r="237" spans="1:20" x14ac:dyDescent="0.2">
      <c r="A237" s="125" t="s">
        <v>1717</v>
      </c>
      <c r="B237" s="126" t="s">
        <v>1715</v>
      </c>
      <c r="C237" s="126" t="s">
        <v>1343</v>
      </c>
      <c r="D237" s="127" t="s">
        <v>1718</v>
      </c>
      <c r="E237" s="128" t="s">
        <v>102</v>
      </c>
      <c r="F237" s="137">
        <v>4.53</v>
      </c>
      <c r="G237" s="130">
        <v>2.19</v>
      </c>
      <c r="H237" s="128">
        <v>4</v>
      </c>
      <c r="I237" s="116">
        <f t="shared" si="65"/>
        <v>0</v>
      </c>
      <c r="J237" s="374">
        <f>'01'!G237+'02'!G237+'03'!H237+'04 CORRIGIDA'!J236+'05'!I237</f>
        <v>0</v>
      </c>
      <c r="K237" s="137">
        <f t="shared" si="66"/>
        <v>4</v>
      </c>
      <c r="L237" s="131">
        <f t="shared" si="61"/>
        <v>8.76</v>
      </c>
      <c r="M237" s="131">
        <f t="shared" si="62"/>
        <v>0</v>
      </c>
      <c r="N237" s="131">
        <f t="shared" si="63"/>
        <v>0</v>
      </c>
      <c r="O237" s="375">
        <f t="shared" si="64"/>
        <v>8.76</v>
      </c>
      <c r="P237" s="136">
        <f t="shared" ref="P237:P268" si="67">N237/L237</f>
        <v>0</v>
      </c>
      <c r="S237" s="189">
        <v>0</v>
      </c>
      <c r="T237" s="189">
        <v>0</v>
      </c>
    </row>
    <row r="238" spans="1:20" x14ac:dyDescent="0.2">
      <c r="A238" s="125" t="s">
        <v>1719</v>
      </c>
      <c r="B238" s="126" t="s">
        <v>1715</v>
      </c>
      <c r="C238" s="126" t="s">
        <v>1343</v>
      </c>
      <c r="D238" s="127" t="s">
        <v>1720</v>
      </c>
      <c r="E238" s="128" t="s">
        <v>102</v>
      </c>
      <c r="F238" s="129"/>
      <c r="G238" s="130">
        <v>2.4</v>
      </c>
      <c r="H238" s="128">
        <v>4</v>
      </c>
      <c r="I238" s="116">
        <f t="shared" si="65"/>
        <v>0</v>
      </c>
      <c r="J238" s="374">
        <f>'01'!G238+'02'!G238+'03'!H238+'04 CORRIGIDA'!J237+'05'!I238</f>
        <v>0</v>
      </c>
      <c r="K238" s="129"/>
      <c r="L238" s="131">
        <f t="shared" si="61"/>
        <v>9.6</v>
      </c>
      <c r="M238" s="131">
        <f t="shared" si="62"/>
        <v>0</v>
      </c>
      <c r="N238" s="131">
        <f t="shared" si="63"/>
        <v>0</v>
      </c>
      <c r="O238" s="375">
        <f t="shared" si="64"/>
        <v>9.6</v>
      </c>
      <c r="P238" s="136">
        <f t="shared" si="67"/>
        <v>0</v>
      </c>
      <c r="S238" s="189">
        <v>0</v>
      </c>
      <c r="T238" s="189">
        <v>0</v>
      </c>
    </row>
    <row r="239" spans="1:20" x14ac:dyDescent="0.2">
      <c r="A239" s="125" t="s">
        <v>1721</v>
      </c>
      <c r="B239" s="126">
        <v>73542</v>
      </c>
      <c r="C239" s="126" t="s">
        <v>1324</v>
      </c>
      <c r="D239" s="127" t="s">
        <v>1722</v>
      </c>
      <c r="E239" s="128" t="s">
        <v>1723</v>
      </c>
      <c r="F239" s="137">
        <v>5.76</v>
      </c>
      <c r="G239" s="130">
        <v>0.73</v>
      </c>
      <c r="H239" s="128">
        <v>15</v>
      </c>
      <c r="I239" s="116">
        <f t="shared" si="65"/>
        <v>0</v>
      </c>
      <c r="J239" s="374">
        <f>'01'!G239+'02'!G239+'03'!H239+'04 CORRIGIDA'!J238+'05'!I239</f>
        <v>0</v>
      </c>
      <c r="K239" s="137">
        <f t="shared" ref="K239:K246" si="68">H239-J239</f>
        <v>15</v>
      </c>
      <c r="L239" s="131">
        <f t="shared" si="61"/>
        <v>10.95</v>
      </c>
      <c r="M239" s="131">
        <f t="shared" si="62"/>
        <v>0</v>
      </c>
      <c r="N239" s="131">
        <f t="shared" si="63"/>
        <v>0</v>
      </c>
      <c r="O239" s="375">
        <f t="shared" si="64"/>
        <v>10.95</v>
      </c>
      <c r="P239" s="136">
        <f t="shared" si="67"/>
        <v>0</v>
      </c>
      <c r="S239" s="189">
        <v>0</v>
      </c>
      <c r="T239" s="189">
        <v>0</v>
      </c>
    </row>
    <row r="240" spans="1:20" x14ac:dyDescent="0.2">
      <c r="A240" s="125" t="s">
        <v>1724</v>
      </c>
      <c r="B240" s="126">
        <v>84158</v>
      </c>
      <c r="C240" s="126" t="s">
        <v>1324</v>
      </c>
      <c r="D240" s="127" t="s">
        <v>1725</v>
      </c>
      <c r="E240" s="128" t="s">
        <v>1723</v>
      </c>
      <c r="F240" s="137">
        <v>8.1999999999999993</v>
      </c>
      <c r="G240" s="130">
        <v>1.42</v>
      </c>
      <c r="H240" s="128">
        <v>2</v>
      </c>
      <c r="I240" s="116">
        <f t="shared" si="65"/>
        <v>0</v>
      </c>
      <c r="J240" s="374">
        <f>'01'!G240+'02'!G240+'03'!H240+'04 CORRIGIDA'!J239+'05'!I240</f>
        <v>0</v>
      </c>
      <c r="K240" s="137">
        <f t="shared" si="68"/>
        <v>2</v>
      </c>
      <c r="L240" s="131">
        <f t="shared" si="61"/>
        <v>2.84</v>
      </c>
      <c r="M240" s="131">
        <f t="shared" si="62"/>
        <v>0</v>
      </c>
      <c r="N240" s="131">
        <f t="shared" si="63"/>
        <v>0</v>
      </c>
      <c r="O240" s="375">
        <f t="shared" si="64"/>
        <v>2.84</v>
      </c>
      <c r="P240" s="136">
        <f t="shared" si="67"/>
        <v>0</v>
      </c>
      <c r="S240" s="189">
        <v>0</v>
      </c>
      <c r="T240" s="189">
        <v>0</v>
      </c>
    </row>
    <row r="241" spans="1:20" x14ac:dyDescent="0.2">
      <c r="A241" s="125" t="s">
        <v>1726</v>
      </c>
      <c r="B241" s="126">
        <v>84159</v>
      </c>
      <c r="C241" s="126" t="s">
        <v>1324</v>
      </c>
      <c r="D241" s="127" t="s">
        <v>1727</v>
      </c>
      <c r="E241" s="128" t="s">
        <v>1723</v>
      </c>
      <c r="F241" s="137">
        <v>13.75</v>
      </c>
      <c r="G241" s="130">
        <v>3.16</v>
      </c>
      <c r="H241" s="128">
        <v>1</v>
      </c>
      <c r="I241" s="116">
        <f t="shared" si="65"/>
        <v>0</v>
      </c>
      <c r="J241" s="374">
        <f>'01'!G241+'02'!G241+'03'!H241+'04 CORRIGIDA'!J240+'05'!I241</f>
        <v>0</v>
      </c>
      <c r="K241" s="137">
        <f t="shared" si="68"/>
        <v>1</v>
      </c>
      <c r="L241" s="131">
        <f t="shared" si="61"/>
        <v>3.16</v>
      </c>
      <c r="M241" s="131">
        <f t="shared" si="62"/>
        <v>0</v>
      </c>
      <c r="N241" s="131">
        <f t="shared" si="63"/>
        <v>0</v>
      </c>
      <c r="O241" s="375">
        <f t="shared" si="64"/>
        <v>3.16</v>
      </c>
      <c r="P241" s="136">
        <f t="shared" si="67"/>
        <v>0</v>
      </c>
      <c r="S241" s="189">
        <v>0</v>
      </c>
      <c r="T241" s="189">
        <v>0</v>
      </c>
    </row>
    <row r="242" spans="1:20" x14ac:dyDescent="0.2">
      <c r="A242" s="125" t="s">
        <v>1728</v>
      </c>
      <c r="B242" s="126">
        <v>92695</v>
      </c>
      <c r="C242" s="126" t="s">
        <v>1324</v>
      </c>
      <c r="D242" s="127" t="s">
        <v>1729</v>
      </c>
      <c r="E242" s="128" t="s">
        <v>102</v>
      </c>
      <c r="F242" s="137">
        <v>27.72</v>
      </c>
      <c r="G242" s="130">
        <v>14</v>
      </c>
      <c r="H242" s="128">
        <v>15</v>
      </c>
      <c r="I242" s="116">
        <f t="shared" si="65"/>
        <v>0</v>
      </c>
      <c r="J242" s="374">
        <f>'01'!G242+'02'!G242+'03'!H242+'04 CORRIGIDA'!J241+'05'!I242</f>
        <v>0</v>
      </c>
      <c r="K242" s="137">
        <f t="shared" si="68"/>
        <v>15</v>
      </c>
      <c r="L242" s="131">
        <f t="shared" si="61"/>
        <v>210</v>
      </c>
      <c r="M242" s="131">
        <f t="shared" si="62"/>
        <v>0</v>
      </c>
      <c r="N242" s="131">
        <f t="shared" si="63"/>
        <v>0</v>
      </c>
      <c r="O242" s="375">
        <f t="shared" si="64"/>
        <v>210</v>
      </c>
      <c r="P242" s="136">
        <f t="shared" si="67"/>
        <v>0</v>
      </c>
      <c r="S242" s="189">
        <v>0</v>
      </c>
      <c r="T242" s="189">
        <v>0</v>
      </c>
    </row>
    <row r="243" spans="1:20" x14ac:dyDescent="0.2">
      <c r="A243" s="125" t="s">
        <v>1730</v>
      </c>
      <c r="B243" s="126">
        <v>92697</v>
      </c>
      <c r="C243" s="126" t="s">
        <v>1324</v>
      </c>
      <c r="D243" s="127" t="s">
        <v>1731</v>
      </c>
      <c r="E243" s="128" t="s">
        <v>102</v>
      </c>
      <c r="F243" s="137">
        <v>71.03</v>
      </c>
      <c r="G243" s="130">
        <v>22.66</v>
      </c>
      <c r="H243" s="128">
        <v>2</v>
      </c>
      <c r="I243" s="116">
        <f t="shared" si="65"/>
        <v>0</v>
      </c>
      <c r="J243" s="374">
        <f>'01'!G243+'02'!G243+'03'!H243+'04 CORRIGIDA'!J242+'05'!I243</f>
        <v>0</v>
      </c>
      <c r="K243" s="137">
        <f t="shared" si="68"/>
        <v>2</v>
      </c>
      <c r="L243" s="131">
        <f t="shared" si="61"/>
        <v>45.32</v>
      </c>
      <c r="M243" s="131">
        <f t="shared" si="62"/>
        <v>0</v>
      </c>
      <c r="N243" s="131">
        <f t="shared" si="63"/>
        <v>0</v>
      </c>
      <c r="O243" s="375">
        <f t="shared" si="64"/>
        <v>45.32</v>
      </c>
      <c r="P243" s="136">
        <f t="shared" si="67"/>
        <v>0</v>
      </c>
      <c r="S243" s="189">
        <v>0</v>
      </c>
      <c r="T243" s="189">
        <v>0</v>
      </c>
    </row>
    <row r="244" spans="1:20" x14ac:dyDescent="0.2">
      <c r="A244" s="125" t="s">
        <v>1732</v>
      </c>
      <c r="B244" s="126">
        <v>92662</v>
      </c>
      <c r="C244" s="126" t="s">
        <v>1324</v>
      </c>
      <c r="D244" s="127" t="s">
        <v>1733</v>
      </c>
      <c r="E244" s="128" t="s">
        <v>102</v>
      </c>
      <c r="F244" s="137">
        <v>12.99</v>
      </c>
      <c r="G244" s="130">
        <v>22.38</v>
      </c>
      <c r="H244" s="128">
        <v>1</v>
      </c>
      <c r="I244" s="116">
        <f t="shared" si="65"/>
        <v>0</v>
      </c>
      <c r="J244" s="374">
        <f>'01'!G244+'02'!G244+'03'!H244+'04 CORRIGIDA'!J243+'05'!I244</f>
        <v>0</v>
      </c>
      <c r="K244" s="137">
        <f t="shared" si="68"/>
        <v>1</v>
      </c>
      <c r="L244" s="131">
        <f t="shared" si="61"/>
        <v>22.38</v>
      </c>
      <c r="M244" s="131">
        <f t="shared" si="62"/>
        <v>0</v>
      </c>
      <c r="N244" s="131">
        <f t="shared" si="63"/>
        <v>0</v>
      </c>
      <c r="O244" s="375">
        <f t="shared" si="64"/>
        <v>22.38</v>
      </c>
      <c r="P244" s="136">
        <f t="shared" si="67"/>
        <v>0</v>
      </c>
      <c r="S244" s="189">
        <v>0</v>
      </c>
      <c r="T244" s="189">
        <v>0</v>
      </c>
    </row>
    <row r="245" spans="1:20" x14ac:dyDescent="0.2">
      <c r="A245" s="125" t="s">
        <v>1734</v>
      </c>
      <c r="B245" s="126">
        <v>92868</v>
      </c>
      <c r="C245" s="126" t="s">
        <v>1324</v>
      </c>
      <c r="D245" s="127" t="s">
        <v>1735</v>
      </c>
      <c r="E245" s="128" t="s">
        <v>102</v>
      </c>
      <c r="F245" s="137">
        <v>14.25</v>
      </c>
      <c r="G245" s="130">
        <v>9.5299999999999994</v>
      </c>
      <c r="H245" s="128">
        <v>16</v>
      </c>
      <c r="I245" s="116">
        <f t="shared" si="65"/>
        <v>0</v>
      </c>
      <c r="J245" s="374">
        <f>'01'!G245+'02'!G245+'03'!H245+'04 CORRIGIDA'!J244+'05'!I245</f>
        <v>0</v>
      </c>
      <c r="K245" s="137">
        <f t="shared" si="68"/>
        <v>16</v>
      </c>
      <c r="L245" s="131">
        <f t="shared" si="61"/>
        <v>152.47999999999999</v>
      </c>
      <c r="M245" s="131">
        <f t="shared" si="62"/>
        <v>0</v>
      </c>
      <c r="N245" s="131">
        <f t="shared" si="63"/>
        <v>0</v>
      </c>
      <c r="O245" s="375">
        <f t="shared" si="64"/>
        <v>152.47999999999999</v>
      </c>
      <c r="P245" s="136">
        <f t="shared" si="67"/>
        <v>0</v>
      </c>
      <c r="S245" s="189">
        <v>0</v>
      </c>
      <c r="T245" s="189">
        <v>0</v>
      </c>
    </row>
    <row r="246" spans="1:20" s="106" customFormat="1" ht="25.5" x14ac:dyDescent="0.2">
      <c r="A246" s="125" t="s">
        <v>1736</v>
      </c>
      <c r="B246" s="126">
        <v>92865</v>
      </c>
      <c r="C246" s="126" t="s">
        <v>1324</v>
      </c>
      <c r="D246" s="127" t="s">
        <v>1737</v>
      </c>
      <c r="E246" s="128" t="s">
        <v>102</v>
      </c>
      <c r="F246" s="137">
        <v>13.19</v>
      </c>
      <c r="G246" s="130">
        <v>6.13</v>
      </c>
      <c r="H246" s="128">
        <v>7</v>
      </c>
      <c r="I246" s="116">
        <f t="shared" ref="I246:I283" si="69">SUM(I247:I254)</f>
        <v>0</v>
      </c>
      <c r="J246" s="374">
        <f>'01'!G246+'02'!G246+'03'!H246+'04 CORRIGIDA'!J245+'05'!I246</f>
        <v>0</v>
      </c>
      <c r="K246" s="137">
        <f t="shared" si="68"/>
        <v>7</v>
      </c>
      <c r="L246" s="131">
        <f t="shared" si="61"/>
        <v>42.91</v>
      </c>
      <c r="M246" s="131">
        <f t="shared" si="62"/>
        <v>0</v>
      </c>
      <c r="N246" s="131">
        <f t="shared" si="63"/>
        <v>0</v>
      </c>
      <c r="O246" s="375">
        <f t="shared" si="64"/>
        <v>42.91</v>
      </c>
      <c r="P246" s="136">
        <f t="shared" si="67"/>
        <v>0</v>
      </c>
      <c r="S246" s="190">
        <v>0</v>
      </c>
      <c r="T246" s="190">
        <v>0</v>
      </c>
    </row>
    <row r="247" spans="1:20" x14ac:dyDescent="0.2">
      <c r="A247" s="449" t="s">
        <v>634</v>
      </c>
      <c r="B247" s="450"/>
      <c r="C247" s="450"/>
      <c r="D247" s="451" t="s">
        <v>1738</v>
      </c>
      <c r="E247" s="452"/>
      <c r="F247" s="452">
        <f t="shared" ref="F247:O247" si="70">SUM(F248:F251)</f>
        <v>95.910000000000011</v>
      </c>
      <c r="G247" s="468">
        <f t="shared" si="70"/>
        <v>36.54</v>
      </c>
      <c r="H247" s="452">
        <f>SUM(H248:H251)</f>
        <v>1065</v>
      </c>
      <c r="I247" s="452">
        <f t="shared" si="70"/>
        <v>0</v>
      </c>
      <c r="J247" s="457">
        <f>'01'!G247+'02'!G247+'03'!H247+'04 CORRIGIDA'!J246+'05'!I247</f>
        <v>0</v>
      </c>
      <c r="K247" s="452">
        <f t="shared" si="70"/>
        <v>1065</v>
      </c>
      <c r="L247" s="452">
        <f>SUM(L248:L251)</f>
        <v>4345.79</v>
      </c>
      <c r="M247" s="468">
        <f t="shared" si="70"/>
        <v>0</v>
      </c>
      <c r="N247" s="468">
        <f t="shared" si="70"/>
        <v>0</v>
      </c>
      <c r="O247" s="469">
        <f t="shared" si="70"/>
        <v>4345.79</v>
      </c>
      <c r="P247" s="459">
        <f t="shared" si="67"/>
        <v>0</v>
      </c>
      <c r="S247" s="189">
        <v>0</v>
      </c>
      <c r="T247" s="189">
        <v>0</v>
      </c>
    </row>
    <row r="248" spans="1:20" x14ac:dyDescent="0.2">
      <c r="A248" s="125" t="s">
        <v>1739</v>
      </c>
      <c r="B248" s="126">
        <v>91926</v>
      </c>
      <c r="C248" s="126" t="s">
        <v>1324</v>
      </c>
      <c r="D248" s="127" t="s">
        <v>1740</v>
      </c>
      <c r="E248" s="128" t="s">
        <v>81</v>
      </c>
      <c r="F248" s="137">
        <v>26.32</v>
      </c>
      <c r="G248" s="130">
        <v>2.31</v>
      </c>
      <c r="H248" s="128">
        <v>190</v>
      </c>
      <c r="I248" s="116">
        <f t="shared" si="69"/>
        <v>0</v>
      </c>
      <c r="J248" s="374">
        <f>'01'!G248+'02'!G248+'03'!H248+'04 CORRIGIDA'!J247+'05'!I248</f>
        <v>0</v>
      </c>
      <c r="K248" s="137">
        <f>H248-J248</f>
        <v>190</v>
      </c>
      <c r="L248" s="131">
        <f>ROUND(H248*G248,2)</f>
        <v>438.9</v>
      </c>
      <c r="M248" s="131">
        <f>I248*G248</f>
        <v>0</v>
      </c>
      <c r="N248" s="131">
        <f>J248*G248</f>
        <v>0</v>
      </c>
      <c r="O248" s="375">
        <f>L248-N248</f>
        <v>438.9</v>
      </c>
      <c r="P248" s="136">
        <f t="shared" si="67"/>
        <v>0</v>
      </c>
      <c r="S248" s="189">
        <v>0</v>
      </c>
      <c r="T248" s="189">
        <v>0</v>
      </c>
    </row>
    <row r="249" spans="1:20" x14ac:dyDescent="0.2">
      <c r="A249" s="125" t="s">
        <v>1741</v>
      </c>
      <c r="B249" s="126">
        <v>91928</v>
      </c>
      <c r="C249" s="126" t="s">
        <v>1324</v>
      </c>
      <c r="D249" s="127" t="s">
        <v>1742</v>
      </c>
      <c r="E249" s="128" t="s">
        <v>81</v>
      </c>
      <c r="F249" s="137">
        <v>61.2</v>
      </c>
      <c r="G249" s="130">
        <v>3.64</v>
      </c>
      <c r="H249" s="128">
        <v>820</v>
      </c>
      <c r="I249" s="116">
        <f t="shared" si="69"/>
        <v>0</v>
      </c>
      <c r="J249" s="374">
        <f>'01'!G249+'02'!G249+'03'!H249+'04 CORRIGIDA'!J248+'05'!I249</f>
        <v>0</v>
      </c>
      <c r="K249" s="137">
        <f>H249-J249</f>
        <v>820</v>
      </c>
      <c r="L249" s="131">
        <f>ROUND(H249*G249,2)</f>
        <v>2984.8</v>
      </c>
      <c r="M249" s="131">
        <f>I249*G249</f>
        <v>0</v>
      </c>
      <c r="N249" s="131">
        <f>J249*G249</f>
        <v>0</v>
      </c>
      <c r="O249" s="375">
        <f>L249-N249</f>
        <v>2984.8</v>
      </c>
      <c r="P249" s="136">
        <f t="shared" si="67"/>
        <v>0</v>
      </c>
      <c r="S249" s="189">
        <v>0</v>
      </c>
      <c r="T249" s="189">
        <v>0</v>
      </c>
    </row>
    <row r="250" spans="1:20" x14ac:dyDescent="0.2">
      <c r="A250" s="125" t="s">
        <v>1743</v>
      </c>
      <c r="B250" s="126">
        <v>91934</v>
      </c>
      <c r="C250" s="126" t="s">
        <v>1324</v>
      </c>
      <c r="D250" s="127" t="s">
        <v>1744</v>
      </c>
      <c r="E250" s="128" t="s">
        <v>81</v>
      </c>
      <c r="F250" s="129"/>
      <c r="G250" s="130">
        <v>12.3</v>
      </c>
      <c r="H250" s="128">
        <v>14</v>
      </c>
      <c r="I250" s="116">
        <f t="shared" si="69"/>
        <v>0</v>
      </c>
      <c r="J250" s="374">
        <f>'01'!G250+'02'!G250+'03'!H250+'04 CORRIGIDA'!J249+'05'!I250</f>
        <v>0</v>
      </c>
      <c r="K250" s="137">
        <f>H250-J250</f>
        <v>14</v>
      </c>
      <c r="L250" s="131">
        <f>ROUND(H250*G250,2)</f>
        <v>172.2</v>
      </c>
      <c r="M250" s="131">
        <f>I250*G250</f>
        <v>0</v>
      </c>
      <c r="N250" s="131">
        <f>J250*G250</f>
        <v>0</v>
      </c>
      <c r="O250" s="375">
        <f>L250-N250</f>
        <v>172.2</v>
      </c>
      <c r="P250" s="136">
        <f t="shared" si="67"/>
        <v>0</v>
      </c>
      <c r="S250" s="189">
        <v>0</v>
      </c>
      <c r="T250" s="189">
        <v>0</v>
      </c>
    </row>
    <row r="251" spans="1:20" s="106" customFormat="1" x14ac:dyDescent="0.2">
      <c r="A251" s="125" t="s">
        <v>1745</v>
      </c>
      <c r="B251" s="126">
        <v>92985</v>
      </c>
      <c r="C251" s="126" t="s">
        <v>1324</v>
      </c>
      <c r="D251" s="127" t="s">
        <v>1746</v>
      </c>
      <c r="E251" s="128" t="s">
        <v>81</v>
      </c>
      <c r="F251" s="137">
        <v>8.39</v>
      </c>
      <c r="G251" s="130">
        <v>18.29</v>
      </c>
      <c r="H251" s="128">
        <v>41</v>
      </c>
      <c r="I251" s="116">
        <f t="shared" si="69"/>
        <v>0</v>
      </c>
      <c r="J251" s="374">
        <f>'01'!G251+'02'!G251+'03'!H251+'04 CORRIGIDA'!J250+'05'!I251</f>
        <v>0</v>
      </c>
      <c r="K251" s="137">
        <f>H251-J251</f>
        <v>41</v>
      </c>
      <c r="L251" s="131">
        <f>ROUND(H251*G251,2)</f>
        <v>749.89</v>
      </c>
      <c r="M251" s="131">
        <f>I251*G251</f>
        <v>0</v>
      </c>
      <c r="N251" s="131">
        <f>J251*G251</f>
        <v>0</v>
      </c>
      <c r="O251" s="375">
        <f>L251-N251</f>
        <v>749.89</v>
      </c>
      <c r="P251" s="136">
        <f t="shared" si="67"/>
        <v>0</v>
      </c>
      <c r="S251" s="190">
        <v>0</v>
      </c>
      <c r="T251" s="190">
        <v>0</v>
      </c>
    </row>
    <row r="252" spans="1:20" x14ac:dyDescent="0.2">
      <c r="A252" s="449" t="s">
        <v>640</v>
      </c>
      <c r="B252" s="450"/>
      <c r="C252" s="450"/>
      <c r="D252" s="451" t="s">
        <v>1747</v>
      </c>
      <c r="E252" s="452"/>
      <c r="F252" s="452">
        <f t="shared" ref="F252:O252" si="71">SUM(F253:F258)</f>
        <v>163.52000000000001</v>
      </c>
      <c r="G252" s="468">
        <f t="shared" si="71"/>
        <v>800.18000000000006</v>
      </c>
      <c r="H252" s="452">
        <f>SUM(H253:H258)</f>
        <v>39</v>
      </c>
      <c r="I252" s="452">
        <f t="shared" si="71"/>
        <v>0</v>
      </c>
      <c r="J252" s="457">
        <f>'01'!G252+'02'!G252+'03'!H252+'04 CORRIGIDA'!J251+'05'!I252</f>
        <v>0</v>
      </c>
      <c r="K252" s="452">
        <f t="shared" si="71"/>
        <v>39</v>
      </c>
      <c r="L252" s="452">
        <f>SUM(L253:L258)</f>
        <v>10299.74</v>
      </c>
      <c r="M252" s="468">
        <f t="shared" si="71"/>
        <v>0</v>
      </c>
      <c r="N252" s="468">
        <f t="shared" si="71"/>
        <v>0</v>
      </c>
      <c r="O252" s="469">
        <f t="shared" si="71"/>
        <v>10299.74</v>
      </c>
      <c r="P252" s="459">
        <f t="shared" si="67"/>
        <v>0</v>
      </c>
      <c r="S252" s="189">
        <v>0</v>
      </c>
      <c r="T252" s="189">
        <v>0</v>
      </c>
    </row>
    <row r="253" spans="1:20" x14ac:dyDescent="0.2">
      <c r="A253" s="125" t="s">
        <v>1748</v>
      </c>
      <c r="B253" s="126">
        <v>92000</v>
      </c>
      <c r="C253" s="126" t="s">
        <v>1324</v>
      </c>
      <c r="D253" s="127" t="s">
        <v>1749</v>
      </c>
      <c r="E253" s="128" t="s">
        <v>102</v>
      </c>
      <c r="F253" s="137">
        <v>21.53</v>
      </c>
      <c r="G253" s="130">
        <v>20.07</v>
      </c>
      <c r="H253" s="128">
        <v>4</v>
      </c>
      <c r="I253" s="116">
        <f t="shared" si="69"/>
        <v>0</v>
      </c>
      <c r="J253" s="374">
        <f>'01'!G253+'02'!G253+'03'!H253+'04 CORRIGIDA'!J252+'05'!I253</f>
        <v>0</v>
      </c>
      <c r="K253" s="137">
        <f t="shared" ref="K253:K258" si="72">H253-J253</f>
        <v>4</v>
      </c>
      <c r="L253" s="131">
        <f t="shared" ref="L253:L258" si="73">ROUND(H253*G253,2)</f>
        <v>80.28</v>
      </c>
      <c r="M253" s="131">
        <f t="shared" ref="M253:M258" si="74">I253*G253</f>
        <v>0</v>
      </c>
      <c r="N253" s="131">
        <f t="shared" ref="N253:N258" si="75">J253*G253</f>
        <v>0</v>
      </c>
      <c r="O253" s="375">
        <f t="shared" ref="O253:O258" si="76">L253-N253</f>
        <v>80.28</v>
      </c>
      <c r="P253" s="136">
        <f t="shared" si="67"/>
        <v>0</v>
      </c>
      <c r="S253" s="189">
        <v>0</v>
      </c>
      <c r="T253" s="189">
        <v>0</v>
      </c>
    </row>
    <row r="254" spans="1:20" x14ac:dyDescent="0.2">
      <c r="A254" s="125" t="s">
        <v>1750</v>
      </c>
      <c r="B254" s="126">
        <v>92001</v>
      </c>
      <c r="C254" s="126" t="s">
        <v>1324</v>
      </c>
      <c r="D254" s="127" t="s">
        <v>1751</v>
      </c>
      <c r="E254" s="128" t="s">
        <v>102</v>
      </c>
      <c r="F254" s="137">
        <v>133.13999999999999</v>
      </c>
      <c r="G254" s="130">
        <v>21.83</v>
      </c>
      <c r="H254" s="128">
        <v>1</v>
      </c>
      <c r="I254" s="116">
        <f t="shared" si="69"/>
        <v>0</v>
      </c>
      <c r="J254" s="374">
        <f>'01'!G254+'02'!G254+'03'!H254+'04 CORRIGIDA'!J253+'05'!I254</f>
        <v>0</v>
      </c>
      <c r="K254" s="137">
        <f t="shared" si="72"/>
        <v>1</v>
      </c>
      <c r="L254" s="131">
        <f t="shared" si="73"/>
        <v>21.83</v>
      </c>
      <c r="M254" s="131">
        <f t="shared" si="74"/>
        <v>0</v>
      </c>
      <c r="N254" s="131">
        <f t="shared" si="75"/>
        <v>0</v>
      </c>
      <c r="O254" s="375">
        <f t="shared" si="76"/>
        <v>21.83</v>
      </c>
      <c r="P254" s="136">
        <f t="shared" si="67"/>
        <v>0</v>
      </c>
      <c r="S254" s="189">
        <v>0</v>
      </c>
      <c r="T254" s="189">
        <v>0</v>
      </c>
    </row>
    <row r="255" spans="1:20" ht="25.5" x14ac:dyDescent="0.2">
      <c r="A255" s="125" t="s">
        <v>1752</v>
      </c>
      <c r="B255" s="126">
        <v>91953</v>
      </c>
      <c r="C255" s="126" t="s">
        <v>1324</v>
      </c>
      <c r="D255" s="127" t="s">
        <v>1753</v>
      </c>
      <c r="E255" s="128" t="s">
        <v>102</v>
      </c>
      <c r="F255" s="129"/>
      <c r="G255" s="130">
        <v>18.98</v>
      </c>
      <c r="H255" s="128">
        <v>7</v>
      </c>
      <c r="I255" s="116">
        <f t="shared" si="69"/>
        <v>0</v>
      </c>
      <c r="J255" s="374">
        <f>'01'!G255+'02'!G255+'03'!H255+'04 CORRIGIDA'!J254+'05'!I255</f>
        <v>0</v>
      </c>
      <c r="K255" s="137">
        <f t="shared" si="72"/>
        <v>7</v>
      </c>
      <c r="L255" s="131">
        <f t="shared" si="73"/>
        <v>132.86000000000001</v>
      </c>
      <c r="M255" s="131">
        <f t="shared" si="74"/>
        <v>0</v>
      </c>
      <c r="N255" s="131">
        <f t="shared" si="75"/>
        <v>0</v>
      </c>
      <c r="O255" s="375">
        <f t="shared" si="76"/>
        <v>132.86000000000001</v>
      </c>
      <c r="P255" s="136">
        <f t="shared" si="67"/>
        <v>0</v>
      </c>
      <c r="S255" s="189">
        <v>0</v>
      </c>
      <c r="T255" s="189">
        <v>0</v>
      </c>
    </row>
    <row r="256" spans="1:20" x14ac:dyDescent="0.2">
      <c r="A256" s="125" t="s">
        <v>1754</v>
      </c>
      <c r="B256" s="126" t="s">
        <v>1755</v>
      </c>
      <c r="C256" s="126" t="s">
        <v>1324</v>
      </c>
      <c r="D256" s="127" t="s">
        <v>1756</v>
      </c>
      <c r="E256" s="128" t="s">
        <v>102</v>
      </c>
      <c r="F256" s="137">
        <v>1.81</v>
      </c>
      <c r="G256" s="130">
        <v>133.31</v>
      </c>
      <c r="H256" s="128">
        <v>1</v>
      </c>
      <c r="I256" s="116">
        <f t="shared" si="69"/>
        <v>0</v>
      </c>
      <c r="J256" s="374">
        <f>'01'!G256+'02'!G256+'03'!H256+'04 CORRIGIDA'!J255+'05'!I256</f>
        <v>0</v>
      </c>
      <c r="K256" s="137">
        <f t="shared" si="72"/>
        <v>1</v>
      </c>
      <c r="L256" s="131">
        <f t="shared" si="73"/>
        <v>133.31</v>
      </c>
      <c r="M256" s="131">
        <f t="shared" si="74"/>
        <v>0</v>
      </c>
      <c r="N256" s="131">
        <f t="shared" si="75"/>
        <v>0</v>
      </c>
      <c r="O256" s="375">
        <f t="shared" si="76"/>
        <v>133.31</v>
      </c>
      <c r="P256" s="136">
        <f t="shared" si="67"/>
        <v>0</v>
      </c>
      <c r="S256" s="189">
        <v>0</v>
      </c>
      <c r="T256" s="189">
        <v>0</v>
      </c>
    </row>
    <row r="257" spans="1:20" x14ac:dyDescent="0.2">
      <c r="A257" s="125" t="s">
        <v>1757</v>
      </c>
      <c r="B257" s="126" t="s">
        <v>1758</v>
      </c>
      <c r="C257" s="126" t="s">
        <v>1324</v>
      </c>
      <c r="D257" s="127" t="s">
        <v>1759</v>
      </c>
      <c r="E257" s="128" t="s">
        <v>102</v>
      </c>
      <c r="F257" s="137">
        <v>2.93</v>
      </c>
      <c r="G257" s="130">
        <v>156.31</v>
      </c>
      <c r="H257" s="128">
        <v>6</v>
      </c>
      <c r="I257" s="116">
        <f t="shared" si="69"/>
        <v>0</v>
      </c>
      <c r="J257" s="374">
        <f>'01'!G257+'02'!G257+'03'!H257+'04 CORRIGIDA'!J256+'05'!I257</f>
        <v>0</v>
      </c>
      <c r="K257" s="137">
        <f t="shared" si="72"/>
        <v>6</v>
      </c>
      <c r="L257" s="131">
        <f t="shared" si="73"/>
        <v>937.86</v>
      </c>
      <c r="M257" s="131">
        <f t="shared" si="74"/>
        <v>0</v>
      </c>
      <c r="N257" s="131">
        <f t="shared" si="75"/>
        <v>0</v>
      </c>
      <c r="O257" s="375">
        <f t="shared" si="76"/>
        <v>937.86</v>
      </c>
      <c r="P257" s="136">
        <f t="shared" si="67"/>
        <v>0</v>
      </c>
      <c r="S257" s="189">
        <v>0</v>
      </c>
      <c r="T257" s="189">
        <v>0</v>
      </c>
    </row>
    <row r="258" spans="1:20" ht="25.5" x14ac:dyDescent="0.2">
      <c r="A258" s="125" t="s">
        <v>1760</v>
      </c>
      <c r="B258" s="126" t="s">
        <v>2007</v>
      </c>
      <c r="C258" s="126" t="s">
        <v>1339</v>
      </c>
      <c r="D258" s="127" t="s">
        <v>1761</v>
      </c>
      <c r="E258" s="128" t="s">
        <v>102</v>
      </c>
      <c r="F258" s="137">
        <v>4.1100000000000003</v>
      </c>
      <c r="G258" s="130">
        <v>449.68</v>
      </c>
      <c r="H258" s="128">
        <v>20</v>
      </c>
      <c r="I258" s="116">
        <f t="shared" si="69"/>
        <v>0</v>
      </c>
      <c r="J258" s="374">
        <f>'01'!G258+'02'!G258+'03'!H258+'04 CORRIGIDA'!J257+'05'!I258</f>
        <v>0</v>
      </c>
      <c r="K258" s="137">
        <f t="shared" si="72"/>
        <v>20</v>
      </c>
      <c r="L258" s="131">
        <f t="shared" si="73"/>
        <v>8993.6</v>
      </c>
      <c r="M258" s="131">
        <f t="shared" si="74"/>
        <v>0</v>
      </c>
      <c r="N258" s="131">
        <f t="shared" si="75"/>
        <v>0</v>
      </c>
      <c r="O258" s="375">
        <f t="shared" si="76"/>
        <v>8993.6</v>
      </c>
      <c r="P258" s="136">
        <f t="shared" si="67"/>
        <v>0</v>
      </c>
      <c r="S258" s="189">
        <v>0</v>
      </c>
      <c r="T258" s="189">
        <v>0</v>
      </c>
    </row>
    <row r="259" spans="1:20" x14ac:dyDescent="0.2">
      <c r="A259" s="412">
        <v>18</v>
      </c>
      <c r="B259" s="413"/>
      <c r="C259" s="413"/>
      <c r="D259" s="414" t="s">
        <v>1762</v>
      </c>
      <c r="E259" s="415"/>
      <c r="F259" s="417"/>
      <c r="G259" s="418"/>
      <c r="H259" s="416"/>
      <c r="I259" s="420"/>
      <c r="J259" s="421"/>
      <c r="K259" s="420"/>
      <c r="L259" s="416">
        <f>SUM(L260:L267)</f>
        <v>7237.1900000000014</v>
      </c>
      <c r="M259" s="433">
        <f>SUM(M260:M267)</f>
        <v>0</v>
      </c>
      <c r="N259" s="433">
        <f>SUM(N260:N267)</f>
        <v>0</v>
      </c>
      <c r="O259" s="434">
        <f>SUM(O260:O267)</f>
        <v>7237.1900000000014</v>
      </c>
      <c r="P259" s="423">
        <f t="shared" si="67"/>
        <v>0</v>
      </c>
      <c r="S259" s="189">
        <v>0</v>
      </c>
      <c r="T259" s="189">
        <v>0</v>
      </c>
    </row>
    <row r="260" spans="1:20" ht="25.5" x14ac:dyDescent="0.2">
      <c r="A260" s="125" t="s">
        <v>657</v>
      </c>
      <c r="B260" s="126" t="s">
        <v>2007</v>
      </c>
      <c r="C260" s="126" t="s">
        <v>1339</v>
      </c>
      <c r="D260" s="127" t="s">
        <v>1763</v>
      </c>
      <c r="E260" s="128" t="s">
        <v>102</v>
      </c>
      <c r="F260" s="129"/>
      <c r="G260" s="130">
        <v>205.82</v>
      </c>
      <c r="H260" s="128">
        <v>7</v>
      </c>
      <c r="I260" s="116">
        <f t="shared" si="69"/>
        <v>0</v>
      </c>
      <c r="J260" s="374">
        <f>'01'!G260+'02'!G260+'03'!H260+'04 CORRIGIDA'!J259+'05'!I260</f>
        <v>0</v>
      </c>
      <c r="K260" s="137">
        <f t="shared" ref="K260:K267" si="77">H260-J260</f>
        <v>7</v>
      </c>
      <c r="L260" s="131">
        <f t="shared" ref="L260:L267" si="78">ROUND(H260*G260,2)</f>
        <v>1440.74</v>
      </c>
      <c r="M260" s="131">
        <f t="shared" ref="M260:M267" si="79">I260*G260</f>
        <v>0</v>
      </c>
      <c r="N260" s="131">
        <f t="shared" ref="N260:N267" si="80">J260*G260</f>
        <v>0</v>
      </c>
      <c r="O260" s="375">
        <f t="shared" ref="O260:O267" si="81">L260-N260</f>
        <v>1440.74</v>
      </c>
      <c r="P260" s="136">
        <f t="shared" si="67"/>
        <v>0</v>
      </c>
      <c r="S260" s="189">
        <v>0</v>
      </c>
      <c r="T260" s="189">
        <v>0</v>
      </c>
    </row>
    <row r="261" spans="1:20" x14ac:dyDescent="0.2">
      <c r="A261" s="125" t="s">
        <v>664</v>
      </c>
      <c r="B261" s="126" t="s">
        <v>2007</v>
      </c>
      <c r="C261" s="126" t="s">
        <v>1339</v>
      </c>
      <c r="D261" s="127" t="s">
        <v>1764</v>
      </c>
      <c r="E261" s="128" t="s">
        <v>102</v>
      </c>
      <c r="F261" s="137">
        <v>179.19</v>
      </c>
      <c r="G261" s="130">
        <v>232.41</v>
      </c>
      <c r="H261" s="128">
        <v>1</v>
      </c>
      <c r="I261" s="116">
        <f t="shared" si="69"/>
        <v>0</v>
      </c>
      <c r="J261" s="374">
        <f>'01'!G261+'02'!G261+'03'!H261+'04 CORRIGIDA'!J260+'05'!I261</f>
        <v>0</v>
      </c>
      <c r="K261" s="137">
        <f t="shared" si="77"/>
        <v>1</v>
      </c>
      <c r="L261" s="131">
        <f t="shared" si="78"/>
        <v>232.41</v>
      </c>
      <c r="M261" s="131">
        <f t="shared" si="79"/>
        <v>0</v>
      </c>
      <c r="N261" s="131">
        <f t="shared" si="80"/>
        <v>0</v>
      </c>
      <c r="O261" s="375">
        <f t="shared" si="81"/>
        <v>232.41</v>
      </c>
      <c r="P261" s="136">
        <f t="shared" si="67"/>
        <v>0</v>
      </c>
      <c r="S261" s="189">
        <v>0</v>
      </c>
      <c r="T261" s="189">
        <v>0</v>
      </c>
    </row>
    <row r="262" spans="1:20" x14ac:dyDescent="0.2">
      <c r="A262" s="125" t="s">
        <v>668</v>
      </c>
      <c r="B262" s="126">
        <v>72929</v>
      </c>
      <c r="C262" s="126" t="s">
        <v>1324</v>
      </c>
      <c r="D262" s="127" t="s">
        <v>1765</v>
      </c>
      <c r="E262" s="128" t="s">
        <v>81</v>
      </c>
      <c r="F262" s="137">
        <v>212.03</v>
      </c>
      <c r="G262" s="130">
        <v>22.1</v>
      </c>
      <c r="H262" s="128">
        <v>39.200000000000003</v>
      </c>
      <c r="I262" s="116">
        <f t="shared" si="69"/>
        <v>0</v>
      </c>
      <c r="J262" s="374">
        <f>'01'!G262+'02'!G262+'03'!H262+'04 CORRIGIDA'!J261+'05'!I262</f>
        <v>0</v>
      </c>
      <c r="K262" s="137">
        <f t="shared" si="77"/>
        <v>39.200000000000003</v>
      </c>
      <c r="L262" s="131">
        <f t="shared" si="78"/>
        <v>866.32</v>
      </c>
      <c r="M262" s="131">
        <f t="shared" si="79"/>
        <v>0</v>
      </c>
      <c r="N262" s="131">
        <f t="shared" si="80"/>
        <v>0</v>
      </c>
      <c r="O262" s="375">
        <f t="shared" si="81"/>
        <v>866.32</v>
      </c>
      <c r="P262" s="136">
        <f t="shared" si="67"/>
        <v>0</v>
      </c>
      <c r="S262" s="189">
        <v>0</v>
      </c>
      <c r="T262" s="189">
        <v>0</v>
      </c>
    </row>
    <row r="263" spans="1:20" x14ac:dyDescent="0.2">
      <c r="A263" s="125" t="s">
        <v>671</v>
      </c>
      <c r="B263" s="126">
        <v>72930</v>
      </c>
      <c r="C263" s="126" t="s">
        <v>1324</v>
      </c>
      <c r="D263" s="127" t="s">
        <v>1766</v>
      </c>
      <c r="E263" s="128" t="s">
        <v>81</v>
      </c>
      <c r="F263" s="137">
        <v>101.58</v>
      </c>
      <c r="G263" s="130">
        <v>31.35</v>
      </c>
      <c r="H263" s="128">
        <v>126.32</v>
      </c>
      <c r="I263" s="116">
        <f t="shared" si="69"/>
        <v>0</v>
      </c>
      <c r="J263" s="374">
        <f>'01'!G263+'02'!G263+'03'!H263+'04 CORRIGIDA'!J262+'05'!I263</f>
        <v>0</v>
      </c>
      <c r="K263" s="137">
        <f t="shared" si="77"/>
        <v>126.32</v>
      </c>
      <c r="L263" s="131">
        <f t="shared" si="78"/>
        <v>3960.13</v>
      </c>
      <c r="M263" s="131">
        <f t="shared" si="79"/>
        <v>0</v>
      </c>
      <c r="N263" s="131">
        <f t="shared" si="80"/>
        <v>0</v>
      </c>
      <c r="O263" s="375">
        <f t="shared" si="81"/>
        <v>3960.13</v>
      </c>
      <c r="P263" s="136">
        <f t="shared" si="67"/>
        <v>0</v>
      </c>
      <c r="S263" s="189">
        <v>0</v>
      </c>
      <c r="T263" s="189">
        <v>0</v>
      </c>
    </row>
    <row r="264" spans="1:20" x14ac:dyDescent="0.2">
      <c r="A264" s="125" t="s">
        <v>679</v>
      </c>
      <c r="B264" s="126">
        <v>93008</v>
      </c>
      <c r="C264" s="126" t="s">
        <v>1324</v>
      </c>
      <c r="D264" s="127" t="s">
        <v>1767</v>
      </c>
      <c r="E264" s="128" t="s">
        <v>81</v>
      </c>
      <c r="F264" s="137">
        <v>412.2</v>
      </c>
      <c r="G264" s="130">
        <v>9.83</v>
      </c>
      <c r="H264" s="128">
        <v>21</v>
      </c>
      <c r="I264" s="116">
        <f t="shared" si="69"/>
        <v>0</v>
      </c>
      <c r="J264" s="374">
        <f>'01'!G264+'02'!G264+'03'!H264+'04 CORRIGIDA'!J263+'05'!I264</f>
        <v>0</v>
      </c>
      <c r="K264" s="137">
        <f t="shared" si="77"/>
        <v>21</v>
      </c>
      <c r="L264" s="131">
        <f t="shared" si="78"/>
        <v>206.43</v>
      </c>
      <c r="M264" s="131">
        <f t="shared" si="79"/>
        <v>0</v>
      </c>
      <c r="N264" s="131">
        <f t="shared" si="80"/>
        <v>0</v>
      </c>
      <c r="O264" s="375">
        <f t="shared" si="81"/>
        <v>206.43</v>
      </c>
      <c r="P264" s="136">
        <f t="shared" si="67"/>
        <v>0</v>
      </c>
      <c r="S264" s="189">
        <v>0</v>
      </c>
      <c r="T264" s="189">
        <v>0</v>
      </c>
    </row>
    <row r="265" spans="1:20" x14ac:dyDescent="0.2">
      <c r="A265" s="125" t="s">
        <v>1768</v>
      </c>
      <c r="B265" s="126" t="s">
        <v>2007</v>
      </c>
      <c r="C265" s="126" t="s">
        <v>1769</v>
      </c>
      <c r="D265" s="127" t="s">
        <v>1770</v>
      </c>
      <c r="E265" s="128" t="s">
        <v>102</v>
      </c>
      <c r="F265" s="137">
        <v>348.66</v>
      </c>
      <c r="G265" s="130">
        <v>38.299999999999997</v>
      </c>
      <c r="H265" s="128">
        <v>7</v>
      </c>
      <c r="I265" s="116">
        <f t="shared" si="69"/>
        <v>0</v>
      </c>
      <c r="J265" s="374">
        <f>'01'!G265+'02'!G265+'03'!H265+'04 CORRIGIDA'!J264+'05'!I265</f>
        <v>0</v>
      </c>
      <c r="K265" s="137">
        <f t="shared" si="77"/>
        <v>7</v>
      </c>
      <c r="L265" s="131">
        <f t="shared" si="78"/>
        <v>268.10000000000002</v>
      </c>
      <c r="M265" s="131">
        <f t="shared" si="79"/>
        <v>0</v>
      </c>
      <c r="N265" s="131">
        <f t="shared" si="80"/>
        <v>0</v>
      </c>
      <c r="O265" s="375">
        <f t="shared" si="81"/>
        <v>268.10000000000002</v>
      </c>
      <c r="P265" s="136">
        <f t="shared" si="67"/>
        <v>0</v>
      </c>
      <c r="S265" s="189">
        <v>0</v>
      </c>
      <c r="T265" s="189">
        <v>0</v>
      </c>
    </row>
    <row r="266" spans="1:20" x14ac:dyDescent="0.2">
      <c r="A266" s="125" t="s">
        <v>1771</v>
      </c>
      <c r="B266" s="126" t="s">
        <v>2007</v>
      </c>
      <c r="C266" s="126" t="s">
        <v>1769</v>
      </c>
      <c r="D266" s="127" t="s">
        <v>1772</v>
      </c>
      <c r="E266" s="128" t="s">
        <v>102</v>
      </c>
      <c r="F266" s="137">
        <v>153.37</v>
      </c>
      <c r="G266" s="130">
        <v>24.49</v>
      </c>
      <c r="H266" s="128">
        <v>7</v>
      </c>
      <c r="I266" s="116">
        <f t="shared" si="69"/>
        <v>0</v>
      </c>
      <c r="J266" s="374">
        <f>'01'!G266+'02'!G266+'03'!H266+'04 CORRIGIDA'!J265+'05'!I266</f>
        <v>0</v>
      </c>
      <c r="K266" s="137">
        <f t="shared" si="77"/>
        <v>7</v>
      </c>
      <c r="L266" s="131">
        <f t="shared" si="78"/>
        <v>171.43</v>
      </c>
      <c r="M266" s="131">
        <f t="shared" si="79"/>
        <v>0</v>
      </c>
      <c r="N266" s="131">
        <f t="shared" si="80"/>
        <v>0</v>
      </c>
      <c r="O266" s="375">
        <f t="shared" si="81"/>
        <v>171.43</v>
      </c>
      <c r="P266" s="136">
        <f t="shared" si="67"/>
        <v>0</v>
      </c>
      <c r="S266" s="189">
        <v>0</v>
      </c>
      <c r="T266" s="189">
        <v>0</v>
      </c>
    </row>
    <row r="267" spans="1:20" x14ac:dyDescent="0.2">
      <c r="A267" s="125" t="s">
        <v>1773</v>
      </c>
      <c r="B267" s="126">
        <v>72262</v>
      </c>
      <c r="C267" s="126" t="s">
        <v>1324</v>
      </c>
      <c r="D267" s="127" t="s">
        <v>1774</v>
      </c>
      <c r="E267" s="128" t="s">
        <v>102</v>
      </c>
      <c r="F267" s="137">
        <v>62.01</v>
      </c>
      <c r="G267" s="130">
        <v>13.09</v>
      </c>
      <c r="H267" s="128">
        <v>7</v>
      </c>
      <c r="I267" s="116">
        <f t="shared" si="69"/>
        <v>0</v>
      </c>
      <c r="J267" s="374">
        <f>'01'!G267+'02'!G267+'03'!H267+'04 CORRIGIDA'!J266+'05'!I267</f>
        <v>0</v>
      </c>
      <c r="K267" s="137">
        <f t="shared" si="77"/>
        <v>7</v>
      </c>
      <c r="L267" s="131">
        <f t="shared" si="78"/>
        <v>91.63</v>
      </c>
      <c r="M267" s="131">
        <f t="shared" si="79"/>
        <v>0</v>
      </c>
      <c r="N267" s="131">
        <f t="shared" si="80"/>
        <v>0</v>
      </c>
      <c r="O267" s="375">
        <f t="shared" si="81"/>
        <v>91.63</v>
      </c>
      <c r="P267" s="136">
        <f t="shared" si="67"/>
        <v>0</v>
      </c>
      <c r="S267" s="189">
        <v>0</v>
      </c>
      <c r="T267" s="189">
        <v>0</v>
      </c>
    </row>
    <row r="268" spans="1:20" s="106" customFormat="1" x14ac:dyDescent="0.2">
      <c r="A268" s="412">
        <v>19</v>
      </c>
      <c r="B268" s="413"/>
      <c r="C268" s="413"/>
      <c r="D268" s="414" t="s">
        <v>304</v>
      </c>
      <c r="E268" s="415"/>
      <c r="F268" s="417"/>
      <c r="G268" s="418"/>
      <c r="H268" s="416"/>
      <c r="I268" s="420"/>
      <c r="J268" s="421"/>
      <c r="K268" s="420"/>
      <c r="L268" s="416">
        <f>SUM(L269,L275)</f>
        <v>28168.979999999996</v>
      </c>
      <c r="M268" s="433">
        <f>SUM(M269,M275)</f>
        <v>0</v>
      </c>
      <c r="N268" s="433">
        <f>SUM(N269,N275)</f>
        <v>0</v>
      </c>
      <c r="O268" s="434">
        <f>SUM(O269,O275)</f>
        <v>28168.979999999996</v>
      </c>
      <c r="P268" s="423">
        <f t="shared" si="67"/>
        <v>0</v>
      </c>
      <c r="S268" s="190">
        <v>0</v>
      </c>
      <c r="T268" s="190">
        <v>0</v>
      </c>
    </row>
    <row r="269" spans="1:20" x14ac:dyDescent="0.2">
      <c r="A269" s="449" t="s">
        <v>685</v>
      </c>
      <c r="B269" s="450"/>
      <c r="C269" s="450"/>
      <c r="D269" s="451" t="s">
        <v>1775</v>
      </c>
      <c r="E269" s="452"/>
      <c r="F269" s="452">
        <f t="shared" ref="F269:O269" si="82">SUM(F270:F274)</f>
        <v>1826.3500000000001</v>
      </c>
      <c r="G269" s="468">
        <f t="shared" si="82"/>
        <v>4162.6000000000004</v>
      </c>
      <c r="H269" s="452">
        <f>SUM(H270:H274)</f>
        <v>15.1</v>
      </c>
      <c r="I269" s="452">
        <f t="shared" si="82"/>
        <v>0</v>
      </c>
      <c r="J269" s="457">
        <f>'01'!G269+'02'!G269+'03'!H269+'04 CORRIGIDA'!J268+'05'!I269</f>
        <v>0</v>
      </c>
      <c r="K269" s="452">
        <f t="shared" si="82"/>
        <v>15.1</v>
      </c>
      <c r="L269" s="452">
        <f>SUM(L270:L274)</f>
        <v>6263.99</v>
      </c>
      <c r="M269" s="468">
        <f t="shared" si="82"/>
        <v>0</v>
      </c>
      <c r="N269" s="468">
        <f t="shared" si="82"/>
        <v>0</v>
      </c>
      <c r="O269" s="469">
        <f t="shared" si="82"/>
        <v>6263.99</v>
      </c>
      <c r="P269" s="459">
        <f t="shared" ref="P269:P283" si="83">N269/L269</f>
        <v>0</v>
      </c>
      <c r="S269" s="189">
        <v>0</v>
      </c>
      <c r="T269" s="189">
        <v>0</v>
      </c>
    </row>
    <row r="270" spans="1:20" x14ac:dyDescent="0.2">
      <c r="A270" s="125" t="s">
        <v>1776</v>
      </c>
      <c r="B270" s="126" t="s">
        <v>2007</v>
      </c>
      <c r="C270" s="126" t="s">
        <v>1339</v>
      </c>
      <c r="D270" s="127" t="s">
        <v>1777</v>
      </c>
      <c r="E270" s="128" t="s">
        <v>14</v>
      </c>
      <c r="F270" s="137">
        <v>224.79</v>
      </c>
      <c r="G270" s="130">
        <v>236.77</v>
      </c>
      <c r="H270" s="128">
        <v>2.5</v>
      </c>
      <c r="I270" s="116">
        <f t="shared" si="69"/>
        <v>0</v>
      </c>
      <c r="J270" s="374">
        <f>'01'!G270+'02'!G270+'03'!H270+'04 CORRIGIDA'!J269+'05'!I270</f>
        <v>0</v>
      </c>
      <c r="K270" s="137">
        <f>H270-J270</f>
        <v>2.5</v>
      </c>
      <c r="L270" s="131">
        <f>ROUND(H270*G270,2)</f>
        <v>591.92999999999995</v>
      </c>
      <c r="M270" s="131">
        <f>I270*G270</f>
        <v>0</v>
      </c>
      <c r="N270" s="131">
        <f>J270*G270</f>
        <v>0</v>
      </c>
      <c r="O270" s="375">
        <f>L270-N270</f>
        <v>591.92999999999995</v>
      </c>
      <c r="P270" s="136">
        <f t="shared" si="83"/>
        <v>0</v>
      </c>
      <c r="S270" s="189">
        <v>0</v>
      </c>
      <c r="T270" s="189">
        <v>0</v>
      </c>
    </row>
    <row r="271" spans="1:20" x14ac:dyDescent="0.2">
      <c r="A271" s="125" t="s">
        <v>1778</v>
      </c>
      <c r="B271" s="126" t="s">
        <v>2007</v>
      </c>
      <c r="C271" s="126" t="s">
        <v>1339</v>
      </c>
      <c r="D271" s="127" t="s">
        <v>1779</v>
      </c>
      <c r="E271" s="128" t="s">
        <v>102</v>
      </c>
      <c r="F271" s="137">
        <v>170.36</v>
      </c>
      <c r="G271" s="130">
        <v>1103.49</v>
      </c>
      <c r="H271" s="128">
        <v>1</v>
      </c>
      <c r="I271" s="116">
        <f t="shared" si="69"/>
        <v>0</v>
      </c>
      <c r="J271" s="374">
        <f>'01'!G271+'02'!G271+'03'!H271+'04 CORRIGIDA'!J270+'05'!I271</f>
        <v>0</v>
      </c>
      <c r="K271" s="137">
        <f>H271-J271</f>
        <v>1</v>
      </c>
      <c r="L271" s="131">
        <f>ROUND(H271*G271,2)</f>
        <v>1103.49</v>
      </c>
      <c r="M271" s="131">
        <f>I271*G271</f>
        <v>0</v>
      </c>
      <c r="N271" s="131">
        <f>J271*G271</f>
        <v>0</v>
      </c>
      <c r="O271" s="375">
        <f>L271-N271</f>
        <v>1103.49</v>
      </c>
      <c r="P271" s="136">
        <f t="shared" si="83"/>
        <v>0</v>
      </c>
      <c r="S271" s="189">
        <v>0</v>
      </c>
      <c r="T271" s="189">
        <v>0</v>
      </c>
    </row>
    <row r="272" spans="1:20" x14ac:dyDescent="0.2">
      <c r="A272" s="125" t="s">
        <v>1780</v>
      </c>
      <c r="B272" s="126" t="s">
        <v>2007</v>
      </c>
      <c r="C272" s="126" t="s">
        <v>1339</v>
      </c>
      <c r="D272" s="127" t="s">
        <v>1781</v>
      </c>
      <c r="E272" s="128" t="s">
        <v>102</v>
      </c>
      <c r="F272" s="137">
        <v>108</v>
      </c>
      <c r="G272" s="130">
        <v>1841.38</v>
      </c>
      <c r="H272" s="128">
        <v>1</v>
      </c>
      <c r="I272" s="116">
        <f t="shared" si="69"/>
        <v>0</v>
      </c>
      <c r="J272" s="374">
        <f>'01'!G272+'02'!G272+'03'!H272+'04 CORRIGIDA'!J271+'05'!I272</f>
        <v>0</v>
      </c>
      <c r="K272" s="137">
        <f>H272-J272</f>
        <v>1</v>
      </c>
      <c r="L272" s="131">
        <f>ROUND(H272*G272,2)</f>
        <v>1841.38</v>
      </c>
      <c r="M272" s="131">
        <f>I272*G272</f>
        <v>0</v>
      </c>
      <c r="N272" s="131">
        <f>J272*G272</f>
        <v>0</v>
      </c>
      <c r="O272" s="375">
        <f>L272-N272</f>
        <v>1841.38</v>
      </c>
      <c r="P272" s="136">
        <f t="shared" si="83"/>
        <v>0</v>
      </c>
      <c r="S272" s="189">
        <v>0</v>
      </c>
      <c r="T272" s="189">
        <v>0</v>
      </c>
    </row>
    <row r="273" spans="1:31" x14ac:dyDescent="0.2">
      <c r="A273" s="125" t="s">
        <v>1782</v>
      </c>
      <c r="B273" s="126" t="s">
        <v>2007</v>
      </c>
      <c r="C273" s="126" t="s">
        <v>1339</v>
      </c>
      <c r="D273" s="127" t="s">
        <v>1783</v>
      </c>
      <c r="E273" s="128" t="s">
        <v>102</v>
      </c>
      <c r="F273" s="137">
        <v>1249</v>
      </c>
      <c r="G273" s="130">
        <v>777.91</v>
      </c>
      <c r="H273" s="128">
        <v>1</v>
      </c>
      <c r="I273" s="116">
        <f t="shared" si="69"/>
        <v>0</v>
      </c>
      <c r="J273" s="374">
        <f>'01'!G273+'02'!G273+'03'!H273+'04 CORRIGIDA'!J272+'05'!I273</f>
        <v>0</v>
      </c>
      <c r="K273" s="137">
        <f>H273-J273</f>
        <v>1</v>
      </c>
      <c r="L273" s="131">
        <f>ROUND(H273*G273,2)</f>
        <v>777.91</v>
      </c>
      <c r="M273" s="131">
        <f>I273*G273</f>
        <v>0</v>
      </c>
      <c r="N273" s="131">
        <f>J273*G273</f>
        <v>0</v>
      </c>
      <c r="O273" s="375">
        <f>L273-N273</f>
        <v>777.91</v>
      </c>
      <c r="P273" s="136">
        <f t="shared" si="83"/>
        <v>0</v>
      </c>
      <c r="S273" s="189">
        <v>0</v>
      </c>
      <c r="T273" s="189">
        <v>0</v>
      </c>
    </row>
    <row r="274" spans="1:31" s="106" customFormat="1" x14ac:dyDescent="0.2">
      <c r="A274" s="125" t="s">
        <v>1784</v>
      </c>
      <c r="B274" s="126">
        <v>84862</v>
      </c>
      <c r="C274" s="126" t="s">
        <v>1324</v>
      </c>
      <c r="D274" s="127" t="s">
        <v>1785</v>
      </c>
      <c r="E274" s="128" t="s">
        <v>81</v>
      </c>
      <c r="F274" s="137">
        <v>74.2</v>
      </c>
      <c r="G274" s="130">
        <v>203.05</v>
      </c>
      <c r="H274" s="128">
        <v>9.6</v>
      </c>
      <c r="I274" s="116">
        <f t="shared" si="69"/>
        <v>0</v>
      </c>
      <c r="J274" s="374">
        <f>'01'!G274+'02'!G274+'03'!H274+'04 CORRIGIDA'!J273+'05'!I274</f>
        <v>0</v>
      </c>
      <c r="K274" s="137">
        <f>H274-J274</f>
        <v>9.6</v>
      </c>
      <c r="L274" s="131">
        <f>ROUND(H274*G274,2)</f>
        <v>1949.28</v>
      </c>
      <c r="M274" s="131">
        <f>I274*G274</f>
        <v>0</v>
      </c>
      <c r="N274" s="131">
        <f>J274*G274</f>
        <v>0</v>
      </c>
      <c r="O274" s="375">
        <f>L274-N274</f>
        <v>1949.28</v>
      </c>
      <c r="P274" s="136">
        <f t="shared" si="83"/>
        <v>0</v>
      </c>
      <c r="S274" s="190">
        <v>0</v>
      </c>
      <c r="T274" s="190">
        <v>0</v>
      </c>
    </row>
    <row r="275" spans="1:31" x14ac:dyDescent="0.2">
      <c r="A275" s="449" t="s">
        <v>691</v>
      </c>
      <c r="B275" s="450"/>
      <c r="C275" s="450"/>
      <c r="D275" s="451" t="s">
        <v>1786</v>
      </c>
      <c r="E275" s="452"/>
      <c r="F275" s="452">
        <f t="shared" ref="F275:O275" si="84">SUM(F276:F277)</f>
        <v>162.82</v>
      </c>
      <c r="G275" s="468"/>
      <c r="H275" s="452"/>
      <c r="I275" s="452"/>
      <c r="J275" s="457"/>
      <c r="K275" s="452">
        <f t="shared" si="84"/>
        <v>205</v>
      </c>
      <c r="L275" s="452">
        <f>SUM(L276:L277)</f>
        <v>21904.989999999998</v>
      </c>
      <c r="M275" s="468">
        <f t="shared" si="84"/>
        <v>0</v>
      </c>
      <c r="N275" s="468">
        <f t="shared" si="84"/>
        <v>0</v>
      </c>
      <c r="O275" s="469">
        <f t="shared" si="84"/>
        <v>21904.989999999998</v>
      </c>
      <c r="P275" s="459">
        <f t="shared" si="83"/>
        <v>0</v>
      </c>
      <c r="S275" s="189">
        <v>0</v>
      </c>
      <c r="T275" s="189">
        <v>0</v>
      </c>
    </row>
    <row r="276" spans="1:31" ht="25.5" x14ac:dyDescent="0.2">
      <c r="A276" s="125" t="s">
        <v>1787</v>
      </c>
      <c r="B276" s="126" t="s">
        <v>1788</v>
      </c>
      <c r="C276" s="126" t="s">
        <v>1324</v>
      </c>
      <c r="D276" s="127" t="s">
        <v>1789</v>
      </c>
      <c r="E276" s="128" t="s">
        <v>14</v>
      </c>
      <c r="F276" s="137">
        <v>62.36</v>
      </c>
      <c r="G276" s="130">
        <v>103.67</v>
      </c>
      <c r="H276" s="128">
        <v>201</v>
      </c>
      <c r="I276" s="116">
        <f t="shared" si="69"/>
        <v>0</v>
      </c>
      <c r="J276" s="374">
        <f>'01'!G276+'02'!G276+'03'!H276+'04 CORRIGIDA'!J275+'05'!I276</f>
        <v>0</v>
      </c>
      <c r="K276" s="137">
        <f>H276-J276</f>
        <v>201</v>
      </c>
      <c r="L276" s="131">
        <f>ROUND(H276*G276,2)</f>
        <v>20837.669999999998</v>
      </c>
      <c r="M276" s="131">
        <f>I276*G276</f>
        <v>0</v>
      </c>
      <c r="N276" s="131">
        <f>J276*G276</f>
        <v>0</v>
      </c>
      <c r="O276" s="375">
        <f>L276-N276</f>
        <v>20837.669999999998</v>
      </c>
      <c r="P276" s="136">
        <f t="shared" si="83"/>
        <v>0</v>
      </c>
      <c r="S276" s="189">
        <v>0</v>
      </c>
      <c r="T276" s="189">
        <v>0</v>
      </c>
    </row>
    <row r="277" spans="1:31" s="106" customFormat="1" x14ac:dyDescent="0.2">
      <c r="A277" s="125" t="s">
        <v>1790</v>
      </c>
      <c r="B277" s="126" t="s">
        <v>2007</v>
      </c>
      <c r="C277" s="126" t="s">
        <v>1339</v>
      </c>
      <c r="D277" s="127" t="s">
        <v>1791</v>
      </c>
      <c r="E277" s="128" t="s">
        <v>102</v>
      </c>
      <c r="F277" s="137">
        <v>100.46</v>
      </c>
      <c r="G277" s="130">
        <v>266.83</v>
      </c>
      <c r="H277" s="128">
        <v>4</v>
      </c>
      <c r="I277" s="116">
        <f t="shared" si="69"/>
        <v>0</v>
      </c>
      <c r="J277" s="374">
        <f>'01'!G277+'02'!G277+'03'!H277+'04 CORRIGIDA'!J276+'05'!I277</f>
        <v>0</v>
      </c>
      <c r="K277" s="137">
        <f>H277-J277</f>
        <v>4</v>
      </c>
      <c r="L277" s="131">
        <f>ROUND(H277*G277,2)</f>
        <v>1067.32</v>
      </c>
      <c r="M277" s="131">
        <f>I277*G277</f>
        <v>0</v>
      </c>
      <c r="N277" s="131">
        <f>J277*G277</f>
        <v>0</v>
      </c>
      <c r="O277" s="375">
        <f>L277-N277</f>
        <v>1067.32</v>
      </c>
      <c r="P277" s="136">
        <f t="shared" si="83"/>
        <v>0</v>
      </c>
      <c r="S277" s="190">
        <v>0</v>
      </c>
      <c r="T277" s="190">
        <v>0</v>
      </c>
    </row>
    <row r="278" spans="1:31" x14ac:dyDescent="0.2">
      <c r="A278" s="412">
        <v>20</v>
      </c>
      <c r="B278" s="413"/>
      <c r="C278" s="413"/>
      <c r="D278" s="414" t="s">
        <v>1232</v>
      </c>
      <c r="E278" s="415"/>
      <c r="F278" s="417"/>
      <c r="G278" s="418"/>
      <c r="H278" s="416"/>
      <c r="I278" s="420"/>
      <c r="J278" s="421"/>
      <c r="K278" s="420"/>
      <c r="L278" s="416">
        <f>SUM(L279:L283)</f>
        <v>4777.13</v>
      </c>
      <c r="M278" s="433">
        <f>SUM(M279:M283)</f>
        <v>0</v>
      </c>
      <c r="N278" s="433">
        <f>SUM(N279:N283)</f>
        <v>0</v>
      </c>
      <c r="O278" s="434">
        <f>SUM(O279:O283)</f>
        <v>4777.13</v>
      </c>
      <c r="P278" s="423">
        <f t="shared" si="83"/>
        <v>0</v>
      </c>
      <c r="S278" s="189">
        <v>0</v>
      </c>
      <c r="T278" s="189">
        <v>0</v>
      </c>
    </row>
    <row r="279" spans="1:31" x14ac:dyDescent="0.2">
      <c r="A279" s="125" t="s">
        <v>719</v>
      </c>
      <c r="B279" s="126" t="s">
        <v>1792</v>
      </c>
      <c r="C279" s="126" t="s">
        <v>1324</v>
      </c>
      <c r="D279" s="127" t="s">
        <v>1793</v>
      </c>
      <c r="E279" s="128" t="s">
        <v>14</v>
      </c>
      <c r="F279" s="137">
        <v>37.18</v>
      </c>
      <c r="G279" s="130">
        <v>4.97</v>
      </c>
      <c r="H279" s="128">
        <v>296.01</v>
      </c>
      <c r="I279" s="116">
        <f t="shared" si="69"/>
        <v>0</v>
      </c>
      <c r="J279" s="374">
        <f>'01'!G279+'02'!G279+'03'!H279+'04 CORRIGIDA'!J278+'05'!I279</f>
        <v>0</v>
      </c>
      <c r="K279" s="137">
        <f>H279-J279</f>
        <v>296.01</v>
      </c>
      <c r="L279" s="131">
        <f>ROUND(H279*G279,2)</f>
        <v>1471.17</v>
      </c>
      <c r="M279" s="131">
        <f>I279*G279</f>
        <v>0</v>
      </c>
      <c r="N279" s="131">
        <f>J279*G279</f>
        <v>0</v>
      </c>
      <c r="O279" s="375">
        <f>L279-N279</f>
        <v>1471.17</v>
      </c>
      <c r="P279" s="136">
        <f t="shared" si="83"/>
        <v>0</v>
      </c>
      <c r="S279" s="189">
        <v>0</v>
      </c>
      <c r="T279" s="189">
        <v>0</v>
      </c>
    </row>
    <row r="280" spans="1:31" x14ac:dyDescent="0.2">
      <c r="A280" s="125" t="s">
        <v>726</v>
      </c>
      <c r="B280" s="126" t="s">
        <v>1794</v>
      </c>
      <c r="C280" s="126" t="s">
        <v>1324</v>
      </c>
      <c r="D280" s="127" t="s">
        <v>1795</v>
      </c>
      <c r="E280" s="128" t="s">
        <v>14</v>
      </c>
      <c r="F280" s="137">
        <v>14.42</v>
      </c>
      <c r="G280" s="130">
        <v>9.57</v>
      </c>
      <c r="H280" s="128">
        <v>21.9</v>
      </c>
      <c r="I280" s="116">
        <f t="shared" si="69"/>
        <v>0</v>
      </c>
      <c r="J280" s="374">
        <f>'01'!G280+'02'!G280+'03'!H280+'04 CORRIGIDA'!J279+'05'!I280</f>
        <v>0</v>
      </c>
      <c r="K280" s="137">
        <f>H280-J280</f>
        <v>21.9</v>
      </c>
      <c r="L280" s="131">
        <f>ROUND(H280*G280,2)</f>
        <v>209.58</v>
      </c>
      <c r="M280" s="131">
        <f>I280*G280</f>
        <v>0</v>
      </c>
      <c r="N280" s="131">
        <f>J280*G280</f>
        <v>0</v>
      </c>
      <c r="O280" s="375">
        <f>L280-N280</f>
        <v>209.58</v>
      </c>
      <c r="P280" s="136">
        <f t="shared" si="83"/>
        <v>0</v>
      </c>
      <c r="S280" s="189">
        <v>0</v>
      </c>
      <c r="T280" s="189">
        <v>0</v>
      </c>
    </row>
    <row r="281" spans="1:31" x14ac:dyDescent="0.2">
      <c r="A281" s="125" t="s">
        <v>730</v>
      </c>
      <c r="B281" s="126" t="s">
        <v>1796</v>
      </c>
      <c r="C281" s="126" t="s">
        <v>1324</v>
      </c>
      <c r="D281" s="127" t="s">
        <v>1797</v>
      </c>
      <c r="E281" s="128" t="s">
        <v>14</v>
      </c>
      <c r="F281" s="137">
        <v>22.57</v>
      </c>
      <c r="G281" s="130">
        <v>11.45</v>
      </c>
      <c r="H281" s="128">
        <v>64.91</v>
      </c>
      <c r="I281" s="116">
        <f t="shared" si="69"/>
        <v>0</v>
      </c>
      <c r="J281" s="374">
        <f>'01'!G281+'02'!G281+'03'!H281+'04 CORRIGIDA'!J280+'05'!I281</f>
        <v>0</v>
      </c>
      <c r="K281" s="137">
        <f>H281-J281</f>
        <v>64.91</v>
      </c>
      <c r="L281" s="131">
        <f>ROUND(H281*G281,2)</f>
        <v>743.22</v>
      </c>
      <c r="M281" s="131">
        <f>I281*G281</f>
        <v>0</v>
      </c>
      <c r="N281" s="131">
        <f>J281*G281</f>
        <v>0</v>
      </c>
      <c r="O281" s="375">
        <f>L281-N281</f>
        <v>743.22</v>
      </c>
      <c r="P281" s="136">
        <f t="shared" si="83"/>
        <v>0</v>
      </c>
      <c r="S281" s="189">
        <v>0</v>
      </c>
      <c r="T281" s="189">
        <v>0</v>
      </c>
    </row>
    <row r="282" spans="1:31" x14ac:dyDescent="0.2">
      <c r="A282" s="125" t="s">
        <v>739</v>
      </c>
      <c r="B282" s="126" t="s">
        <v>1798</v>
      </c>
      <c r="C282" s="126" t="s">
        <v>1324</v>
      </c>
      <c r="D282" s="127" t="s">
        <v>1799</v>
      </c>
      <c r="E282" s="128" t="s">
        <v>14</v>
      </c>
      <c r="F282" s="137">
        <v>26.75</v>
      </c>
      <c r="G282" s="130">
        <v>1.53</v>
      </c>
      <c r="H282" s="128">
        <v>676.67</v>
      </c>
      <c r="I282" s="116">
        <f t="shared" si="69"/>
        <v>0</v>
      </c>
      <c r="J282" s="374">
        <f>'01'!G282+'02'!G282+'03'!H282+'04 CORRIGIDA'!J281+'05'!I282</f>
        <v>0</v>
      </c>
      <c r="K282" s="137">
        <f>H282-J282</f>
        <v>676.67</v>
      </c>
      <c r="L282" s="131">
        <f>ROUND(H282*G282,2)</f>
        <v>1035.31</v>
      </c>
      <c r="M282" s="131">
        <f>I282*G282</f>
        <v>0</v>
      </c>
      <c r="N282" s="131">
        <f>J282*G282</f>
        <v>0</v>
      </c>
      <c r="O282" s="375">
        <f>L282-N282</f>
        <v>1035.31</v>
      </c>
      <c r="P282" s="136">
        <f t="shared" si="83"/>
        <v>0</v>
      </c>
      <c r="S282" s="189">
        <v>0</v>
      </c>
      <c r="T282" s="189">
        <v>0</v>
      </c>
    </row>
    <row r="283" spans="1:31" x14ac:dyDescent="0.2">
      <c r="A283" s="125" t="s">
        <v>743</v>
      </c>
      <c r="B283" s="126">
        <v>84122</v>
      </c>
      <c r="C283" s="126" t="s">
        <v>1324</v>
      </c>
      <c r="D283" s="127" t="s">
        <v>1800</v>
      </c>
      <c r="E283" s="128" t="s">
        <v>102</v>
      </c>
      <c r="F283" s="137">
        <v>61.1</v>
      </c>
      <c r="G283" s="130">
        <v>1317.85</v>
      </c>
      <c r="H283" s="128">
        <v>1</v>
      </c>
      <c r="I283" s="116">
        <f t="shared" si="69"/>
        <v>0</v>
      </c>
      <c r="J283" s="374">
        <f>'01'!G283+'02'!G283+'03'!H283+'04 CORRIGIDA'!J282+'05'!I283</f>
        <v>0</v>
      </c>
      <c r="K283" s="137">
        <f>H283-J283</f>
        <v>1</v>
      </c>
      <c r="L283" s="131">
        <f>ROUND(H283*G283,2)</f>
        <v>1317.85</v>
      </c>
      <c r="M283" s="131">
        <f>I283*G283</f>
        <v>0</v>
      </c>
      <c r="N283" s="131">
        <f>J283*G283</f>
        <v>0</v>
      </c>
      <c r="O283" s="375">
        <f>L283-N283</f>
        <v>1317.85</v>
      </c>
      <c r="P283" s="136">
        <f t="shared" si="83"/>
        <v>0</v>
      </c>
      <c r="S283" s="189">
        <v>0</v>
      </c>
      <c r="T283" s="189">
        <v>0</v>
      </c>
      <c r="AE283" s="393"/>
    </row>
    <row r="284" spans="1:31" s="67" customFormat="1" ht="13.5" thickBot="1" x14ac:dyDescent="0.25">
      <c r="A284" s="438"/>
      <c r="B284" s="439"/>
      <c r="C284" s="440"/>
      <c r="D284" s="440"/>
      <c r="E284" s="440"/>
      <c r="F284" s="440"/>
      <c r="G284" s="442" t="s">
        <v>1281</v>
      </c>
      <c r="H284" s="441"/>
      <c r="I284" s="444">
        <v>0</v>
      </c>
      <c r="J284" s="445">
        <f>'01'!G284+'02'!G284+'03'!H284+'04 CORRIGIDA'!J283+'05'!I284</f>
        <v>0</v>
      </c>
      <c r="K284" s="440"/>
      <c r="L284" s="443">
        <f>H8</f>
        <v>664297.16</v>
      </c>
      <c r="M284" s="446">
        <f>SUM(M278,M268,M259,M214,M208,M194,M190,M168,M129,M120,M109,M98,M95,M92,M77,M69,M45,M32,M26,M14)</f>
        <v>34784.832389999996</v>
      </c>
      <c r="N284" s="446">
        <v>203366</v>
      </c>
      <c r="O284" s="447">
        <f>O278+O268+O259+O214+O208+O194+O190+O168+O129+O120+O109+O98+O95+O92+O77+O69+O45+O31+O26+O14</f>
        <v>502746.32689999993</v>
      </c>
      <c r="P284" s="448">
        <f>N284/O284</f>
        <v>0.40451016570122261</v>
      </c>
      <c r="S284" s="193"/>
      <c r="T284" s="193"/>
    </row>
    <row r="285" spans="1:31" x14ac:dyDescent="0.2">
      <c r="A285" s="69"/>
      <c r="B285" s="69"/>
      <c r="C285" s="59"/>
      <c r="D285" s="111"/>
      <c r="E285" s="59"/>
      <c r="F285" s="59"/>
      <c r="G285" s="82"/>
      <c r="H285" s="68"/>
      <c r="I285" s="70"/>
      <c r="J285" s="70"/>
      <c r="K285" s="59"/>
      <c r="L285" s="77"/>
      <c r="M285" s="77"/>
      <c r="N285" s="77"/>
      <c r="O285" s="373"/>
      <c r="P285" s="61"/>
    </row>
    <row r="286" spans="1:31" x14ac:dyDescent="0.2">
      <c r="P286" s="72"/>
    </row>
    <row r="287" spans="1:31" x14ac:dyDescent="0.2">
      <c r="B287" s="71"/>
      <c r="C287" s="66"/>
      <c r="P287" s="72"/>
    </row>
    <row r="288" spans="1:31" x14ac:dyDescent="0.2">
      <c r="B288" s="71"/>
      <c r="C288" s="66"/>
    </row>
    <row r="289" spans="1:15" x14ac:dyDescent="0.2">
      <c r="A289" s="66" t="s">
        <v>1802</v>
      </c>
      <c r="B289" s="71"/>
      <c r="C289" s="66"/>
      <c r="E289" s="66" t="s">
        <v>1297</v>
      </c>
      <c r="J289" s="892" t="s">
        <v>1307</v>
      </c>
      <c r="K289" s="892"/>
      <c r="L289" s="892"/>
      <c r="M289" s="78" t="s">
        <v>1308</v>
      </c>
    </row>
    <row r="290" spans="1:15" x14ac:dyDescent="0.2">
      <c r="A290" s="66" t="s">
        <v>1803</v>
      </c>
      <c r="B290" s="71"/>
      <c r="C290" s="66"/>
      <c r="E290" s="66" t="s">
        <v>1298</v>
      </c>
      <c r="J290" s="892" t="s">
        <v>1305</v>
      </c>
      <c r="K290" s="892"/>
      <c r="L290" s="892"/>
      <c r="M290" s="892" t="s">
        <v>2022</v>
      </c>
      <c r="N290" s="892"/>
      <c r="O290" s="892"/>
    </row>
    <row r="291" spans="1:15" x14ac:dyDescent="0.2">
      <c r="A291" s="66" t="s">
        <v>1804</v>
      </c>
      <c r="B291" s="71"/>
      <c r="C291" s="66"/>
      <c r="E291" s="66" t="s">
        <v>1300</v>
      </c>
      <c r="J291" s="892" t="s">
        <v>1306</v>
      </c>
      <c r="K291" s="892"/>
      <c r="L291" s="892"/>
      <c r="M291" s="892"/>
      <c r="N291" s="892"/>
      <c r="O291" s="892"/>
    </row>
    <row r="292" spans="1:15" x14ac:dyDescent="0.2">
      <c r="A292" s="66" t="s">
        <v>1805</v>
      </c>
      <c r="B292" s="71"/>
      <c r="C292" s="66"/>
      <c r="E292" s="66" t="s">
        <v>1315</v>
      </c>
      <c r="J292" s="892" t="s">
        <v>1301</v>
      </c>
      <c r="K292" s="892"/>
      <c r="L292" s="892"/>
      <c r="M292" s="78" t="s">
        <v>1303</v>
      </c>
    </row>
    <row r="293" spans="1:15" x14ac:dyDescent="0.2">
      <c r="M293" s="78" t="s">
        <v>1304</v>
      </c>
    </row>
  </sheetData>
  <mergeCells count="23">
    <mergeCell ref="E1:P5"/>
    <mergeCell ref="J289:L289"/>
    <mergeCell ref="J290:L290"/>
    <mergeCell ref="J291:L291"/>
    <mergeCell ref="J292:L292"/>
    <mergeCell ref="M291:O291"/>
    <mergeCell ref="M290:O290"/>
    <mergeCell ref="E8:G8"/>
    <mergeCell ref="N9:O9"/>
    <mergeCell ref="E7:G7"/>
    <mergeCell ref="E11:E12"/>
    <mergeCell ref="G11:G12"/>
    <mergeCell ref="H11:K11"/>
    <mergeCell ref="L11:O11"/>
    <mergeCell ref="F11:F12"/>
    <mergeCell ref="A7:D7"/>
    <mergeCell ref="A8:D8"/>
    <mergeCell ref="A1:D5"/>
    <mergeCell ref="A11:A12"/>
    <mergeCell ref="B11:B12"/>
    <mergeCell ref="C11:C12"/>
    <mergeCell ref="A9:D9"/>
    <mergeCell ref="D11:D12"/>
  </mergeCells>
  <conditionalFormatting sqref="A14:E14 F46:G46 L70:M70 O70 O67 O57 L62 L75 O75 O72 H89 L77:L78 L116 L152:M152 F169:G169 I169 F275:G275 O116 O194 O208 O214 O190 O168:O181 O129 O120 O109:O110 O98 O95 O92 O83 O77:O78 O160:O164 F51:G51 I51 L51:M51 K96 K269:O269 K131:K151 L120 K73:K74 K68 O140 O152 H270:H277 H253:H258 H248:H251 H226:H246 H216:H224 F269:H269 F252:H252 F247:H247 F225:H225 A89:E89 F215:H215 L45:O45 L67:M67 L72:M72 M75:M78 L83:M83 L92:M92 L181:M181 L190:M190 L278:O278 K275:O275 L259:O259 L98:M98 L95:M95 L194:M194 L208:M208 L214:M214 L168:M169 L129:M130 M116:M120 L57:M57 K252:O252 K247:O247 K225:O225 K215:O215 A16:E25 H14:H25 H27:H31 A27:E31 A26:D26 A33:E44 A32:D32 H33:H44 H46:H56 A46:E56 A45:D45 A71:E71 H71 H79:H82 A79:E82 A93:E94 A92:D92 H93:H94 H96:H97 A96:E97 A95:D95 A99:E108 A98:D98 H99:H108 H111:H115 A111:E115 L109:M110 A121:E128 A120:D120 H121:H128 H131:H151 A131:E151 A169:E180 A168:D168 H169:H180 K169:K180 A191:E193 A190:D190 H191:I193 A195:E207 A194:D194 H195:I207 A209:E213 A208:D208 H209:I213 I215:I258 A215:E258 A214:D214 A260:E267 A259:D259 H260:I267 I269:I277 A269:E277 A268:D268 L268:O268 A279:E283 A278:D278 I279:I283 H279:H285 A58:E61 A57:D57 H58:H61 H63:H66 A63:E66 A62:D62 A68:E68 A67:D67 H68 A69:D70 H73:H74 A73:E74 A72:D72 A76:E76 A75:D75 H76 K76 A77:D78 A84:E86 A83:D83 H84:H86 A87:D87 A91:E91 A90:D90 H91 A109:D110 A117:E119 A116:D116 H117:H119 A129:D130 A153:E167 A152:D152 H153:H167 K153:K167 H182:I189 A182:E189 A181:D181">
    <cfRule type="expression" dxfId="921" priority="201">
      <formula>$D14&lt;&gt;0</formula>
    </cfRule>
    <cfRule type="expression" dxfId="920" priority="202">
      <formula>$O14=1</formula>
    </cfRule>
  </conditionalFormatting>
  <conditionalFormatting sqref="G14 G39 L39:O39 G33">
    <cfRule type="expression" dxfId="919" priority="439">
      <formula>$D14&lt;&gt;0</formula>
    </cfRule>
    <cfRule type="expression" dxfId="918" priority="440">
      <formula>$O14=1</formula>
    </cfRule>
  </conditionalFormatting>
  <conditionalFormatting sqref="E26 H26">
    <cfRule type="expression" dxfId="917" priority="103">
      <formula>$D26&lt;&gt;0</formula>
    </cfRule>
    <cfRule type="expression" dxfId="916" priority="104">
      <formula>$O26=1</formula>
    </cfRule>
  </conditionalFormatting>
  <conditionalFormatting sqref="G26">
    <cfRule type="expression" dxfId="915" priority="105">
      <formula>$D26&lt;&gt;0</formula>
    </cfRule>
    <cfRule type="expression" dxfId="914" priority="106">
      <formula>$O26=1</formula>
    </cfRule>
  </conditionalFormatting>
  <conditionalFormatting sqref="E32 H32">
    <cfRule type="expression" dxfId="913" priority="99">
      <formula>$D32&lt;&gt;0</formula>
    </cfRule>
    <cfRule type="expression" dxfId="912" priority="100">
      <formula>$O32=1</formula>
    </cfRule>
  </conditionalFormatting>
  <conditionalFormatting sqref="G32">
    <cfRule type="expression" dxfId="911" priority="101">
      <formula>$D32&lt;&gt;0</formula>
    </cfRule>
    <cfRule type="expression" dxfId="910" priority="102">
      <formula>$O32=1</formula>
    </cfRule>
  </conditionalFormatting>
  <conditionalFormatting sqref="E45 H45">
    <cfRule type="expression" dxfId="909" priority="95">
      <formula>$D45&lt;&gt;0</formula>
    </cfRule>
    <cfRule type="expression" dxfId="908" priority="96">
      <formula>$O45=1</formula>
    </cfRule>
  </conditionalFormatting>
  <conditionalFormatting sqref="G45">
    <cfRule type="expression" dxfId="907" priority="97">
      <formula>$D45&lt;&gt;0</formula>
    </cfRule>
    <cfRule type="expression" dxfId="906" priority="98">
      <formula>$O45=1</formula>
    </cfRule>
  </conditionalFormatting>
  <conditionalFormatting sqref="E69 H69">
    <cfRule type="expression" dxfId="905" priority="91">
      <formula>$D69&lt;&gt;0</formula>
    </cfRule>
    <cfRule type="expression" dxfId="904" priority="92">
      <formula>$O69=1</formula>
    </cfRule>
  </conditionalFormatting>
  <conditionalFormatting sqref="G69">
    <cfRule type="expression" dxfId="903" priority="93">
      <formula>$D69&lt;&gt;0</formula>
    </cfRule>
    <cfRule type="expression" dxfId="902" priority="94">
      <formula>$O69=1</formula>
    </cfRule>
  </conditionalFormatting>
  <conditionalFormatting sqref="E77 H77">
    <cfRule type="expression" dxfId="901" priority="87">
      <formula>$D77&lt;&gt;0</formula>
    </cfRule>
    <cfRule type="expression" dxfId="900" priority="88">
      <formula>$O77=1</formula>
    </cfRule>
  </conditionalFormatting>
  <conditionalFormatting sqref="G77">
    <cfRule type="expression" dxfId="899" priority="89">
      <formula>$D77&lt;&gt;0</formula>
    </cfRule>
    <cfRule type="expression" dxfId="898" priority="90">
      <formula>$O77=1</formula>
    </cfRule>
  </conditionalFormatting>
  <conditionalFormatting sqref="E92 H92">
    <cfRule type="expression" dxfId="897" priority="83">
      <formula>$D92&lt;&gt;0</formula>
    </cfRule>
    <cfRule type="expression" dxfId="896" priority="84">
      <formula>$O92=1</formula>
    </cfRule>
  </conditionalFormatting>
  <conditionalFormatting sqref="G92">
    <cfRule type="expression" dxfId="895" priority="85">
      <formula>$D92&lt;&gt;0</formula>
    </cfRule>
    <cfRule type="expression" dxfId="894" priority="86">
      <formula>$O92=1</formula>
    </cfRule>
  </conditionalFormatting>
  <conditionalFormatting sqref="E95 H95">
    <cfRule type="expression" dxfId="893" priority="79">
      <formula>$D95&lt;&gt;0</formula>
    </cfRule>
    <cfRule type="expression" dxfId="892" priority="80">
      <formula>$O95=1</formula>
    </cfRule>
  </conditionalFormatting>
  <conditionalFormatting sqref="G95">
    <cfRule type="expression" dxfId="891" priority="81">
      <formula>$D95&lt;&gt;0</formula>
    </cfRule>
    <cfRule type="expression" dxfId="890" priority="82">
      <formula>$O95=1</formula>
    </cfRule>
  </conditionalFormatting>
  <conditionalFormatting sqref="E98 H98">
    <cfRule type="expression" dxfId="889" priority="75">
      <formula>$D98&lt;&gt;0</formula>
    </cfRule>
    <cfRule type="expression" dxfId="888" priority="76">
      <formula>$O98=1</formula>
    </cfRule>
  </conditionalFormatting>
  <conditionalFormatting sqref="G98">
    <cfRule type="expression" dxfId="887" priority="77">
      <formula>$D98&lt;&gt;0</formula>
    </cfRule>
    <cfRule type="expression" dxfId="886" priority="78">
      <formula>$O98=1</formula>
    </cfRule>
  </conditionalFormatting>
  <conditionalFormatting sqref="E109 H109">
    <cfRule type="expression" dxfId="885" priority="71">
      <formula>$D109&lt;&gt;0</formula>
    </cfRule>
    <cfRule type="expression" dxfId="884" priority="72">
      <formula>$O109=1</formula>
    </cfRule>
  </conditionalFormatting>
  <conditionalFormatting sqref="G109">
    <cfRule type="expression" dxfId="883" priority="73">
      <formula>$D109&lt;&gt;0</formula>
    </cfRule>
    <cfRule type="expression" dxfId="882" priority="74">
      <formula>$O109=1</formula>
    </cfRule>
  </conditionalFormatting>
  <conditionalFormatting sqref="E120 H120">
    <cfRule type="expression" dxfId="881" priority="67">
      <formula>$D120&lt;&gt;0</formula>
    </cfRule>
    <cfRule type="expression" dxfId="880" priority="68">
      <formula>$O120=1</formula>
    </cfRule>
  </conditionalFormatting>
  <conditionalFormatting sqref="G120">
    <cfRule type="expression" dxfId="879" priority="69">
      <formula>$D120&lt;&gt;0</formula>
    </cfRule>
    <cfRule type="expression" dxfId="878" priority="70">
      <formula>$O120=1</formula>
    </cfRule>
  </conditionalFormatting>
  <conditionalFormatting sqref="E129 H129">
    <cfRule type="expression" dxfId="877" priority="63">
      <formula>$D129&lt;&gt;0</formula>
    </cfRule>
    <cfRule type="expression" dxfId="876" priority="64">
      <formula>$O129=1</formula>
    </cfRule>
  </conditionalFormatting>
  <conditionalFormatting sqref="G129">
    <cfRule type="expression" dxfId="875" priority="65">
      <formula>$D129&lt;&gt;0</formula>
    </cfRule>
    <cfRule type="expression" dxfId="874" priority="66">
      <formula>$O129=1</formula>
    </cfRule>
  </conditionalFormatting>
  <conditionalFormatting sqref="E168 H168">
    <cfRule type="expression" dxfId="873" priority="59">
      <formula>$D168&lt;&gt;0</formula>
    </cfRule>
    <cfRule type="expression" dxfId="872" priority="60">
      <formula>$O168=1</formula>
    </cfRule>
  </conditionalFormatting>
  <conditionalFormatting sqref="G168">
    <cfRule type="expression" dxfId="871" priority="61">
      <formula>$D168&lt;&gt;0</formula>
    </cfRule>
    <cfRule type="expression" dxfId="870" priority="62">
      <formula>$O168=1</formula>
    </cfRule>
  </conditionalFormatting>
  <conditionalFormatting sqref="E190 H190">
    <cfRule type="expression" dxfId="869" priority="55">
      <formula>$D190&lt;&gt;0</formula>
    </cfRule>
    <cfRule type="expression" dxfId="868" priority="56">
      <formula>$O190=1</formula>
    </cfRule>
  </conditionalFormatting>
  <conditionalFormatting sqref="G190">
    <cfRule type="expression" dxfId="867" priority="57">
      <formula>$D190&lt;&gt;0</formula>
    </cfRule>
    <cfRule type="expression" dxfId="866" priority="58">
      <formula>$O190=1</formula>
    </cfRule>
  </conditionalFormatting>
  <conditionalFormatting sqref="E194 H194">
    <cfRule type="expression" dxfId="865" priority="51">
      <formula>$D194&lt;&gt;0</formula>
    </cfRule>
    <cfRule type="expression" dxfId="864" priority="52">
      <formula>$O194=1</formula>
    </cfRule>
  </conditionalFormatting>
  <conditionalFormatting sqref="G194">
    <cfRule type="expression" dxfId="863" priority="53">
      <formula>$D194&lt;&gt;0</formula>
    </cfRule>
    <cfRule type="expression" dxfId="862" priority="54">
      <formula>$O194=1</formula>
    </cfRule>
  </conditionalFormatting>
  <conditionalFormatting sqref="E208 H208">
    <cfRule type="expression" dxfId="861" priority="47">
      <formula>$D208&lt;&gt;0</formula>
    </cfRule>
    <cfRule type="expression" dxfId="860" priority="48">
      <formula>$O208=1</formula>
    </cfRule>
  </conditionalFormatting>
  <conditionalFormatting sqref="G208">
    <cfRule type="expression" dxfId="859" priority="49">
      <formula>$D208&lt;&gt;0</formula>
    </cfRule>
    <cfRule type="expression" dxfId="858" priority="50">
      <formula>$O208=1</formula>
    </cfRule>
  </conditionalFormatting>
  <conditionalFormatting sqref="E214 H214">
    <cfRule type="expression" dxfId="857" priority="43">
      <formula>$D214&lt;&gt;0</formula>
    </cfRule>
    <cfRule type="expression" dxfId="856" priority="44">
      <formula>$O214=1</formula>
    </cfRule>
  </conditionalFormatting>
  <conditionalFormatting sqref="G214">
    <cfRule type="expression" dxfId="855" priority="45">
      <formula>$D214&lt;&gt;0</formula>
    </cfRule>
    <cfRule type="expression" dxfId="854" priority="46">
      <formula>$O214=1</formula>
    </cfRule>
  </conditionalFormatting>
  <conditionalFormatting sqref="E259 H259">
    <cfRule type="expression" dxfId="853" priority="39">
      <formula>$D259&lt;&gt;0</formula>
    </cfRule>
    <cfRule type="expression" dxfId="852" priority="40">
      <formula>$O259=1</formula>
    </cfRule>
  </conditionalFormatting>
  <conditionalFormatting sqref="G259">
    <cfRule type="expression" dxfId="851" priority="41">
      <formula>$D259&lt;&gt;0</formula>
    </cfRule>
    <cfRule type="expression" dxfId="850" priority="42">
      <formula>$O259=1</formula>
    </cfRule>
  </conditionalFormatting>
  <conditionalFormatting sqref="E268 H268">
    <cfRule type="expression" dxfId="849" priority="35">
      <formula>$D268&lt;&gt;0</formula>
    </cfRule>
    <cfRule type="expression" dxfId="848" priority="36">
      <formula>$O268=1</formula>
    </cfRule>
  </conditionalFormatting>
  <conditionalFormatting sqref="G268">
    <cfRule type="expression" dxfId="847" priority="37">
      <formula>$D268&lt;&gt;0</formula>
    </cfRule>
    <cfRule type="expression" dxfId="846" priority="38">
      <formula>$O268=1</formula>
    </cfRule>
  </conditionalFormatting>
  <conditionalFormatting sqref="E278 H278">
    <cfRule type="expression" dxfId="845" priority="31">
      <formula>$D278&lt;&gt;0</formula>
    </cfRule>
    <cfRule type="expression" dxfId="844" priority="32">
      <formula>$O278=1</formula>
    </cfRule>
  </conditionalFormatting>
  <conditionalFormatting sqref="G278">
    <cfRule type="expression" dxfId="843" priority="33">
      <formula>$D278&lt;&gt;0</formula>
    </cfRule>
    <cfRule type="expression" dxfId="842" priority="34">
      <formula>$O278=1</formula>
    </cfRule>
  </conditionalFormatting>
  <conditionalFormatting sqref="E57:I57">
    <cfRule type="expression" dxfId="841" priority="29">
      <formula>$D57&lt;&gt;0</formula>
    </cfRule>
    <cfRule type="expression" dxfId="840" priority="30">
      <formula>$O57=1</formula>
    </cfRule>
  </conditionalFormatting>
  <conditionalFormatting sqref="E62:I62">
    <cfRule type="expression" dxfId="839" priority="27">
      <formula>$D62&lt;&gt;0</formula>
    </cfRule>
    <cfRule type="expression" dxfId="838" priority="28">
      <formula>$O62=1</formula>
    </cfRule>
  </conditionalFormatting>
  <conditionalFormatting sqref="E67:I67">
    <cfRule type="expression" dxfId="837" priority="25">
      <formula>$D67&lt;&gt;0</formula>
    </cfRule>
    <cfRule type="expression" dxfId="836" priority="26">
      <formula>$O67=1</formula>
    </cfRule>
  </conditionalFormatting>
  <conditionalFormatting sqref="E70:I70">
    <cfRule type="expression" dxfId="835" priority="23">
      <formula>$D70&lt;&gt;0</formula>
    </cfRule>
    <cfRule type="expression" dxfId="834" priority="24">
      <formula>$O70=1</formula>
    </cfRule>
  </conditionalFormatting>
  <conditionalFormatting sqref="E72:I72">
    <cfRule type="expression" dxfId="833" priority="21">
      <formula>$D72&lt;&gt;0</formula>
    </cfRule>
    <cfRule type="expression" dxfId="832" priority="22">
      <formula>$O72=1</formula>
    </cfRule>
  </conditionalFormatting>
  <conditionalFormatting sqref="E75:I75">
    <cfRule type="expression" dxfId="831" priority="19">
      <formula>$D75&lt;&gt;0</formula>
    </cfRule>
    <cfRule type="expression" dxfId="830" priority="20">
      <formula>$O75=1</formula>
    </cfRule>
  </conditionalFormatting>
  <conditionalFormatting sqref="E78:I78">
    <cfRule type="expression" dxfId="829" priority="17">
      <formula>$D78&lt;&gt;0</formula>
    </cfRule>
    <cfRule type="expression" dxfId="828" priority="18">
      <formula>$O78=1</formula>
    </cfRule>
  </conditionalFormatting>
  <conditionalFormatting sqref="E83:I83">
    <cfRule type="expression" dxfId="827" priority="15">
      <formula>$D83&lt;&gt;0</formula>
    </cfRule>
    <cfRule type="expression" dxfId="826" priority="16">
      <formula>$O83=1</formula>
    </cfRule>
  </conditionalFormatting>
  <conditionalFormatting sqref="E87:I87">
    <cfRule type="expression" dxfId="825" priority="13">
      <formula>$D87&lt;&gt;0</formula>
    </cfRule>
    <cfRule type="expression" dxfId="824" priority="14">
      <formula>$O87=1</formula>
    </cfRule>
  </conditionalFormatting>
  <conditionalFormatting sqref="E90:I90">
    <cfRule type="expression" dxfId="823" priority="11">
      <formula>$D90&lt;&gt;0</formula>
    </cfRule>
    <cfRule type="expression" dxfId="822" priority="12">
      <formula>$O90=1</formula>
    </cfRule>
  </conditionalFormatting>
  <conditionalFormatting sqref="E110:I110">
    <cfRule type="expression" dxfId="821" priority="9">
      <formula>$D110&lt;&gt;0</formula>
    </cfRule>
    <cfRule type="expression" dxfId="820" priority="10">
      <formula>$O110=1</formula>
    </cfRule>
  </conditionalFormatting>
  <conditionalFormatting sqref="E116:I116">
    <cfRule type="expression" dxfId="819" priority="7">
      <formula>$D116&lt;&gt;0</formula>
    </cfRule>
    <cfRule type="expression" dxfId="818" priority="8">
      <formula>$O116=1</formula>
    </cfRule>
  </conditionalFormatting>
  <conditionalFormatting sqref="E130:I130">
    <cfRule type="expression" dxfId="817" priority="5">
      <formula>$D130&lt;&gt;0</formula>
    </cfRule>
    <cfRule type="expression" dxfId="816" priority="6">
      <formula>$O130=1</formula>
    </cfRule>
  </conditionalFormatting>
  <conditionalFormatting sqref="E152:I152">
    <cfRule type="expression" dxfId="815" priority="3">
      <formula>$D152&lt;&gt;0</formula>
    </cfRule>
    <cfRule type="expression" dxfId="814" priority="4">
      <formula>$O152=1</formula>
    </cfRule>
  </conditionalFormatting>
  <conditionalFormatting sqref="E181:I181">
    <cfRule type="expression" dxfId="813" priority="1">
      <formula>$D181&lt;&gt;0</formula>
    </cfRule>
    <cfRule type="expression" dxfId="812" priority="2">
      <formula>$O181=1</formula>
    </cfRule>
  </conditionalFormatting>
  <printOptions horizontalCentered="1"/>
  <pageMargins left="0.31496062992125984" right="0.31496062992125984" top="0.39370078740157483" bottom="1.1417322834645669" header="0.31496062992125984" footer="0.31496062992125984"/>
  <pageSetup paperSize="9" scale="49" fitToHeight="0" orientation="landscape" r:id="rId1"/>
  <headerFooter>
    <oddFooter xml:space="preserve">&amp;LResp.  
CREA:  
ART:
&amp;CResp. Técnico Fiscalização: Nei Frederico
CREA: 101562139-2
ART: 
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CI293"/>
  <sheetViews>
    <sheetView showGridLines="0" zoomScale="70" zoomScaleNormal="70" zoomScaleSheetLayoutView="80" workbookViewId="0">
      <pane ySplit="13" topLeftCell="A119" activePane="bottomLeft" state="frozen"/>
      <selection pane="bottomLeft" activeCell="G158" sqref="G158"/>
    </sheetView>
  </sheetViews>
  <sheetFormatPr defaultColWidth="9.33203125" defaultRowHeight="12.75" x14ac:dyDescent="0.2"/>
  <cols>
    <col min="1" max="1" width="12.5" style="66" customWidth="1"/>
    <col min="2" max="2" width="11.33203125" style="66" customWidth="1"/>
    <col min="3" max="3" width="11.5" style="71" customWidth="1"/>
    <col min="4" max="4" width="84.83203125" style="66" customWidth="1"/>
    <col min="5" max="5" width="11.5" style="66" customWidth="1"/>
    <col min="6" max="6" width="14" style="66" hidden="1" customWidth="1"/>
    <col min="7" max="7" width="21.5" style="75" customWidth="1"/>
    <col min="8" max="8" width="19.6640625" style="66" bestFit="1" customWidth="1"/>
    <col min="9" max="9" width="23.5" style="189" customWidth="1"/>
    <col min="10" max="10" width="17.33203125" style="189" customWidth="1"/>
    <col min="11" max="11" width="12.83203125" style="66" customWidth="1"/>
    <col min="12" max="12" width="21.1640625" style="78" customWidth="1"/>
    <col min="13" max="13" width="18.6640625" style="78" customWidth="1"/>
    <col min="14" max="14" width="23.1640625" style="78" bestFit="1" customWidth="1"/>
    <col min="15" max="15" width="20.33203125" style="75" customWidth="1"/>
    <col min="16" max="16" width="12.5" style="66" customWidth="1"/>
    <col min="17" max="17" width="15.83203125" style="66" bestFit="1" customWidth="1"/>
    <col min="18" max="18" width="0" style="66" hidden="1" customWidth="1"/>
    <col min="19" max="19" width="13.83203125" style="189" hidden="1" customWidth="1"/>
    <col min="20" max="20" width="11.1640625" style="189" hidden="1" customWidth="1"/>
    <col min="21" max="25" width="0" style="66" hidden="1" customWidth="1"/>
    <col min="26" max="26" width="12.33203125" style="66" hidden="1" customWidth="1"/>
    <col min="27" max="27" width="0" style="66" hidden="1" customWidth="1"/>
    <col min="28" max="28" width="13.5" style="66" hidden="1" customWidth="1"/>
    <col min="29" max="30" width="0" style="66" hidden="1" customWidth="1"/>
    <col min="31" max="31" width="15.6640625" style="66" hidden="1" customWidth="1"/>
    <col min="32" max="33" width="11.5" style="66" hidden="1" customWidth="1"/>
    <col min="34" max="71" width="0" style="66" hidden="1" customWidth="1"/>
    <col min="72" max="86" width="9.33203125" style="66"/>
    <col min="87" max="87" width="11.1640625" style="66" bestFit="1" customWidth="1"/>
    <col min="88" max="16384" width="9.33203125" style="66"/>
  </cols>
  <sheetData>
    <row r="1" spans="1:87" s="51" customFormat="1" ht="12" customHeight="1" x14ac:dyDescent="0.2">
      <c r="A1" s="876"/>
      <c r="B1" s="877"/>
      <c r="C1" s="877"/>
      <c r="D1" s="877"/>
      <c r="E1" s="886" t="s">
        <v>2024</v>
      </c>
      <c r="F1" s="886"/>
      <c r="G1" s="886"/>
      <c r="H1" s="886"/>
      <c r="I1" s="886"/>
      <c r="J1" s="886"/>
      <c r="K1" s="886"/>
      <c r="L1" s="886"/>
      <c r="M1" s="886"/>
      <c r="N1" s="886"/>
      <c r="O1" s="886"/>
      <c r="P1" s="887"/>
      <c r="S1" s="188"/>
      <c r="T1" s="188"/>
    </row>
    <row r="2" spans="1:87" s="51" customFormat="1" ht="12" customHeight="1" x14ac:dyDescent="0.2">
      <c r="A2" s="878"/>
      <c r="B2" s="879"/>
      <c r="C2" s="879"/>
      <c r="D2" s="879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9"/>
      <c r="S2" s="188"/>
      <c r="T2" s="188"/>
    </row>
    <row r="3" spans="1:87" s="51" customFormat="1" ht="12" customHeight="1" x14ac:dyDescent="0.2">
      <c r="A3" s="878"/>
      <c r="B3" s="879"/>
      <c r="C3" s="879"/>
      <c r="D3" s="879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9"/>
      <c r="S3" s="188"/>
      <c r="T3" s="188"/>
    </row>
    <row r="4" spans="1:87" s="51" customFormat="1" ht="12" customHeight="1" x14ac:dyDescent="0.2">
      <c r="A4" s="878"/>
      <c r="B4" s="879"/>
      <c r="C4" s="879"/>
      <c r="D4" s="879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9"/>
      <c r="S4" s="188"/>
      <c r="T4" s="188"/>
    </row>
    <row r="5" spans="1:87" s="51" customFormat="1" ht="31.5" customHeight="1" thickBot="1" x14ac:dyDescent="0.25">
      <c r="A5" s="880"/>
      <c r="B5" s="881"/>
      <c r="C5" s="881"/>
      <c r="D5" s="881"/>
      <c r="E5" s="890"/>
      <c r="F5" s="890"/>
      <c r="G5" s="890"/>
      <c r="H5" s="890"/>
      <c r="I5" s="890"/>
      <c r="J5" s="890"/>
      <c r="K5" s="890"/>
      <c r="L5" s="890"/>
      <c r="M5" s="890"/>
      <c r="N5" s="890"/>
      <c r="O5" s="890"/>
      <c r="P5" s="891"/>
      <c r="S5" s="188"/>
      <c r="T5" s="188"/>
    </row>
    <row r="6" spans="1:87" s="51" customFormat="1" ht="12.75" customHeight="1" x14ac:dyDescent="0.2">
      <c r="A6" s="394"/>
      <c r="B6" s="394"/>
      <c r="C6" s="394"/>
      <c r="D6" s="394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S6" s="188">
        <v>30999.574999999997</v>
      </c>
      <c r="T6" s="188" t="s">
        <v>1288</v>
      </c>
      <c r="Z6" s="64">
        <v>30999.574999999997</v>
      </c>
      <c r="AB6" s="64">
        <v>44898.842499999999</v>
      </c>
      <c r="AE6" s="371">
        <v>38575.583824999994</v>
      </c>
      <c r="AF6" s="372">
        <f>AE6-I7</f>
        <v>38575.583824999994</v>
      </c>
    </row>
    <row r="7" spans="1:87" s="51" customFormat="1" x14ac:dyDescent="0.2">
      <c r="A7" s="874" t="s">
        <v>1320</v>
      </c>
      <c r="B7" s="874"/>
      <c r="C7" s="874"/>
      <c r="D7" s="874"/>
      <c r="E7" s="894" t="s">
        <v>2019</v>
      </c>
      <c r="F7" s="894"/>
      <c r="G7" s="894"/>
      <c r="H7" s="506" t="s">
        <v>1323</v>
      </c>
      <c r="I7" s="485"/>
      <c r="L7" s="484"/>
      <c r="M7" s="483" t="s">
        <v>2021</v>
      </c>
      <c r="N7" s="504">
        <v>43658</v>
      </c>
      <c r="O7" s="491"/>
      <c r="P7" s="491"/>
      <c r="S7" s="188">
        <v>203365.995</v>
      </c>
      <c r="T7" s="188" t="s">
        <v>1309</v>
      </c>
      <c r="AB7" s="64">
        <v>152813.08250000002</v>
      </c>
    </row>
    <row r="8" spans="1:87" s="51" customFormat="1" x14ac:dyDescent="0.2">
      <c r="A8" s="875" t="s">
        <v>2014</v>
      </c>
      <c r="B8" s="875"/>
      <c r="C8" s="875"/>
      <c r="D8" s="875"/>
      <c r="E8" s="893" t="s">
        <v>2020</v>
      </c>
      <c r="F8" s="893"/>
      <c r="G8" s="893"/>
      <c r="H8" s="488">
        <f>664297.16</f>
        <v>664297.16</v>
      </c>
      <c r="I8" s="485"/>
      <c r="J8" s="195"/>
      <c r="K8" s="486"/>
      <c r="L8" s="484"/>
      <c r="M8" s="503" t="s">
        <v>3</v>
      </c>
      <c r="N8" s="505">
        <v>0.27139999999999997</v>
      </c>
      <c r="O8" s="491"/>
      <c r="P8" s="491"/>
      <c r="S8" s="188">
        <v>485968.91500000004</v>
      </c>
      <c r="T8" s="188" t="s">
        <v>1294</v>
      </c>
      <c r="AB8" s="64">
        <v>511484.07750000001</v>
      </c>
      <c r="AE8" s="107" t="e">
        <f>H8/I9</f>
        <v>#DIV/0!</v>
      </c>
    </row>
    <row r="9" spans="1:87" s="51" customFormat="1" ht="27.75" customHeight="1" x14ac:dyDescent="0.2">
      <c r="A9" s="874" t="s">
        <v>2017</v>
      </c>
      <c r="B9" s="874"/>
      <c r="C9" s="874"/>
      <c r="D9" s="874"/>
      <c r="E9" s="194"/>
      <c r="F9" s="482"/>
      <c r="G9" s="489"/>
      <c r="H9" s="484"/>
      <c r="I9" s="485"/>
      <c r="J9" s="195"/>
      <c r="K9" s="497"/>
      <c r="L9" s="490"/>
      <c r="M9" s="497" t="s">
        <v>2016</v>
      </c>
      <c r="N9" s="875"/>
      <c r="O9" s="875"/>
      <c r="P9" s="487"/>
      <c r="S9" s="188"/>
      <c r="T9" s="188"/>
      <c r="AB9" s="485"/>
      <c r="AE9" s="493"/>
    </row>
    <row r="10" spans="1:87" s="51" customFormat="1" ht="24" customHeight="1" thickBot="1" x14ac:dyDescent="0.25">
      <c r="A10" s="481"/>
      <c r="B10" s="481"/>
      <c r="C10" s="481"/>
      <c r="D10" s="481"/>
      <c r="E10" s="487"/>
      <c r="F10" s="482"/>
      <c r="G10" s="483"/>
      <c r="H10" s="511"/>
      <c r="I10" s="485"/>
      <c r="J10" s="195"/>
      <c r="K10" s="492"/>
      <c r="L10" s="490"/>
      <c r="M10" s="492"/>
      <c r="N10" s="492"/>
      <c r="O10" s="492"/>
      <c r="P10" s="492"/>
      <c r="S10" s="188"/>
      <c r="T10" s="188"/>
    </row>
    <row r="11" spans="1:87" ht="23.25" customHeight="1" thickBot="1" x14ac:dyDescent="0.25">
      <c r="A11" s="882" t="s">
        <v>1325</v>
      </c>
      <c r="B11" s="884" t="s">
        <v>1326</v>
      </c>
      <c r="C11" s="882" t="s">
        <v>1327</v>
      </c>
      <c r="D11" s="882" t="s">
        <v>5</v>
      </c>
      <c r="E11" s="882" t="s">
        <v>6</v>
      </c>
      <c r="F11" s="903" t="s">
        <v>1316</v>
      </c>
      <c r="G11" s="895" t="s">
        <v>1317</v>
      </c>
      <c r="H11" s="897" t="s">
        <v>2008</v>
      </c>
      <c r="I11" s="898"/>
      <c r="J11" s="898"/>
      <c r="K11" s="899"/>
      <c r="L11" s="900" t="s">
        <v>2009</v>
      </c>
      <c r="M11" s="901"/>
      <c r="N11" s="901"/>
      <c r="O11" s="902"/>
      <c r="P11" s="498"/>
      <c r="S11" s="189" t="s">
        <v>1282</v>
      </c>
      <c r="T11" s="189" t="s">
        <v>1283</v>
      </c>
    </row>
    <row r="12" spans="1:87" ht="24.75" customHeight="1" thickBot="1" x14ac:dyDescent="0.25">
      <c r="A12" s="883"/>
      <c r="B12" s="885"/>
      <c r="C12" s="883"/>
      <c r="D12" s="883"/>
      <c r="E12" s="883"/>
      <c r="F12" s="904"/>
      <c r="G12" s="896"/>
      <c r="H12" s="499" t="s">
        <v>2018</v>
      </c>
      <c r="I12" s="494" t="s">
        <v>2013</v>
      </c>
      <c r="J12" s="494" t="s">
        <v>1819</v>
      </c>
      <c r="K12" s="495" t="s">
        <v>1295</v>
      </c>
      <c r="L12" s="502" t="s">
        <v>2018</v>
      </c>
      <c r="M12" s="500" t="s">
        <v>2013</v>
      </c>
      <c r="N12" s="500" t="s">
        <v>1819</v>
      </c>
      <c r="O12" s="501" t="s">
        <v>1295</v>
      </c>
      <c r="P12" s="495" t="s">
        <v>1296</v>
      </c>
    </row>
    <row r="13" spans="1:87" s="481" customFormat="1" ht="34.5" customHeight="1" x14ac:dyDescent="0.2">
      <c r="A13" s="475"/>
      <c r="B13" s="476"/>
      <c r="C13" s="477"/>
      <c r="D13" s="478" t="s">
        <v>2010</v>
      </c>
      <c r="E13" s="409"/>
      <c r="F13" s="479"/>
      <c r="G13" s="411"/>
      <c r="H13" s="410"/>
      <c r="I13" s="480"/>
      <c r="J13" s="480"/>
      <c r="K13" s="480"/>
      <c r="L13" s="480">
        <f>L14+L26+L32+L45+L69+L77+L92+L95+L98+L109+L120+L129+L168+L190+L194+L208+L214+L259+L268+L278</f>
        <v>664297.17000000004</v>
      </c>
      <c r="M13" s="480">
        <f>M14+M26+M32+M45+M69+M77+M92+M95+M98+M109+M120+M129+M168+M190+M194+M208+M214+M259+M268+M278</f>
        <v>26601.059999999998</v>
      </c>
      <c r="N13" s="480">
        <f>N14+N26+N32+N45+N69+N77+N92+N95+N98+N109+N120+N129+N168+N190+N194+N208+N214+N259+N268+N278</f>
        <v>26601.059999999998</v>
      </c>
      <c r="O13" s="480">
        <f>O14+O26+O32+O45+O69+O77+O92+O95+O98+O109+O120+O129+O168+O190+O194+O208+O214+O259+O268+O278</f>
        <v>637696.10000000009</v>
      </c>
      <c r="P13" s="510">
        <f>N13/O13</f>
        <v>4.1714321288776883E-2</v>
      </c>
      <c r="Q13" s="525">
        <f>L13-M13</f>
        <v>637696.1100000001</v>
      </c>
      <c r="S13" s="190">
        <v>0</v>
      </c>
      <c r="T13" s="190">
        <v>2411.4</v>
      </c>
      <c r="BU13" s="481">
        <v>1</v>
      </c>
      <c r="BV13" s="481">
        <v>2</v>
      </c>
      <c r="BW13" s="481">
        <v>3</v>
      </c>
      <c r="BX13" s="522"/>
      <c r="BY13" s="481">
        <v>5</v>
      </c>
      <c r="BZ13" s="481">
        <v>6</v>
      </c>
      <c r="CA13" s="481">
        <v>7</v>
      </c>
      <c r="CB13" s="481">
        <v>8</v>
      </c>
      <c r="CC13" s="481">
        <v>9</v>
      </c>
      <c r="CD13" s="481">
        <v>10</v>
      </c>
      <c r="CE13" s="481">
        <v>11</v>
      </c>
      <c r="CF13" s="481">
        <v>12</v>
      </c>
      <c r="CG13" s="481">
        <v>13</v>
      </c>
      <c r="CH13" s="481">
        <v>14</v>
      </c>
      <c r="CI13" s="481" t="s">
        <v>2023</v>
      </c>
    </row>
    <row r="14" spans="1:87" x14ac:dyDescent="0.2">
      <c r="A14" s="412">
        <v>1</v>
      </c>
      <c r="B14" s="413"/>
      <c r="C14" s="413"/>
      <c r="D14" s="414" t="s">
        <v>9</v>
      </c>
      <c r="E14" s="415"/>
      <c r="F14" s="417"/>
      <c r="G14" s="418"/>
      <c r="H14" s="416"/>
      <c r="I14" s="420">
        <v>0</v>
      </c>
      <c r="J14" s="421"/>
      <c r="K14" s="420"/>
      <c r="L14" s="419">
        <f>SUM(L15:L25)</f>
        <v>32660.889999999992</v>
      </c>
      <c r="M14" s="419">
        <f>SUM(M15:M25)</f>
        <v>16192.08</v>
      </c>
      <c r="N14" s="419">
        <f>SUM(N15:N25)</f>
        <v>16192.08</v>
      </c>
      <c r="O14" s="419">
        <f>SUM(O15:O25)</f>
        <v>16468.809999999998</v>
      </c>
      <c r="P14" s="423">
        <f t="shared" ref="P14:P77" si="0">N14/L14</f>
        <v>0.49576358758135508</v>
      </c>
      <c r="S14" s="189">
        <v>0</v>
      </c>
      <c r="T14" s="189">
        <v>10</v>
      </c>
      <c r="BU14" s="523"/>
      <c r="BV14" s="523"/>
      <c r="BW14" s="523"/>
      <c r="BX14" s="523"/>
      <c r="BY14" s="523"/>
      <c r="BZ14" s="523"/>
      <c r="CA14" s="523"/>
      <c r="CB14" s="523"/>
      <c r="CC14" s="523"/>
      <c r="CD14" s="523"/>
      <c r="CE14" s="523"/>
      <c r="CF14" s="523"/>
      <c r="CG14" s="523"/>
      <c r="CH14" s="523"/>
      <c r="CI14" s="523">
        <f>SUM(BU14:CH14)</f>
        <v>0</v>
      </c>
    </row>
    <row r="15" spans="1:87" x14ac:dyDescent="0.2">
      <c r="A15" s="125" t="s">
        <v>10</v>
      </c>
      <c r="B15" s="126" t="s">
        <v>1328</v>
      </c>
      <c r="C15" s="126" t="s">
        <v>1324</v>
      </c>
      <c r="D15" s="127" t="s">
        <v>1329</v>
      </c>
      <c r="E15" s="128" t="s">
        <v>14</v>
      </c>
      <c r="F15" s="129"/>
      <c r="G15" s="130">
        <v>232.25</v>
      </c>
      <c r="H15" s="128">
        <v>10</v>
      </c>
      <c r="I15" s="132">
        <f>BU15</f>
        <v>10</v>
      </c>
      <c r="J15" s="374">
        <f>CI15</f>
        <v>10</v>
      </c>
      <c r="K15" s="132">
        <f>H15-J15</f>
        <v>0</v>
      </c>
      <c r="L15" s="131">
        <f>ROUND(H15*$G15,2)</f>
        <v>2322.5</v>
      </c>
      <c r="M15" s="131">
        <f>ROUND(I15*$G15,2)</f>
        <v>2322.5</v>
      </c>
      <c r="N15" s="131">
        <f>ROUND(J15*$G15,2)</f>
        <v>2322.5</v>
      </c>
      <c r="O15" s="131">
        <f>ROUND(K15*$G15,2)</f>
        <v>0</v>
      </c>
      <c r="P15" s="136">
        <f t="shared" si="0"/>
        <v>1</v>
      </c>
      <c r="S15" s="189">
        <v>0</v>
      </c>
      <c r="T15" s="189">
        <v>312.39999999999998</v>
      </c>
      <c r="BU15" s="523">
        <v>10</v>
      </c>
      <c r="BV15" s="523"/>
      <c r="BW15" s="523"/>
      <c r="BX15" s="523"/>
      <c r="BY15" s="523"/>
      <c r="BZ15" s="523"/>
      <c r="CA15" s="523"/>
      <c r="CB15" s="523"/>
      <c r="CC15" s="523"/>
      <c r="CD15" s="523"/>
      <c r="CE15" s="523"/>
      <c r="CF15" s="523"/>
      <c r="CG15" s="523"/>
      <c r="CH15" s="523"/>
      <c r="CI15" s="523">
        <f t="shared" ref="CI15:CI78" si="1">SUM(BU15:CH15)</f>
        <v>10</v>
      </c>
    </row>
    <row r="16" spans="1:87" ht="25.5" customHeight="1" x14ac:dyDescent="0.2">
      <c r="A16" s="125" t="s">
        <v>1330</v>
      </c>
      <c r="B16" s="126" t="s">
        <v>1331</v>
      </c>
      <c r="C16" s="126" t="s">
        <v>1324</v>
      </c>
      <c r="D16" s="127" t="s">
        <v>1332</v>
      </c>
      <c r="E16" s="128" t="s">
        <v>14</v>
      </c>
      <c r="F16" s="137">
        <v>595.62</v>
      </c>
      <c r="G16" s="130">
        <v>39.78</v>
      </c>
      <c r="H16" s="128">
        <v>312.39999999999998</v>
      </c>
      <c r="I16" s="132">
        <f t="shared" ref="I16:I79" si="2">BU16</f>
        <v>108.9</v>
      </c>
      <c r="J16" s="374">
        <f t="shared" ref="J16:J79" si="3">CI16</f>
        <v>108.9</v>
      </c>
      <c r="K16" s="132">
        <f t="shared" ref="K16:K31" si="4">H16-J16</f>
        <v>203.49999999999997</v>
      </c>
      <c r="L16" s="131">
        <f t="shared" ref="L16:L25" si="5">ROUND(H16*$G16,2)</f>
        <v>12427.27</v>
      </c>
      <c r="M16" s="131">
        <f t="shared" ref="M16:M25" si="6">ROUND(I16*$G16,2)</f>
        <v>4332.04</v>
      </c>
      <c r="N16" s="131">
        <f t="shared" ref="N16:N25" si="7">ROUND(J16*$G16,2)</f>
        <v>4332.04</v>
      </c>
      <c r="O16" s="131">
        <f t="shared" ref="O16:O25" si="8">ROUND(K16*$G16,2)</f>
        <v>8095.23</v>
      </c>
      <c r="P16" s="136">
        <f t="shared" si="0"/>
        <v>0.34859144446044865</v>
      </c>
      <c r="S16" s="189">
        <v>0</v>
      </c>
      <c r="T16" s="189">
        <v>1</v>
      </c>
      <c r="BU16" s="523">
        <v>108.9</v>
      </c>
      <c r="BV16" s="523"/>
      <c r="BW16" s="523"/>
      <c r="BX16" s="523"/>
      <c r="BY16" s="523"/>
      <c r="BZ16" s="523"/>
      <c r="CA16" s="523"/>
      <c r="CB16" s="523"/>
      <c r="CC16" s="523"/>
      <c r="CD16" s="523"/>
      <c r="CE16" s="523"/>
      <c r="CF16" s="523"/>
      <c r="CG16" s="523"/>
      <c r="CH16" s="523"/>
      <c r="CI16" s="523">
        <f t="shared" si="1"/>
        <v>108.9</v>
      </c>
    </row>
    <row r="17" spans="1:87" ht="25.5" x14ac:dyDescent="0.2">
      <c r="A17" s="125" t="s">
        <v>1333</v>
      </c>
      <c r="B17" s="126">
        <v>9540</v>
      </c>
      <c r="C17" s="126" t="s">
        <v>1324</v>
      </c>
      <c r="D17" s="127" t="s">
        <v>1334</v>
      </c>
      <c r="E17" s="128" t="s">
        <v>102</v>
      </c>
      <c r="F17" s="137">
        <v>256.73</v>
      </c>
      <c r="G17" s="130">
        <v>783.05</v>
      </c>
      <c r="H17" s="128">
        <v>1</v>
      </c>
      <c r="I17" s="132">
        <f t="shared" si="2"/>
        <v>0</v>
      </c>
      <c r="J17" s="374">
        <f t="shared" si="3"/>
        <v>0</v>
      </c>
      <c r="K17" s="132">
        <f t="shared" si="4"/>
        <v>1</v>
      </c>
      <c r="L17" s="131">
        <f t="shared" si="5"/>
        <v>783.05</v>
      </c>
      <c r="M17" s="131">
        <f t="shared" si="6"/>
        <v>0</v>
      </c>
      <c r="N17" s="131">
        <f t="shared" si="7"/>
        <v>0</v>
      </c>
      <c r="O17" s="131">
        <f t="shared" si="8"/>
        <v>783.05</v>
      </c>
      <c r="P17" s="136">
        <f t="shared" si="0"/>
        <v>0</v>
      </c>
      <c r="S17" s="189">
        <v>0</v>
      </c>
      <c r="T17" s="189">
        <v>1</v>
      </c>
      <c r="BU17" s="523">
        <v>0</v>
      </c>
      <c r="BV17" s="523"/>
      <c r="BW17" s="523"/>
      <c r="BX17" s="523"/>
      <c r="BY17" s="523"/>
      <c r="BZ17" s="523"/>
      <c r="CA17" s="523"/>
      <c r="CB17" s="523"/>
      <c r="CC17" s="523"/>
      <c r="CD17" s="523"/>
      <c r="CE17" s="523"/>
      <c r="CF17" s="523"/>
      <c r="CG17" s="523"/>
      <c r="CH17" s="523"/>
      <c r="CI17" s="523">
        <f t="shared" si="1"/>
        <v>0</v>
      </c>
    </row>
    <row r="18" spans="1:87" x14ac:dyDescent="0.2">
      <c r="A18" s="125" t="s">
        <v>1335</v>
      </c>
      <c r="B18" s="126" t="s">
        <v>1336</v>
      </c>
      <c r="C18" s="126" t="s">
        <v>1324</v>
      </c>
      <c r="D18" s="127" t="s">
        <v>1337</v>
      </c>
      <c r="E18" s="128" t="s">
        <v>102</v>
      </c>
      <c r="F18" s="137">
        <v>49.62</v>
      </c>
      <c r="G18" s="130">
        <v>1344.39</v>
      </c>
      <c r="H18" s="128">
        <v>1</v>
      </c>
      <c r="I18" s="132">
        <f t="shared" si="2"/>
        <v>0</v>
      </c>
      <c r="J18" s="374">
        <f t="shared" si="3"/>
        <v>0</v>
      </c>
      <c r="K18" s="132">
        <f t="shared" si="4"/>
        <v>1</v>
      </c>
      <c r="L18" s="131">
        <f t="shared" si="5"/>
        <v>1344.39</v>
      </c>
      <c r="M18" s="131">
        <f t="shared" si="6"/>
        <v>0</v>
      </c>
      <c r="N18" s="131">
        <f t="shared" si="7"/>
        <v>0</v>
      </c>
      <c r="O18" s="131">
        <f t="shared" si="8"/>
        <v>1344.39</v>
      </c>
      <c r="P18" s="136">
        <f t="shared" si="0"/>
        <v>0</v>
      </c>
      <c r="S18" s="189">
        <v>0</v>
      </c>
      <c r="T18" s="189">
        <v>1</v>
      </c>
      <c r="BU18" s="523">
        <v>0</v>
      </c>
      <c r="BV18" s="523"/>
      <c r="BW18" s="523"/>
      <c r="BX18" s="523"/>
      <c r="BY18" s="523"/>
      <c r="BZ18" s="523"/>
      <c r="CA18" s="523"/>
      <c r="CB18" s="523"/>
      <c r="CC18" s="523"/>
      <c r="CD18" s="523"/>
      <c r="CE18" s="523"/>
      <c r="CF18" s="523"/>
      <c r="CG18" s="523"/>
      <c r="CH18" s="523"/>
      <c r="CI18" s="523">
        <f t="shared" si="1"/>
        <v>0</v>
      </c>
    </row>
    <row r="19" spans="1:87" x14ac:dyDescent="0.2">
      <c r="A19" s="125" t="s">
        <v>1338</v>
      </c>
      <c r="B19" s="126" t="s">
        <v>2007</v>
      </c>
      <c r="C19" s="126" t="s">
        <v>1339</v>
      </c>
      <c r="D19" s="127" t="s">
        <v>1340</v>
      </c>
      <c r="E19" s="128" t="s">
        <v>102</v>
      </c>
      <c r="F19" s="137">
        <v>5.2</v>
      </c>
      <c r="G19" s="130">
        <v>823.61</v>
      </c>
      <c r="H19" s="128">
        <v>1</v>
      </c>
      <c r="I19" s="132">
        <f t="shared" si="2"/>
        <v>0</v>
      </c>
      <c r="J19" s="374">
        <f t="shared" si="3"/>
        <v>0</v>
      </c>
      <c r="K19" s="132">
        <f t="shared" si="4"/>
        <v>1</v>
      </c>
      <c r="L19" s="131">
        <f t="shared" si="5"/>
        <v>823.61</v>
      </c>
      <c r="M19" s="131">
        <f t="shared" si="6"/>
        <v>0</v>
      </c>
      <c r="N19" s="131">
        <f t="shared" si="7"/>
        <v>0</v>
      </c>
      <c r="O19" s="131">
        <f t="shared" si="8"/>
        <v>823.61</v>
      </c>
      <c r="P19" s="136">
        <f t="shared" si="0"/>
        <v>0</v>
      </c>
      <c r="S19" s="189">
        <v>0</v>
      </c>
      <c r="T19" s="189">
        <v>1</v>
      </c>
      <c r="BU19" s="523">
        <v>0</v>
      </c>
      <c r="BV19" s="523"/>
      <c r="BW19" s="523"/>
      <c r="BX19" s="523"/>
      <c r="BY19" s="523"/>
      <c r="BZ19" s="523"/>
      <c r="CA19" s="523"/>
      <c r="CB19" s="523"/>
      <c r="CC19" s="523"/>
      <c r="CD19" s="523"/>
      <c r="CE19" s="523"/>
      <c r="CF19" s="523"/>
      <c r="CG19" s="523"/>
      <c r="CH19" s="523"/>
      <c r="CI19" s="523">
        <f t="shared" si="1"/>
        <v>0</v>
      </c>
    </row>
    <row r="20" spans="1:87" ht="25.5" customHeight="1" x14ac:dyDescent="0.2">
      <c r="A20" s="125" t="s">
        <v>1341</v>
      </c>
      <c r="B20" s="126" t="s">
        <v>1342</v>
      </c>
      <c r="C20" s="126" t="s">
        <v>1343</v>
      </c>
      <c r="D20" s="127" t="s">
        <v>1344</v>
      </c>
      <c r="E20" s="128" t="s">
        <v>102</v>
      </c>
      <c r="F20" s="138"/>
      <c r="G20" s="130">
        <v>174.71</v>
      </c>
      <c r="H20" s="128">
        <v>1</v>
      </c>
      <c r="I20" s="132">
        <f t="shared" si="2"/>
        <v>0</v>
      </c>
      <c r="J20" s="374">
        <f t="shared" si="3"/>
        <v>0</v>
      </c>
      <c r="K20" s="132">
        <f t="shared" si="4"/>
        <v>1</v>
      </c>
      <c r="L20" s="131">
        <f t="shared" si="5"/>
        <v>174.71</v>
      </c>
      <c r="M20" s="131">
        <f t="shared" si="6"/>
        <v>0</v>
      </c>
      <c r="N20" s="131">
        <f t="shared" si="7"/>
        <v>0</v>
      </c>
      <c r="O20" s="131">
        <f t="shared" si="8"/>
        <v>174.71</v>
      </c>
      <c r="P20" s="136">
        <f t="shared" si="0"/>
        <v>0</v>
      </c>
      <c r="S20" s="189">
        <v>0</v>
      </c>
      <c r="T20" s="189">
        <v>1</v>
      </c>
      <c r="BU20" s="523">
        <v>0</v>
      </c>
      <c r="BV20" s="523"/>
      <c r="BW20" s="523"/>
      <c r="BX20" s="523"/>
      <c r="BY20" s="523"/>
      <c r="BZ20" s="523"/>
      <c r="CA20" s="523"/>
      <c r="CB20" s="523"/>
      <c r="CC20" s="523"/>
      <c r="CD20" s="523"/>
      <c r="CE20" s="523"/>
      <c r="CF20" s="523"/>
      <c r="CG20" s="523"/>
      <c r="CH20" s="523"/>
      <c r="CI20" s="523">
        <f t="shared" si="1"/>
        <v>0</v>
      </c>
    </row>
    <row r="21" spans="1:87" ht="25.5" x14ac:dyDescent="0.2">
      <c r="A21" s="125" t="s">
        <v>1345</v>
      </c>
      <c r="B21" s="126" t="s">
        <v>1346</v>
      </c>
      <c r="C21" s="126" t="s">
        <v>1324</v>
      </c>
      <c r="D21" s="127" t="s">
        <v>1347</v>
      </c>
      <c r="E21" s="128" t="s">
        <v>102</v>
      </c>
      <c r="F21" s="129"/>
      <c r="G21" s="130">
        <v>1343.12</v>
      </c>
      <c r="H21" s="128">
        <v>1</v>
      </c>
      <c r="I21" s="132">
        <f t="shared" si="2"/>
        <v>0</v>
      </c>
      <c r="J21" s="374">
        <f t="shared" si="3"/>
        <v>0</v>
      </c>
      <c r="K21" s="132">
        <f t="shared" si="4"/>
        <v>1</v>
      </c>
      <c r="L21" s="131">
        <f t="shared" si="5"/>
        <v>1343.12</v>
      </c>
      <c r="M21" s="131">
        <f t="shared" si="6"/>
        <v>0</v>
      </c>
      <c r="N21" s="131">
        <f t="shared" si="7"/>
        <v>0</v>
      </c>
      <c r="O21" s="131">
        <f t="shared" si="8"/>
        <v>1343.12</v>
      </c>
      <c r="P21" s="136">
        <f t="shared" si="0"/>
        <v>0</v>
      </c>
      <c r="S21" s="189">
        <v>0</v>
      </c>
      <c r="T21" s="189">
        <v>20</v>
      </c>
      <c r="BU21" s="523">
        <v>0</v>
      </c>
      <c r="BV21" s="523"/>
      <c r="BW21" s="523"/>
      <c r="BX21" s="523"/>
      <c r="BY21" s="523"/>
      <c r="BZ21" s="523"/>
      <c r="CA21" s="523"/>
      <c r="CB21" s="523"/>
      <c r="CC21" s="523"/>
      <c r="CD21" s="523"/>
      <c r="CE21" s="523"/>
      <c r="CF21" s="523"/>
      <c r="CG21" s="523"/>
      <c r="CH21" s="523"/>
      <c r="CI21" s="523">
        <f t="shared" si="1"/>
        <v>0</v>
      </c>
    </row>
    <row r="22" spans="1:87" x14ac:dyDescent="0.2">
      <c r="A22" s="125" t="s">
        <v>1348</v>
      </c>
      <c r="B22" s="126" t="s">
        <v>1349</v>
      </c>
      <c r="C22" s="126" t="s">
        <v>1324</v>
      </c>
      <c r="D22" s="127" t="s">
        <v>1350</v>
      </c>
      <c r="E22" s="128" t="s">
        <v>14</v>
      </c>
      <c r="F22" s="129"/>
      <c r="G22" s="130">
        <v>390.47</v>
      </c>
      <c r="H22" s="128">
        <v>20</v>
      </c>
      <c r="I22" s="132">
        <f t="shared" si="2"/>
        <v>10</v>
      </c>
      <c r="J22" s="374">
        <f t="shared" si="3"/>
        <v>10</v>
      </c>
      <c r="K22" s="132">
        <f t="shared" si="4"/>
        <v>10</v>
      </c>
      <c r="L22" s="131">
        <f t="shared" si="5"/>
        <v>7809.4</v>
      </c>
      <c r="M22" s="131">
        <f t="shared" si="6"/>
        <v>3904.7</v>
      </c>
      <c r="N22" s="131">
        <f t="shared" si="7"/>
        <v>3904.7</v>
      </c>
      <c r="O22" s="131">
        <f t="shared" si="8"/>
        <v>3904.7</v>
      </c>
      <c r="P22" s="136">
        <f t="shared" si="0"/>
        <v>0.5</v>
      </c>
      <c r="S22" s="189">
        <v>0</v>
      </c>
      <c r="T22" s="189">
        <v>785</v>
      </c>
      <c r="BU22" s="523">
        <v>10</v>
      </c>
      <c r="BV22" s="523"/>
      <c r="BW22" s="523"/>
      <c r="BX22" s="523"/>
      <c r="BY22" s="523"/>
      <c r="BZ22" s="523"/>
      <c r="CA22" s="523"/>
      <c r="CB22" s="523"/>
      <c r="CC22" s="523"/>
      <c r="CD22" s="523"/>
      <c r="CE22" s="523"/>
      <c r="CF22" s="523"/>
      <c r="CG22" s="523"/>
      <c r="CH22" s="523"/>
      <c r="CI22" s="523">
        <f t="shared" si="1"/>
        <v>10</v>
      </c>
    </row>
    <row r="23" spans="1:87" x14ac:dyDescent="0.2">
      <c r="A23" s="125" t="s">
        <v>1351</v>
      </c>
      <c r="B23" s="126" t="s">
        <v>1352</v>
      </c>
      <c r="C23" s="126" t="s">
        <v>1324</v>
      </c>
      <c r="D23" s="127" t="s">
        <v>1353</v>
      </c>
      <c r="E23" s="128" t="s">
        <v>14</v>
      </c>
      <c r="F23" s="137">
        <v>302.64</v>
      </c>
      <c r="G23" s="130">
        <v>4.0999999999999996</v>
      </c>
      <c r="H23" s="128">
        <v>785</v>
      </c>
      <c r="I23" s="132">
        <f t="shared" si="2"/>
        <v>785</v>
      </c>
      <c r="J23" s="374">
        <f t="shared" si="3"/>
        <v>785</v>
      </c>
      <c r="K23" s="132">
        <f t="shared" si="4"/>
        <v>0</v>
      </c>
      <c r="L23" s="131">
        <f t="shared" si="5"/>
        <v>3218.5</v>
      </c>
      <c r="M23" s="131">
        <f t="shared" si="6"/>
        <v>3218.5</v>
      </c>
      <c r="N23" s="131">
        <f t="shared" si="7"/>
        <v>3218.5</v>
      </c>
      <c r="O23" s="131">
        <f t="shared" si="8"/>
        <v>0</v>
      </c>
      <c r="P23" s="136">
        <f t="shared" si="0"/>
        <v>1</v>
      </c>
      <c r="S23" s="189">
        <v>0</v>
      </c>
      <c r="T23" s="189">
        <v>49</v>
      </c>
      <c r="BU23" s="523">
        <v>785</v>
      </c>
      <c r="BV23" s="523"/>
      <c r="BW23" s="523"/>
      <c r="BX23" s="523"/>
      <c r="BY23" s="523"/>
      <c r="BZ23" s="523"/>
      <c r="CA23" s="523"/>
      <c r="CB23" s="523"/>
      <c r="CC23" s="523"/>
      <c r="CD23" s="523"/>
      <c r="CE23" s="523"/>
      <c r="CF23" s="523"/>
      <c r="CG23" s="523"/>
      <c r="CH23" s="523"/>
      <c r="CI23" s="523">
        <f t="shared" si="1"/>
        <v>785</v>
      </c>
    </row>
    <row r="24" spans="1:87" x14ac:dyDescent="0.2">
      <c r="A24" s="125" t="s">
        <v>1354</v>
      </c>
      <c r="B24" s="126" t="s">
        <v>1355</v>
      </c>
      <c r="C24" s="126" t="s">
        <v>1343</v>
      </c>
      <c r="D24" s="127" t="s">
        <v>1356</v>
      </c>
      <c r="E24" s="128" t="s">
        <v>81</v>
      </c>
      <c r="F24" s="137">
        <v>135.94</v>
      </c>
      <c r="G24" s="130">
        <v>46.26</v>
      </c>
      <c r="H24" s="128">
        <v>49</v>
      </c>
      <c r="I24" s="132">
        <f t="shared" si="2"/>
        <v>49</v>
      </c>
      <c r="J24" s="374">
        <f t="shared" si="3"/>
        <v>49</v>
      </c>
      <c r="K24" s="132">
        <f t="shared" si="4"/>
        <v>0</v>
      </c>
      <c r="L24" s="131">
        <f t="shared" si="5"/>
        <v>2266.7399999999998</v>
      </c>
      <c r="M24" s="131">
        <f t="shared" si="6"/>
        <v>2266.7399999999998</v>
      </c>
      <c r="N24" s="131">
        <f t="shared" si="7"/>
        <v>2266.7399999999998</v>
      </c>
      <c r="O24" s="131">
        <f t="shared" si="8"/>
        <v>0</v>
      </c>
      <c r="P24" s="136">
        <f t="shared" si="0"/>
        <v>1</v>
      </c>
      <c r="S24" s="189">
        <v>0</v>
      </c>
      <c r="T24" s="189">
        <v>1230</v>
      </c>
      <c r="BU24" s="523">
        <v>49</v>
      </c>
      <c r="BV24" s="523"/>
      <c r="BW24" s="523"/>
      <c r="BX24" s="523"/>
      <c r="BY24" s="523"/>
      <c r="BZ24" s="523"/>
      <c r="CA24" s="523"/>
      <c r="CB24" s="523"/>
      <c r="CC24" s="523"/>
      <c r="CD24" s="523"/>
      <c r="CE24" s="523"/>
      <c r="CF24" s="523"/>
      <c r="CG24" s="523"/>
      <c r="CH24" s="523"/>
      <c r="CI24" s="523">
        <f t="shared" si="1"/>
        <v>49</v>
      </c>
    </row>
    <row r="25" spans="1:87" s="481" customFormat="1" x14ac:dyDescent="0.2">
      <c r="A25" s="125" t="s">
        <v>1357</v>
      </c>
      <c r="B25" s="126">
        <v>72213</v>
      </c>
      <c r="C25" s="126" t="s">
        <v>1324</v>
      </c>
      <c r="D25" s="127" t="s">
        <v>1358</v>
      </c>
      <c r="E25" s="128" t="s">
        <v>14</v>
      </c>
      <c r="F25" s="137">
        <v>5.86</v>
      </c>
      <c r="G25" s="130">
        <v>0.12</v>
      </c>
      <c r="H25" s="128">
        <v>1230</v>
      </c>
      <c r="I25" s="132">
        <f t="shared" si="2"/>
        <v>1230</v>
      </c>
      <c r="J25" s="374">
        <f t="shared" si="3"/>
        <v>1230</v>
      </c>
      <c r="K25" s="132">
        <f t="shared" si="4"/>
        <v>0</v>
      </c>
      <c r="L25" s="131">
        <f t="shared" si="5"/>
        <v>147.6</v>
      </c>
      <c r="M25" s="131">
        <f t="shared" si="6"/>
        <v>147.6</v>
      </c>
      <c r="N25" s="131">
        <f t="shared" si="7"/>
        <v>147.6</v>
      </c>
      <c r="O25" s="131">
        <f t="shared" si="8"/>
        <v>0</v>
      </c>
      <c r="P25" s="136">
        <f t="shared" si="0"/>
        <v>1</v>
      </c>
      <c r="S25" s="190">
        <v>0</v>
      </c>
      <c r="T25" s="190">
        <v>415.90999999999997</v>
      </c>
      <c r="BU25" s="523">
        <v>1230</v>
      </c>
      <c r="BV25" s="523"/>
      <c r="BW25" s="523"/>
      <c r="BX25" s="523"/>
      <c r="BY25" s="523"/>
      <c r="BZ25" s="523"/>
      <c r="CA25" s="523"/>
      <c r="CB25" s="523"/>
      <c r="CC25" s="523"/>
      <c r="CD25" s="523"/>
      <c r="CE25" s="523"/>
      <c r="CF25" s="523"/>
      <c r="CG25" s="523"/>
      <c r="CH25" s="523"/>
      <c r="CI25" s="523">
        <f t="shared" si="1"/>
        <v>1230</v>
      </c>
    </row>
    <row r="26" spans="1:87" ht="25.5" customHeight="1" x14ac:dyDescent="0.2">
      <c r="A26" s="412">
        <v>2</v>
      </c>
      <c r="B26" s="413"/>
      <c r="C26" s="413"/>
      <c r="D26" s="414" t="s">
        <v>1359</v>
      </c>
      <c r="E26" s="415"/>
      <c r="F26" s="417"/>
      <c r="G26" s="418"/>
      <c r="H26" s="418"/>
      <c r="I26" s="418"/>
      <c r="J26" s="418"/>
      <c r="K26" s="420"/>
      <c r="L26" s="424">
        <f>SUM(L27:L31)</f>
        <v>11015.16</v>
      </c>
      <c r="M26" s="424">
        <f>SUM(M27:M31)</f>
        <v>3622.2599999999998</v>
      </c>
      <c r="N26" s="424">
        <f>SUM(N27:N31)</f>
        <v>3622.2599999999998</v>
      </c>
      <c r="O26" s="424">
        <f>SUM(O27:O31)</f>
        <v>7392.8900000000012</v>
      </c>
      <c r="P26" s="423">
        <f t="shared" si="0"/>
        <v>0.32884315797500896</v>
      </c>
      <c r="S26" s="189">
        <v>0</v>
      </c>
      <c r="T26" s="189">
        <v>154.94</v>
      </c>
      <c r="BU26" s="523">
        <v>158.464</v>
      </c>
      <c r="BV26" s="523"/>
      <c r="BW26" s="523"/>
      <c r="BX26" s="523"/>
      <c r="BY26" s="523"/>
      <c r="BZ26" s="523"/>
      <c r="CA26" s="523"/>
      <c r="CB26" s="523"/>
      <c r="CC26" s="523"/>
      <c r="CD26" s="523"/>
      <c r="CE26" s="523"/>
      <c r="CF26" s="523"/>
      <c r="CG26" s="523"/>
      <c r="CH26" s="523"/>
      <c r="CI26" s="523">
        <f t="shared" si="1"/>
        <v>158.464</v>
      </c>
    </row>
    <row r="27" spans="1:87" ht="25.5" x14ac:dyDescent="0.2">
      <c r="A27" s="125" t="s">
        <v>27</v>
      </c>
      <c r="B27" s="126">
        <v>55835</v>
      </c>
      <c r="C27" s="126" t="s">
        <v>1324</v>
      </c>
      <c r="D27" s="127" t="s">
        <v>1360</v>
      </c>
      <c r="E27" s="128" t="s">
        <v>48</v>
      </c>
      <c r="F27" s="129"/>
      <c r="G27" s="130">
        <v>29.27</v>
      </c>
      <c r="H27" s="128">
        <v>154.94</v>
      </c>
      <c r="I27" s="132">
        <f t="shared" si="2"/>
        <v>0</v>
      </c>
      <c r="J27" s="374">
        <f t="shared" si="3"/>
        <v>0</v>
      </c>
      <c r="K27" s="132">
        <f t="shared" si="4"/>
        <v>154.94</v>
      </c>
      <c r="L27" s="131">
        <f t="shared" ref="L27:O31" si="9">ROUND(H27*$G27,2)</f>
        <v>4535.09</v>
      </c>
      <c r="M27" s="131">
        <f t="shared" si="9"/>
        <v>0</v>
      </c>
      <c r="N27" s="131">
        <f t="shared" si="9"/>
        <v>0</v>
      </c>
      <c r="O27" s="131">
        <f t="shared" si="9"/>
        <v>4535.09</v>
      </c>
      <c r="P27" s="136">
        <f t="shared" si="0"/>
        <v>0</v>
      </c>
      <c r="S27" s="189">
        <v>0</v>
      </c>
      <c r="T27" s="189">
        <v>83.25</v>
      </c>
      <c r="BU27" s="523">
        <v>0</v>
      </c>
      <c r="BV27" s="523"/>
      <c r="BW27" s="523"/>
      <c r="BX27" s="523"/>
      <c r="BY27" s="523"/>
      <c r="BZ27" s="523"/>
      <c r="CA27" s="523"/>
      <c r="CB27" s="523"/>
      <c r="CC27" s="523"/>
      <c r="CD27" s="523"/>
      <c r="CE27" s="523"/>
      <c r="CF27" s="523"/>
      <c r="CG27" s="523"/>
      <c r="CH27" s="523"/>
      <c r="CI27" s="523">
        <f t="shared" si="1"/>
        <v>0</v>
      </c>
    </row>
    <row r="28" spans="1:87" x14ac:dyDescent="0.2">
      <c r="A28" s="125" t="s">
        <v>1263</v>
      </c>
      <c r="B28" s="126">
        <v>79478</v>
      </c>
      <c r="C28" s="126" t="s">
        <v>1324</v>
      </c>
      <c r="D28" s="127" t="s">
        <v>1361</v>
      </c>
      <c r="E28" s="128" t="s">
        <v>48</v>
      </c>
      <c r="F28" s="137">
        <v>302.64</v>
      </c>
      <c r="G28" s="130">
        <v>46.94</v>
      </c>
      <c r="H28" s="128">
        <v>83.25</v>
      </c>
      <c r="I28" s="132">
        <f t="shared" si="2"/>
        <v>66.600000000000009</v>
      </c>
      <c r="J28" s="374">
        <f t="shared" si="3"/>
        <v>66.600000000000009</v>
      </c>
      <c r="K28" s="132">
        <f t="shared" si="4"/>
        <v>16.649999999999991</v>
      </c>
      <c r="L28" s="131">
        <f t="shared" si="9"/>
        <v>3907.76</v>
      </c>
      <c r="M28" s="131">
        <f t="shared" si="9"/>
        <v>3126.2</v>
      </c>
      <c r="N28" s="131">
        <f t="shared" si="9"/>
        <v>3126.2</v>
      </c>
      <c r="O28" s="131">
        <f t="shared" si="9"/>
        <v>781.55</v>
      </c>
      <c r="P28" s="136">
        <f t="shared" si="0"/>
        <v>0.79999795279136887</v>
      </c>
      <c r="S28" s="189">
        <v>0</v>
      </c>
      <c r="T28" s="189">
        <v>114.83</v>
      </c>
      <c r="BU28" s="523">
        <v>66.600000000000009</v>
      </c>
      <c r="BV28" s="523"/>
      <c r="BW28" s="523"/>
      <c r="BX28" s="523"/>
      <c r="BY28" s="523"/>
      <c r="BZ28" s="523"/>
      <c r="CA28" s="523"/>
      <c r="CB28" s="523"/>
      <c r="CC28" s="523"/>
      <c r="CD28" s="523"/>
      <c r="CE28" s="523"/>
      <c r="CF28" s="523"/>
      <c r="CG28" s="523"/>
      <c r="CH28" s="523"/>
      <c r="CI28" s="523">
        <f t="shared" si="1"/>
        <v>66.600000000000009</v>
      </c>
    </row>
    <row r="29" spans="1:87" x14ac:dyDescent="0.2">
      <c r="A29" s="125" t="s">
        <v>1362</v>
      </c>
      <c r="B29" s="126">
        <v>79483</v>
      </c>
      <c r="C29" s="126" t="s">
        <v>1324</v>
      </c>
      <c r="D29" s="127" t="s">
        <v>1363</v>
      </c>
      <c r="E29" s="128" t="s">
        <v>14</v>
      </c>
      <c r="F29" s="137">
        <v>135.94</v>
      </c>
      <c r="G29" s="130">
        <v>5.4</v>
      </c>
      <c r="H29" s="128">
        <v>114.83</v>
      </c>
      <c r="I29" s="132">
        <f t="shared" si="2"/>
        <v>91.863</v>
      </c>
      <c r="J29" s="374">
        <f t="shared" si="3"/>
        <v>91.863</v>
      </c>
      <c r="K29" s="132">
        <f t="shared" si="4"/>
        <v>22.966999999999999</v>
      </c>
      <c r="L29" s="131">
        <f t="shared" si="9"/>
        <v>620.08000000000004</v>
      </c>
      <c r="M29" s="131">
        <f t="shared" si="9"/>
        <v>496.06</v>
      </c>
      <c r="N29" s="131">
        <f t="shared" si="9"/>
        <v>496.06</v>
      </c>
      <c r="O29" s="131">
        <f t="shared" si="9"/>
        <v>124.02</v>
      </c>
      <c r="P29" s="136">
        <f t="shared" si="0"/>
        <v>0.79999354921945554</v>
      </c>
      <c r="S29" s="189">
        <v>0</v>
      </c>
      <c r="T29" s="189">
        <v>62.89</v>
      </c>
      <c r="BU29" s="523">
        <v>91.863</v>
      </c>
      <c r="BV29" s="523"/>
      <c r="BW29" s="523"/>
      <c r="BX29" s="523"/>
      <c r="BY29" s="523"/>
      <c r="BZ29" s="523"/>
      <c r="CA29" s="523"/>
      <c r="CB29" s="523"/>
      <c r="CC29" s="523"/>
      <c r="CD29" s="523"/>
      <c r="CE29" s="523"/>
      <c r="CF29" s="523"/>
      <c r="CG29" s="523"/>
      <c r="CH29" s="523"/>
      <c r="CI29" s="523">
        <f t="shared" si="1"/>
        <v>91.863</v>
      </c>
    </row>
    <row r="30" spans="1:87" x14ac:dyDescent="0.2">
      <c r="A30" s="125" t="s">
        <v>1364</v>
      </c>
      <c r="B30" s="126">
        <v>53527</v>
      </c>
      <c r="C30" s="126" t="s">
        <v>1324</v>
      </c>
      <c r="D30" s="127" t="s">
        <v>1365</v>
      </c>
      <c r="E30" s="128" t="s">
        <v>48</v>
      </c>
      <c r="F30" s="137">
        <v>5.86</v>
      </c>
      <c r="G30" s="130">
        <v>20.57</v>
      </c>
      <c r="H30" s="128">
        <v>62.89</v>
      </c>
      <c r="I30" s="132">
        <f t="shared" si="2"/>
        <v>0</v>
      </c>
      <c r="J30" s="374">
        <f t="shared" si="3"/>
        <v>0</v>
      </c>
      <c r="K30" s="132">
        <f t="shared" si="4"/>
        <v>62.89</v>
      </c>
      <c r="L30" s="131">
        <f t="shared" si="9"/>
        <v>1293.6500000000001</v>
      </c>
      <c r="M30" s="131">
        <f t="shared" si="9"/>
        <v>0</v>
      </c>
      <c r="N30" s="131">
        <f t="shared" si="9"/>
        <v>0</v>
      </c>
      <c r="O30" s="131">
        <f t="shared" si="9"/>
        <v>1293.6500000000001</v>
      </c>
      <c r="P30" s="136">
        <f t="shared" si="0"/>
        <v>0</v>
      </c>
      <c r="S30" s="189">
        <v>0</v>
      </c>
      <c r="T30" s="189">
        <v>0</v>
      </c>
      <c r="BU30" s="523">
        <v>0</v>
      </c>
      <c r="BV30" s="523"/>
      <c r="BW30" s="523"/>
      <c r="BX30" s="523"/>
      <c r="BY30" s="523"/>
      <c r="BZ30" s="523"/>
      <c r="CA30" s="523"/>
      <c r="CB30" s="523"/>
      <c r="CC30" s="523"/>
      <c r="CD30" s="523"/>
      <c r="CE30" s="523"/>
      <c r="CF30" s="523"/>
      <c r="CG30" s="523"/>
      <c r="CH30" s="523"/>
      <c r="CI30" s="523">
        <f t="shared" si="1"/>
        <v>0</v>
      </c>
    </row>
    <row r="31" spans="1:87" s="481" customFormat="1" x14ac:dyDescent="0.2">
      <c r="A31" s="125" t="s">
        <v>1366</v>
      </c>
      <c r="B31" s="126">
        <v>55835</v>
      </c>
      <c r="C31" s="126" t="s">
        <v>1324</v>
      </c>
      <c r="D31" s="127" t="s">
        <v>1367</v>
      </c>
      <c r="E31" s="128" t="s">
        <v>48</v>
      </c>
      <c r="F31" s="137">
        <v>59.37</v>
      </c>
      <c r="G31" s="130">
        <v>29.27</v>
      </c>
      <c r="H31" s="128">
        <v>22.5</v>
      </c>
      <c r="I31" s="132">
        <f t="shared" si="2"/>
        <v>0</v>
      </c>
      <c r="J31" s="374">
        <f t="shared" si="3"/>
        <v>0</v>
      </c>
      <c r="K31" s="132">
        <f t="shared" si="4"/>
        <v>22.5</v>
      </c>
      <c r="L31" s="131">
        <f t="shared" si="9"/>
        <v>658.58</v>
      </c>
      <c r="M31" s="131">
        <f t="shared" si="9"/>
        <v>0</v>
      </c>
      <c r="N31" s="131">
        <f t="shared" si="9"/>
        <v>0</v>
      </c>
      <c r="O31" s="131">
        <f t="shared" si="9"/>
        <v>658.58</v>
      </c>
      <c r="P31" s="136">
        <f t="shared" si="0"/>
        <v>0</v>
      </c>
      <c r="S31" s="190">
        <v>0</v>
      </c>
      <c r="T31" s="190">
        <v>1922.15</v>
      </c>
      <c r="BU31" s="523">
        <v>0</v>
      </c>
      <c r="BV31" s="523"/>
      <c r="BW31" s="523"/>
      <c r="BX31" s="523"/>
      <c r="BY31" s="523"/>
      <c r="BZ31" s="523"/>
      <c r="CA31" s="523"/>
      <c r="CB31" s="523"/>
      <c r="CC31" s="523"/>
      <c r="CD31" s="523"/>
      <c r="CE31" s="523"/>
      <c r="CF31" s="523"/>
      <c r="CG31" s="523"/>
      <c r="CH31" s="523"/>
      <c r="CI31" s="523">
        <f t="shared" si="1"/>
        <v>0</v>
      </c>
    </row>
    <row r="32" spans="1:87" s="481" customFormat="1" x14ac:dyDescent="0.2">
      <c r="A32" s="412">
        <v>3</v>
      </c>
      <c r="B32" s="413"/>
      <c r="C32" s="413"/>
      <c r="D32" s="414" t="s">
        <v>1368</v>
      </c>
      <c r="E32" s="415"/>
      <c r="F32" s="417"/>
      <c r="G32" s="418"/>
      <c r="H32" s="418"/>
      <c r="I32" s="418"/>
      <c r="J32" s="418"/>
      <c r="K32" s="418"/>
      <c r="L32" s="424">
        <f>SUM(L33,L39)</f>
        <v>35418.720000000001</v>
      </c>
      <c r="M32" s="424">
        <f>SUM(M33,M39)</f>
        <v>6786.71</v>
      </c>
      <c r="N32" s="424">
        <f>SUM(N33,N39)</f>
        <v>6786.71</v>
      </c>
      <c r="O32" s="424">
        <f>SUM(O33,O39)</f>
        <v>28632</v>
      </c>
      <c r="P32" s="423">
        <f t="shared" si="0"/>
        <v>0.191613643858389</v>
      </c>
      <c r="S32" s="190">
        <v>0</v>
      </c>
      <c r="T32" s="190">
        <v>1242.5800000000002</v>
      </c>
      <c r="BU32" s="523">
        <v>727.32</v>
      </c>
      <c r="BV32" s="523"/>
      <c r="BW32" s="523"/>
      <c r="BX32" s="523"/>
      <c r="BY32" s="523"/>
      <c r="BZ32" s="523"/>
      <c r="CA32" s="523"/>
      <c r="CB32" s="523"/>
      <c r="CC32" s="523"/>
      <c r="CD32" s="523"/>
      <c r="CE32" s="523"/>
      <c r="CF32" s="523"/>
      <c r="CG32" s="523"/>
      <c r="CH32" s="523"/>
      <c r="CI32" s="523">
        <f t="shared" si="1"/>
        <v>727.32</v>
      </c>
    </row>
    <row r="33" spans="1:87" x14ac:dyDescent="0.2">
      <c r="A33" s="449" t="s">
        <v>41</v>
      </c>
      <c r="B33" s="450"/>
      <c r="C33" s="450"/>
      <c r="D33" s="451" t="s">
        <v>1369</v>
      </c>
      <c r="E33" s="452"/>
      <c r="F33" s="453"/>
      <c r="G33" s="454"/>
      <c r="H33" s="454"/>
      <c r="I33" s="454"/>
      <c r="J33" s="454"/>
      <c r="K33" s="454"/>
      <c r="L33" s="455">
        <f>SUM(L34:L38)</f>
        <v>16448.150000000001</v>
      </c>
      <c r="M33" s="455">
        <f>SUM(M34:M38)</f>
        <v>6786.71</v>
      </c>
      <c r="N33" s="455">
        <f>SUM(N34:N38)</f>
        <v>6786.71</v>
      </c>
      <c r="O33" s="455">
        <f>SUM(O34:O38)</f>
        <v>9661.43</v>
      </c>
      <c r="P33" s="459">
        <f t="shared" si="0"/>
        <v>0.41261236066062135</v>
      </c>
      <c r="S33" s="189">
        <v>0</v>
      </c>
      <c r="T33" s="189">
        <v>3.7699999999999996</v>
      </c>
      <c r="BU33" s="523">
        <v>727.32</v>
      </c>
      <c r="BV33" s="523"/>
      <c r="BW33" s="523"/>
      <c r="BX33" s="523"/>
      <c r="BY33" s="523"/>
      <c r="BZ33" s="523"/>
      <c r="CA33" s="523"/>
      <c r="CB33" s="523"/>
      <c r="CC33" s="523"/>
      <c r="CD33" s="523"/>
      <c r="CE33" s="523"/>
      <c r="CF33" s="523"/>
      <c r="CG33" s="523"/>
      <c r="CH33" s="523"/>
      <c r="CI33" s="523">
        <f t="shared" si="1"/>
        <v>727.32</v>
      </c>
    </row>
    <row r="34" spans="1:87" x14ac:dyDescent="0.2">
      <c r="A34" s="146" t="s">
        <v>43</v>
      </c>
      <c r="B34" s="126">
        <v>83532</v>
      </c>
      <c r="C34" s="126" t="s">
        <v>1324</v>
      </c>
      <c r="D34" s="127" t="s">
        <v>1370</v>
      </c>
      <c r="E34" s="128" t="s">
        <v>48</v>
      </c>
      <c r="F34" s="129"/>
      <c r="G34" s="130">
        <v>19.86</v>
      </c>
      <c r="H34" s="147">
        <v>3.77</v>
      </c>
      <c r="I34" s="132">
        <f t="shared" si="2"/>
        <v>0</v>
      </c>
      <c r="J34" s="374">
        <f t="shared" si="3"/>
        <v>0</v>
      </c>
      <c r="K34" s="132">
        <f t="shared" ref="K34:K44" si="10">H34-J34</f>
        <v>3.77</v>
      </c>
      <c r="L34" s="131">
        <f t="shared" ref="L34:O38" si="11">ROUND(H34*$G34,2)</f>
        <v>74.87</v>
      </c>
      <c r="M34" s="131">
        <f t="shared" si="11"/>
        <v>0</v>
      </c>
      <c r="N34" s="131">
        <f t="shared" si="11"/>
        <v>0</v>
      </c>
      <c r="O34" s="131">
        <f t="shared" si="11"/>
        <v>74.87</v>
      </c>
      <c r="P34" s="136">
        <f t="shared" si="0"/>
        <v>0</v>
      </c>
      <c r="S34" s="189">
        <v>0</v>
      </c>
      <c r="T34" s="189">
        <v>63.02</v>
      </c>
      <c r="BU34" s="523">
        <v>0</v>
      </c>
      <c r="BV34" s="523"/>
      <c r="BW34" s="523"/>
      <c r="BX34" s="523"/>
      <c r="BY34" s="523"/>
      <c r="BZ34" s="523"/>
      <c r="CA34" s="523"/>
      <c r="CB34" s="523"/>
      <c r="CC34" s="523"/>
      <c r="CD34" s="523"/>
      <c r="CE34" s="523"/>
      <c r="CF34" s="523"/>
      <c r="CG34" s="523"/>
      <c r="CH34" s="523"/>
      <c r="CI34" s="523">
        <f t="shared" si="1"/>
        <v>0</v>
      </c>
    </row>
    <row r="35" spans="1:87" ht="25.5" customHeight="1" x14ac:dyDescent="0.2">
      <c r="A35" s="146" t="s">
        <v>45</v>
      </c>
      <c r="B35" s="126">
        <v>5970</v>
      </c>
      <c r="C35" s="126" t="s">
        <v>1324</v>
      </c>
      <c r="D35" s="127" t="s">
        <v>1371</v>
      </c>
      <c r="E35" s="128" t="s">
        <v>14</v>
      </c>
      <c r="F35" s="137">
        <v>60.66</v>
      </c>
      <c r="G35" s="130">
        <v>93.42</v>
      </c>
      <c r="H35" s="147">
        <v>63.02</v>
      </c>
      <c r="I35" s="132">
        <f t="shared" si="2"/>
        <v>37.811999999999998</v>
      </c>
      <c r="J35" s="374">
        <f t="shared" si="3"/>
        <v>37.811999999999998</v>
      </c>
      <c r="K35" s="132">
        <f t="shared" si="10"/>
        <v>25.208000000000006</v>
      </c>
      <c r="L35" s="131">
        <f t="shared" si="11"/>
        <v>5887.33</v>
      </c>
      <c r="M35" s="131">
        <f t="shared" si="11"/>
        <v>3532.4</v>
      </c>
      <c r="N35" s="131">
        <f t="shared" si="11"/>
        <v>3532.4</v>
      </c>
      <c r="O35" s="131">
        <f t="shared" si="11"/>
        <v>2354.9299999999998</v>
      </c>
      <c r="P35" s="136">
        <f t="shared" si="0"/>
        <v>0.60000033971256916</v>
      </c>
      <c r="S35" s="189">
        <v>0</v>
      </c>
      <c r="T35" s="189">
        <v>1094.27</v>
      </c>
      <c r="BU35" s="523">
        <v>37.811999999999998</v>
      </c>
      <c r="BV35" s="523"/>
      <c r="BW35" s="523"/>
      <c r="BX35" s="523"/>
      <c r="BY35" s="523"/>
      <c r="BZ35" s="523"/>
      <c r="CA35" s="523"/>
      <c r="CB35" s="523"/>
      <c r="CC35" s="523"/>
      <c r="CD35" s="523"/>
      <c r="CE35" s="523"/>
      <c r="CF35" s="523"/>
      <c r="CG35" s="523"/>
      <c r="CH35" s="523"/>
      <c r="CI35" s="523">
        <f t="shared" si="1"/>
        <v>37.811999999999998</v>
      </c>
    </row>
    <row r="36" spans="1:87" ht="25.5" customHeight="1" x14ac:dyDescent="0.2">
      <c r="A36" s="146" t="s">
        <v>47</v>
      </c>
      <c r="B36" s="126">
        <v>92793</v>
      </c>
      <c r="C36" s="126" t="s">
        <v>1324</v>
      </c>
      <c r="D36" s="127" t="s">
        <v>1372</v>
      </c>
      <c r="E36" s="128" t="s">
        <v>35</v>
      </c>
      <c r="F36" s="137">
        <v>5.86</v>
      </c>
      <c r="G36" s="130">
        <v>4.6500000000000004</v>
      </c>
      <c r="H36" s="147">
        <v>1094.27</v>
      </c>
      <c r="I36" s="132">
        <f t="shared" si="2"/>
        <v>656.56200000000001</v>
      </c>
      <c r="J36" s="374">
        <f t="shared" si="3"/>
        <v>656.56200000000001</v>
      </c>
      <c r="K36" s="132">
        <f t="shared" si="10"/>
        <v>437.70799999999997</v>
      </c>
      <c r="L36" s="131">
        <f t="shared" si="11"/>
        <v>5088.3599999999997</v>
      </c>
      <c r="M36" s="131">
        <f t="shared" si="11"/>
        <v>3053.01</v>
      </c>
      <c r="N36" s="131">
        <f t="shared" si="11"/>
        <v>3053.01</v>
      </c>
      <c r="O36" s="131">
        <f t="shared" si="11"/>
        <v>2035.34</v>
      </c>
      <c r="P36" s="136">
        <f t="shared" si="0"/>
        <v>0.59999882083814837</v>
      </c>
      <c r="S36" s="189">
        <v>0</v>
      </c>
      <c r="T36" s="189">
        <v>65.89</v>
      </c>
      <c r="BU36" s="523">
        <v>656.56200000000001</v>
      </c>
      <c r="BV36" s="523"/>
      <c r="BW36" s="523"/>
      <c r="BX36" s="523"/>
      <c r="BY36" s="523"/>
      <c r="BZ36" s="523"/>
      <c r="CA36" s="523"/>
      <c r="CB36" s="523"/>
      <c r="CC36" s="523"/>
      <c r="CD36" s="523"/>
      <c r="CE36" s="523"/>
      <c r="CF36" s="523"/>
      <c r="CG36" s="523"/>
      <c r="CH36" s="523"/>
      <c r="CI36" s="523">
        <f t="shared" si="1"/>
        <v>656.56200000000001</v>
      </c>
    </row>
    <row r="37" spans="1:87" ht="25.5" x14ac:dyDescent="0.2">
      <c r="A37" s="146" t="s">
        <v>49</v>
      </c>
      <c r="B37" s="126">
        <v>92791</v>
      </c>
      <c r="C37" s="126" t="s">
        <v>1324</v>
      </c>
      <c r="D37" s="127" t="s">
        <v>1373</v>
      </c>
      <c r="E37" s="128" t="s">
        <v>35</v>
      </c>
      <c r="F37" s="137">
        <v>302.64</v>
      </c>
      <c r="G37" s="130">
        <v>6.11</v>
      </c>
      <c r="H37" s="147">
        <v>54.91</v>
      </c>
      <c r="I37" s="132">
        <f t="shared" si="2"/>
        <v>32.945999999999998</v>
      </c>
      <c r="J37" s="374">
        <f t="shared" si="3"/>
        <v>32.945999999999998</v>
      </c>
      <c r="K37" s="132">
        <f t="shared" si="10"/>
        <v>21.963999999999999</v>
      </c>
      <c r="L37" s="131">
        <f t="shared" si="11"/>
        <v>335.5</v>
      </c>
      <c r="M37" s="131">
        <f t="shared" si="11"/>
        <v>201.3</v>
      </c>
      <c r="N37" s="131">
        <f t="shared" si="11"/>
        <v>201.3</v>
      </c>
      <c r="O37" s="131">
        <f t="shared" si="11"/>
        <v>134.19999999999999</v>
      </c>
      <c r="P37" s="136">
        <f t="shared" si="0"/>
        <v>0.60000000000000009</v>
      </c>
      <c r="S37" s="189">
        <v>0</v>
      </c>
      <c r="T37" s="189">
        <v>15.630000000000003</v>
      </c>
      <c r="BU37" s="523">
        <v>32.945999999999998</v>
      </c>
      <c r="BV37" s="523"/>
      <c r="BW37" s="523"/>
      <c r="BX37" s="523"/>
      <c r="BY37" s="523"/>
      <c r="BZ37" s="523"/>
      <c r="CA37" s="523"/>
      <c r="CB37" s="523"/>
      <c r="CC37" s="523"/>
      <c r="CD37" s="523"/>
      <c r="CE37" s="523"/>
      <c r="CF37" s="523"/>
      <c r="CG37" s="523"/>
      <c r="CH37" s="523"/>
      <c r="CI37" s="523">
        <f t="shared" si="1"/>
        <v>32.945999999999998</v>
      </c>
    </row>
    <row r="38" spans="1:87" s="481" customFormat="1" x14ac:dyDescent="0.2">
      <c r="A38" s="146" t="s">
        <v>1374</v>
      </c>
      <c r="B38" s="126">
        <v>92720</v>
      </c>
      <c r="C38" s="126" t="s">
        <v>1324</v>
      </c>
      <c r="D38" s="127" t="s">
        <v>1375</v>
      </c>
      <c r="E38" s="128" t="s">
        <v>48</v>
      </c>
      <c r="F38" s="137">
        <v>135.94</v>
      </c>
      <c r="G38" s="130">
        <v>323.87</v>
      </c>
      <c r="H38" s="147">
        <v>15.63</v>
      </c>
      <c r="I38" s="132">
        <f t="shared" si="2"/>
        <v>0</v>
      </c>
      <c r="J38" s="374">
        <f t="shared" si="3"/>
        <v>0</v>
      </c>
      <c r="K38" s="132">
        <f t="shared" si="10"/>
        <v>15.63</v>
      </c>
      <c r="L38" s="131">
        <f t="shared" si="11"/>
        <v>5062.09</v>
      </c>
      <c r="M38" s="131">
        <f t="shared" si="11"/>
        <v>0</v>
      </c>
      <c r="N38" s="131">
        <f t="shared" si="11"/>
        <v>0</v>
      </c>
      <c r="O38" s="131">
        <f t="shared" si="11"/>
        <v>5062.09</v>
      </c>
      <c r="P38" s="136">
        <f t="shared" si="0"/>
        <v>0</v>
      </c>
      <c r="S38" s="190">
        <v>0</v>
      </c>
      <c r="T38" s="190">
        <v>679.56999999999994</v>
      </c>
      <c r="BU38" s="523">
        <v>0</v>
      </c>
      <c r="BV38" s="523"/>
      <c r="BW38" s="523"/>
      <c r="BX38" s="523"/>
      <c r="BY38" s="523"/>
      <c r="BZ38" s="523"/>
      <c r="CA38" s="523"/>
      <c r="CB38" s="523"/>
      <c r="CC38" s="523"/>
      <c r="CD38" s="523"/>
      <c r="CE38" s="523"/>
      <c r="CF38" s="523"/>
      <c r="CG38" s="523"/>
      <c r="CH38" s="523"/>
      <c r="CI38" s="523">
        <f t="shared" si="1"/>
        <v>0</v>
      </c>
    </row>
    <row r="39" spans="1:87" x14ac:dyDescent="0.2">
      <c r="A39" s="449" t="s">
        <v>50</v>
      </c>
      <c r="B39" s="450"/>
      <c r="C39" s="450"/>
      <c r="D39" s="451" t="s">
        <v>1376</v>
      </c>
      <c r="E39" s="452"/>
      <c r="F39" s="453"/>
      <c r="G39" s="454"/>
      <c r="H39" s="472"/>
      <c r="I39" s="456">
        <f t="shared" si="2"/>
        <v>0</v>
      </c>
      <c r="J39" s="457"/>
      <c r="K39" s="456">
        <v>0</v>
      </c>
      <c r="L39" s="454">
        <f>SUM(L40:L44)</f>
        <v>18970.57</v>
      </c>
      <c r="M39" s="454">
        <f>SUM(M40:M44)</f>
        <v>0</v>
      </c>
      <c r="N39" s="454">
        <f>SUM(N40:N44)</f>
        <v>0</v>
      </c>
      <c r="O39" s="454">
        <f>SUM(O40:O44)</f>
        <v>18970.57</v>
      </c>
      <c r="P39" s="459">
        <f t="shared" si="0"/>
        <v>0</v>
      </c>
      <c r="S39" s="189">
        <v>0</v>
      </c>
      <c r="T39" s="189">
        <v>2.58</v>
      </c>
      <c r="BU39" s="523">
        <v>0</v>
      </c>
      <c r="BV39" s="523"/>
      <c r="BW39" s="523"/>
      <c r="BX39" s="523"/>
      <c r="BY39" s="523"/>
      <c r="BZ39" s="523"/>
      <c r="CA39" s="523"/>
      <c r="CB39" s="523"/>
      <c r="CC39" s="523"/>
      <c r="CD39" s="523"/>
      <c r="CE39" s="523"/>
      <c r="CF39" s="523"/>
      <c r="CG39" s="523"/>
      <c r="CH39" s="523"/>
      <c r="CI39" s="523">
        <f t="shared" si="1"/>
        <v>0</v>
      </c>
    </row>
    <row r="40" spans="1:87" x14ac:dyDescent="0.2">
      <c r="A40" s="125" t="s">
        <v>52</v>
      </c>
      <c r="B40" s="126">
        <v>83532</v>
      </c>
      <c r="C40" s="126" t="s">
        <v>1324</v>
      </c>
      <c r="D40" s="127" t="s">
        <v>1370</v>
      </c>
      <c r="E40" s="128" t="s">
        <v>48</v>
      </c>
      <c r="F40" s="137">
        <v>60.66</v>
      </c>
      <c r="G40" s="130">
        <v>19.86</v>
      </c>
      <c r="H40" s="147">
        <v>2.58</v>
      </c>
      <c r="I40" s="132">
        <f t="shared" si="2"/>
        <v>0</v>
      </c>
      <c r="J40" s="374">
        <f t="shared" si="3"/>
        <v>0</v>
      </c>
      <c r="K40" s="132">
        <f t="shared" si="10"/>
        <v>2.58</v>
      </c>
      <c r="L40" s="131">
        <f t="shared" ref="L40:O44" si="12">ROUND(H40*$G40,2)</f>
        <v>51.24</v>
      </c>
      <c r="M40" s="131">
        <f t="shared" si="12"/>
        <v>0</v>
      </c>
      <c r="N40" s="131">
        <f t="shared" si="12"/>
        <v>0</v>
      </c>
      <c r="O40" s="131">
        <f t="shared" si="12"/>
        <v>51.24</v>
      </c>
      <c r="P40" s="136">
        <f t="shared" si="0"/>
        <v>0</v>
      </c>
      <c r="S40" s="189">
        <v>0</v>
      </c>
      <c r="T40" s="189">
        <v>139.57</v>
      </c>
      <c r="BU40" s="523">
        <v>0</v>
      </c>
      <c r="BV40" s="523"/>
      <c r="BW40" s="523"/>
      <c r="BX40" s="523"/>
      <c r="BY40" s="523"/>
      <c r="BZ40" s="523"/>
      <c r="CA40" s="523"/>
      <c r="CB40" s="523"/>
      <c r="CC40" s="523"/>
      <c r="CD40" s="523"/>
      <c r="CE40" s="523"/>
      <c r="CF40" s="523"/>
      <c r="CG40" s="523"/>
      <c r="CH40" s="523"/>
      <c r="CI40" s="523">
        <f t="shared" si="1"/>
        <v>0</v>
      </c>
    </row>
    <row r="41" spans="1:87" ht="25.5" customHeight="1" x14ac:dyDescent="0.2">
      <c r="A41" s="125" t="s">
        <v>53</v>
      </c>
      <c r="B41" s="126">
        <v>5970</v>
      </c>
      <c r="C41" s="126" t="s">
        <v>1324</v>
      </c>
      <c r="D41" s="127" t="s">
        <v>1371</v>
      </c>
      <c r="E41" s="128" t="s">
        <v>14</v>
      </c>
      <c r="F41" s="137">
        <v>5.86</v>
      </c>
      <c r="G41" s="130">
        <v>93.42</v>
      </c>
      <c r="H41" s="147">
        <v>139.57</v>
      </c>
      <c r="I41" s="132">
        <f t="shared" si="2"/>
        <v>0</v>
      </c>
      <c r="J41" s="374">
        <f t="shared" si="3"/>
        <v>0</v>
      </c>
      <c r="K41" s="132">
        <f t="shared" si="10"/>
        <v>139.57</v>
      </c>
      <c r="L41" s="131">
        <f t="shared" si="12"/>
        <v>13038.63</v>
      </c>
      <c r="M41" s="131">
        <f t="shared" si="12"/>
        <v>0</v>
      </c>
      <c r="N41" s="131">
        <f t="shared" si="12"/>
        <v>0</v>
      </c>
      <c r="O41" s="131">
        <f t="shared" si="12"/>
        <v>13038.63</v>
      </c>
      <c r="P41" s="136">
        <f t="shared" si="0"/>
        <v>0</v>
      </c>
      <c r="S41" s="189">
        <v>0</v>
      </c>
      <c r="T41" s="189">
        <v>389.64</v>
      </c>
      <c r="BU41" s="523">
        <v>0</v>
      </c>
      <c r="BV41" s="523"/>
      <c r="BW41" s="523"/>
      <c r="BX41" s="523"/>
      <c r="BY41" s="523"/>
      <c r="BZ41" s="523"/>
      <c r="CA41" s="523"/>
      <c r="CB41" s="523"/>
      <c r="CC41" s="523"/>
      <c r="CD41" s="523"/>
      <c r="CE41" s="523"/>
      <c r="CF41" s="523"/>
      <c r="CG41" s="523"/>
      <c r="CH41" s="523"/>
      <c r="CI41" s="523">
        <f t="shared" si="1"/>
        <v>0</v>
      </c>
    </row>
    <row r="42" spans="1:87" ht="25.5" customHeight="1" x14ac:dyDescent="0.2">
      <c r="A42" s="125" t="s">
        <v>54</v>
      </c>
      <c r="B42" s="126">
        <v>92793</v>
      </c>
      <c r="C42" s="126" t="s">
        <v>1324</v>
      </c>
      <c r="D42" s="127" t="s">
        <v>1372</v>
      </c>
      <c r="E42" s="128" t="s">
        <v>35</v>
      </c>
      <c r="F42" s="137">
        <v>302.64</v>
      </c>
      <c r="G42" s="130">
        <v>4.6500000000000004</v>
      </c>
      <c r="H42" s="147">
        <v>389.64</v>
      </c>
      <c r="I42" s="132">
        <f t="shared" si="2"/>
        <v>0</v>
      </c>
      <c r="J42" s="374">
        <f t="shared" si="3"/>
        <v>0</v>
      </c>
      <c r="K42" s="132">
        <f t="shared" si="10"/>
        <v>389.64</v>
      </c>
      <c r="L42" s="131">
        <f t="shared" si="12"/>
        <v>1811.83</v>
      </c>
      <c r="M42" s="131">
        <f t="shared" si="12"/>
        <v>0</v>
      </c>
      <c r="N42" s="131">
        <f t="shared" si="12"/>
        <v>0</v>
      </c>
      <c r="O42" s="131">
        <f t="shared" si="12"/>
        <v>1811.83</v>
      </c>
      <c r="P42" s="136">
        <f t="shared" si="0"/>
        <v>0</v>
      </c>
      <c r="S42" s="189">
        <v>0</v>
      </c>
      <c r="T42" s="189">
        <v>137.72999999999999</v>
      </c>
      <c r="BU42" s="523">
        <v>0</v>
      </c>
      <c r="BV42" s="523"/>
      <c r="BW42" s="523"/>
      <c r="BX42" s="523"/>
      <c r="BY42" s="523"/>
      <c r="BZ42" s="523"/>
      <c r="CA42" s="523"/>
      <c r="CB42" s="523"/>
      <c r="CC42" s="523"/>
      <c r="CD42" s="523"/>
      <c r="CE42" s="523"/>
      <c r="CF42" s="523"/>
      <c r="CG42" s="523"/>
      <c r="CH42" s="523"/>
      <c r="CI42" s="523">
        <f t="shared" si="1"/>
        <v>0</v>
      </c>
    </row>
    <row r="43" spans="1:87" ht="25.5" x14ac:dyDescent="0.2">
      <c r="A43" s="125" t="s">
        <v>55</v>
      </c>
      <c r="B43" s="126">
        <v>92791</v>
      </c>
      <c r="C43" s="126" t="s">
        <v>1324</v>
      </c>
      <c r="D43" s="127" t="s">
        <v>1373</v>
      </c>
      <c r="E43" s="128" t="s">
        <v>35</v>
      </c>
      <c r="F43" s="137">
        <v>135.94</v>
      </c>
      <c r="G43" s="130">
        <v>5.91</v>
      </c>
      <c r="H43" s="147">
        <v>137.72999999999999</v>
      </c>
      <c r="I43" s="132">
        <f t="shared" si="2"/>
        <v>0</v>
      </c>
      <c r="J43" s="374">
        <f t="shared" si="3"/>
        <v>0</v>
      </c>
      <c r="K43" s="132">
        <f t="shared" si="10"/>
        <v>137.72999999999999</v>
      </c>
      <c r="L43" s="131">
        <f t="shared" si="12"/>
        <v>813.98</v>
      </c>
      <c r="M43" s="131">
        <f t="shared" si="12"/>
        <v>0</v>
      </c>
      <c r="N43" s="131">
        <f t="shared" si="12"/>
        <v>0</v>
      </c>
      <c r="O43" s="131">
        <f t="shared" si="12"/>
        <v>813.98</v>
      </c>
      <c r="P43" s="136">
        <f t="shared" si="0"/>
        <v>0</v>
      </c>
      <c r="S43" s="189">
        <v>0</v>
      </c>
      <c r="T43" s="189">
        <v>10.050000000000001</v>
      </c>
      <c r="BU43" s="523">
        <v>0</v>
      </c>
      <c r="BV43" s="523"/>
      <c r="BW43" s="523"/>
      <c r="BX43" s="523"/>
      <c r="BY43" s="523"/>
      <c r="BZ43" s="523"/>
      <c r="CA43" s="523"/>
      <c r="CB43" s="523"/>
      <c r="CC43" s="523"/>
      <c r="CD43" s="523"/>
      <c r="CE43" s="523"/>
      <c r="CF43" s="523"/>
      <c r="CG43" s="523"/>
      <c r="CH43" s="523"/>
      <c r="CI43" s="523">
        <f t="shared" si="1"/>
        <v>0</v>
      </c>
    </row>
    <row r="44" spans="1:87" s="487" customFormat="1" x14ac:dyDescent="0.2">
      <c r="A44" s="125" t="s">
        <v>1377</v>
      </c>
      <c r="B44" s="126">
        <v>92720</v>
      </c>
      <c r="C44" s="126" t="s">
        <v>1324</v>
      </c>
      <c r="D44" s="127" t="s">
        <v>1375</v>
      </c>
      <c r="E44" s="128" t="s">
        <v>48</v>
      </c>
      <c r="F44" s="129"/>
      <c r="G44" s="130">
        <v>323.87</v>
      </c>
      <c r="H44" s="147">
        <v>10.050000000000001</v>
      </c>
      <c r="I44" s="132">
        <f t="shared" si="2"/>
        <v>0</v>
      </c>
      <c r="J44" s="374">
        <f t="shared" si="3"/>
        <v>0</v>
      </c>
      <c r="K44" s="132">
        <f t="shared" si="10"/>
        <v>10.050000000000001</v>
      </c>
      <c r="L44" s="131">
        <f t="shared" si="12"/>
        <v>3254.89</v>
      </c>
      <c r="M44" s="131">
        <f t="shared" si="12"/>
        <v>0</v>
      </c>
      <c r="N44" s="131">
        <f t="shared" si="12"/>
        <v>0</v>
      </c>
      <c r="O44" s="131">
        <f t="shared" si="12"/>
        <v>3254.89</v>
      </c>
      <c r="P44" s="136">
        <f t="shared" si="0"/>
        <v>0</v>
      </c>
      <c r="S44" s="191">
        <v>0</v>
      </c>
      <c r="T44" s="191">
        <v>0</v>
      </c>
      <c r="BU44" s="523">
        <v>0</v>
      </c>
      <c r="BV44" s="523"/>
      <c r="BW44" s="523"/>
      <c r="BX44" s="523"/>
      <c r="BY44" s="523"/>
      <c r="BZ44" s="523"/>
      <c r="CA44" s="523"/>
      <c r="CB44" s="523"/>
      <c r="CC44" s="523"/>
      <c r="CD44" s="523"/>
      <c r="CE44" s="523"/>
      <c r="CF44" s="523"/>
      <c r="CG44" s="523"/>
      <c r="CH44" s="523"/>
      <c r="CI44" s="523">
        <f t="shared" si="1"/>
        <v>0</v>
      </c>
    </row>
    <row r="45" spans="1:87" s="487" customFormat="1" x14ac:dyDescent="0.2">
      <c r="A45" s="425">
        <v>4</v>
      </c>
      <c r="B45" s="426"/>
      <c r="C45" s="426"/>
      <c r="D45" s="427" t="s">
        <v>1378</v>
      </c>
      <c r="E45" s="415"/>
      <c r="F45" s="417"/>
      <c r="G45" s="418"/>
      <c r="H45" s="416"/>
      <c r="I45" s="420">
        <f t="shared" si="2"/>
        <v>0</v>
      </c>
      <c r="J45" s="421"/>
      <c r="K45" s="420"/>
      <c r="L45" s="429">
        <f>SUM(L46,L51,L57,L62,L67)</f>
        <v>88897.260000000009</v>
      </c>
      <c r="M45" s="429">
        <f>SUM(M46,M51,M57,M62,M67)</f>
        <v>0</v>
      </c>
      <c r="N45" s="429">
        <f>SUM(N46,N51,N57,N62,N67)</f>
        <v>0</v>
      </c>
      <c r="O45" s="429">
        <f>SUM(O46,O51,O57,O62,O67)</f>
        <v>88897.260000000009</v>
      </c>
      <c r="P45" s="431">
        <f t="shared" si="0"/>
        <v>0</v>
      </c>
      <c r="S45" s="191">
        <v>0</v>
      </c>
      <c r="T45" s="191">
        <v>0</v>
      </c>
      <c r="BU45" s="523"/>
      <c r="BV45" s="523"/>
      <c r="BW45" s="523"/>
      <c r="BX45" s="523"/>
      <c r="BY45" s="523"/>
      <c r="BZ45" s="523"/>
      <c r="CA45" s="523"/>
      <c r="CB45" s="523"/>
      <c r="CC45" s="523"/>
      <c r="CD45" s="523"/>
      <c r="CE45" s="523"/>
      <c r="CF45" s="523"/>
      <c r="CG45" s="523"/>
      <c r="CH45" s="523"/>
      <c r="CI45" s="523">
        <f t="shared" si="1"/>
        <v>0</v>
      </c>
    </row>
    <row r="46" spans="1:87" s="110" customFormat="1" x14ac:dyDescent="0.2">
      <c r="A46" s="461" t="s">
        <v>74</v>
      </c>
      <c r="B46" s="462"/>
      <c r="C46" s="462"/>
      <c r="D46" s="463" t="s">
        <v>1379</v>
      </c>
      <c r="E46" s="464"/>
      <c r="F46" s="452">
        <f>SUM(F47:F50)</f>
        <v>499.24</v>
      </c>
      <c r="G46" s="465"/>
      <c r="H46" s="464"/>
      <c r="I46" s="457">
        <f t="shared" si="2"/>
        <v>0</v>
      </c>
      <c r="J46" s="457"/>
      <c r="K46" s="457">
        <v>0</v>
      </c>
      <c r="L46" s="474">
        <f>SUM(L47:L50)</f>
        <v>17368.48</v>
      </c>
      <c r="M46" s="474">
        <f>SUM(M47:M50)</f>
        <v>0</v>
      </c>
      <c r="N46" s="474">
        <f>SUM(N47:N50)</f>
        <v>0</v>
      </c>
      <c r="O46" s="474">
        <f>SUM(O47:O50)</f>
        <v>17368.48</v>
      </c>
      <c r="P46" s="466">
        <f t="shared" si="0"/>
        <v>0</v>
      </c>
      <c r="S46" s="192">
        <v>22.81</v>
      </c>
      <c r="T46" s="192">
        <v>126.72</v>
      </c>
      <c r="BU46" s="523"/>
      <c r="BV46" s="523"/>
      <c r="BW46" s="523"/>
      <c r="BX46" s="523"/>
      <c r="BY46" s="523"/>
      <c r="BZ46" s="523"/>
      <c r="CA46" s="523"/>
      <c r="CB46" s="523"/>
      <c r="CC46" s="523"/>
      <c r="CD46" s="523"/>
      <c r="CE46" s="523"/>
      <c r="CF46" s="523"/>
      <c r="CG46" s="523"/>
      <c r="CH46" s="523"/>
      <c r="CI46" s="523">
        <f t="shared" si="1"/>
        <v>0</v>
      </c>
    </row>
    <row r="47" spans="1:87" s="110" customFormat="1" ht="25.5" x14ac:dyDescent="0.2">
      <c r="A47" s="379" t="s">
        <v>76</v>
      </c>
      <c r="B47" s="380">
        <v>92448</v>
      </c>
      <c r="C47" s="380" t="s">
        <v>1324</v>
      </c>
      <c r="D47" s="381" t="s">
        <v>1380</v>
      </c>
      <c r="E47" s="382" t="s">
        <v>14</v>
      </c>
      <c r="F47" s="137">
        <v>302.64</v>
      </c>
      <c r="G47" s="383">
        <v>93.42</v>
      </c>
      <c r="H47" s="382">
        <v>126.72</v>
      </c>
      <c r="I47" s="132">
        <f t="shared" si="2"/>
        <v>0</v>
      </c>
      <c r="J47" s="374">
        <f t="shared" si="3"/>
        <v>0</v>
      </c>
      <c r="K47" s="132">
        <f t="shared" ref="K47:K56" si="13">H47-J47</f>
        <v>126.72</v>
      </c>
      <c r="L47" s="131">
        <f t="shared" ref="L47:O50" si="14">ROUND(H47*$G47,2)</f>
        <v>11838.18</v>
      </c>
      <c r="M47" s="131">
        <f t="shared" si="14"/>
        <v>0</v>
      </c>
      <c r="N47" s="131">
        <f t="shared" si="14"/>
        <v>0</v>
      </c>
      <c r="O47" s="131">
        <f t="shared" si="14"/>
        <v>11838.18</v>
      </c>
      <c r="P47" s="388">
        <f t="shared" si="0"/>
        <v>0</v>
      </c>
      <c r="S47" s="192">
        <v>78.55</v>
      </c>
      <c r="T47" s="192">
        <v>428.55</v>
      </c>
      <c r="BU47" s="523"/>
      <c r="BV47" s="523"/>
      <c r="BW47" s="523"/>
      <c r="BX47" s="523"/>
      <c r="BY47" s="523"/>
      <c r="BZ47" s="523"/>
      <c r="CA47" s="523"/>
      <c r="CB47" s="523"/>
      <c r="CC47" s="523"/>
      <c r="CD47" s="523"/>
      <c r="CE47" s="523"/>
      <c r="CF47" s="523"/>
      <c r="CG47" s="523"/>
      <c r="CH47" s="523"/>
      <c r="CI47" s="523">
        <f t="shared" si="1"/>
        <v>0</v>
      </c>
    </row>
    <row r="48" spans="1:87" s="110" customFormat="1" ht="25.5" x14ac:dyDescent="0.2">
      <c r="A48" s="379" t="s">
        <v>79</v>
      </c>
      <c r="B48" s="380">
        <v>92793</v>
      </c>
      <c r="C48" s="380" t="s">
        <v>1324</v>
      </c>
      <c r="D48" s="381" t="s">
        <v>1372</v>
      </c>
      <c r="E48" s="382" t="s">
        <v>35</v>
      </c>
      <c r="F48" s="137">
        <v>135.94</v>
      </c>
      <c r="G48" s="383">
        <v>4.6500000000000004</v>
      </c>
      <c r="H48" s="382">
        <v>428.55</v>
      </c>
      <c r="I48" s="132">
        <f t="shared" si="2"/>
        <v>0</v>
      </c>
      <c r="J48" s="374">
        <f t="shared" si="3"/>
        <v>0</v>
      </c>
      <c r="K48" s="132">
        <f t="shared" si="13"/>
        <v>428.55</v>
      </c>
      <c r="L48" s="131">
        <f t="shared" si="14"/>
        <v>1992.76</v>
      </c>
      <c r="M48" s="131">
        <f t="shared" si="14"/>
        <v>0</v>
      </c>
      <c r="N48" s="131">
        <f t="shared" si="14"/>
        <v>0</v>
      </c>
      <c r="O48" s="131">
        <f t="shared" si="14"/>
        <v>1992.76</v>
      </c>
      <c r="P48" s="388">
        <f t="shared" si="0"/>
        <v>0</v>
      </c>
      <c r="S48" s="192">
        <v>23.16</v>
      </c>
      <c r="T48" s="192">
        <v>127.36</v>
      </c>
      <c r="BU48" s="523"/>
      <c r="BV48" s="523"/>
      <c r="BW48" s="523"/>
      <c r="BX48" s="523"/>
      <c r="BY48" s="523"/>
      <c r="BZ48" s="523"/>
      <c r="CA48" s="523"/>
      <c r="CB48" s="523"/>
      <c r="CC48" s="523"/>
      <c r="CD48" s="523"/>
      <c r="CE48" s="523"/>
      <c r="CF48" s="523"/>
      <c r="CG48" s="523"/>
      <c r="CH48" s="523"/>
      <c r="CI48" s="523">
        <f t="shared" si="1"/>
        <v>0</v>
      </c>
    </row>
    <row r="49" spans="1:87" s="110" customFormat="1" ht="25.5" x14ac:dyDescent="0.2">
      <c r="A49" s="379" t="s">
        <v>83</v>
      </c>
      <c r="B49" s="380">
        <v>92791</v>
      </c>
      <c r="C49" s="380" t="s">
        <v>1324</v>
      </c>
      <c r="D49" s="381" t="s">
        <v>1373</v>
      </c>
      <c r="E49" s="382" t="s">
        <v>35</v>
      </c>
      <c r="F49" s="129"/>
      <c r="G49" s="383">
        <v>6.11</v>
      </c>
      <c r="H49" s="382">
        <v>127.36</v>
      </c>
      <c r="I49" s="132">
        <f t="shared" si="2"/>
        <v>0</v>
      </c>
      <c r="J49" s="374">
        <f t="shared" si="3"/>
        <v>0</v>
      </c>
      <c r="K49" s="132">
        <f t="shared" si="13"/>
        <v>127.36</v>
      </c>
      <c r="L49" s="131">
        <f t="shared" si="14"/>
        <v>778.17</v>
      </c>
      <c r="M49" s="131">
        <f t="shared" si="14"/>
        <v>0</v>
      </c>
      <c r="N49" s="131">
        <f t="shared" si="14"/>
        <v>0</v>
      </c>
      <c r="O49" s="131">
        <f t="shared" si="14"/>
        <v>778.17</v>
      </c>
      <c r="P49" s="388">
        <f t="shared" si="0"/>
        <v>0</v>
      </c>
      <c r="S49" s="192">
        <v>4.5199999999999996</v>
      </c>
      <c r="T49" s="192">
        <v>8.52</v>
      </c>
      <c r="BU49" s="523"/>
      <c r="BV49" s="523"/>
      <c r="BW49" s="523"/>
      <c r="BX49" s="523"/>
      <c r="BY49" s="523"/>
      <c r="BZ49" s="523"/>
      <c r="CA49" s="523"/>
      <c r="CB49" s="523"/>
      <c r="CC49" s="523"/>
      <c r="CD49" s="523"/>
      <c r="CE49" s="523"/>
      <c r="CF49" s="523"/>
      <c r="CG49" s="523"/>
      <c r="CH49" s="523"/>
      <c r="CI49" s="523">
        <f t="shared" si="1"/>
        <v>0</v>
      </c>
    </row>
    <row r="50" spans="1:87" s="487" customFormat="1" x14ac:dyDescent="0.2">
      <c r="A50" s="379" t="s">
        <v>86</v>
      </c>
      <c r="B50" s="380">
        <v>92720</v>
      </c>
      <c r="C50" s="380" t="s">
        <v>1324</v>
      </c>
      <c r="D50" s="381" t="s">
        <v>1375</v>
      </c>
      <c r="E50" s="382" t="s">
        <v>48</v>
      </c>
      <c r="F50" s="137">
        <v>60.66</v>
      </c>
      <c r="G50" s="383">
        <v>323.87</v>
      </c>
      <c r="H50" s="382">
        <v>8.52</v>
      </c>
      <c r="I50" s="132">
        <f t="shared" si="2"/>
        <v>0</v>
      </c>
      <c r="J50" s="374">
        <f t="shared" si="3"/>
        <v>0</v>
      </c>
      <c r="K50" s="132">
        <f t="shared" si="13"/>
        <v>8.52</v>
      </c>
      <c r="L50" s="131">
        <f t="shared" si="14"/>
        <v>2759.37</v>
      </c>
      <c r="M50" s="131">
        <f t="shared" si="14"/>
        <v>0</v>
      </c>
      <c r="N50" s="131">
        <f t="shared" si="14"/>
        <v>0</v>
      </c>
      <c r="O50" s="131">
        <f t="shared" si="14"/>
        <v>2759.37</v>
      </c>
      <c r="P50" s="388">
        <f t="shared" si="0"/>
        <v>0</v>
      </c>
      <c r="S50" s="191">
        <v>0</v>
      </c>
      <c r="T50" s="191">
        <v>0</v>
      </c>
      <c r="BU50" s="523"/>
      <c r="BV50" s="523"/>
      <c r="BW50" s="523"/>
      <c r="BX50" s="523"/>
      <c r="BY50" s="523"/>
      <c r="BZ50" s="523"/>
      <c r="CA50" s="523"/>
      <c r="CB50" s="523"/>
      <c r="CC50" s="523"/>
      <c r="CD50" s="523"/>
      <c r="CE50" s="523"/>
      <c r="CF50" s="523"/>
      <c r="CG50" s="523"/>
      <c r="CH50" s="523"/>
      <c r="CI50" s="523">
        <f t="shared" si="1"/>
        <v>0</v>
      </c>
    </row>
    <row r="51" spans="1:87" s="110" customFormat="1" x14ac:dyDescent="0.2">
      <c r="A51" s="461" t="s">
        <v>1381</v>
      </c>
      <c r="B51" s="462"/>
      <c r="C51" s="462"/>
      <c r="D51" s="463" t="s">
        <v>1382</v>
      </c>
      <c r="E51" s="465"/>
      <c r="F51" s="468"/>
      <c r="G51" s="465"/>
      <c r="H51" s="465"/>
      <c r="I51" s="465"/>
      <c r="J51" s="474"/>
      <c r="K51" s="474"/>
      <c r="L51" s="465">
        <f>SUM(L52:L56)</f>
        <v>33356.590000000004</v>
      </c>
      <c r="M51" s="465">
        <f>SUM(M52:M56)</f>
        <v>0</v>
      </c>
      <c r="N51" s="465">
        <f>SUM(N52:N56)</f>
        <v>0</v>
      </c>
      <c r="O51" s="465">
        <f>SUM(O52:O56)</f>
        <v>33356.590000000004</v>
      </c>
      <c r="P51" s="524">
        <f t="shared" si="0"/>
        <v>0</v>
      </c>
      <c r="S51" s="192">
        <v>30.35</v>
      </c>
      <c r="T51" s="192">
        <v>0</v>
      </c>
      <c r="BU51" s="523"/>
      <c r="BV51" s="523"/>
      <c r="BW51" s="523"/>
      <c r="BX51" s="523"/>
      <c r="BY51" s="523"/>
      <c r="BZ51" s="523"/>
      <c r="CA51" s="523"/>
      <c r="CB51" s="523"/>
      <c r="CC51" s="523"/>
      <c r="CD51" s="523"/>
      <c r="CE51" s="523"/>
      <c r="CF51" s="523"/>
      <c r="CG51" s="523"/>
      <c r="CH51" s="523"/>
      <c r="CI51" s="523">
        <f t="shared" si="1"/>
        <v>0</v>
      </c>
    </row>
    <row r="52" spans="1:87" s="110" customFormat="1" x14ac:dyDescent="0.2">
      <c r="A52" s="379" t="s">
        <v>1383</v>
      </c>
      <c r="B52" s="380">
        <v>92510</v>
      </c>
      <c r="C52" s="380" t="s">
        <v>1324</v>
      </c>
      <c r="D52" s="381" t="s">
        <v>1384</v>
      </c>
      <c r="E52" s="382" t="s">
        <v>14</v>
      </c>
      <c r="F52" s="137">
        <v>302.64</v>
      </c>
      <c r="G52" s="383">
        <v>93.42</v>
      </c>
      <c r="H52" s="382">
        <v>155.72999999999999</v>
      </c>
      <c r="I52" s="132">
        <f t="shared" si="2"/>
        <v>0</v>
      </c>
      <c r="J52" s="374">
        <f t="shared" si="3"/>
        <v>0</v>
      </c>
      <c r="K52" s="132">
        <f t="shared" si="13"/>
        <v>155.72999999999999</v>
      </c>
      <c r="L52" s="131">
        <f t="shared" ref="L52:O56" si="15">ROUND(H52*$G52,2)</f>
        <v>14548.3</v>
      </c>
      <c r="M52" s="131">
        <f t="shared" si="15"/>
        <v>0</v>
      </c>
      <c r="N52" s="131">
        <f t="shared" si="15"/>
        <v>0</v>
      </c>
      <c r="O52" s="131">
        <f t="shared" si="15"/>
        <v>14548.3</v>
      </c>
      <c r="P52" s="388">
        <f t="shared" si="0"/>
        <v>0</v>
      </c>
      <c r="S52" s="192">
        <v>95.84</v>
      </c>
      <c r="T52" s="192">
        <v>0</v>
      </c>
      <c r="BU52" s="523"/>
      <c r="BV52" s="523"/>
      <c r="BW52" s="523"/>
      <c r="BX52" s="523"/>
      <c r="BY52" s="523"/>
      <c r="BZ52" s="523"/>
      <c r="CA52" s="523"/>
      <c r="CB52" s="523"/>
      <c r="CC52" s="523"/>
      <c r="CD52" s="523"/>
      <c r="CE52" s="523"/>
      <c r="CF52" s="523"/>
      <c r="CG52" s="523"/>
      <c r="CH52" s="523"/>
      <c r="CI52" s="523">
        <f t="shared" si="1"/>
        <v>0</v>
      </c>
    </row>
    <row r="53" spans="1:87" s="110" customFormat="1" ht="25.5" x14ac:dyDescent="0.2">
      <c r="A53" s="379" t="s">
        <v>1385</v>
      </c>
      <c r="B53" s="380">
        <v>92793</v>
      </c>
      <c r="C53" s="380" t="s">
        <v>1324</v>
      </c>
      <c r="D53" s="381" t="s">
        <v>1372</v>
      </c>
      <c r="E53" s="382" t="s">
        <v>35</v>
      </c>
      <c r="F53" s="137">
        <v>135.94</v>
      </c>
      <c r="G53" s="383">
        <v>4.6500000000000004</v>
      </c>
      <c r="H53" s="382">
        <v>1946.45</v>
      </c>
      <c r="I53" s="132">
        <f t="shared" si="2"/>
        <v>0</v>
      </c>
      <c r="J53" s="374">
        <f t="shared" si="3"/>
        <v>0</v>
      </c>
      <c r="K53" s="132">
        <f t="shared" si="13"/>
        <v>1946.45</v>
      </c>
      <c r="L53" s="131">
        <f t="shared" si="15"/>
        <v>9050.99</v>
      </c>
      <c r="M53" s="131">
        <f t="shared" si="15"/>
        <v>0</v>
      </c>
      <c r="N53" s="131">
        <f t="shared" si="15"/>
        <v>0</v>
      </c>
      <c r="O53" s="131">
        <f t="shared" si="15"/>
        <v>9050.99</v>
      </c>
      <c r="P53" s="388">
        <f t="shared" si="0"/>
        <v>0</v>
      </c>
      <c r="S53" s="192">
        <v>11.599999999999994</v>
      </c>
      <c r="T53" s="192">
        <v>0</v>
      </c>
      <c r="BU53" s="523"/>
      <c r="BV53" s="523"/>
      <c r="BW53" s="523"/>
      <c r="BX53" s="523"/>
      <c r="BY53" s="523"/>
      <c r="BZ53" s="523"/>
      <c r="CA53" s="523"/>
      <c r="CB53" s="523"/>
      <c r="CC53" s="523"/>
      <c r="CD53" s="523"/>
      <c r="CE53" s="523"/>
      <c r="CF53" s="523"/>
      <c r="CG53" s="523"/>
      <c r="CH53" s="523"/>
      <c r="CI53" s="523">
        <f t="shared" si="1"/>
        <v>0</v>
      </c>
    </row>
    <row r="54" spans="1:87" s="110" customFormat="1" ht="25.5" x14ac:dyDescent="0.2">
      <c r="A54" s="379" t="s">
        <v>1386</v>
      </c>
      <c r="B54" s="380">
        <v>92791</v>
      </c>
      <c r="C54" s="380" t="s">
        <v>1324</v>
      </c>
      <c r="D54" s="381" t="s">
        <v>1373</v>
      </c>
      <c r="E54" s="382" t="s">
        <v>35</v>
      </c>
      <c r="F54" s="138"/>
      <c r="G54" s="383">
        <v>6.11</v>
      </c>
      <c r="H54" s="382">
        <v>240.18</v>
      </c>
      <c r="I54" s="132">
        <f t="shared" si="2"/>
        <v>0</v>
      </c>
      <c r="J54" s="374">
        <f t="shared" si="3"/>
        <v>0</v>
      </c>
      <c r="K54" s="132">
        <f t="shared" si="13"/>
        <v>240.18</v>
      </c>
      <c r="L54" s="131">
        <f t="shared" si="15"/>
        <v>1467.5</v>
      </c>
      <c r="M54" s="131">
        <f t="shared" si="15"/>
        <v>0</v>
      </c>
      <c r="N54" s="131">
        <f t="shared" si="15"/>
        <v>0</v>
      </c>
      <c r="O54" s="131">
        <f t="shared" si="15"/>
        <v>1467.5</v>
      </c>
      <c r="P54" s="388">
        <f t="shared" si="0"/>
        <v>0</v>
      </c>
      <c r="S54" s="192">
        <v>2.6700000000000017</v>
      </c>
      <c r="T54" s="192">
        <v>10.71</v>
      </c>
      <c r="BU54" s="523"/>
      <c r="BV54" s="523"/>
      <c r="BW54" s="523"/>
      <c r="BX54" s="523"/>
      <c r="BY54" s="523"/>
      <c r="BZ54" s="523"/>
      <c r="CA54" s="523"/>
      <c r="CB54" s="523"/>
      <c r="CC54" s="523"/>
      <c r="CD54" s="523"/>
      <c r="CE54" s="523"/>
      <c r="CF54" s="523"/>
      <c r="CG54" s="523"/>
      <c r="CH54" s="523"/>
      <c r="CI54" s="523">
        <f t="shared" si="1"/>
        <v>0</v>
      </c>
    </row>
    <row r="55" spans="1:87" x14ac:dyDescent="0.2">
      <c r="A55" s="379" t="s">
        <v>1387</v>
      </c>
      <c r="B55" s="380">
        <v>92720</v>
      </c>
      <c r="C55" s="380" t="s">
        <v>1324</v>
      </c>
      <c r="D55" s="381" t="s">
        <v>1375</v>
      </c>
      <c r="E55" s="382" t="s">
        <v>48</v>
      </c>
      <c r="F55" s="129"/>
      <c r="G55" s="383">
        <v>323.87</v>
      </c>
      <c r="H55" s="382">
        <v>10.71</v>
      </c>
      <c r="I55" s="132">
        <f t="shared" si="2"/>
        <v>0</v>
      </c>
      <c r="J55" s="374">
        <f t="shared" si="3"/>
        <v>0</v>
      </c>
      <c r="K55" s="132">
        <f t="shared" si="13"/>
        <v>10.71</v>
      </c>
      <c r="L55" s="131">
        <f t="shared" si="15"/>
        <v>3468.65</v>
      </c>
      <c r="M55" s="131">
        <f t="shared" si="15"/>
        <v>0</v>
      </c>
      <c r="N55" s="131">
        <f t="shared" si="15"/>
        <v>0</v>
      </c>
      <c r="O55" s="131">
        <f t="shared" si="15"/>
        <v>3468.65</v>
      </c>
      <c r="P55" s="388">
        <f t="shared" si="0"/>
        <v>0</v>
      </c>
      <c r="S55" s="189">
        <v>0</v>
      </c>
      <c r="T55" s="189">
        <v>84.33</v>
      </c>
      <c r="BU55" s="523"/>
      <c r="BV55" s="523"/>
      <c r="BW55" s="523"/>
      <c r="BX55" s="523"/>
      <c r="BY55" s="523"/>
      <c r="BZ55" s="523"/>
      <c r="CA55" s="523"/>
      <c r="CB55" s="523"/>
      <c r="CC55" s="523"/>
      <c r="CD55" s="523"/>
      <c r="CE55" s="523"/>
      <c r="CF55" s="523"/>
      <c r="CG55" s="523"/>
      <c r="CH55" s="523"/>
      <c r="CI55" s="523">
        <f t="shared" si="1"/>
        <v>0</v>
      </c>
    </row>
    <row r="56" spans="1:87" s="481" customFormat="1" x14ac:dyDescent="0.2">
      <c r="A56" s="125" t="s">
        <v>1388</v>
      </c>
      <c r="B56" s="126" t="s">
        <v>1389</v>
      </c>
      <c r="C56" s="126" t="s">
        <v>1324</v>
      </c>
      <c r="D56" s="127" t="s">
        <v>1390</v>
      </c>
      <c r="E56" s="128" t="s">
        <v>14</v>
      </c>
      <c r="F56" s="129"/>
      <c r="G56" s="130">
        <v>57.17</v>
      </c>
      <c r="H56" s="128">
        <v>84.33</v>
      </c>
      <c r="I56" s="132">
        <f t="shared" si="2"/>
        <v>0</v>
      </c>
      <c r="J56" s="374">
        <f t="shared" si="3"/>
        <v>0</v>
      </c>
      <c r="K56" s="132">
        <f t="shared" si="13"/>
        <v>84.33</v>
      </c>
      <c r="L56" s="131">
        <f t="shared" si="15"/>
        <v>4821.1499999999996</v>
      </c>
      <c r="M56" s="131">
        <f t="shared" si="15"/>
        <v>0</v>
      </c>
      <c r="N56" s="131">
        <f t="shared" si="15"/>
        <v>0</v>
      </c>
      <c r="O56" s="131">
        <f t="shared" si="15"/>
        <v>4821.1499999999996</v>
      </c>
      <c r="P56" s="136">
        <f t="shared" si="0"/>
        <v>0</v>
      </c>
      <c r="S56" s="190">
        <v>0</v>
      </c>
      <c r="T56" s="190">
        <v>0</v>
      </c>
      <c r="BU56" s="523"/>
      <c r="BV56" s="523"/>
      <c r="BW56" s="523"/>
      <c r="BX56" s="523"/>
      <c r="BY56" s="523"/>
      <c r="BZ56" s="523"/>
      <c r="CA56" s="523"/>
      <c r="CB56" s="523"/>
      <c r="CC56" s="523"/>
      <c r="CD56" s="523"/>
      <c r="CE56" s="523"/>
      <c r="CF56" s="523"/>
      <c r="CG56" s="523"/>
      <c r="CH56" s="523"/>
      <c r="CI56" s="523">
        <f t="shared" si="1"/>
        <v>0</v>
      </c>
    </row>
    <row r="57" spans="1:87" x14ac:dyDescent="0.2">
      <c r="A57" s="449" t="s">
        <v>1391</v>
      </c>
      <c r="B57" s="450"/>
      <c r="C57" s="450"/>
      <c r="D57" s="451" t="s">
        <v>1392</v>
      </c>
      <c r="E57" s="465"/>
      <c r="F57" s="468"/>
      <c r="G57" s="465"/>
      <c r="H57" s="465"/>
      <c r="I57" s="465"/>
      <c r="J57" s="474"/>
      <c r="K57" s="526"/>
      <c r="L57" s="468">
        <f>SUM(L58:L61)</f>
        <v>13794.349999999999</v>
      </c>
      <c r="M57" s="468">
        <f>SUM(M58:M61)</f>
        <v>0</v>
      </c>
      <c r="N57" s="468">
        <f>SUM(N58:N61)</f>
        <v>0</v>
      </c>
      <c r="O57" s="468">
        <f>SUM(O58:O61)</f>
        <v>13794.349999999999</v>
      </c>
      <c r="P57" s="459">
        <f t="shared" si="0"/>
        <v>0</v>
      </c>
      <c r="S57" s="189">
        <v>0</v>
      </c>
      <c r="T57" s="189">
        <v>0</v>
      </c>
      <c r="BU57" s="523"/>
      <c r="BV57" s="523"/>
      <c r="BW57" s="523"/>
      <c r="BX57" s="523"/>
      <c r="BY57" s="523"/>
      <c r="BZ57" s="523"/>
      <c r="CA57" s="523"/>
      <c r="CB57" s="523"/>
      <c r="CC57" s="523"/>
      <c r="CD57" s="523"/>
      <c r="CE57" s="523"/>
      <c r="CF57" s="523"/>
      <c r="CG57" s="523"/>
      <c r="CH57" s="523"/>
      <c r="CI57" s="523">
        <f t="shared" si="1"/>
        <v>0</v>
      </c>
    </row>
    <row r="58" spans="1:87" x14ac:dyDescent="0.2">
      <c r="A58" s="125" t="s">
        <v>1393</v>
      </c>
      <c r="B58" s="126">
        <v>92510</v>
      </c>
      <c r="C58" s="126" t="s">
        <v>1324</v>
      </c>
      <c r="D58" s="127" t="s">
        <v>1384</v>
      </c>
      <c r="E58" s="128" t="s">
        <v>14</v>
      </c>
      <c r="F58" s="137">
        <v>41.64</v>
      </c>
      <c r="G58" s="130">
        <v>93.42</v>
      </c>
      <c r="H58" s="128">
        <v>111.8</v>
      </c>
      <c r="I58" s="132">
        <f t="shared" si="2"/>
        <v>0</v>
      </c>
      <c r="J58" s="374">
        <f t="shared" si="3"/>
        <v>0</v>
      </c>
      <c r="K58" s="137">
        <f t="shared" ref="K58:K68" si="16">H58-J58</f>
        <v>111.8</v>
      </c>
      <c r="L58" s="131">
        <f t="shared" ref="L58:O61" si="17">ROUND(H58*$G58,2)</f>
        <v>10444.36</v>
      </c>
      <c r="M58" s="131">
        <f t="shared" si="17"/>
        <v>0</v>
      </c>
      <c r="N58" s="131">
        <f t="shared" si="17"/>
        <v>0</v>
      </c>
      <c r="O58" s="131">
        <f t="shared" si="17"/>
        <v>10444.36</v>
      </c>
      <c r="P58" s="136">
        <f t="shared" si="0"/>
        <v>0</v>
      </c>
      <c r="S58" s="189">
        <v>0</v>
      </c>
      <c r="T58" s="189">
        <v>0</v>
      </c>
      <c r="BU58" s="523"/>
      <c r="BV58" s="523"/>
      <c r="BW58" s="523"/>
      <c r="BX58" s="523"/>
      <c r="BY58" s="523"/>
      <c r="BZ58" s="523"/>
      <c r="CA58" s="523"/>
      <c r="CB58" s="523"/>
      <c r="CC58" s="523"/>
      <c r="CD58" s="523"/>
      <c r="CE58" s="523"/>
      <c r="CF58" s="523"/>
      <c r="CG58" s="523"/>
      <c r="CH58" s="523"/>
      <c r="CI58" s="523">
        <f t="shared" si="1"/>
        <v>0</v>
      </c>
    </row>
    <row r="59" spans="1:87" ht="25.5" x14ac:dyDescent="0.2">
      <c r="A59" s="125" t="s">
        <v>1394</v>
      </c>
      <c r="B59" s="126">
        <v>92793</v>
      </c>
      <c r="C59" s="126" t="s">
        <v>1324</v>
      </c>
      <c r="D59" s="127" t="s">
        <v>1372</v>
      </c>
      <c r="E59" s="128" t="s">
        <v>35</v>
      </c>
      <c r="F59" s="137">
        <v>7.91</v>
      </c>
      <c r="G59" s="130">
        <v>4.6500000000000004</v>
      </c>
      <c r="H59" s="128">
        <v>135.38999999999999</v>
      </c>
      <c r="I59" s="132">
        <f t="shared" si="2"/>
        <v>0</v>
      </c>
      <c r="J59" s="374">
        <f t="shared" si="3"/>
        <v>0</v>
      </c>
      <c r="K59" s="137">
        <f t="shared" si="16"/>
        <v>135.38999999999999</v>
      </c>
      <c r="L59" s="131">
        <f t="shared" si="17"/>
        <v>629.55999999999995</v>
      </c>
      <c r="M59" s="131">
        <f t="shared" si="17"/>
        <v>0</v>
      </c>
      <c r="N59" s="131">
        <f t="shared" si="17"/>
        <v>0</v>
      </c>
      <c r="O59" s="131">
        <f t="shared" si="17"/>
        <v>629.55999999999995</v>
      </c>
      <c r="P59" s="136">
        <f t="shared" si="0"/>
        <v>0</v>
      </c>
      <c r="S59" s="189">
        <v>0</v>
      </c>
      <c r="T59" s="189">
        <v>0</v>
      </c>
      <c r="BU59" s="523"/>
      <c r="BV59" s="523"/>
      <c r="BW59" s="523"/>
      <c r="BX59" s="523"/>
      <c r="BY59" s="523"/>
      <c r="BZ59" s="523"/>
      <c r="CA59" s="523"/>
      <c r="CB59" s="523"/>
      <c r="CC59" s="523"/>
      <c r="CD59" s="523"/>
      <c r="CE59" s="523"/>
      <c r="CF59" s="523"/>
      <c r="CG59" s="523"/>
      <c r="CH59" s="523"/>
      <c r="CI59" s="523">
        <f t="shared" si="1"/>
        <v>0</v>
      </c>
    </row>
    <row r="60" spans="1:87" ht="25.5" x14ac:dyDescent="0.2">
      <c r="A60" s="125" t="s">
        <v>1395</v>
      </c>
      <c r="B60" s="126">
        <v>92791</v>
      </c>
      <c r="C60" s="126" t="s">
        <v>1324</v>
      </c>
      <c r="D60" s="127" t="s">
        <v>1373</v>
      </c>
      <c r="E60" s="128" t="s">
        <v>35</v>
      </c>
      <c r="F60" s="137">
        <v>53.52</v>
      </c>
      <c r="G60" s="130">
        <v>6.11</v>
      </c>
      <c r="H60" s="128">
        <v>95.93</v>
      </c>
      <c r="I60" s="132">
        <f t="shared" si="2"/>
        <v>0</v>
      </c>
      <c r="J60" s="374">
        <f t="shared" si="3"/>
        <v>0</v>
      </c>
      <c r="K60" s="137">
        <f t="shared" si="16"/>
        <v>95.93</v>
      </c>
      <c r="L60" s="131">
        <f t="shared" si="17"/>
        <v>586.13</v>
      </c>
      <c r="M60" s="131">
        <f t="shared" si="17"/>
        <v>0</v>
      </c>
      <c r="N60" s="131">
        <f t="shared" si="17"/>
        <v>0</v>
      </c>
      <c r="O60" s="131">
        <f t="shared" si="17"/>
        <v>586.13</v>
      </c>
      <c r="P60" s="136">
        <f t="shared" si="0"/>
        <v>0</v>
      </c>
      <c r="S60" s="189">
        <v>0</v>
      </c>
      <c r="T60" s="189">
        <v>0</v>
      </c>
      <c r="BU60" s="523"/>
      <c r="BV60" s="523"/>
      <c r="BW60" s="523"/>
      <c r="BX60" s="523"/>
      <c r="BY60" s="523"/>
      <c r="BZ60" s="523"/>
      <c r="CA60" s="523"/>
      <c r="CB60" s="523"/>
      <c r="CC60" s="523"/>
      <c r="CD60" s="523"/>
      <c r="CE60" s="523"/>
      <c r="CF60" s="523"/>
      <c r="CG60" s="523"/>
      <c r="CH60" s="523"/>
      <c r="CI60" s="523">
        <f t="shared" si="1"/>
        <v>0</v>
      </c>
    </row>
    <row r="61" spans="1:87" s="481" customFormat="1" x14ac:dyDescent="0.2">
      <c r="A61" s="125" t="s">
        <v>1396</v>
      </c>
      <c r="B61" s="126">
        <v>92720</v>
      </c>
      <c r="C61" s="126" t="s">
        <v>1324</v>
      </c>
      <c r="D61" s="127" t="s">
        <v>1375</v>
      </c>
      <c r="E61" s="128" t="s">
        <v>48</v>
      </c>
      <c r="F61" s="137">
        <v>203.72</v>
      </c>
      <c r="G61" s="130">
        <v>323.87</v>
      </c>
      <c r="H61" s="128">
        <v>6.59</v>
      </c>
      <c r="I61" s="132">
        <f t="shared" si="2"/>
        <v>0</v>
      </c>
      <c r="J61" s="374">
        <f t="shared" si="3"/>
        <v>0</v>
      </c>
      <c r="K61" s="137">
        <f t="shared" si="16"/>
        <v>6.59</v>
      </c>
      <c r="L61" s="131">
        <f t="shared" si="17"/>
        <v>2134.3000000000002</v>
      </c>
      <c r="M61" s="131">
        <f t="shared" si="17"/>
        <v>0</v>
      </c>
      <c r="N61" s="131">
        <f t="shared" si="17"/>
        <v>0</v>
      </c>
      <c r="O61" s="131">
        <f t="shared" si="17"/>
        <v>2134.3000000000002</v>
      </c>
      <c r="P61" s="136">
        <f t="shared" si="0"/>
        <v>0</v>
      </c>
      <c r="S61" s="190">
        <v>0</v>
      </c>
      <c r="T61" s="190">
        <v>0</v>
      </c>
      <c r="BU61" s="523"/>
      <c r="BV61" s="523"/>
      <c r="BW61" s="523"/>
      <c r="BX61" s="523"/>
      <c r="BY61" s="523"/>
      <c r="BZ61" s="523"/>
      <c r="CA61" s="523"/>
      <c r="CB61" s="523"/>
      <c r="CC61" s="523"/>
      <c r="CD61" s="523"/>
      <c r="CE61" s="523"/>
      <c r="CF61" s="523"/>
      <c r="CG61" s="523"/>
      <c r="CH61" s="523"/>
      <c r="CI61" s="523">
        <f t="shared" si="1"/>
        <v>0</v>
      </c>
    </row>
    <row r="62" spans="1:87" x14ac:dyDescent="0.2">
      <c r="A62" s="449" t="s">
        <v>1397</v>
      </c>
      <c r="B62" s="450"/>
      <c r="C62" s="450"/>
      <c r="D62" s="451" t="s">
        <v>1398</v>
      </c>
      <c r="E62" s="465"/>
      <c r="F62" s="465"/>
      <c r="G62" s="465"/>
      <c r="H62" s="465"/>
      <c r="I62" s="465"/>
      <c r="J62" s="465"/>
      <c r="K62" s="465"/>
      <c r="L62" s="452">
        <f>SUM(L63:L66)</f>
        <v>23465.25</v>
      </c>
      <c r="M62" s="452">
        <f>SUM(M63:M66)</f>
        <v>0</v>
      </c>
      <c r="N62" s="452">
        <f>SUM(N63:N66)</f>
        <v>0</v>
      </c>
      <c r="O62" s="452">
        <f>SUM(O63:O66)</f>
        <v>23465.25</v>
      </c>
      <c r="P62" s="459">
        <f t="shared" si="0"/>
        <v>0</v>
      </c>
      <c r="S62" s="189">
        <v>0</v>
      </c>
      <c r="T62" s="189">
        <v>0</v>
      </c>
      <c r="BU62" s="523"/>
      <c r="BV62" s="523"/>
      <c r="BW62" s="523"/>
      <c r="BX62" s="523"/>
      <c r="BY62" s="523"/>
      <c r="BZ62" s="523"/>
      <c r="CA62" s="523"/>
      <c r="CB62" s="523"/>
      <c r="CC62" s="523"/>
      <c r="CD62" s="523"/>
      <c r="CE62" s="523"/>
      <c r="CF62" s="523"/>
      <c r="CG62" s="523"/>
      <c r="CH62" s="523"/>
      <c r="CI62" s="523">
        <f t="shared" si="1"/>
        <v>0</v>
      </c>
    </row>
    <row r="63" spans="1:87" x14ac:dyDescent="0.2">
      <c r="A63" s="125" t="s">
        <v>1399</v>
      </c>
      <c r="B63" s="126">
        <v>92422</v>
      </c>
      <c r="C63" s="126" t="s">
        <v>1324</v>
      </c>
      <c r="D63" s="127" t="s">
        <v>1384</v>
      </c>
      <c r="E63" s="128" t="s">
        <v>14</v>
      </c>
      <c r="F63" s="137">
        <v>52.6</v>
      </c>
      <c r="G63" s="130">
        <v>93.42</v>
      </c>
      <c r="H63" s="128">
        <v>10.8</v>
      </c>
      <c r="I63" s="132">
        <f t="shared" si="2"/>
        <v>0</v>
      </c>
      <c r="J63" s="374">
        <f t="shared" si="3"/>
        <v>0</v>
      </c>
      <c r="K63" s="137">
        <f t="shared" si="16"/>
        <v>10.8</v>
      </c>
      <c r="L63" s="131">
        <f t="shared" ref="L63:O66" si="18">ROUND(H63*$G63,2)</f>
        <v>1008.94</v>
      </c>
      <c r="M63" s="131">
        <f t="shared" si="18"/>
        <v>0</v>
      </c>
      <c r="N63" s="131">
        <f t="shared" si="18"/>
        <v>0</v>
      </c>
      <c r="O63" s="131">
        <f t="shared" si="18"/>
        <v>1008.94</v>
      </c>
      <c r="P63" s="136">
        <f t="shared" si="0"/>
        <v>0</v>
      </c>
      <c r="S63" s="189">
        <v>0</v>
      </c>
      <c r="T63" s="189">
        <v>0</v>
      </c>
      <c r="BU63" s="523"/>
      <c r="BV63" s="523"/>
      <c r="BW63" s="523"/>
      <c r="BX63" s="523"/>
      <c r="BY63" s="523"/>
      <c r="BZ63" s="523"/>
      <c r="CA63" s="523"/>
      <c r="CB63" s="523"/>
      <c r="CC63" s="523"/>
      <c r="CD63" s="523"/>
      <c r="CE63" s="523"/>
      <c r="CF63" s="523"/>
      <c r="CG63" s="523"/>
      <c r="CH63" s="523"/>
      <c r="CI63" s="523">
        <f t="shared" si="1"/>
        <v>0</v>
      </c>
    </row>
    <row r="64" spans="1:87" x14ac:dyDescent="0.2">
      <c r="A64" s="125" t="s">
        <v>1400</v>
      </c>
      <c r="B64" s="126" t="s">
        <v>1401</v>
      </c>
      <c r="C64" s="126" t="s">
        <v>1324</v>
      </c>
      <c r="D64" s="127" t="s">
        <v>1402</v>
      </c>
      <c r="E64" s="128" t="s">
        <v>48</v>
      </c>
      <c r="F64" s="137">
        <v>49.48</v>
      </c>
      <c r="G64" s="130">
        <v>98.55</v>
      </c>
      <c r="H64" s="128">
        <v>33.83</v>
      </c>
      <c r="I64" s="132">
        <f t="shared" si="2"/>
        <v>0</v>
      </c>
      <c r="J64" s="374">
        <f t="shared" si="3"/>
        <v>0</v>
      </c>
      <c r="K64" s="137">
        <f t="shared" si="16"/>
        <v>33.83</v>
      </c>
      <c r="L64" s="131">
        <f t="shared" si="18"/>
        <v>3333.95</v>
      </c>
      <c r="M64" s="131">
        <f t="shared" si="18"/>
        <v>0</v>
      </c>
      <c r="N64" s="131">
        <f t="shared" si="18"/>
        <v>0</v>
      </c>
      <c r="O64" s="131">
        <f t="shared" si="18"/>
        <v>3333.95</v>
      </c>
      <c r="P64" s="136">
        <f t="shared" si="0"/>
        <v>0</v>
      </c>
      <c r="S64" s="189">
        <v>0</v>
      </c>
      <c r="T64" s="189">
        <v>0</v>
      </c>
      <c r="BU64" s="523"/>
      <c r="BV64" s="523"/>
      <c r="BW64" s="523"/>
      <c r="BX64" s="523"/>
      <c r="BY64" s="523"/>
      <c r="BZ64" s="523"/>
      <c r="CA64" s="523"/>
      <c r="CB64" s="523"/>
      <c r="CC64" s="523"/>
      <c r="CD64" s="523"/>
      <c r="CE64" s="523"/>
      <c r="CF64" s="523"/>
      <c r="CG64" s="523"/>
      <c r="CH64" s="523"/>
      <c r="CI64" s="523">
        <f t="shared" si="1"/>
        <v>0</v>
      </c>
    </row>
    <row r="65" spans="1:87" x14ac:dyDescent="0.2">
      <c r="A65" s="125" t="s">
        <v>1403</v>
      </c>
      <c r="B65" s="126">
        <v>85662</v>
      </c>
      <c r="C65" s="126" t="s">
        <v>1324</v>
      </c>
      <c r="D65" s="127" t="s">
        <v>1404</v>
      </c>
      <c r="E65" s="128" t="s">
        <v>14</v>
      </c>
      <c r="F65" s="138"/>
      <c r="G65" s="130">
        <v>10.34</v>
      </c>
      <c r="H65" s="128">
        <v>1001.47</v>
      </c>
      <c r="I65" s="132">
        <f t="shared" si="2"/>
        <v>0</v>
      </c>
      <c r="J65" s="374">
        <f t="shared" si="3"/>
        <v>0</v>
      </c>
      <c r="K65" s="137">
        <f t="shared" si="16"/>
        <v>1001.47</v>
      </c>
      <c r="L65" s="131">
        <f t="shared" si="18"/>
        <v>10355.200000000001</v>
      </c>
      <c r="M65" s="131">
        <f t="shared" si="18"/>
        <v>0</v>
      </c>
      <c r="N65" s="131">
        <f t="shared" si="18"/>
        <v>0</v>
      </c>
      <c r="O65" s="131">
        <f t="shared" si="18"/>
        <v>10355.200000000001</v>
      </c>
      <c r="P65" s="136">
        <f t="shared" si="0"/>
        <v>0</v>
      </c>
      <c r="S65" s="189">
        <v>0</v>
      </c>
      <c r="T65" s="189">
        <v>0</v>
      </c>
      <c r="BU65" s="523"/>
      <c r="BV65" s="523"/>
      <c r="BW65" s="523"/>
      <c r="BX65" s="523"/>
      <c r="BY65" s="523"/>
      <c r="BZ65" s="523"/>
      <c r="CA65" s="523"/>
      <c r="CB65" s="523"/>
      <c r="CC65" s="523"/>
      <c r="CD65" s="523"/>
      <c r="CE65" s="523"/>
      <c r="CF65" s="523"/>
      <c r="CG65" s="523"/>
      <c r="CH65" s="523"/>
      <c r="CI65" s="523">
        <f t="shared" si="1"/>
        <v>0</v>
      </c>
    </row>
    <row r="66" spans="1:87" s="481" customFormat="1" x14ac:dyDescent="0.2">
      <c r="A66" s="125" t="s">
        <v>1405</v>
      </c>
      <c r="B66" s="126">
        <v>92720</v>
      </c>
      <c r="C66" s="126" t="s">
        <v>1324</v>
      </c>
      <c r="D66" s="127" t="s">
        <v>1375</v>
      </c>
      <c r="E66" s="128" t="s">
        <v>48</v>
      </c>
      <c r="F66" s="129"/>
      <c r="G66" s="130">
        <v>323.87</v>
      </c>
      <c r="H66" s="128">
        <v>27.07</v>
      </c>
      <c r="I66" s="132">
        <f t="shared" si="2"/>
        <v>0</v>
      </c>
      <c r="J66" s="374">
        <f t="shared" si="3"/>
        <v>0</v>
      </c>
      <c r="K66" s="137">
        <f t="shared" si="16"/>
        <v>27.07</v>
      </c>
      <c r="L66" s="131">
        <f t="shared" si="18"/>
        <v>8767.16</v>
      </c>
      <c r="M66" s="131">
        <f t="shared" si="18"/>
        <v>0</v>
      </c>
      <c r="N66" s="131">
        <f t="shared" si="18"/>
        <v>0</v>
      </c>
      <c r="O66" s="131">
        <f t="shared" si="18"/>
        <v>8767.16</v>
      </c>
      <c r="P66" s="136">
        <f t="shared" si="0"/>
        <v>0</v>
      </c>
      <c r="S66" s="190">
        <v>0</v>
      </c>
      <c r="T66" s="190">
        <v>33.9</v>
      </c>
      <c r="BU66" s="523"/>
      <c r="BV66" s="523"/>
      <c r="BW66" s="523"/>
      <c r="BX66" s="523"/>
      <c r="BY66" s="523"/>
      <c r="BZ66" s="523"/>
      <c r="CA66" s="523"/>
      <c r="CB66" s="523"/>
      <c r="CC66" s="523"/>
      <c r="CD66" s="523"/>
      <c r="CE66" s="523"/>
      <c r="CF66" s="523"/>
      <c r="CG66" s="523"/>
      <c r="CH66" s="523"/>
      <c r="CI66" s="523">
        <f t="shared" si="1"/>
        <v>0</v>
      </c>
    </row>
    <row r="67" spans="1:87" x14ac:dyDescent="0.2">
      <c r="A67" s="449" t="s">
        <v>1406</v>
      </c>
      <c r="B67" s="450"/>
      <c r="C67" s="450"/>
      <c r="D67" s="451" t="s">
        <v>1407</v>
      </c>
      <c r="E67" s="465"/>
      <c r="F67" s="465"/>
      <c r="G67" s="465"/>
      <c r="H67" s="465"/>
      <c r="I67" s="465"/>
      <c r="J67" s="465"/>
      <c r="K67" s="465"/>
      <c r="L67" s="452">
        <f>L68</f>
        <v>912.59</v>
      </c>
      <c r="M67" s="452">
        <f>M68</f>
        <v>0</v>
      </c>
      <c r="N67" s="452">
        <f>N68</f>
        <v>0</v>
      </c>
      <c r="O67" s="452">
        <f>O68</f>
        <v>912.59</v>
      </c>
      <c r="P67" s="459">
        <f t="shared" si="0"/>
        <v>0</v>
      </c>
      <c r="S67" s="189">
        <v>0</v>
      </c>
      <c r="T67" s="189">
        <v>33.9</v>
      </c>
      <c r="BU67" s="523"/>
      <c r="BV67" s="523"/>
      <c r="BW67" s="523"/>
      <c r="BX67" s="523"/>
      <c r="BY67" s="523"/>
      <c r="BZ67" s="523"/>
      <c r="CA67" s="523"/>
      <c r="CB67" s="523"/>
      <c r="CC67" s="523"/>
      <c r="CD67" s="523"/>
      <c r="CE67" s="523"/>
      <c r="CF67" s="523"/>
      <c r="CG67" s="523"/>
      <c r="CH67" s="523"/>
      <c r="CI67" s="523">
        <f t="shared" si="1"/>
        <v>0</v>
      </c>
    </row>
    <row r="68" spans="1:87" s="481" customFormat="1" x14ac:dyDescent="0.2">
      <c r="A68" s="125" t="s">
        <v>1408</v>
      </c>
      <c r="B68" s="126" t="s">
        <v>1409</v>
      </c>
      <c r="C68" s="126" t="s">
        <v>1324</v>
      </c>
      <c r="D68" s="127" t="s">
        <v>1410</v>
      </c>
      <c r="E68" s="128" t="s">
        <v>81</v>
      </c>
      <c r="F68" s="137">
        <v>329.55</v>
      </c>
      <c r="G68" s="130">
        <v>26.92</v>
      </c>
      <c r="H68" s="128">
        <v>33.9</v>
      </c>
      <c r="I68" s="132">
        <f t="shared" si="2"/>
        <v>0</v>
      </c>
      <c r="J68" s="374">
        <f t="shared" si="3"/>
        <v>0</v>
      </c>
      <c r="K68" s="137">
        <f t="shared" si="16"/>
        <v>33.9</v>
      </c>
      <c r="L68" s="131">
        <f>ROUND(H68*$G68,2)</f>
        <v>912.59</v>
      </c>
      <c r="M68" s="131">
        <f>ROUND(I68*$G68,2)</f>
        <v>0</v>
      </c>
      <c r="N68" s="131">
        <f>ROUND(J68*$G68,2)</f>
        <v>0</v>
      </c>
      <c r="O68" s="131">
        <f>ROUND(K68*$G68,2)</f>
        <v>912.59</v>
      </c>
      <c r="P68" s="136">
        <f t="shared" si="0"/>
        <v>0</v>
      </c>
      <c r="S68" s="190">
        <v>0</v>
      </c>
      <c r="T68" s="190">
        <v>0</v>
      </c>
      <c r="BU68" s="523"/>
      <c r="BV68" s="523"/>
      <c r="BW68" s="523"/>
      <c r="BX68" s="523"/>
      <c r="BY68" s="523"/>
      <c r="BZ68" s="523"/>
      <c r="CA68" s="523"/>
      <c r="CB68" s="523"/>
      <c r="CC68" s="523"/>
      <c r="CD68" s="523"/>
      <c r="CE68" s="523"/>
      <c r="CF68" s="523"/>
      <c r="CG68" s="523"/>
      <c r="CH68" s="523"/>
      <c r="CI68" s="523">
        <f t="shared" si="1"/>
        <v>0</v>
      </c>
    </row>
    <row r="69" spans="1:87" s="481" customFormat="1" x14ac:dyDescent="0.2">
      <c r="A69" s="412">
        <v>5</v>
      </c>
      <c r="B69" s="413"/>
      <c r="C69" s="413"/>
      <c r="D69" s="414" t="s">
        <v>1411</v>
      </c>
      <c r="E69" s="415"/>
      <c r="F69" s="415"/>
      <c r="G69" s="415"/>
      <c r="H69" s="415"/>
      <c r="I69" s="415"/>
      <c r="J69" s="415"/>
      <c r="K69" s="415"/>
      <c r="L69" s="424">
        <f>SUM(L70,L72,L75)</f>
        <v>31428.92</v>
      </c>
      <c r="M69" s="424">
        <f>SUM(M70,M72,M75)</f>
        <v>0</v>
      </c>
      <c r="N69" s="424">
        <f>SUM(N70,N72,N75)</f>
        <v>0</v>
      </c>
      <c r="O69" s="424">
        <f>SUM(O70,O72,O75)</f>
        <v>31428.92</v>
      </c>
      <c r="P69" s="423">
        <f t="shared" si="0"/>
        <v>0</v>
      </c>
      <c r="S69" s="190">
        <v>0</v>
      </c>
      <c r="T69" s="190">
        <v>0</v>
      </c>
      <c r="BU69" s="523"/>
      <c r="BV69" s="523"/>
      <c r="BW69" s="523"/>
      <c r="BX69" s="523"/>
      <c r="BY69" s="523"/>
      <c r="BZ69" s="523"/>
      <c r="CA69" s="523"/>
      <c r="CB69" s="523"/>
      <c r="CC69" s="523"/>
      <c r="CD69" s="523"/>
      <c r="CE69" s="523"/>
      <c r="CF69" s="523"/>
      <c r="CG69" s="523"/>
      <c r="CH69" s="523"/>
      <c r="CI69" s="523">
        <f t="shared" si="1"/>
        <v>0</v>
      </c>
    </row>
    <row r="70" spans="1:87" x14ac:dyDescent="0.2">
      <c r="A70" s="449" t="s">
        <v>98</v>
      </c>
      <c r="B70" s="450"/>
      <c r="C70" s="450"/>
      <c r="D70" s="451" t="s">
        <v>1412</v>
      </c>
      <c r="E70" s="465"/>
      <c r="F70" s="465"/>
      <c r="G70" s="465"/>
      <c r="H70" s="465"/>
      <c r="I70" s="465"/>
      <c r="J70" s="465"/>
      <c r="K70" s="465"/>
      <c r="L70" s="452">
        <f>L71</f>
        <v>7200.78</v>
      </c>
      <c r="M70" s="452">
        <f>M71</f>
        <v>0</v>
      </c>
      <c r="N70" s="452">
        <f>N71</f>
        <v>0</v>
      </c>
      <c r="O70" s="452">
        <f>O71</f>
        <v>7200.78</v>
      </c>
      <c r="P70" s="459">
        <f t="shared" si="0"/>
        <v>0</v>
      </c>
      <c r="S70" s="189">
        <v>0</v>
      </c>
      <c r="T70" s="189">
        <v>0</v>
      </c>
      <c r="BU70" s="523"/>
      <c r="BV70" s="523"/>
      <c r="BW70" s="523"/>
      <c r="BX70" s="523"/>
      <c r="BY70" s="523"/>
      <c r="BZ70" s="523"/>
      <c r="CA70" s="523"/>
      <c r="CB70" s="523"/>
      <c r="CC70" s="523"/>
      <c r="CD70" s="523"/>
      <c r="CE70" s="523"/>
      <c r="CF70" s="523"/>
      <c r="CG70" s="523"/>
      <c r="CH70" s="523"/>
      <c r="CI70" s="523">
        <f t="shared" si="1"/>
        <v>0</v>
      </c>
    </row>
    <row r="71" spans="1:87" s="481" customFormat="1" ht="25.5" x14ac:dyDescent="0.2">
      <c r="A71" s="125" t="s">
        <v>100</v>
      </c>
      <c r="B71" s="126" t="s">
        <v>1413</v>
      </c>
      <c r="C71" s="126" t="s">
        <v>1324</v>
      </c>
      <c r="D71" s="127" t="s">
        <v>1414</v>
      </c>
      <c r="E71" s="128" t="s">
        <v>14</v>
      </c>
      <c r="F71" s="137">
        <v>222.6</v>
      </c>
      <c r="G71" s="130">
        <v>53.45</v>
      </c>
      <c r="H71" s="128">
        <v>134.72</v>
      </c>
      <c r="I71" s="132">
        <f t="shared" si="2"/>
        <v>0</v>
      </c>
      <c r="J71" s="374">
        <f t="shared" si="3"/>
        <v>0</v>
      </c>
      <c r="K71" s="137">
        <f>H71-J71</f>
        <v>134.72</v>
      </c>
      <c r="L71" s="131">
        <f>ROUND(H71*$G71,2)</f>
        <v>7200.78</v>
      </c>
      <c r="M71" s="131">
        <f>ROUND(I71*$G71,2)</f>
        <v>0</v>
      </c>
      <c r="N71" s="131">
        <f>ROUND(J71*$G71,2)</f>
        <v>0</v>
      </c>
      <c r="O71" s="131">
        <f>ROUND(K71*$G71,2)</f>
        <v>7200.78</v>
      </c>
      <c r="P71" s="136">
        <f t="shared" si="0"/>
        <v>0</v>
      </c>
      <c r="S71" s="190">
        <v>0</v>
      </c>
      <c r="T71" s="190">
        <v>328.62</v>
      </c>
      <c r="BU71" s="523"/>
      <c r="BV71" s="523"/>
      <c r="BW71" s="523"/>
      <c r="BX71" s="523"/>
      <c r="BY71" s="523"/>
      <c r="BZ71" s="523"/>
      <c r="CA71" s="523"/>
      <c r="CB71" s="523"/>
      <c r="CC71" s="523"/>
      <c r="CD71" s="523"/>
      <c r="CE71" s="523"/>
      <c r="CF71" s="523"/>
      <c r="CG71" s="523"/>
      <c r="CH71" s="523"/>
      <c r="CI71" s="523">
        <f t="shared" si="1"/>
        <v>0</v>
      </c>
    </row>
    <row r="72" spans="1:87" x14ac:dyDescent="0.2">
      <c r="A72" s="449" t="s">
        <v>116</v>
      </c>
      <c r="B72" s="450"/>
      <c r="C72" s="450"/>
      <c r="D72" s="451" t="s">
        <v>1415</v>
      </c>
      <c r="E72" s="465"/>
      <c r="F72" s="465"/>
      <c r="G72" s="465"/>
      <c r="H72" s="465"/>
      <c r="I72" s="465"/>
      <c r="J72" s="465"/>
      <c r="K72" s="465"/>
      <c r="L72" s="468">
        <f>SUM(L73:L74)</f>
        <v>15726.869999999999</v>
      </c>
      <c r="M72" s="468">
        <f>SUM(M73:M74)</f>
        <v>0</v>
      </c>
      <c r="N72" s="468">
        <f>SUM(N73:N74)</f>
        <v>0</v>
      </c>
      <c r="O72" s="468">
        <f>SUM(O73:O74)</f>
        <v>15726.869999999999</v>
      </c>
      <c r="P72" s="459">
        <f t="shared" si="0"/>
        <v>0</v>
      </c>
      <c r="S72" s="189">
        <v>0</v>
      </c>
      <c r="T72" s="189">
        <v>259.22000000000003</v>
      </c>
      <c r="BU72" s="523"/>
      <c r="BV72" s="523"/>
      <c r="BW72" s="523"/>
      <c r="BX72" s="523"/>
      <c r="BY72" s="523"/>
      <c r="BZ72" s="523"/>
      <c r="CA72" s="523"/>
      <c r="CB72" s="523"/>
      <c r="CC72" s="523"/>
      <c r="CD72" s="523"/>
      <c r="CE72" s="523"/>
      <c r="CF72" s="523"/>
      <c r="CG72" s="523"/>
      <c r="CH72" s="523"/>
      <c r="CI72" s="523">
        <f t="shared" si="1"/>
        <v>0</v>
      </c>
    </row>
    <row r="73" spans="1:87" ht="25.5" x14ac:dyDescent="0.2">
      <c r="A73" s="125" t="s">
        <v>118</v>
      </c>
      <c r="B73" s="126">
        <v>87519</v>
      </c>
      <c r="C73" s="126" t="s">
        <v>1324</v>
      </c>
      <c r="D73" s="127" t="s">
        <v>1416</v>
      </c>
      <c r="E73" s="128" t="s">
        <v>14</v>
      </c>
      <c r="F73" s="137">
        <v>378.98</v>
      </c>
      <c r="G73" s="130">
        <v>56.29</v>
      </c>
      <c r="H73" s="128">
        <v>259.22000000000003</v>
      </c>
      <c r="I73" s="132">
        <f t="shared" si="2"/>
        <v>0</v>
      </c>
      <c r="J73" s="374">
        <f t="shared" si="3"/>
        <v>0</v>
      </c>
      <c r="K73" s="137">
        <f>H73-J73</f>
        <v>259.22000000000003</v>
      </c>
      <c r="L73" s="131">
        <f t="shared" ref="L73:O74" si="19">ROUND(H73*$G73,2)</f>
        <v>14591.49</v>
      </c>
      <c r="M73" s="131">
        <f t="shared" si="19"/>
        <v>0</v>
      </c>
      <c r="N73" s="131">
        <f t="shared" si="19"/>
        <v>0</v>
      </c>
      <c r="O73" s="131">
        <f t="shared" si="19"/>
        <v>14591.49</v>
      </c>
      <c r="P73" s="136">
        <f t="shared" si="0"/>
        <v>0</v>
      </c>
      <c r="S73" s="189">
        <v>0</v>
      </c>
      <c r="T73" s="189">
        <v>69.400000000000006</v>
      </c>
      <c r="BU73" s="523"/>
      <c r="BV73" s="523"/>
      <c r="BW73" s="523"/>
      <c r="BX73" s="523"/>
      <c r="BY73" s="523"/>
      <c r="BZ73" s="523"/>
      <c r="CA73" s="523"/>
      <c r="CB73" s="523"/>
      <c r="CC73" s="523"/>
      <c r="CD73" s="523"/>
      <c r="CE73" s="523"/>
      <c r="CF73" s="523"/>
      <c r="CG73" s="523"/>
      <c r="CH73" s="523"/>
      <c r="CI73" s="523">
        <f t="shared" si="1"/>
        <v>0</v>
      </c>
    </row>
    <row r="74" spans="1:87" s="481" customFormat="1" ht="38.25" x14ac:dyDescent="0.2">
      <c r="A74" s="125" t="s">
        <v>123</v>
      </c>
      <c r="B74" s="126" t="s">
        <v>1417</v>
      </c>
      <c r="C74" s="126" t="s">
        <v>1324</v>
      </c>
      <c r="D74" s="127" t="s">
        <v>1418</v>
      </c>
      <c r="E74" s="128" t="s">
        <v>81</v>
      </c>
      <c r="F74" s="137">
        <v>421.82</v>
      </c>
      <c r="G74" s="130">
        <v>16.36</v>
      </c>
      <c r="H74" s="128">
        <v>69.400000000000006</v>
      </c>
      <c r="I74" s="132">
        <f t="shared" si="2"/>
        <v>0</v>
      </c>
      <c r="J74" s="374">
        <f t="shared" si="3"/>
        <v>0</v>
      </c>
      <c r="K74" s="137">
        <f>H74-J74</f>
        <v>69.400000000000006</v>
      </c>
      <c r="L74" s="131">
        <f t="shared" si="19"/>
        <v>1135.3800000000001</v>
      </c>
      <c r="M74" s="131">
        <f t="shared" si="19"/>
        <v>0</v>
      </c>
      <c r="N74" s="131">
        <f t="shared" si="19"/>
        <v>0</v>
      </c>
      <c r="O74" s="131">
        <f t="shared" si="19"/>
        <v>1135.3800000000001</v>
      </c>
      <c r="P74" s="136">
        <f t="shared" si="0"/>
        <v>0</v>
      </c>
      <c r="S74" s="190">
        <v>0</v>
      </c>
      <c r="T74" s="190">
        <v>0</v>
      </c>
      <c r="BU74" s="523"/>
      <c r="BV74" s="523"/>
      <c r="BW74" s="523"/>
      <c r="BX74" s="523"/>
      <c r="BY74" s="523"/>
      <c r="BZ74" s="523"/>
      <c r="CA74" s="523"/>
      <c r="CB74" s="523"/>
      <c r="CC74" s="523"/>
      <c r="CD74" s="523"/>
      <c r="CE74" s="523"/>
      <c r="CF74" s="523"/>
      <c r="CG74" s="523"/>
      <c r="CH74" s="523"/>
      <c r="CI74" s="523">
        <f t="shared" si="1"/>
        <v>0</v>
      </c>
    </row>
    <row r="75" spans="1:87" x14ac:dyDescent="0.2">
      <c r="A75" s="449" t="s">
        <v>1419</v>
      </c>
      <c r="B75" s="450"/>
      <c r="C75" s="450"/>
      <c r="D75" s="451" t="s">
        <v>1420</v>
      </c>
      <c r="E75" s="465"/>
      <c r="F75" s="465"/>
      <c r="G75" s="465"/>
      <c r="H75" s="465"/>
      <c r="I75" s="465"/>
      <c r="J75" s="465"/>
      <c r="K75" s="465"/>
      <c r="L75" s="468">
        <f>L76</f>
        <v>8501.27</v>
      </c>
      <c r="M75" s="468">
        <f>M76</f>
        <v>0</v>
      </c>
      <c r="N75" s="468">
        <f>N76</f>
        <v>0</v>
      </c>
      <c r="O75" s="468">
        <f>O76</f>
        <v>8501.27</v>
      </c>
      <c r="P75" s="459">
        <f t="shared" si="0"/>
        <v>0</v>
      </c>
      <c r="S75" s="189">
        <v>0</v>
      </c>
      <c r="T75" s="189">
        <v>0</v>
      </c>
      <c r="BU75" s="523"/>
      <c r="BV75" s="523"/>
      <c r="BW75" s="523"/>
      <c r="BX75" s="523"/>
      <c r="BY75" s="523"/>
      <c r="BZ75" s="523"/>
      <c r="CA75" s="523"/>
      <c r="CB75" s="523"/>
      <c r="CC75" s="523"/>
      <c r="CD75" s="523"/>
      <c r="CE75" s="523"/>
      <c r="CF75" s="523"/>
      <c r="CG75" s="523"/>
      <c r="CH75" s="523"/>
      <c r="CI75" s="523">
        <f t="shared" si="1"/>
        <v>0</v>
      </c>
    </row>
    <row r="76" spans="1:87" ht="25.5" x14ac:dyDescent="0.2">
      <c r="A76" s="125" t="s">
        <v>1421</v>
      </c>
      <c r="B76" s="126" t="s">
        <v>1422</v>
      </c>
      <c r="C76" s="126" t="s">
        <v>1324</v>
      </c>
      <c r="D76" s="127" t="s">
        <v>1423</v>
      </c>
      <c r="E76" s="128" t="s">
        <v>14</v>
      </c>
      <c r="F76" s="138"/>
      <c r="G76" s="130">
        <v>57.41</v>
      </c>
      <c r="H76" s="128">
        <v>148.08000000000001</v>
      </c>
      <c r="I76" s="132">
        <f t="shared" si="2"/>
        <v>0</v>
      </c>
      <c r="J76" s="374">
        <f t="shared" si="3"/>
        <v>0</v>
      </c>
      <c r="K76" s="137">
        <f>H76-J76</f>
        <v>148.08000000000001</v>
      </c>
      <c r="L76" s="131">
        <f>ROUND(H76*$G76,2)</f>
        <v>8501.27</v>
      </c>
      <c r="M76" s="131">
        <f>ROUND(I76*$G76,2)</f>
        <v>0</v>
      </c>
      <c r="N76" s="131">
        <f>ROUND(J76*$G76,2)</f>
        <v>0</v>
      </c>
      <c r="O76" s="131">
        <f>ROUND(K76*$G76,2)</f>
        <v>8501.27</v>
      </c>
      <c r="P76" s="136">
        <f t="shared" si="0"/>
        <v>0</v>
      </c>
      <c r="S76" s="189">
        <v>0</v>
      </c>
      <c r="T76" s="189">
        <v>0</v>
      </c>
      <c r="BU76" s="523"/>
      <c r="BV76" s="523"/>
      <c r="BW76" s="523"/>
      <c r="BX76" s="523"/>
      <c r="BY76" s="523"/>
      <c r="BZ76" s="523"/>
      <c r="CA76" s="523"/>
      <c r="CB76" s="523"/>
      <c r="CC76" s="523"/>
      <c r="CD76" s="523"/>
      <c r="CE76" s="523"/>
      <c r="CF76" s="523"/>
      <c r="CG76" s="523"/>
      <c r="CH76" s="523"/>
      <c r="CI76" s="523">
        <f t="shared" si="1"/>
        <v>0</v>
      </c>
    </row>
    <row r="77" spans="1:87" s="481" customFormat="1" x14ac:dyDescent="0.2">
      <c r="A77" s="412">
        <v>6</v>
      </c>
      <c r="B77" s="413"/>
      <c r="C77" s="413"/>
      <c r="D77" s="414" t="s">
        <v>97</v>
      </c>
      <c r="E77" s="415"/>
      <c r="F77" s="415"/>
      <c r="G77" s="415"/>
      <c r="H77" s="415"/>
      <c r="I77" s="415"/>
      <c r="J77" s="415"/>
      <c r="K77" s="415"/>
      <c r="L77" s="433">
        <f>SUM(L78,L83,L87,L90)</f>
        <v>10373.979999999998</v>
      </c>
      <c r="M77" s="433">
        <f>SUM(M78,M83,M87,M90)</f>
        <v>0</v>
      </c>
      <c r="N77" s="433">
        <f>SUM(N78,N83,N87,N90)</f>
        <v>0</v>
      </c>
      <c r="O77" s="433">
        <f>SUM(O78,O83,O87,O90)</f>
        <v>10373.979999999998</v>
      </c>
      <c r="P77" s="423">
        <f t="shared" si="0"/>
        <v>0</v>
      </c>
      <c r="S77" s="190">
        <v>0</v>
      </c>
      <c r="T77" s="190">
        <v>0</v>
      </c>
      <c r="BU77" s="523"/>
      <c r="BV77" s="523"/>
      <c r="BW77" s="523"/>
      <c r="BX77" s="523"/>
      <c r="BY77" s="523"/>
      <c r="BZ77" s="523"/>
      <c r="CA77" s="523"/>
      <c r="CB77" s="523"/>
      <c r="CC77" s="523"/>
      <c r="CD77" s="523"/>
      <c r="CE77" s="523"/>
      <c r="CF77" s="523"/>
      <c r="CG77" s="523"/>
      <c r="CH77" s="523"/>
      <c r="CI77" s="523">
        <f t="shared" si="1"/>
        <v>0</v>
      </c>
    </row>
    <row r="78" spans="1:87" x14ac:dyDescent="0.2">
      <c r="A78" s="449" t="s">
        <v>186</v>
      </c>
      <c r="B78" s="450"/>
      <c r="C78" s="450"/>
      <c r="D78" s="451" t="s">
        <v>1424</v>
      </c>
      <c r="E78" s="465"/>
      <c r="F78" s="465"/>
      <c r="G78" s="465"/>
      <c r="H78" s="465"/>
      <c r="I78" s="465"/>
      <c r="J78" s="465"/>
      <c r="K78" s="465"/>
      <c r="L78" s="468">
        <f>SUM(L79:L82)</f>
        <v>7440.7899999999991</v>
      </c>
      <c r="M78" s="468">
        <f>SUM(M79:M82)</f>
        <v>0</v>
      </c>
      <c r="N78" s="468">
        <f>SUM(N79:N82)</f>
        <v>0</v>
      </c>
      <c r="O78" s="468">
        <f>SUM(O79:O82)</f>
        <v>7440.7899999999991</v>
      </c>
      <c r="P78" s="459">
        <f t="shared" ref="P78:P87" si="20">N78/L78</f>
        <v>0</v>
      </c>
      <c r="S78" s="189">
        <v>0</v>
      </c>
      <c r="T78" s="189">
        <v>0</v>
      </c>
      <c r="BU78" s="523"/>
      <c r="BV78" s="523"/>
      <c r="BW78" s="523"/>
      <c r="BX78" s="523"/>
      <c r="BY78" s="523"/>
      <c r="BZ78" s="523"/>
      <c r="CA78" s="523"/>
      <c r="CB78" s="523"/>
      <c r="CC78" s="523"/>
      <c r="CD78" s="523"/>
      <c r="CE78" s="523"/>
      <c r="CF78" s="523"/>
      <c r="CG78" s="523"/>
      <c r="CH78" s="523"/>
      <c r="CI78" s="523">
        <f t="shared" si="1"/>
        <v>0</v>
      </c>
    </row>
    <row r="79" spans="1:87" ht="25.5" x14ac:dyDescent="0.2">
      <c r="A79" s="125" t="s">
        <v>1425</v>
      </c>
      <c r="B79" s="126">
        <v>90843</v>
      </c>
      <c r="C79" s="126" t="s">
        <v>1324</v>
      </c>
      <c r="D79" s="127" t="s">
        <v>1426</v>
      </c>
      <c r="E79" s="128" t="s">
        <v>102</v>
      </c>
      <c r="F79" s="129"/>
      <c r="G79" s="130">
        <v>688.65</v>
      </c>
      <c r="H79" s="128">
        <v>2</v>
      </c>
      <c r="I79" s="132">
        <f t="shared" si="2"/>
        <v>0</v>
      </c>
      <c r="J79" s="374">
        <f t="shared" si="3"/>
        <v>0</v>
      </c>
      <c r="K79" s="137">
        <f>H79-J79</f>
        <v>2</v>
      </c>
      <c r="L79" s="131">
        <f t="shared" ref="L79:O82" si="21">ROUND(H79*$G79,2)</f>
        <v>1377.3</v>
      </c>
      <c r="M79" s="131">
        <f t="shared" si="21"/>
        <v>0</v>
      </c>
      <c r="N79" s="131">
        <f t="shared" si="21"/>
        <v>0</v>
      </c>
      <c r="O79" s="131">
        <f t="shared" si="21"/>
        <v>1377.3</v>
      </c>
      <c r="P79" s="136">
        <f t="shared" si="20"/>
        <v>0</v>
      </c>
      <c r="S79" s="189">
        <v>0</v>
      </c>
      <c r="T79" s="189">
        <v>0</v>
      </c>
      <c r="BU79" s="523"/>
      <c r="BV79" s="523"/>
      <c r="BW79" s="523"/>
      <c r="BX79" s="523"/>
      <c r="BY79" s="523"/>
      <c r="BZ79" s="523"/>
      <c r="CA79" s="523"/>
      <c r="CB79" s="523"/>
      <c r="CC79" s="523"/>
      <c r="CD79" s="523"/>
      <c r="CE79" s="523"/>
      <c r="CF79" s="523"/>
      <c r="CG79" s="523"/>
      <c r="CH79" s="523"/>
      <c r="CI79" s="523">
        <f t="shared" ref="CI79:CI142" si="22">SUM(BU79:CH79)</f>
        <v>0</v>
      </c>
    </row>
    <row r="80" spans="1:87" ht="25.5" x14ac:dyDescent="0.2">
      <c r="A80" s="125" t="s">
        <v>1427</v>
      </c>
      <c r="B80" s="126">
        <v>90844</v>
      </c>
      <c r="C80" s="126" t="s">
        <v>1324</v>
      </c>
      <c r="D80" s="127" t="s">
        <v>1428</v>
      </c>
      <c r="E80" s="128" t="s">
        <v>102</v>
      </c>
      <c r="F80" s="137">
        <v>179.33</v>
      </c>
      <c r="G80" s="130">
        <v>926.13</v>
      </c>
      <c r="H80" s="128">
        <v>1</v>
      </c>
      <c r="I80" s="133">
        <f t="shared" ref="I80:I143" si="23">BU80</f>
        <v>0</v>
      </c>
      <c r="J80" s="374">
        <f t="shared" ref="J80:J143" si="24">CI80</f>
        <v>0</v>
      </c>
      <c r="K80" s="137">
        <f>H80-J80</f>
        <v>1</v>
      </c>
      <c r="L80" s="131">
        <f t="shared" si="21"/>
        <v>926.13</v>
      </c>
      <c r="M80" s="131">
        <f t="shared" si="21"/>
        <v>0</v>
      </c>
      <c r="N80" s="131">
        <f t="shared" si="21"/>
        <v>0</v>
      </c>
      <c r="O80" s="131">
        <f t="shared" si="21"/>
        <v>926.13</v>
      </c>
      <c r="P80" s="136">
        <f t="shared" si="20"/>
        <v>0</v>
      </c>
      <c r="S80" s="189">
        <v>0</v>
      </c>
      <c r="T80" s="189">
        <v>0</v>
      </c>
      <c r="BU80" s="523"/>
      <c r="BV80" s="523"/>
      <c r="BW80" s="523"/>
      <c r="BX80" s="523"/>
      <c r="BY80" s="523"/>
      <c r="BZ80" s="523"/>
      <c r="CA80" s="523"/>
      <c r="CB80" s="523"/>
      <c r="CC80" s="523"/>
      <c r="CD80" s="523"/>
      <c r="CE80" s="523"/>
      <c r="CF80" s="523"/>
      <c r="CG80" s="523"/>
      <c r="CH80" s="523"/>
      <c r="CI80" s="523">
        <f t="shared" si="22"/>
        <v>0</v>
      </c>
    </row>
    <row r="81" spans="1:87" ht="25.5" x14ac:dyDescent="0.2">
      <c r="A81" s="125" t="s">
        <v>1429</v>
      </c>
      <c r="B81" s="126" t="s">
        <v>1430</v>
      </c>
      <c r="C81" s="126" t="s">
        <v>1324</v>
      </c>
      <c r="D81" s="127" t="s">
        <v>1431</v>
      </c>
      <c r="E81" s="128" t="s">
        <v>102</v>
      </c>
      <c r="F81" s="137">
        <v>268.98</v>
      </c>
      <c r="G81" s="130">
        <v>825.22</v>
      </c>
      <c r="H81" s="128">
        <v>4</v>
      </c>
      <c r="I81" s="133">
        <f t="shared" si="23"/>
        <v>0</v>
      </c>
      <c r="J81" s="374">
        <f t="shared" si="24"/>
        <v>0</v>
      </c>
      <c r="K81" s="137">
        <f>H81-J81</f>
        <v>4</v>
      </c>
      <c r="L81" s="131">
        <f t="shared" si="21"/>
        <v>3300.88</v>
      </c>
      <c r="M81" s="131">
        <f t="shared" si="21"/>
        <v>0</v>
      </c>
      <c r="N81" s="131">
        <f t="shared" si="21"/>
        <v>0</v>
      </c>
      <c r="O81" s="131">
        <f t="shared" si="21"/>
        <v>3300.88</v>
      </c>
      <c r="P81" s="136">
        <f t="shared" si="20"/>
        <v>0</v>
      </c>
      <c r="S81" s="189">
        <v>0</v>
      </c>
      <c r="T81" s="189">
        <v>0</v>
      </c>
      <c r="BU81" s="523"/>
      <c r="BV81" s="523"/>
      <c r="BW81" s="523"/>
      <c r="BX81" s="523"/>
      <c r="BY81" s="523"/>
      <c r="BZ81" s="523"/>
      <c r="CA81" s="523"/>
      <c r="CB81" s="523"/>
      <c r="CC81" s="523"/>
      <c r="CD81" s="523"/>
      <c r="CE81" s="523"/>
      <c r="CF81" s="523"/>
      <c r="CG81" s="523"/>
      <c r="CH81" s="523"/>
      <c r="CI81" s="523">
        <f t="shared" si="22"/>
        <v>0</v>
      </c>
    </row>
    <row r="82" spans="1:87" s="481" customFormat="1" ht="25.5" x14ac:dyDescent="0.2">
      <c r="A82" s="125" t="s">
        <v>1432</v>
      </c>
      <c r="B82" s="126" t="s">
        <v>1433</v>
      </c>
      <c r="C82" s="126" t="s">
        <v>1324</v>
      </c>
      <c r="D82" s="127" t="s">
        <v>1434</v>
      </c>
      <c r="E82" s="128" t="s">
        <v>102</v>
      </c>
      <c r="F82" s="137">
        <v>134.49</v>
      </c>
      <c r="G82" s="130">
        <v>918.24</v>
      </c>
      <c r="H82" s="128">
        <v>2</v>
      </c>
      <c r="I82" s="133">
        <f t="shared" si="23"/>
        <v>0</v>
      </c>
      <c r="J82" s="374">
        <f t="shared" si="24"/>
        <v>0</v>
      </c>
      <c r="K82" s="137">
        <f>H82-J82</f>
        <v>2</v>
      </c>
      <c r="L82" s="131">
        <f t="shared" si="21"/>
        <v>1836.48</v>
      </c>
      <c r="M82" s="131">
        <f t="shared" si="21"/>
        <v>0</v>
      </c>
      <c r="N82" s="131">
        <f t="shared" si="21"/>
        <v>0</v>
      </c>
      <c r="O82" s="131">
        <f t="shared" si="21"/>
        <v>1836.48</v>
      </c>
      <c r="P82" s="136">
        <f t="shared" si="20"/>
        <v>0</v>
      </c>
      <c r="S82" s="190">
        <v>0</v>
      </c>
      <c r="T82" s="190">
        <v>0</v>
      </c>
      <c r="BU82" s="523"/>
      <c r="BV82" s="523"/>
      <c r="BW82" s="523"/>
      <c r="BX82" s="523"/>
      <c r="BY82" s="523"/>
      <c r="BZ82" s="523"/>
      <c r="CA82" s="523"/>
      <c r="CB82" s="523"/>
      <c r="CC82" s="523"/>
      <c r="CD82" s="523"/>
      <c r="CE82" s="523"/>
      <c r="CF82" s="523"/>
      <c r="CG82" s="523"/>
      <c r="CH82" s="523"/>
      <c r="CI82" s="523">
        <f t="shared" si="22"/>
        <v>0</v>
      </c>
    </row>
    <row r="83" spans="1:87" x14ac:dyDescent="0.2">
      <c r="A83" s="449" t="s">
        <v>188</v>
      </c>
      <c r="B83" s="450"/>
      <c r="C83" s="450"/>
      <c r="D83" s="451" t="s">
        <v>1435</v>
      </c>
      <c r="E83" s="465"/>
      <c r="F83" s="465"/>
      <c r="G83" s="465"/>
      <c r="H83" s="465"/>
      <c r="I83" s="465"/>
      <c r="J83" s="465"/>
      <c r="K83" s="465"/>
      <c r="L83" s="452">
        <f>SUM(L84:L86)</f>
        <v>773.29</v>
      </c>
      <c r="M83" s="452">
        <f>SUM(M84:M86)</f>
        <v>0</v>
      </c>
      <c r="N83" s="452">
        <f>SUM(N84:N86)</f>
        <v>0</v>
      </c>
      <c r="O83" s="452">
        <f>SUM(O84:O86)</f>
        <v>773.29</v>
      </c>
      <c r="P83" s="459">
        <f t="shared" si="20"/>
        <v>0</v>
      </c>
      <c r="S83" s="189">
        <v>0</v>
      </c>
      <c r="T83" s="189">
        <v>0</v>
      </c>
      <c r="BU83" s="523"/>
      <c r="BV83" s="523"/>
      <c r="BW83" s="523"/>
      <c r="BX83" s="523"/>
      <c r="BY83" s="523"/>
      <c r="BZ83" s="523"/>
      <c r="CA83" s="523"/>
      <c r="CB83" s="523"/>
      <c r="CC83" s="523"/>
      <c r="CD83" s="523"/>
      <c r="CE83" s="523"/>
      <c r="CF83" s="523"/>
      <c r="CG83" s="523"/>
      <c r="CH83" s="523"/>
      <c r="CI83" s="523">
        <f t="shared" si="22"/>
        <v>0</v>
      </c>
    </row>
    <row r="84" spans="1:87" ht="25.5" x14ac:dyDescent="0.2">
      <c r="A84" s="125" t="s">
        <v>1436</v>
      </c>
      <c r="B84" s="126" t="s">
        <v>2007</v>
      </c>
      <c r="C84" s="126" t="s">
        <v>1339</v>
      </c>
      <c r="D84" s="127" t="s">
        <v>1437</v>
      </c>
      <c r="E84" s="128" t="s">
        <v>81</v>
      </c>
      <c r="F84" s="137">
        <v>627.62</v>
      </c>
      <c r="G84" s="130">
        <v>48.24</v>
      </c>
      <c r="H84" s="128">
        <v>11.6</v>
      </c>
      <c r="I84" s="133">
        <f t="shared" si="23"/>
        <v>0</v>
      </c>
      <c r="J84" s="374">
        <f t="shared" si="24"/>
        <v>0</v>
      </c>
      <c r="K84" s="137">
        <f t="shared" ref="K84:K91" si="25">H84-J84</f>
        <v>11.6</v>
      </c>
      <c r="L84" s="131">
        <f t="shared" ref="L84:O86" si="26">ROUND(H84*$G84,2)</f>
        <v>559.58000000000004</v>
      </c>
      <c r="M84" s="131">
        <f t="shared" si="26"/>
        <v>0</v>
      </c>
      <c r="N84" s="131">
        <f t="shared" si="26"/>
        <v>0</v>
      </c>
      <c r="O84" s="131">
        <f t="shared" si="26"/>
        <v>559.58000000000004</v>
      </c>
      <c r="P84" s="136">
        <f t="shared" si="20"/>
        <v>0</v>
      </c>
      <c r="S84" s="189">
        <v>0</v>
      </c>
      <c r="T84" s="189">
        <v>0</v>
      </c>
      <c r="BU84" s="523"/>
      <c r="BV84" s="523"/>
      <c r="BW84" s="523"/>
      <c r="BX84" s="523"/>
      <c r="BY84" s="523"/>
      <c r="BZ84" s="523"/>
      <c r="CA84" s="523"/>
      <c r="CB84" s="523"/>
      <c r="CC84" s="523"/>
      <c r="CD84" s="523"/>
      <c r="CE84" s="523"/>
      <c r="CF84" s="523"/>
      <c r="CG84" s="523"/>
      <c r="CH84" s="523"/>
      <c r="CI84" s="523">
        <f t="shared" si="22"/>
        <v>0</v>
      </c>
    </row>
    <row r="85" spans="1:87" ht="25.5" x14ac:dyDescent="0.2">
      <c r="A85" s="125" t="s">
        <v>1438</v>
      </c>
      <c r="B85" s="126" t="s">
        <v>2007</v>
      </c>
      <c r="C85" s="126" t="s">
        <v>1339</v>
      </c>
      <c r="D85" s="127" t="s">
        <v>1439</v>
      </c>
      <c r="E85" s="128" t="s">
        <v>14</v>
      </c>
      <c r="F85" s="137">
        <v>358.64</v>
      </c>
      <c r="G85" s="130">
        <v>5.44</v>
      </c>
      <c r="H85" s="128">
        <v>4.3</v>
      </c>
      <c r="I85" s="133">
        <f t="shared" si="23"/>
        <v>0</v>
      </c>
      <c r="J85" s="374">
        <f t="shared" si="24"/>
        <v>0</v>
      </c>
      <c r="K85" s="137">
        <f t="shared" si="25"/>
        <v>4.3</v>
      </c>
      <c r="L85" s="131">
        <f t="shared" si="26"/>
        <v>23.39</v>
      </c>
      <c r="M85" s="131">
        <f t="shared" si="26"/>
        <v>0</v>
      </c>
      <c r="N85" s="131">
        <f t="shared" si="26"/>
        <v>0</v>
      </c>
      <c r="O85" s="131">
        <f t="shared" si="26"/>
        <v>23.39</v>
      </c>
      <c r="P85" s="136">
        <f t="shared" si="20"/>
        <v>0</v>
      </c>
      <c r="S85" s="189">
        <v>0</v>
      </c>
      <c r="T85" s="189">
        <v>0</v>
      </c>
      <c r="BU85" s="523"/>
      <c r="BV85" s="523"/>
      <c r="BW85" s="523"/>
      <c r="BX85" s="523"/>
      <c r="BY85" s="523"/>
      <c r="BZ85" s="523"/>
      <c r="CA85" s="523"/>
      <c r="CB85" s="523"/>
      <c r="CC85" s="523"/>
      <c r="CD85" s="523"/>
      <c r="CE85" s="523"/>
      <c r="CF85" s="523"/>
      <c r="CG85" s="523"/>
      <c r="CH85" s="523"/>
      <c r="CI85" s="523">
        <f t="shared" si="22"/>
        <v>0</v>
      </c>
    </row>
    <row r="86" spans="1:87" s="481" customFormat="1" x14ac:dyDescent="0.2">
      <c r="A86" s="125" t="s">
        <v>1440</v>
      </c>
      <c r="B86" s="126" t="s">
        <v>1441</v>
      </c>
      <c r="C86" s="126" t="s">
        <v>1324</v>
      </c>
      <c r="D86" s="127" t="s">
        <v>1442</v>
      </c>
      <c r="E86" s="128" t="s">
        <v>102</v>
      </c>
      <c r="F86" s="137">
        <v>448.3</v>
      </c>
      <c r="G86" s="130">
        <v>31.72</v>
      </c>
      <c r="H86" s="128">
        <v>6</v>
      </c>
      <c r="I86" s="133">
        <f t="shared" si="23"/>
        <v>0</v>
      </c>
      <c r="J86" s="374">
        <f t="shared" si="24"/>
        <v>0</v>
      </c>
      <c r="K86" s="137">
        <f t="shared" si="25"/>
        <v>6</v>
      </c>
      <c r="L86" s="131">
        <f t="shared" si="26"/>
        <v>190.32</v>
      </c>
      <c r="M86" s="131">
        <f t="shared" si="26"/>
        <v>0</v>
      </c>
      <c r="N86" s="131">
        <f t="shared" si="26"/>
        <v>0</v>
      </c>
      <c r="O86" s="131">
        <f t="shared" si="26"/>
        <v>190.32</v>
      </c>
      <c r="P86" s="136">
        <f t="shared" si="20"/>
        <v>0</v>
      </c>
      <c r="S86" s="190">
        <v>0</v>
      </c>
      <c r="T86" s="190">
        <v>0</v>
      </c>
      <c r="BU86" s="523"/>
      <c r="BV86" s="523"/>
      <c r="BW86" s="523"/>
      <c r="BX86" s="523"/>
      <c r="BY86" s="523"/>
      <c r="BZ86" s="523"/>
      <c r="CA86" s="523"/>
      <c r="CB86" s="523"/>
      <c r="CC86" s="523"/>
      <c r="CD86" s="523"/>
      <c r="CE86" s="523"/>
      <c r="CF86" s="523"/>
      <c r="CG86" s="523"/>
      <c r="CH86" s="523"/>
      <c r="CI86" s="523">
        <f t="shared" si="22"/>
        <v>0</v>
      </c>
    </row>
    <row r="87" spans="1:87" x14ac:dyDescent="0.2">
      <c r="A87" s="449" t="s">
        <v>1443</v>
      </c>
      <c r="B87" s="450"/>
      <c r="C87" s="450"/>
      <c r="D87" s="451" t="s">
        <v>1444</v>
      </c>
      <c r="E87" s="465"/>
      <c r="F87" s="465"/>
      <c r="G87" s="465"/>
      <c r="H87" s="465"/>
      <c r="I87" s="465"/>
      <c r="J87" s="465"/>
      <c r="K87" s="465"/>
      <c r="L87" s="460">
        <f>L89</f>
        <v>331.68</v>
      </c>
      <c r="M87" s="460">
        <f>M89</f>
        <v>0</v>
      </c>
      <c r="N87" s="460">
        <f>N89</f>
        <v>0</v>
      </c>
      <c r="O87" s="460">
        <f>O89</f>
        <v>331.68</v>
      </c>
      <c r="P87" s="459">
        <f t="shared" si="20"/>
        <v>0</v>
      </c>
      <c r="S87" s="189">
        <v>0</v>
      </c>
      <c r="T87" s="189">
        <v>0</v>
      </c>
      <c r="BU87" s="523"/>
      <c r="BV87" s="523"/>
      <c r="BW87" s="523"/>
      <c r="BX87" s="523"/>
      <c r="BY87" s="523"/>
      <c r="BZ87" s="523"/>
      <c r="CA87" s="523"/>
      <c r="CB87" s="523"/>
      <c r="CC87" s="523"/>
      <c r="CD87" s="523"/>
      <c r="CE87" s="523"/>
      <c r="CF87" s="523"/>
      <c r="CG87" s="523"/>
      <c r="CH87" s="523"/>
      <c r="CI87" s="523">
        <f t="shared" si="22"/>
        <v>0</v>
      </c>
    </row>
    <row r="88" spans="1:87" x14ac:dyDescent="0.2">
      <c r="A88" s="125" t="s">
        <v>1445</v>
      </c>
      <c r="B88" s="126">
        <v>68052</v>
      </c>
      <c r="C88" s="126" t="s">
        <v>1324</v>
      </c>
      <c r="D88" s="397" t="s">
        <v>1446</v>
      </c>
      <c r="E88" s="128" t="s">
        <v>14</v>
      </c>
      <c r="F88" s="137">
        <v>390.13</v>
      </c>
      <c r="G88" s="130">
        <v>0</v>
      </c>
      <c r="H88" s="128">
        <v>10.8</v>
      </c>
      <c r="I88" s="133">
        <f t="shared" si="23"/>
        <v>0</v>
      </c>
      <c r="J88" s="374">
        <f t="shared" si="24"/>
        <v>0</v>
      </c>
      <c r="K88" s="137">
        <f t="shared" si="25"/>
        <v>10.8</v>
      </c>
      <c r="L88" s="131">
        <f t="shared" ref="L88:O89" si="27">ROUND(H88*$G88,2)</f>
        <v>0</v>
      </c>
      <c r="M88" s="131">
        <f t="shared" si="27"/>
        <v>0</v>
      </c>
      <c r="N88" s="131">
        <f t="shared" si="27"/>
        <v>0</v>
      </c>
      <c r="O88" s="131">
        <f t="shared" si="27"/>
        <v>0</v>
      </c>
      <c r="P88" s="136">
        <v>1</v>
      </c>
      <c r="S88" s="189">
        <v>0</v>
      </c>
      <c r="T88" s="189">
        <v>0</v>
      </c>
      <c r="BU88" s="523"/>
      <c r="BV88" s="523"/>
      <c r="BW88" s="523"/>
      <c r="BX88" s="523"/>
      <c r="BY88" s="523"/>
      <c r="BZ88" s="523"/>
      <c r="CA88" s="523"/>
      <c r="CB88" s="523"/>
      <c r="CC88" s="523"/>
      <c r="CD88" s="523"/>
      <c r="CE88" s="523"/>
      <c r="CF88" s="523"/>
      <c r="CG88" s="523"/>
      <c r="CH88" s="523"/>
      <c r="CI88" s="523">
        <f t="shared" si="22"/>
        <v>0</v>
      </c>
    </row>
    <row r="89" spans="1:87" s="481" customFormat="1" ht="25.5" x14ac:dyDescent="0.2">
      <c r="A89" s="125" t="s">
        <v>1447</v>
      </c>
      <c r="B89" s="126">
        <v>85010</v>
      </c>
      <c r="C89" s="126" t="s">
        <v>1324</v>
      </c>
      <c r="D89" s="127" t="s">
        <v>1448</v>
      </c>
      <c r="E89" s="128" t="s">
        <v>14</v>
      </c>
      <c r="F89" s="137">
        <v>975.33</v>
      </c>
      <c r="G89" s="130">
        <v>159.46</v>
      </c>
      <c r="H89" s="128">
        <v>2.08</v>
      </c>
      <c r="I89" s="133">
        <f t="shared" si="23"/>
        <v>0</v>
      </c>
      <c r="J89" s="374">
        <f t="shared" si="24"/>
        <v>0</v>
      </c>
      <c r="K89" s="137">
        <f t="shared" si="25"/>
        <v>2.08</v>
      </c>
      <c r="L89" s="131">
        <f t="shared" si="27"/>
        <v>331.68</v>
      </c>
      <c r="M89" s="131">
        <f t="shared" si="27"/>
        <v>0</v>
      </c>
      <c r="N89" s="131">
        <f t="shared" si="27"/>
        <v>0</v>
      </c>
      <c r="O89" s="131">
        <f t="shared" si="27"/>
        <v>331.68</v>
      </c>
      <c r="P89" s="136">
        <f t="shared" ref="P89:P139" si="28">N89/L89</f>
        <v>0</v>
      </c>
      <c r="S89" s="190">
        <v>0</v>
      </c>
      <c r="T89" s="190">
        <v>0</v>
      </c>
      <c r="BU89" s="523"/>
      <c r="BV89" s="523"/>
      <c r="BW89" s="523"/>
      <c r="BX89" s="523"/>
      <c r="BY89" s="523"/>
      <c r="BZ89" s="523"/>
      <c r="CA89" s="523"/>
      <c r="CB89" s="523"/>
      <c r="CC89" s="523"/>
      <c r="CD89" s="523"/>
      <c r="CE89" s="523"/>
      <c r="CF89" s="523"/>
      <c r="CG89" s="523"/>
      <c r="CH89" s="523"/>
      <c r="CI89" s="523">
        <f t="shared" si="22"/>
        <v>0</v>
      </c>
    </row>
    <row r="90" spans="1:87" x14ac:dyDescent="0.2">
      <c r="A90" s="449" t="s">
        <v>1449</v>
      </c>
      <c r="B90" s="450"/>
      <c r="C90" s="450"/>
      <c r="D90" s="451" t="s">
        <v>184</v>
      </c>
      <c r="E90" s="465"/>
      <c r="F90" s="465"/>
      <c r="G90" s="465"/>
      <c r="H90" s="465"/>
      <c r="I90" s="465"/>
      <c r="J90" s="465"/>
      <c r="K90" s="465"/>
      <c r="L90" s="460">
        <f>L91</f>
        <v>1828.22</v>
      </c>
      <c r="M90" s="460">
        <f>M91</f>
        <v>0</v>
      </c>
      <c r="N90" s="460">
        <f>N91</f>
        <v>0</v>
      </c>
      <c r="O90" s="460">
        <f>O91</f>
        <v>1828.22</v>
      </c>
      <c r="P90" s="459">
        <f t="shared" si="28"/>
        <v>0</v>
      </c>
      <c r="S90" s="189">
        <v>0</v>
      </c>
      <c r="T90" s="189">
        <v>0</v>
      </c>
      <c r="BU90" s="523"/>
      <c r="BV90" s="523"/>
      <c r="BW90" s="523"/>
      <c r="BX90" s="523"/>
      <c r="BY90" s="523"/>
      <c r="BZ90" s="523"/>
      <c r="CA90" s="523"/>
      <c r="CB90" s="523"/>
      <c r="CC90" s="523"/>
      <c r="CD90" s="523"/>
      <c r="CE90" s="523"/>
      <c r="CF90" s="523"/>
      <c r="CG90" s="523"/>
      <c r="CH90" s="523"/>
      <c r="CI90" s="523">
        <f t="shared" si="22"/>
        <v>0</v>
      </c>
    </row>
    <row r="91" spans="1:87" ht="25.5" x14ac:dyDescent="0.2">
      <c r="A91" s="125" t="s">
        <v>1450</v>
      </c>
      <c r="B91" s="126" t="s">
        <v>1451</v>
      </c>
      <c r="C91" s="126" t="s">
        <v>1324</v>
      </c>
      <c r="D91" s="127" t="s">
        <v>1452</v>
      </c>
      <c r="E91" s="128" t="s">
        <v>14</v>
      </c>
      <c r="F91" s="137">
        <v>877.8</v>
      </c>
      <c r="G91" s="130">
        <v>423.2</v>
      </c>
      <c r="H91" s="128">
        <v>4.32</v>
      </c>
      <c r="I91" s="133">
        <f t="shared" si="23"/>
        <v>0</v>
      </c>
      <c r="J91" s="374">
        <f t="shared" si="24"/>
        <v>0</v>
      </c>
      <c r="K91" s="137">
        <f t="shared" si="25"/>
        <v>4.32</v>
      </c>
      <c r="L91" s="131">
        <f>ROUND(H91*$G91,2)</f>
        <v>1828.22</v>
      </c>
      <c r="M91" s="131">
        <f>ROUND(I91*$G91,2)</f>
        <v>0</v>
      </c>
      <c r="N91" s="131">
        <f>ROUND(J91*$G91,2)</f>
        <v>0</v>
      </c>
      <c r="O91" s="131">
        <f>ROUND(K91*$G91,2)</f>
        <v>1828.22</v>
      </c>
      <c r="P91" s="136">
        <f t="shared" si="28"/>
        <v>0</v>
      </c>
      <c r="S91" s="189">
        <v>0</v>
      </c>
      <c r="T91" s="189">
        <v>0</v>
      </c>
      <c r="BU91" s="523"/>
      <c r="BV91" s="523"/>
      <c r="BW91" s="523"/>
      <c r="BX91" s="523"/>
      <c r="BY91" s="523"/>
      <c r="BZ91" s="523"/>
      <c r="CA91" s="523"/>
      <c r="CB91" s="523"/>
      <c r="CC91" s="523"/>
      <c r="CD91" s="523"/>
      <c r="CE91" s="523"/>
      <c r="CF91" s="523"/>
      <c r="CG91" s="523"/>
      <c r="CH91" s="523"/>
      <c r="CI91" s="523">
        <f t="shared" si="22"/>
        <v>0</v>
      </c>
    </row>
    <row r="92" spans="1:87" x14ac:dyDescent="0.2">
      <c r="A92" s="412">
        <v>7</v>
      </c>
      <c r="B92" s="413"/>
      <c r="C92" s="413"/>
      <c r="D92" s="414" t="s">
        <v>1453</v>
      </c>
      <c r="E92" s="415"/>
      <c r="F92" s="415"/>
      <c r="G92" s="415"/>
      <c r="H92" s="415"/>
      <c r="I92" s="415"/>
      <c r="J92" s="415"/>
      <c r="K92" s="415"/>
      <c r="L92" s="433">
        <f>SUM(L93:L94)</f>
        <v>173274.06</v>
      </c>
      <c r="M92" s="433">
        <f>SUM(M93:M94)</f>
        <v>0</v>
      </c>
      <c r="N92" s="433">
        <f>SUM(N93:N94)</f>
        <v>0</v>
      </c>
      <c r="O92" s="433">
        <f>SUM(O93:O94)</f>
        <v>173274.06</v>
      </c>
      <c r="P92" s="423">
        <f t="shared" si="28"/>
        <v>0</v>
      </c>
      <c r="S92" s="189">
        <v>0</v>
      </c>
      <c r="T92" s="189">
        <v>0</v>
      </c>
      <c r="BU92" s="523"/>
      <c r="BV92" s="523"/>
      <c r="BW92" s="523"/>
      <c r="BX92" s="523"/>
      <c r="BY92" s="523"/>
      <c r="BZ92" s="523"/>
      <c r="CA92" s="523"/>
      <c r="CB92" s="523"/>
      <c r="CC92" s="523"/>
      <c r="CD92" s="523"/>
      <c r="CE92" s="523"/>
      <c r="CF92" s="523"/>
      <c r="CG92" s="523"/>
      <c r="CH92" s="523"/>
      <c r="CI92" s="523">
        <f t="shared" si="22"/>
        <v>0</v>
      </c>
    </row>
    <row r="93" spans="1:87" ht="25.5" x14ac:dyDescent="0.2">
      <c r="A93" s="125" t="s">
        <v>193</v>
      </c>
      <c r="B93" s="126" t="s">
        <v>1454</v>
      </c>
      <c r="C93" s="126" t="s">
        <v>1324</v>
      </c>
      <c r="D93" s="127" t="s">
        <v>1455</v>
      </c>
      <c r="E93" s="128" t="s">
        <v>14</v>
      </c>
      <c r="F93" s="144">
        <v>1560.54</v>
      </c>
      <c r="G93" s="130">
        <v>51.14</v>
      </c>
      <c r="H93" s="128">
        <v>1030.4000000000001</v>
      </c>
      <c r="I93" s="133">
        <f t="shared" si="23"/>
        <v>0</v>
      </c>
      <c r="J93" s="374">
        <f t="shared" si="24"/>
        <v>0</v>
      </c>
      <c r="K93" s="137">
        <f>H93-J93</f>
        <v>1030.4000000000001</v>
      </c>
      <c r="L93" s="131">
        <f t="shared" ref="L93:O94" si="29">ROUND(H93*$G93,2)</f>
        <v>52694.66</v>
      </c>
      <c r="M93" s="131">
        <f t="shared" si="29"/>
        <v>0</v>
      </c>
      <c r="N93" s="131">
        <f t="shared" si="29"/>
        <v>0</v>
      </c>
      <c r="O93" s="131">
        <f t="shared" si="29"/>
        <v>52694.66</v>
      </c>
      <c r="P93" s="136">
        <f t="shared" si="28"/>
        <v>0</v>
      </c>
      <c r="S93" s="189">
        <v>0</v>
      </c>
      <c r="T93" s="189">
        <v>0</v>
      </c>
      <c r="BU93" s="523"/>
      <c r="BV93" s="523"/>
      <c r="BW93" s="523"/>
      <c r="BX93" s="523"/>
      <c r="BY93" s="523"/>
      <c r="BZ93" s="523"/>
      <c r="CA93" s="523"/>
      <c r="CB93" s="523"/>
      <c r="CC93" s="523"/>
      <c r="CD93" s="523"/>
      <c r="CE93" s="523"/>
      <c r="CF93" s="523"/>
      <c r="CG93" s="523"/>
      <c r="CH93" s="523"/>
      <c r="CI93" s="523">
        <f t="shared" si="22"/>
        <v>0</v>
      </c>
    </row>
    <row r="94" spans="1:87" s="110" customFormat="1" x14ac:dyDescent="0.2">
      <c r="A94" s="125" t="s">
        <v>195</v>
      </c>
      <c r="B94" s="126">
        <v>72112</v>
      </c>
      <c r="C94" s="126" t="s">
        <v>1324</v>
      </c>
      <c r="D94" s="127" t="s">
        <v>1456</v>
      </c>
      <c r="E94" s="128" t="s">
        <v>14</v>
      </c>
      <c r="F94" s="144">
        <v>1950.67</v>
      </c>
      <c r="G94" s="130">
        <v>122.99</v>
      </c>
      <c r="H94" s="128">
        <v>980.4</v>
      </c>
      <c r="I94" s="133">
        <f t="shared" si="23"/>
        <v>0</v>
      </c>
      <c r="J94" s="374">
        <f t="shared" si="24"/>
        <v>0</v>
      </c>
      <c r="K94" s="137">
        <f>H94-J94</f>
        <v>980.4</v>
      </c>
      <c r="L94" s="131">
        <f t="shared" si="29"/>
        <v>120579.4</v>
      </c>
      <c r="M94" s="131">
        <f t="shared" si="29"/>
        <v>0</v>
      </c>
      <c r="N94" s="131">
        <f t="shared" si="29"/>
        <v>0</v>
      </c>
      <c r="O94" s="131">
        <f t="shared" si="29"/>
        <v>120579.4</v>
      </c>
      <c r="P94" s="136">
        <f t="shared" si="28"/>
        <v>0</v>
      </c>
      <c r="S94" s="192">
        <v>0</v>
      </c>
      <c r="T94" s="192">
        <v>0</v>
      </c>
      <c r="BU94" s="523"/>
      <c r="BV94" s="523"/>
      <c r="BW94" s="523"/>
      <c r="BX94" s="523"/>
      <c r="BY94" s="523"/>
      <c r="BZ94" s="523"/>
      <c r="CA94" s="523"/>
      <c r="CB94" s="523"/>
      <c r="CC94" s="523"/>
      <c r="CD94" s="523"/>
      <c r="CE94" s="523"/>
      <c r="CF94" s="523"/>
      <c r="CG94" s="523"/>
      <c r="CH94" s="523"/>
      <c r="CI94" s="523">
        <f t="shared" si="22"/>
        <v>0</v>
      </c>
    </row>
    <row r="95" spans="1:87" s="110" customFormat="1" x14ac:dyDescent="0.2">
      <c r="A95" s="425">
        <v>8</v>
      </c>
      <c r="B95" s="426"/>
      <c r="C95" s="426"/>
      <c r="D95" s="427" t="s">
        <v>208</v>
      </c>
      <c r="E95" s="415"/>
      <c r="F95" s="415"/>
      <c r="G95" s="415"/>
      <c r="H95" s="415"/>
      <c r="I95" s="415"/>
      <c r="J95" s="415"/>
      <c r="K95" s="415"/>
      <c r="L95" s="428">
        <f>SUM(L96:L97)</f>
        <v>5634.27</v>
      </c>
      <c r="M95" s="429">
        <f>SUM(M96:M97)</f>
        <v>0</v>
      </c>
      <c r="N95" s="432">
        <f>SUM(N96:N97)</f>
        <v>0</v>
      </c>
      <c r="O95" s="430">
        <f>SUM(O96:O97)</f>
        <v>5634.27</v>
      </c>
      <c r="P95" s="431">
        <f t="shared" si="28"/>
        <v>0</v>
      </c>
      <c r="S95" s="192">
        <v>265.61</v>
      </c>
      <c r="T95" s="192">
        <v>265.61</v>
      </c>
      <c r="BU95" s="523"/>
      <c r="BV95" s="523"/>
      <c r="BW95" s="523"/>
      <c r="BX95" s="523"/>
      <c r="BY95" s="523"/>
      <c r="BZ95" s="523"/>
      <c r="CA95" s="523"/>
      <c r="CB95" s="523"/>
      <c r="CC95" s="523"/>
      <c r="CD95" s="523"/>
      <c r="CE95" s="523"/>
      <c r="CF95" s="523"/>
      <c r="CG95" s="523"/>
      <c r="CH95" s="523"/>
      <c r="CI95" s="523">
        <f t="shared" si="22"/>
        <v>0</v>
      </c>
    </row>
    <row r="96" spans="1:87" x14ac:dyDescent="0.2">
      <c r="A96" s="379" t="s">
        <v>210</v>
      </c>
      <c r="B96" s="380" t="s">
        <v>1457</v>
      </c>
      <c r="C96" s="380" t="s">
        <v>1324</v>
      </c>
      <c r="D96" s="381" t="s">
        <v>1458</v>
      </c>
      <c r="E96" s="382" t="s">
        <v>14</v>
      </c>
      <c r="F96" s="144">
        <v>3121.08</v>
      </c>
      <c r="G96" s="383">
        <v>8.5</v>
      </c>
      <c r="H96" s="382">
        <v>265.61</v>
      </c>
      <c r="I96" s="385">
        <f t="shared" si="23"/>
        <v>0</v>
      </c>
      <c r="J96" s="374">
        <f t="shared" si="24"/>
        <v>0</v>
      </c>
      <c r="K96" s="137">
        <f>H96-J96</f>
        <v>265.61</v>
      </c>
      <c r="L96" s="131">
        <f t="shared" ref="L96:O97" si="30">ROUND(H96*$G96,2)</f>
        <v>2257.69</v>
      </c>
      <c r="M96" s="131">
        <f t="shared" si="30"/>
        <v>0</v>
      </c>
      <c r="N96" s="131">
        <f t="shared" si="30"/>
        <v>0</v>
      </c>
      <c r="O96" s="131">
        <f t="shared" si="30"/>
        <v>2257.69</v>
      </c>
      <c r="P96" s="388">
        <f t="shared" si="28"/>
        <v>0</v>
      </c>
      <c r="S96" s="189">
        <v>0</v>
      </c>
      <c r="T96" s="189">
        <v>0</v>
      </c>
      <c r="BU96" s="523"/>
      <c r="BV96" s="523"/>
      <c r="BW96" s="523"/>
      <c r="BX96" s="523"/>
      <c r="BY96" s="523"/>
      <c r="BZ96" s="523"/>
      <c r="CA96" s="523"/>
      <c r="CB96" s="523"/>
      <c r="CC96" s="523"/>
      <c r="CD96" s="523"/>
      <c r="CE96" s="523"/>
      <c r="CF96" s="523"/>
      <c r="CG96" s="523"/>
      <c r="CH96" s="523"/>
      <c r="CI96" s="523">
        <f t="shared" si="22"/>
        <v>0</v>
      </c>
    </row>
    <row r="97" spans="1:87" s="487" customFormat="1" ht="25.5" x14ac:dyDescent="0.2">
      <c r="A97" s="125" t="s">
        <v>213</v>
      </c>
      <c r="B97" s="126">
        <v>68053</v>
      </c>
      <c r="C97" s="126" t="s">
        <v>1324</v>
      </c>
      <c r="D97" s="127" t="s">
        <v>1459</v>
      </c>
      <c r="E97" s="128" t="s">
        <v>14</v>
      </c>
      <c r="F97" s="144">
        <v>1137.9000000000001</v>
      </c>
      <c r="G97" s="130">
        <v>4.99</v>
      </c>
      <c r="H97" s="128">
        <v>676.67</v>
      </c>
      <c r="I97" s="133">
        <f t="shared" si="23"/>
        <v>0</v>
      </c>
      <c r="J97" s="374">
        <f t="shared" si="24"/>
        <v>0</v>
      </c>
      <c r="K97" s="137">
        <f>H97-J97</f>
        <v>676.67</v>
      </c>
      <c r="L97" s="131">
        <f t="shared" si="30"/>
        <v>3376.58</v>
      </c>
      <c r="M97" s="131">
        <f t="shared" si="30"/>
        <v>0</v>
      </c>
      <c r="N97" s="131">
        <f t="shared" si="30"/>
        <v>0</v>
      </c>
      <c r="O97" s="131">
        <f t="shared" si="30"/>
        <v>3376.58</v>
      </c>
      <c r="P97" s="136">
        <f t="shared" si="28"/>
        <v>0</v>
      </c>
      <c r="S97" s="191">
        <v>0</v>
      </c>
      <c r="T97" s="191">
        <v>0</v>
      </c>
      <c r="BU97" s="523"/>
      <c r="BV97" s="523"/>
      <c r="BW97" s="523"/>
      <c r="BX97" s="523"/>
      <c r="BY97" s="523"/>
      <c r="BZ97" s="523"/>
      <c r="CA97" s="523"/>
      <c r="CB97" s="523"/>
      <c r="CC97" s="523"/>
      <c r="CD97" s="523"/>
      <c r="CE97" s="523"/>
      <c r="CF97" s="523"/>
      <c r="CG97" s="523"/>
      <c r="CH97" s="523"/>
      <c r="CI97" s="523">
        <f t="shared" si="22"/>
        <v>0</v>
      </c>
    </row>
    <row r="98" spans="1:87" x14ac:dyDescent="0.2">
      <c r="A98" s="425">
        <v>9</v>
      </c>
      <c r="B98" s="426"/>
      <c r="C98" s="426"/>
      <c r="D98" s="427" t="s">
        <v>1460</v>
      </c>
      <c r="E98" s="415"/>
      <c r="F98" s="415"/>
      <c r="G98" s="415"/>
      <c r="H98" s="415"/>
      <c r="I98" s="415"/>
      <c r="J98" s="415"/>
      <c r="K98" s="415"/>
      <c r="L98" s="428">
        <f>SUM(L99:L108)</f>
        <v>51794.2</v>
      </c>
      <c r="M98" s="428">
        <f>SUM(M99:M108)</f>
        <v>0</v>
      </c>
      <c r="N98" s="428">
        <f>SUM(N99:N108)</f>
        <v>0</v>
      </c>
      <c r="O98" s="428">
        <f>SUM(O99:O108)</f>
        <v>51794.2</v>
      </c>
      <c r="P98" s="431">
        <f t="shared" si="28"/>
        <v>0</v>
      </c>
      <c r="S98" s="189">
        <v>0</v>
      </c>
      <c r="T98" s="189">
        <v>803.09</v>
      </c>
      <c r="BU98" s="523"/>
      <c r="BV98" s="523"/>
      <c r="BW98" s="523"/>
      <c r="BX98" s="523"/>
      <c r="BY98" s="523"/>
      <c r="BZ98" s="523"/>
      <c r="CA98" s="523"/>
      <c r="CB98" s="523"/>
      <c r="CC98" s="523"/>
      <c r="CD98" s="523"/>
      <c r="CE98" s="523"/>
      <c r="CF98" s="523"/>
      <c r="CG98" s="523"/>
      <c r="CH98" s="523"/>
      <c r="CI98" s="523">
        <f t="shared" si="22"/>
        <v>0</v>
      </c>
    </row>
    <row r="99" spans="1:87" x14ac:dyDescent="0.2">
      <c r="A99" s="125" t="s">
        <v>223</v>
      </c>
      <c r="B99" s="126">
        <v>87905</v>
      </c>
      <c r="C99" s="126" t="s">
        <v>1324</v>
      </c>
      <c r="D99" s="127" t="s">
        <v>1461</v>
      </c>
      <c r="E99" s="128" t="s">
        <v>14</v>
      </c>
      <c r="F99" s="137">
        <v>582.46</v>
      </c>
      <c r="G99" s="130">
        <v>6.11</v>
      </c>
      <c r="H99" s="128">
        <v>803.09</v>
      </c>
      <c r="I99" s="133">
        <f t="shared" si="23"/>
        <v>0</v>
      </c>
      <c r="J99" s="374">
        <f t="shared" si="24"/>
        <v>0</v>
      </c>
      <c r="K99" s="137">
        <f>H99-J99</f>
        <v>803.09</v>
      </c>
      <c r="L99" s="131">
        <f t="shared" ref="L99:L108" si="31">ROUND(H99*$G99,2)</f>
        <v>4906.88</v>
      </c>
      <c r="M99" s="131">
        <f t="shared" ref="M99:M108" si="32">ROUND(I99*$G99,2)</f>
        <v>0</v>
      </c>
      <c r="N99" s="131">
        <f t="shared" ref="N99:N108" si="33">ROUND(J99*$G99,2)</f>
        <v>0</v>
      </c>
      <c r="O99" s="131">
        <f t="shared" ref="O99:O108" si="34">ROUND(K99*$G99,2)</f>
        <v>4906.88</v>
      </c>
      <c r="P99" s="136">
        <f t="shared" si="28"/>
        <v>0</v>
      </c>
      <c r="S99" s="189">
        <v>0</v>
      </c>
      <c r="T99" s="189">
        <v>0</v>
      </c>
      <c r="BU99" s="523"/>
      <c r="BV99" s="523"/>
      <c r="BW99" s="523"/>
      <c r="BX99" s="523"/>
      <c r="BY99" s="523"/>
      <c r="BZ99" s="523"/>
      <c r="CA99" s="523"/>
      <c r="CB99" s="523"/>
      <c r="CC99" s="523"/>
      <c r="CD99" s="523"/>
      <c r="CE99" s="523"/>
      <c r="CF99" s="523"/>
      <c r="CG99" s="523"/>
      <c r="CH99" s="523"/>
      <c r="CI99" s="523">
        <f t="shared" si="22"/>
        <v>0</v>
      </c>
    </row>
    <row r="100" spans="1:87" s="110" customFormat="1" x14ac:dyDescent="0.2">
      <c r="A100" s="125" t="s">
        <v>239</v>
      </c>
      <c r="B100" s="126">
        <v>87882</v>
      </c>
      <c r="C100" s="126" t="s">
        <v>1324</v>
      </c>
      <c r="D100" s="127" t="s">
        <v>1462</v>
      </c>
      <c r="E100" s="128" t="s">
        <v>14</v>
      </c>
      <c r="F100" s="129"/>
      <c r="G100" s="130">
        <v>4.03</v>
      </c>
      <c r="H100" s="128">
        <v>84.33</v>
      </c>
      <c r="I100" s="133">
        <f t="shared" si="23"/>
        <v>0</v>
      </c>
      <c r="J100" s="374">
        <f t="shared" si="24"/>
        <v>0</v>
      </c>
      <c r="K100" s="137">
        <f t="shared" ref="K100:K108" si="35">H100-J100</f>
        <v>84.33</v>
      </c>
      <c r="L100" s="131">
        <f t="shared" si="31"/>
        <v>339.85</v>
      </c>
      <c r="M100" s="131">
        <f t="shared" si="32"/>
        <v>0</v>
      </c>
      <c r="N100" s="131">
        <f t="shared" si="33"/>
        <v>0</v>
      </c>
      <c r="O100" s="131">
        <f t="shared" si="34"/>
        <v>339.85</v>
      </c>
      <c r="P100" s="136">
        <f t="shared" si="28"/>
        <v>0</v>
      </c>
      <c r="S100" s="192">
        <v>600</v>
      </c>
      <c r="T100" s="192">
        <v>600</v>
      </c>
      <c r="BU100" s="523"/>
      <c r="BV100" s="523"/>
      <c r="BW100" s="523"/>
      <c r="BX100" s="523"/>
      <c r="BY100" s="523"/>
      <c r="BZ100" s="523"/>
      <c r="CA100" s="523"/>
      <c r="CB100" s="523"/>
      <c r="CC100" s="523"/>
      <c r="CD100" s="523"/>
      <c r="CE100" s="523"/>
      <c r="CF100" s="523"/>
      <c r="CG100" s="523"/>
      <c r="CH100" s="523"/>
      <c r="CI100" s="523">
        <f t="shared" si="22"/>
        <v>0</v>
      </c>
    </row>
    <row r="101" spans="1:87" s="110" customFormat="1" ht="25.5" x14ac:dyDescent="0.2">
      <c r="A101" s="379" t="s">
        <v>1463</v>
      </c>
      <c r="B101" s="380">
        <v>87531</v>
      </c>
      <c r="C101" s="380" t="s">
        <v>1324</v>
      </c>
      <c r="D101" s="381" t="s">
        <v>1464</v>
      </c>
      <c r="E101" s="382" t="s">
        <v>14</v>
      </c>
      <c r="F101" s="137">
        <v>180.11</v>
      </c>
      <c r="G101" s="383">
        <v>26.27</v>
      </c>
      <c r="H101" s="382">
        <v>743.93</v>
      </c>
      <c r="I101" s="385">
        <f t="shared" si="23"/>
        <v>0</v>
      </c>
      <c r="J101" s="374">
        <f t="shared" si="24"/>
        <v>0</v>
      </c>
      <c r="K101" s="137">
        <f t="shared" si="35"/>
        <v>743.93</v>
      </c>
      <c r="L101" s="131">
        <f t="shared" si="31"/>
        <v>19543.04</v>
      </c>
      <c r="M101" s="131">
        <f t="shared" si="32"/>
        <v>0</v>
      </c>
      <c r="N101" s="131">
        <f t="shared" si="33"/>
        <v>0</v>
      </c>
      <c r="O101" s="131">
        <f t="shared" si="34"/>
        <v>19543.04</v>
      </c>
      <c r="P101" s="388">
        <f t="shared" si="28"/>
        <v>0</v>
      </c>
      <c r="S101" s="192">
        <v>358.92</v>
      </c>
      <c r="T101" s="192">
        <v>358.92</v>
      </c>
      <c r="BU101" s="523"/>
      <c r="BV101" s="523"/>
      <c r="BW101" s="523"/>
      <c r="BX101" s="523"/>
      <c r="BY101" s="523"/>
      <c r="BZ101" s="523"/>
      <c r="CA101" s="523"/>
      <c r="CB101" s="523"/>
      <c r="CC101" s="523"/>
      <c r="CD101" s="523"/>
      <c r="CE101" s="523"/>
      <c r="CF101" s="523"/>
      <c r="CG101" s="523"/>
      <c r="CH101" s="523"/>
      <c r="CI101" s="523">
        <f t="shared" si="22"/>
        <v>0</v>
      </c>
    </row>
    <row r="102" spans="1:87" x14ac:dyDescent="0.2">
      <c r="A102" s="379" t="s">
        <v>1465</v>
      </c>
      <c r="B102" s="380" t="s">
        <v>1466</v>
      </c>
      <c r="C102" s="380" t="s">
        <v>1324</v>
      </c>
      <c r="D102" s="381" t="s">
        <v>1467</v>
      </c>
      <c r="E102" s="382" t="s">
        <v>14</v>
      </c>
      <c r="F102" s="137">
        <v>327.47000000000003</v>
      </c>
      <c r="G102" s="383">
        <v>12.12</v>
      </c>
      <c r="H102" s="382">
        <v>445.04</v>
      </c>
      <c r="I102" s="385">
        <f t="shared" si="23"/>
        <v>0</v>
      </c>
      <c r="J102" s="374">
        <f t="shared" si="24"/>
        <v>0</v>
      </c>
      <c r="K102" s="137">
        <f t="shared" si="35"/>
        <v>445.04</v>
      </c>
      <c r="L102" s="131">
        <f t="shared" si="31"/>
        <v>5393.88</v>
      </c>
      <c r="M102" s="131">
        <f t="shared" si="32"/>
        <v>0</v>
      </c>
      <c r="N102" s="131">
        <f t="shared" si="33"/>
        <v>0</v>
      </c>
      <c r="O102" s="131">
        <f t="shared" si="34"/>
        <v>5393.88</v>
      </c>
      <c r="P102" s="388">
        <f t="shared" si="28"/>
        <v>0</v>
      </c>
      <c r="S102" s="189">
        <v>0</v>
      </c>
      <c r="T102" s="189">
        <v>0</v>
      </c>
      <c r="BU102" s="523"/>
      <c r="BV102" s="523"/>
      <c r="BW102" s="523"/>
      <c r="BX102" s="523"/>
      <c r="BY102" s="523"/>
      <c r="BZ102" s="523"/>
      <c r="CA102" s="523"/>
      <c r="CB102" s="523"/>
      <c r="CC102" s="523"/>
      <c r="CD102" s="523"/>
      <c r="CE102" s="523"/>
      <c r="CF102" s="523"/>
      <c r="CG102" s="523"/>
      <c r="CH102" s="523"/>
      <c r="CI102" s="523">
        <f t="shared" si="22"/>
        <v>0</v>
      </c>
    </row>
    <row r="103" spans="1:87" x14ac:dyDescent="0.2">
      <c r="A103" s="125" t="s">
        <v>1468</v>
      </c>
      <c r="B103" s="126" t="s">
        <v>1466</v>
      </c>
      <c r="C103" s="126" t="s">
        <v>1324</v>
      </c>
      <c r="D103" s="127" t="s">
        <v>1469</v>
      </c>
      <c r="E103" s="128" t="s">
        <v>14</v>
      </c>
      <c r="F103" s="137">
        <v>381.87</v>
      </c>
      <c r="G103" s="130">
        <v>14.08</v>
      </c>
      <c r="H103" s="128">
        <v>84.33</v>
      </c>
      <c r="I103" s="133">
        <f t="shared" si="23"/>
        <v>0</v>
      </c>
      <c r="J103" s="374">
        <f t="shared" si="24"/>
        <v>0</v>
      </c>
      <c r="K103" s="137">
        <f t="shared" si="35"/>
        <v>84.33</v>
      </c>
      <c r="L103" s="131">
        <f t="shared" si="31"/>
        <v>1187.3699999999999</v>
      </c>
      <c r="M103" s="131">
        <f t="shared" si="32"/>
        <v>0</v>
      </c>
      <c r="N103" s="131">
        <f t="shared" si="33"/>
        <v>0</v>
      </c>
      <c r="O103" s="131">
        <f t="shared" si="34"/>
        <v>1187.3699999999999</v>
      </c>
      <c r="P103" s="136">
        <f t="shared" si="28"/>
        <v>0</v>
      </c>
      <c r="S103" s="189">
        <v>0</v>
      </c>
      <c r="T103" s="189">
        <v>0</v>
      </c>
      <c r="BU103" s="523"/>
      <c r="BV103" s="523"/>
      <c r="BW103" s="523"/>
      <c r="BX103" s="523"/>
      <c r="BY103" s="523"/>
      <c r="BZ103" s="523"/>
      <c r="CA103" s="523"/>
      <c r="CB103" s="523"/>
      <c r="CC103" s="523"/>
      <c r="CD103" s="523"/>
      <c r="CE103" s="523"/>
      <c r="CF103" s="523"/>
      <c r="CG103" s="523"/>
      <c r="CH103" s="523"/>
      <c r="CI103" s="523">
        <f t="shared" si="22"/>
        <v>0</v>
      </c>
    </row>
    <row r="104" spans="1:87" x14ac:dyDescent="0.2">
      <c r="A104" s="125" t="s">
        <v>1470</v>
      </c>
      <c r="B104" s="126">
        <v>87905</v>
      </c>
      <c r="C104" s="126" t="s">
        <v>1324</v>
      </c>
      <c r="D104" s="127" t="s">
        <v>1471</v>
      </c>
      <c r="E104" s="128" t="s">
        <v>14</v>
      </c>
      <c r="F104" s="138"/>
      <c r="G104" s="130">
        <v>6.11</v>
      </c>
      <c r="H104" s="128">
        <v>140.33000000000001</v>
      </c>
      <c r="I104" s="133">
        <f t="shared" si="23"/>
        <v>0</v>
      </c>
      <c r="J104" s="374">
        <f t="shared" si="24"/>
        <v>0</v>
      </c>
      <c r="K104" s="137">
        <f t="shared" si="35"/>
        <v>140.33000000000001</v>
      </c>
      <c r="L104" s="131">
        <f t="shared" si="31"/>
        <v>857.42</v>
      </c>
      <c r="M104" s="131">
        <f t="shared" si="32"/>
        <v>0</v>
      </c>
      <c r="N104" s="131">
        <f t="shared" si="33"/>
        <v>0</v>
      </c>
      <c r="O104" s="131">
        <f t="shared" si="34"/>
        <v>857.42</v>
      </c>
      <c r="P104" s="136">
        <f t="shared" si="28"/>
        <v>0</v>
      </c>
      <c r="S104" s="189">
        <v>0</v>
      </c>
      <c r="T104" s="189">
        <v>0</v>
      </c>
      <c r="BU104" s="523"/>
      <c r="BV104" s="523"/>
      <c r="BW104" s="523"/>
      <c r="BX104" s="523"/>
      <c r="BY104" s="523"/>
      <c r="BZ104" s="523"/>
      <c r="CA104" s="523"/>
      <c r="CB104" s="523"/>
      <c r="CC104" s="523"/>
      <c r="CD104" s="523"/>
      <c r="CE104" s="523"/>
      <c r="CF104" s="523"/>
      <c r="CG104" s="523"/>
      <c r="CH104" s="523"/>
      <c r="CI104" s="523">
        <f t="shared" si="22"/>
        <v>0</v>
      </c>
    </row>
    <row r="105" spans="1:87" x14ac:dyDescent="0.2">
      <c r="A105" s="125" t="s">
        <v>1472</v>
      </c>
      <c r="B105" s="126">
        <v>87531</v>
      </c>
      <c r="C105" s="126" t="s">
        <v>1324</v>
      </c>
      <c r="D105" s="127" t="s">
        <v>1473</v>
      </c>
      <c r="E105" s="128" t="s">
        <v>14</v>
      </c>
      <c r="F105" s="138"/>
      <c r="G105" s="130">
        <v>26.27</v>
      </c>
      <c r="H105" s="128">
        <v>140.33000000000001</v>
      </c>
      <c r="I105" s="133">
        <f t="shared" si="23"/>
        <v>0</v>
      </c>
      <c r="J105" s="374">
        <f t="shared" si="24"/>
        <v>0</v>
      </c>
      <c r="K105" s="137">
        <f t="shared" si="35"/>
        <v>140.33000000000001</v>
      </c>
      <c r="L105" s="131">
        <f t="shared" si="31"/>
        <v>3686.47</v>
      </c>
      <c r="M105" s="131">
        <f t="shared" si="32"/>
        <v>0</v>
      </c>
      <c r="N105" s="131">
        <f t="shared" si="33"/>
        <v>0</v>
      </c>
      <c r="O105" s="131">
        <f t="shared" si="34"/>
        <v>3686.47</v>
      </c>
      <c r="P105" s="136">
        <f t="shared" si="28"/>
        <v>0</v>
      </c>
      <c r="S105" s="189">
        <v>0</v>
      </c>
      <c r="T105" s="189">
        <v>0</v>
      </c>
      <c r="BU105" s="523"/>
      <c r="BV105" s="523"/>
      <c r="BW105" s="523"/>
      <c r="BX105" s="523"/>
      <c r="BY105" s="523"/>
      <c r="BZ105" s="523"/>
      <c r="CA105" s="523"/>
      <c r="CB105" s="523"/>
      <c r="CC105" s="523"/>
      <c r="CD105" s="523"/>
      <c r="CE105" s="523"/>
      <c r="CF105" s="523"/>
      <c r="CG105" s="523"/>
      <c r="CH105" s="523"/>
      <c r="CI105" s="523">
        <f t="shared" si="22"/>
        <v>0</v>
      </c>
    </row>
    <row r="106" spans="1:87" ht="25.5" x14ac:dyDescent="0.2">
      <c r="A106" s="125" t="s">
        <v>1474</v>
      </c>
      <c r="B106" s="126" t="s">
        <v>1466</v>
      </c>
      <c r="C106" s="126" t="s">
        <v>1324</v>
      </c>
      <c r="D106" s="127" t="s">
        <v>1475</v>
      </c>
      <c r="E106" s="128" t="s">
        <v>14</v>
      </c>
      <c r="F106" s="138"/>
      <c r="G106" s="130">
        <v>16.23</v>
      </c>
      <c r="H106" s="128">
        <v>140.33000000000001</v>
      </c>
      <c r="I106" s="133">
        <f t="shared" si="23"/>
        <v>0</v>
      </c>
      <c r="J106" s="374">
        <f t="shared" si="24"/>
        <v>0</v>
      </c>
      <c r="K106" s="137">
        <f t="shared" si="35"/>
        <v>140.33000000000001</v>
      </c>
      <c r="L106" s="131">
        <f t="shared" si="31"/>
        <v>2277.56</v>
      </c>
      <c r="M106" s="131">
        <f t="shared" si="32"/>
        <v>0</v>
      </c>
      <c r="N106" s="131">
        <f t="shared" si="33"/>
        <v>0</v>
      </c>
      <c r="O106" s="131">
        <f t="shared" si="34"/>
        <v>2277.56</v>
      </c>
      <c r="P106" s="136">
        <f t="shared" si="28"/>
        <v>0</v>
      </c>
      <c r="S106" s="189">
        <v>0</v>
      </c>
      <c r="T106" s="189">
        <v>0</v>
      </c>
      <c r="BU106" s="523"/>
      <c r="BV106" s="523"/>
      <c r="BW106" s="523"/>
      <c r="BX106" s="523"/>
      <c r="BY106" s="523"/>
      <c r="BZ106" s="523"/>
      <c r="CA106" s="523"/>
      <c r="CB106" s="523"/>
      <c r="CC106" s="523"/>
      <c r="CD106" s="523"/>
      <c r="CE106" s="523"/>
      <c r="CF106" s="523"/>
      <c r="CG106" s="523"/>
      <c r="CH106" s="523"/>
      <c r="CI106" s="523">
        <f t="shared" si="22"/>
        <v>0</v>
      </c>
    </row>
    <row r="107" spans="1:87" ht="25.5" x14ac:dyDescent="0.2">
      <c r="A107" s="125" t="s">
        <v>1476</v>
      </c>
      <c r="B107" s="126">
        <v>87272</v>
      </c>
      <c r="C107" s="126" t="s">
        <v>1324</v>
      </c>
      <c r="D107" s="127" t="s">
        <v>1477</v>
      </c>
      <c r="E107" s="128" t="s">
        <v>14</v>
      </c>
      <c r="F107" s="137">
        <v>319.5</v>
      </c>
      <c r="G107" s="130">
        <v>45.67</v>
      </c>
      <c r="H107" s="128">
        <v>210.5</v>
      </c>
      <c r="I107" s="133">
        <f t="shared" si="23"/>
        <v>0</v>
      </c>
      <c r="J107" s="374">
        <f t="shared" si="24"/>
        <v>0</v>
      </c>
      <c r="K107" s="137">
        <f t="shared" si="35"/>
        <v>210.5</v>
      </c>
      <c r="L107" s="131">
        <f t="shared" si="31"/>
        <v>9613.5400000000009</v>
      </c>
      <c r="M107" s="131">
        <f t="shared" si="32"/>
        <v>0</v>
      </c>
      <c r="N107" s="131">
        <f t="shared" si="33"/>
        <v>0</v>
      </c>
      <c r="O107" s="131">
        <f t="shared" si="34"/>
        <v>9613.5400000000009</v>
      </c>
      <c r="P107" s="136">
        <f t="shared" si="28"/>
        <v>0</v>
      </c>
      <c r="S107" s="189">
        <v>0</v>
      </c>
      <c r="T107" s="189">
        <v>0</v>
      </c>
      <c r="BU107" s="523"/>
      <c r="BV107" s="523"/>
      <c r="BW107" s="523"/>
      <c r="BX107" s="523"/>
      <c r="BY107" s="523"/>
      <c r="BZ107" s="523"/>
      <c r="CA107" s="523"/>
      <c r="CB107" s="523"/>
      <c r="CC107" s="523"/>
      <c r="CD107" s="523"/>
      <c r="CE107" s="523"/>
      <c r="CF107" s="523"/>
      <c r="CG107" s="523"/>
      <c r="CH107" s="523"/>
      <c r="CI107" s="523">
        <f t="shared" si="22"/>
        <v>0</v>
      </c>
    </row>
    <row r="108" spans="1:87" ht="25.5" x14ac:dyDescent="0.2">
      <c r="A108" s="125" t="s">
        <v>1478</v>
      </c>
      <c r="B108" s="126">
        <v>87267</v>
      </c>
      <c r="C108" s="126" t="s">
        <v>1324</v>
      </c>
      <c r="D108" s="127" t="s">
        <v>1479</v>
      </c>
      <c r="E108" s="128" t="s">
        <v>14</v>
      </c>
      <c r="F108" s="137">
        <v>347.14</v>
      </c>
      <c r="G108" s="130">
        <v>46.64</v>
      </c>
      <c r="H108" s="128">
        <v>85.51</v>
      </c>
      <c r="I108" s="133">
        <f t="shared" si="23"/>
        <v>0</v>
      </c>
      <c r="J108" s="374">
        <f t="shared" si="24"/>
        <v>0</v>
      </c>
      <c r="K108" s="137">
        <f t="shared" si="35"/>
        <v>85.51</v>
      </c>
      <c r="L108" s="131">
        <f t="shared" si="31"/>
        <v>3988.19</v>
      </c>
      <c r="M108" s="131">
        <f t="shared" si="32"/>
        <v>0</v>
      </c>
      <c r="N108" s="131">
        <f t="shared" si="33"/>
        <v>0</v>
      </c>
      <c r="O108" s="131">
        <f t="shared" si="34"/>
        <v>3988.19</v>
      </c>
      <c r="P108" s="136">
        <f t="shared" si="28"/>
        <v>0</v>
      </c>
      <c r="S108" s="189">
        <v>0</v>
      </c>
      <c r="T108" s="189">
        <v>0</v>
      </c>
      <c r="BU108" s="523"/>
      <c r="BV108" s="523"/>
      <c r="BW108" s="523"/>
      <c r="BX108" s="523"/>
      <c r="BY108" s="523"/>
      <c r="BZ108" s="523"/>
      <c r="CA108" s="523"/>
      <c r="CB108" s="523"/>
      <c r="CC108" s="523"/>
      <c r="CD108" s="523"/>
      <c r="CE108" s="523"/>
      <c r="CF108" s="523"/>
      <c r="CG108" s="523"/>
      <c r="CH108" s="523"/>
      <c r="CI108" s="523">
        <f t="shared" si="22"/>
        <v>0</v>
      </c>
    </row>
    <row r="109" spans="1:87" s="481" customFormat="1" x14ac:dyDescent="0.2">
      <c r="A109" s="412">
        <v>10</v>
      </c>
      <c r="B109" s="413"/>
      <c r="C109" s="413"/>
      <c r="D109" s="414" t="s">
        <v>1480</v>
      </c>
      <c r="E109" s="415"/>
      <c r="F109" s="415"/>
      <c r="G109" s="415"/>
      <c r="H109" s="415"/>
      <c r="I109" s="415"/>
      <c r="J109" s="415"/>
      <c r="K109" s="415"/>
      <c r="L109" s="416">
        <f>SUM(L110,L116)</f>
        <v>60566.100000000006</v>
      </c>
      <c r="M109" s="416">
        <f>SUM(M110,M116)</f>
        <v>0.01</v>
      </c>
      <c r="N109" s="416">
        <f>SUM(N110,N116)</f>
        <v>0.01</v>
      </c>
      <c r="O109" s="416">
        <f>SUM(O110,O116)</f>
        <v>60566.100000000006</v>
      </c>
      <c r="P109" s="423">
        <f t="shared" si="28"/>
        <v>1.6510886452982772E-7</v>
      </c>
      <c r="S109" s="190">
        <v>0</v>
      </c>
      <c r="T109" s="190">
        <v>0</v>
      </c>
      <c r="BU109" s="523"/>
      <c r="BV109" s="523"/>
      <c r="BW109" s="523"/>
      <c r="BX109" s="523"/>
      <c r="BY109" s="523"/>
      <c r="BZ109" s="523"/>
      <c r="CA109" s="523"/>
      <c r="CB109" s="523"/>
      <c r="CC109" s="523"/>
      <c r="CD109" s="523"/>
      <c r="CE109" s="523"/>
      <c r="CF109" s="523"/>
      <c r="CG109" s="523"/>
      <c r="CH109" s="523"/>
      <c r="CI109" s="523">
        <f t="shared" si="22"/>
        <v>0</v>
      </c>
    </row>
    <row r="110" spans="1:87" x14ac:dyDescent="0.2">
      <c r="A110" s="449" t="s">
        <v>254</v>
      </c>
      <c r="B110" s="450"/>
      <c r="C110" s="450"/>
      <c r="D110" s="451" t="s">
        <v>1481</v>
      </c>
      <c r="E110" s="465"/>
      <c r="F110" s="465"/>
      <c r="G110" s="465"/>
      <c r="H110" s="465"/>
      <c r="I110" s="465"/>
      <c r="J110" s="465"/>
      <c r="K110" s="465"/>
      <c r="L110" s="452">
        <f>SUM(L111:L115)+0.01</f>
        <v>54520.33</v>
      </c>
      <c r="M110" s="452">
        <f>SUM(M111:M115)+0.01</f>
        <v>0.01</v>
      </c>
      <c r="N110" s="452">
        <f>SUM(N111:N115)+0.01</f>
        <v>0.01</v>
      </c>
      <c r="O110" s="452">
        <f>SUM(O111:O115)+0.01</f>
        <v>54520.33</v>
      </c>
      <c r="P110" s="459">
        <f t="shared" si="28"/>
        <v>1.8341781863756144E-7</v>
      </c>
      <c r="S110" s="189">
        <v>0</v>
      </c>
      <c r="T110" s="189">
        <v>0</v>
      </c>
      <c r="BU110" s="523"/>
      <c r="BV110" s="523"/>
      <c r="BW110" s="523"/>
      <c r="BX110" s="523"/>
      <c r="BY110" s="523"/>
      <c r="BZ110" s="523"/>
      <c r="CA110" s="523"/>
      <c r="CB110" s="523"/>
      <c r="CC110" s="523"/>
      <c r="CD110" s="523"/>
      <c r="CE110" s="523"/>
      <c r="CF110" s="523"/>
      <c r="CG110" s="523"/>
      <c r="CH110" s="523"/>
      <c r="CI110" s="523">
        <f t="shared" si="22"/>
        <v>0</v>
      </c>
    </row>
    <row r="111" spans="1:87" x14ac:dyDescent="0.2">
      <c r="A111" s="125" t="s">
        <v>1482</v>
      </c>
      <c r="B111" s="126" t="s">
        <v>2007</v>
      </c>
      <c r="C111" s="126" t="s">
        <v>1339</v>
      </c>
      <c r="D111" s="127" t="s">
        <v>1483</v>
      </c>
      <c r="E111" s="128" t="s">
        <v>14</v>
      </c>
      <c r="F111" s="137">
        <v>52.1</v>
      </c>
      <c r="G111" s="130">
        <v>30.94</v>
      </c>
      <c r="H111" s="128">
        <v>64.91</v>
      </c>
      <c r="I111" s="133">
        <f t="shared" si="23"/>
        <v>0</v>
      </c>
      <c r="J111" s="374">
        <f t="shared" si="24"/>
        <v>0</v>
      </c>
      <c r="K111" s="137">
        <f>H111-J111</f>
        <v>64.91</v>
      </c>
      <c r="L111" s="131">
        <f t="shared" ref="L111:O115" si="36">ROUND(H111*$G111,2)</f>
        <v>2008.32</v>
      </c>
      <c r="M111" s="131">
        <f t="shared" si="36"/>
        <v>0</v>
      </c>
      <c r="N111" s="131">
        <f t="shared" si="36"/>
        <v>0</v>
      </c>
      <c r="O111" s="131">
        <f t="shared" si="36"/>
        <v>2008.32</v>
      </c>
      <c r="P111" s="136">
        <f t="shared" si="28"/>
        <v>0</v>
      </c>
      <c r="S111" s="189">
        <v>0</v>
      </c>
      <c r="T111" s="189">
        <v>0</v>
      </c>
      <c r="BU111" s="523"/>
      <c r="BV111" s="523"/>
      <c r="BW111" s="523"/>
      <c r="BX111" s="523"/>
      <c r="BY111" s="523"/>
      <c r="BZ111" s="523"/>
      <c r="CA111" s="523"/>
      <c r="CB111" s="523"/>
      <c r="CC111" s="523"/>
      <c r="CD111" s="523"/>
      <c r="CE111" s="523"/>
      <c r="CF111" s="523"/>
      <c r="CG111" s="523"/>
      <c r="CH111" s="523"/>
      <c r="CI111" s="523">
        <f t="shared" si="22"/>
        <v>0</v>
      </c>
    </row>
    <row r="112" spans="1:87" x14ac:dyDescent="0.2">
      <c r="A112" s="125" t="s">
        <v>1484</v>
      </c>
      <c r="B112" s="126">
        <v>87630</v>
      </c>
      <c r="C112" s="126" t="s">
        <v>1324</v>
      </c>
      <c r="D112" s="127" t="s">
        <v>1485</v>
      </c>
      <c r="E112" s="128" t="s">
        <v>14</v>
      </c>
      <c r="F112" s="137">
        <v>15.24</v>
      </c>
      <c r="G112" s="130">
        <v>30.71</v>
      </c>
      <c r="H112" s="128">
        <v>64.91</v>
      </c>
      <c r="I112" s="133">
        <f t="shared" si="23"/>
        <v>0</v>
      </c>
      <c r="J112" s="374">
        <f t="shared" si="24"/>
        <v>0</v>
      </c>
      <c r="K112" s="137">
        <f>H112-J112</f>
        <v>64.91</v>
      </c>
      <c r="L112" s="131">
        <f t="shared" si="36"/>
        <v>1993.39</v>
      </c>
      <c r="M112" s="131">
        <f t="shared" si="36"/>
        <v>0</v>
      </c>
      <c r="N112" s="131">
        <f t="shared" si="36"/>
        <v>0</v>
      </c>
      <c r="O112" s="131">
        <f t="shared" si="36"/>
        <v>1993.39</v>
      </c>
      <c r="P112" s="136">
        <f t="shared" si="28"/>
        <v>0</v>
      </c>
      <c r="S112" s="189">
        <v>0</v>
      </c>
      <c r="T112" s="189">
        <v>0</v>
      </c>
      <c r="BU112" s="523"/>
      <c r="BV112" s="523"/>
      <c r="BW112" s="523"/>
      <c r="BX112" s="523"/>
      <c r="BY112" s="523"/>
      <c r="BZ112" s="523"/>
      <c r="CA112" s="523"/>
      <c r="CB112" s="523"/>
      <c r="CC112" s="523"/>
      <c r="CD112" s="523"/>
      <c r="CE112" s="523"/>
      <c r="CF112" s="523"/>
      <c r="CG112" s="523"/>
      <c r="CH112" s="523"/>
      <c r="CI112" s="523">
        <f t="shared" si="22"/>
        <v>0</v>
      </c>
    </row>
    <row r="113" spans="1:87" ht="25.5" x14ac:dyDescent="0.2">
      <c r="A113" s="125" t="s">
        <v>1486</v>
      </c>
      <c r="B113" s="126">
        <v>72136</v>
      </c>
      <c r="C113" s="126" t="s">
        <v>1324</v>
      </c>
      <c r="D113" s="127" t="s">
        <v>1487</v>
      </c>
      <c r="E113" s="128" t="s">
        <v>14</v>
      </c>
      <c r="F113" s="137">
        <v>584.54999999999995</v>
      </c>
      <c r="G113" s="130">
        <v>71.489999999999995</v>
      </c>
      <c r="H113" s="128">
        <v>676.67</v>
      </c>
      <c r="I113" s="133">
        <f t="shared" si="23"/>
        <v>0</v>
      </c>
      <c r="J113" s="374">
        <f t="shared" si="24"/>
        <v>0</v>
      </c>
      <c r="K113" s="137">
        <f>H113-J113</f>
        <v>676.67</v>
      </c>
      <c r="L113" s="131">
        <f t="shared" si="36"/>
        <v>48375.14</v>
      </c>
      <c r="M113" s="131">
        <f t="shared" si="36"/>
        <v>0</v>
      </c>
      <c r="N113" s="131">
        <f t="shared" si="36"/>
        <v>0</v>
      </c>
      <c r="O113" s="131">
        <f t="shared" si="36"/>
        <v>48375.14</v>
      </c>
      <c r="P113" s="136">
        <f t="shared" si="28"/>
        <v>0</v>
      </c>
      <c r="S113" s="189">
        <v>0</v>
      </c>
      <c r="T113" s="189">
        <v>0</v>
      </c>
      <c r="BU113" s="523"/>
      <c r="BV113" s="523"/>
      <c r="BW113" s="523"/>
      <c r="BX113" s="523"/>
      <c r="BY113" s="523"/>
      <c r="BZ113" s="523"/>
      <c r="CA113" s="523"/>
      <c r="CB113" s="523"/>
      <c r="CC113" s="523"/>
      <c r="CD113" s="523"/>
      <c r="CE113" s="523"/>
      <c r="CF113" s="523"/>
      <c r="CG113" s="523"/>
      <c r="CH113" s="523"/>
      <c r="CI113" s="523">
        <f t="shared" si="22"/>
        <v>0</v>
      </c>
    </row>
    <row r="114" spans="1:87" ht="25.5" x14ac:dyDescent="0.2">
      <c r="A114" s="125" t="s">
        <v>1488</v>
      </c>
      <c r="B114" s="126">
        <v>87251</v>
      </c>
      <c r="C114" s="126" t="s">
        <v>1324</v>
      </c>
      <c r="D114" s="127" t="s">
        <v>1489</v>
      </c>
      <c r="E114" s="128" t="s">
        <v>14</v>
      </c>
      <c r="F114" s="137">
        <v>18.86</v>
      </c>
      <c r="G114" s="130">
        <v>31.13</v>
      </c>
      <c r="H114" s="128">
        <v>64.91</v>
      </c>
      <c r="I114" s="133">
        <f t="shared" si="23"/>
        <v>0</v>
      </c>
      <c r="J114" s="374">
        <f t="shared" si="24"/>
        <v>0</v>
      </c>
      <c r="K114" s="137">
        <f>H114-J114</f>
        <v>64.91</v>
      </c>
      <c r="L114" s="131">
        <f t="shared" si="36"/>
        <v>2020.65</v>
      </c>
      <c r="M114" s="131">
        <f t="shared" si="36"/>
        <v>0</v>
      </c>
      <c r="N114" s="131">
        <f t="shared" si="36"/>
        <v>0</v>
      </c>
      <c r="O114" s="131">
        <f t="shared" si="36"/>
        <v>2020.65</v>
      </c>
      <c r="P114" s="136">
        <f t="shared" si="28"/>
        <v>0</v>
      </c>
      <c r="S114" s="189">
        <v>0</v>
      </c>
      <c r="T114" s="189">
        <v>0</v>
      </c>
      <c r="BU114" s="523"/>
      <c r="BV114" s="523"/>
      <c r="BW114" s="523"/>
      <c r="BX114" s="523"/>
      <c r="BY114" s="523"/>
      <c r="BZ114" s="523"/>
      <c r="CA114" s="523"/>
      <c r="CB114" s="523"/>
      <c r="CC114" s="523"/>
      <c r="CD114" s="523"/>
      <c r="CE114" s="523"/>
      <c r="CF114" s="523"/>
      <c r="CG114" s="523"/>
      <c r="CH114" s="523"/>
      <c r="CI114" s="523">
        <f t="shared" si="22"/>
        <v>0</v>
      </c>
    </row>
    <row r="115" spans="1:87" s="481" customFormat="1" x14ac:dyDescent="0.2">
      <c r="A115" s="125" t="s">
        <v>1490</v>
      </c>
      <c r="B115" s="126" t="s">
        <v>2007</v>
      </c>
      <c r="C115" s="126" t="s">
        <v>1339</v>
      </c>
      <c r="D115" s="127" t="s">
        <v>1491</v>
      </c>
      <c r="E115" s="128" t="s">
        <v>81</v>
      </c>
      <c r="F115" s="137">
        <v>42.78</v>
      </c>
      <c r="G115" s="130">
        <v>45.49</v>
      </c>
      <c r="H115" s="128">
        <v>2.7</v>
      </c>
      <c r="I115" s="133">
        <f t="shared" si="23"/>
        <v>0</v>
      </c>
      <c r="J115" s="374">
        <f t="shared" si="24"/>
        <v>0</v>
      </c>
      <c r="K115" s="137">
        <f>H115-J115</f>
        <v>2.7</v>
      </c>
      <c r="L115" s="131">
        <f t="shared" si="36"/>
        <v>122.82</v>
      </c>
      <c r="M115" s="131">
        <f t="shared" si="36"/>
        <v>0</v>
      </c>
      <c r="N115" s="131">
        <f t="shared" si="36"/>
        <v>0</v>
      </c>
      <c r="O115" s="131">
        <f t="shared" si="36"/>
        <v>122.82</v>
      </c>
      <c r="P115" s="136">
        <f t="shared" si="28"/>
        <v>0</v>
      </c>
      <c r="S115" s="190">
        <v>0</v>
      </c>
      <c r="T115" s="190">
        <v>0</v>
      </c>
      <c r="BU115" s="523"/>
      <c r="BV115" s="523"/>
      <c r="BW115" s="523"/>
      <c r="BX115" s="523"/>
      <c r="BY115" s="523"/>
      <c r="BZ115" s="523"/>
      <c r="CA115" s="523"/>
      <c r="CB115" s="523"/>
      <c r="CC115" s="523"/>
      <c r="CD115" s="523"/>
      <c r="CE115" s="523"/>
      <c r="CF115" s="523"/>
      <c r="CG115" s="523"/>
      <c r="CH115" s="523"/>
      <c r="CI115" s="523">
        <f t="shared" si="22"/>
        <v>0</v>
      </c>
    </row>
    <row r="116" spans="1:87" x14ac:dyDescent="0.2">
      <c r="A116" s="449" t="s">
        <v>256</v>
      </c>
      <c r="B116" s="450"/>
      <c r="C116" s="450"/>
      <c r="D116" s="451" t="s">
        <v>1256</v>
      </c>
      <c r="E116" s="465"/>
      <c r="F116" s="465"/>
      <c r="G116" s="465"/>
      <c r="H116" s="465"/>
      <c r="I116" s="465"/>
      <c r="J116" s="465"/>
      <c r="K116" s="465"/>
      <c r="L116" s="452">
        <f>SUM(L117:L119)</f>
        <v>6045.77</v>
      </c>
      <c r="M116" s="452">
        <f>SUM(M117:M119)</f>
        <v>0</v>
      </c>
      <c r="N116" s="452">
        <f>SUM(N117:N119)</f>
        <v>0</v>
      </c>
      <c r="O116" s="452">
        <f>SUM(O117:O119)</f>
        <v>6045.77</v>
      </c>
      <c r="P116" s="459">
        <f t="shared" si="28"/>
        <v>0</v>
      </c>
      <c r="S116" s="189">
        <v>0</v>
      </c>
      <c r="T116" s="189">
        <v>0</v>
      </c>
      <c r="BU116" s="523"/>
      <c r="BV116" s="523"/>
      <c r="BW116" s="523"/>
      <c r="BX116" s="523"/>
      <c r="BY116" s="523"/>
      <c r="BZ116" s="523"/>
      <c r="CA116" s="523"/>
      <c r="CB116" s="523"/>
      <c r="CC116" s="523"/>
      <c r="CD116" s="523"/>
      <c r="CE116" s="523"/>
      <c r="CF116" s="523"/>
      <c r="CG116" s="523"/>
      <c r="CH116" s="523"/>
      <c r="CI116" s="523">
        <f t="shared" si="22"/>
        <v>0</v>
      </c>
    </row>
    <row r="117" spans="1:87" x14ac:dyDescent="0.2">
      <c r="A117" s="125" t="s">
        <v>1492</v>
      </c>
      <c r="B117" s="126">
        <v>85181</v>
      </c>
      <c r="C117" s="126" t="s">
        <v>1324</v>
      </c>
      <c r="D117" s="127" t="s">
        <v>1493</v>
      </c>
      <c r="E117" s="128" t="s">
        <v>14</v>
      </c>
      <c r="F117" s="172"/>
      <c r="G117" s="130">
        <v>523.70000000000005</v>
      </c>
      <c r="H117" s="128">
        <v>9.7899999999999991</v>
      </c>
      <c r="I117" s="133">
        <f t="shared" si="23"/>
        <v>0</v>
      </c>
      <c r="J117" s="374">
        <f t="shared" si="24"/>
        <v>0</v>
      </c>
      <c r="K117" s="137">
        <f>H117-J117</f>
        <v>9.7899999999999991</v>
      </c>
      <c r="L117" s="131">
        <f t="shared" ref="L117:O119" si="37">ROUND(H117*$G117,2)</f>
        <v>5127.0200000000004</v>
      </c>
      <c r="M117" s="131">
        <f t="shared" si="37"/>
        <v>0</v>
      </c>
      <c r="N117" s="131">
        <f t="shared" si="37"/>
        <v>0</v>
      </c>
      <c r="O117" s="131">
        <f t="shared" si="37"/>
        <v>5127.0200000000004</v>
      </c>
      <c r="P117" s="136">
        <f t="shared" si="28"/>
        <v>0</v>
      </c>
      <c r="S117" s="189">
        <v>0</v>
      </c>
      <c r="T117" s="189">
        <v>0</v>
      </c>
      <c r="BU117" s="523"/>
      <c r="BV117" s="523"/>
      <c r="BW117" s="523"/>
      <c r="BX117" s="523"/>
      <c r="BY117" s="523"/>
      <c r="BZ117" s="523"/>
      <c r="CA117" s="523"/>
      <c r="CB117" s="523"/>
      <c r="CC117" s="523"/>
      <c r="CD117" s="523"/>
      <c r="CE117" s="523"/>
      <c r="CF117" s="523"/>
      <c r="CG117" s="523"/>
      <c r="CH117" s="523"/>
      <c r="CI117" s="523">
        <f t="shared" si="22"/>
        <v>0</v>
      </c>
    </row>
    <row r="118" spans="1:87" x14ac:dyDescent="0.2">
      <c r="A118" s="125" t="s">
        <v>1494</v>
      </c>
      <c r="B118" s="126">
        <v>5652</v>
      </c>
      <c r="C118" s="126" t="s">
        <v>1324</v>
      </c>
      <c r="D118" s="127" t="s">
        <v>1495</v>
      </c>
      <c r="E118" s="128" t="s">
        <v>48</v>
      </c>
      <c r="F118" s="172"/>
      <c r="G118" s="130">
        <v>276.27</v>
      </c>
      <c r="H118" s="128">
        <v>1.82</v>
      </c>
      <c r="I118" s="133">
        <f t="shared" si="23"/>
        <v>0</v>
      </c>
      <c r="J118" s="374">
        <f t="shared" si="24"/>
        <v>0</v>
      </c>
      <c r="K118" s="137">
        <f>H118-J118</f>
        <v>1.82</v>
      </c>
      <c r="L118" s="131">
        <f t="shared" si="37"/>
        <v>502.81</v>
      </c>
      <c r="M118" s="131">
        <f t="shared" si="37"/>
        <v>0</v>
      </c>
      <c r="N118" s="131">
        <f t="shared" si="37"/>
        <v>0</v>
      </c>
      <c r="O118" s="131">
        <f t="shared" si="37"/>
        <v>502.81</v>
      </c>
      <c r="P118" s="136">
        <f t="shared" si="28"/>
        <v>0</v>
      </c>
      <c r="S118" s="189">
        <v>0</v>
      </c>
      <c r="T118" s="189">
        <v>0</v>
      </c>
      <c r="BU118" s="523"/>
      <c r="BV118" s="523"/>
      <c r="BW118" s="523"/>
      <c r="BX118" s="523"/>
      <c r="BY118" s="523"/>
      <c r="BZ118" s="523"/>
      <c r="CA118" s="523"/>
      <c r="CB118" s="523"/>
      <c r="CC118" s="523"/>
      <c r="CD118" s="523"/>
      <c r="CE118" s="523"/>
      <c r="CF118" s="523"/>
      <c r="CG118" s="523"/>
      <c r="CH118" s="523"/>
      <c r="CI118" s="523">
        <f t="shared" si="22"/>
        <v>0</v>
      </c>
    </row>
    <row r="119" spans="1:87" s="481" customFormat="1" ht="25.5" x14ac:dyDescent="0.2">
      <c r="A119" s="125" t="s">
        <v>1496</v>
      </c>
      <c r="B119" s="126" t="s">
        <v>2007</v>
      </c>
      <c r="C119" s="126" t="s">
        <v>1339</v>
      </c>
      <c r="D119" s="127" t="s">
        <v>1497</v>
      </c>
      <c r="E119" s="128" t="s">
        <v>14</v>
      </c>
      <c r="F119" s="137">
        <v>7.73</v>
      </c>
      <c r="G119" s="130">
        <v>71.099999999999994</v>
      </c>
      <c r="H119" s="128">
        <v>5.85</v>
      </c>
      <c r="I119" s="133">
        <f t="shared" si="23"/>
        <v>0</v>
      </c>
      <c r="J119" s="374">
        <f t="shared" si="24"/>
        <v>0</v>
      </c>
      <c r="K119" s="137">
        <f>H119-J119</f>
        <v>5.85</v>
      </c>
      <c r="L119" s="131">
        <f t="shared" si="37"/>
        <v>415.94</v>
      </c>
      <c r="M119" s="131">
        <f t="shared" si="37"/>
        <v>0</v>
      </c>
      <c r="N119" s="131">
        <f t="shared" si="37"/>
        <v>0</v>
      </c>
      <c r="O119" s="131">
        <f t="shared" si="37"/>
        <v>415.94</v>
      </c>
      <c r="P119" s="136">
        <f t="shared" si="28"/>
        <v>0</v>
      </c>
      <c r="S119" s="190">
        <v>0</v>
      </c>
      <c r="T119" s="190">
        <v>0</v>
      </c>
      <c r="BU119" s="523"/>
      <c r="BV119" s="523"/>
      <c r="BW119" s="523"/>
      <c r="BX119" s="523"/>
      <c r="BY119" s="523"/>
      <c r="BZ119" s="523"/>
      <c r="CA119" s="523"/>
      <c r="CB119" s="523"/>
      <c r="CC119" s="523"/>
      <c r="CD119" s="523"/>
      <c r="CE119" s="523"/>
      <c r="CF119" s="523"/>
      <c r="CG119" s="523"/>
      <c r="CH119" s="523"/>
      <c r="CI119" s="523">
        <f t="shared" si="22"/>
        <v>0</v>
      </c>
    </row>
    <row r="120" spans="1:87" x14ac:dyDescent="0.2">
      <c r="A120" s="412">
        <v>11</v>
      </c>
      <c r="B120" s="413"/>
      <c r="C120" s="413"/>
      <c r="D120" s="414" t="s">
        <v>1498</v>
      </c>
      <c r="E120" s="415"/>
      <c r="F120" s="415"/>
      <c r="G120" s="415"/>
      <c r="H120" s="415"/>
      <c r="I120" s="415"/>
      <c r="J120" s="415"/>
      <c r="K120" s="415"/>
      <c r="L120" s="433">
        <f>SUM(L121:L128)</f>
        <v>62088.5</v>
      </c>
      <c r="M120" s="433">
        <f>SUM(M121:M128)</f>
        <v>0</v>
      </c>
      <c r="N120" s="433">
        <f>SUM(N121:N128)</f>
        <v>0</v>
      </c>
      <c r="O120" s="433">
        <f>SUM(O121:O128)</f>
        <v>62088.5</v>
      </c>
      <c r="P120" s="423">
        <f t="shared" si="28"/>
        <v>0</v>
      </c>
      <c r="S120" s="189">
        <v>0</v>
      </c>
      <c r="T120" s="189">
        <v>0</v>
      </c>
      <c r="BU120" s="523"/>
      <c r="BV120" s="523"/>
      <c r="BW120" s="523"/>
      <c r="BX120" s="523"/>
      <c r="BY120" s="523"/>
      <c r="BZ120" s="523"/>
      <c r="CA120" s="523"/>
      <c r="CB120" s="523"/>
      <c r="CC120" s="523"/>
      <c r="CD120" s="523"/>
      <c r="CE120" s="523"/>
      <c r="CF120" s="523"/>
      <c r="CG120" s="523"/>
      <c r="CH120" s="523"/>
      <c r="CI120" s="523">
        <f t="shared" si="22"/>
        <v>0</v>
      </c>
    </row>
    <row r="121" spans="1:87" x14ac:dyDescent="0.2">
      <c r="A121" s="125" t="s">
        <v>274</v>
      </c>
      <c r="B121" s="126" t="s">
        <v>2007</v>
      </c>
      <c r="C121" s="126" t="s">
        <v>1339</v>
      </c>
      <c r="D121" s="127" t="s">
        <v>1499</v>
      </c>
      <c r="E121" s="128" t="s">
        <v>14</v>
      </c>
      <c r="F121" s="137">
        <v>14.07</v>
      </c>
      <c r="G121" s="130">
        <v>7.03</v>
      </c>
      <c r="H121" s="128">
        <v>529.37</v>
      </c>
      <c r="I121" s="133">
        <f t="shared" si="23"/>
        <v>0</v>
      </c>
      <c r="J121" s="374">
        <f t="shared" si="24"/>
        <v>0</v>
      </c>
      <c r="K121" s="137">
        <f t="shared" ref="K121:K128" si="38">H121-J121</f>
        <v>529.37</v>
      </c>
      <c r="L121" s="131">
        <f t="shared" ref="L121:L128" si="39">ROUND(H121*$G121,2)</f>
        <v>3721.47</v>
      </c>
      <c r="M121" s="131">
        <f t="shared" ref="M121:M128" si="40">ROUND(I121*$G121,2)</f>
        <v>0</v>
      </c>
      <c r="N121" s="131">
        <f t="shared" ref="N121:N128" si="41">ROUND(J121*$G121,2)</f>
        <v>0</v>
      </c>
      <c r="O121" s="131">
        <f t="shared" ref="O121:O128" si="42">ROUND(K121*$G121,2)</f>
        <v>3721.47</v>
      </c>
      <c r="P121" s="136">
        <f t="shared" si="28"/>
        <v>0</v>
      </c>
      <c r="S121" s="189">
        <v>0</v>
      </c>
      <c r="T121" s="189">
        <v>0</v>
      </c>
      <c r="BU121" s="523"/>
      <c r="BV121" s="523"/>
      <c r="BW121" s="523"/>
      <c r="BX121" s="523"/>
      <c r="BY121" s="523"/>
      <c r="BZ121" s="523"/>
      <c r="CA121" s="523"/>
      <c r="CB121" s="523"/>
      <c r="CC121" s="523"/>
      <c r="CD121" s="523"/>
      <c r="CE121" s="523"/>
      <c r="CF121" s="523"/>
      <c r="CG121" s="523"/>
      <c r="CH121" s="523"/>
      <c r="CI121" s="523">
        <f t="shared" si="22"/>
        <v>0</v>
      </c>
    </row>
    <row r="122" spans="1:87" x14ac:dyDescent="0.2">
      <c r="A122" s="125" t="s">
        <v>276</v>
      </c>
      <c r="B122" s="126">
        <v>88489</v>
      </c>
      <c r="C122" s="126" t="s">
        <v>1324</v>
      </c>
      <c r="D122" s="127" t="s">
        <v>1500</v>
      </c>
      <c r="E122" s="128" t="s">
        <v>14</v>
      </c>
      <c r="F122" s="137">
        <v>14.07</v>
      </c>
      <c r="G122" s="130">
        <v>9.48</v>
      </c>
      <c r="H122" s="128">
        <v>445.04</v>
      </c>
      <c r="I122" s="133">
        <f t="shared" si="23"/>
        <v>0</v>
      </c>
      <c r="J122" s="374">
        <f t="shared" si="24"/>
        <v>0</v>
      </c>
      <c r="K122" s="137">
        <f t="shared" si="38"/>
        <v>445.04</v>
      </c>
      <c r="L122" s="131">
        <f t="shared" si="39"/>
        <v>4218.9799999999996</v>
      </c>
      <c r="M122" s="131">
        <f t="shared" si="40"/>
        <v>0</v>
      </c>
      <c r="N122" s="131">
        <f t="shared" si="41"/>
        <v>0</v>
      </c>
      <c r="O122" s="131">
        <f t="shared" si="42"/>
        <v>4218.9799999999996</v>
      </c>
      <c r="P122" s="136">
        <f t="shared" si="28"/>
        <v>0</v>
      </c>
      <c r="S122" s="189">
        <v>0</v>
      </c>
      <c r="T122" s="189">
        <v>0</v>
      </c>
      <c r="BU122" s="523"/>
      <c r="BV122" s="523"/>
      <c r="BW122" s="523"/>
      <c r="BX122" s="523"/>
      <c r="BY122" s="523"/>
      <c r="BZ122" s="523"/>
      <c r="CA122" s="523"/>
      <c r="CB122" s="523"/>
      <c r="CC122" s="523"/>
      <c r="CD122" s="523"/>
      <c r="CE122" s="523"/>
      <c r="CF122" s="523"/>
      <c r="CG122" s="523"/>
      <c r="CH122" s="523"/>
      <c r="CI122" s="523">
        <f t="shared" si="22"/>
        <v>0</v>
      </c>
    </row>
    <row r="123" spans="1:87" x14ac:dyDescent="0.2">
      <c r="A123" s="125" t="s">
        <v>278</v>
      </c>
      <c r="B123" s="126">
        <v>88486</v>
      </c>
      <c r="C123" s="126" t="s">
        <v>1324</v>
      </c>
      <c r="D123" s="127" t="s">
        <v>1501</v>
      </c>
      <c r="E123" s="128" t="s">
        <v>14</v>
      </c>
      <c r="F123" s="138"/>
      <c r="G123" s="130">
        <v>8.2899999999999991</v>
      </c>
      <c r="H123" s="128">
        <v>84.33</v>
      </c>
      <c r="I123" s="133">
        <f t="shared" si="23"/>
        <v>0</v>
      </c>
      <c r="J123" s="374">
        <f t="shared" si="24"/>
        <v>0</v>
      </c>
      <c r="K123" s="137">
        <f t="shared" si="38"/>
        <v>84.33</v>
      </c>
      <c r="L123" s="131">
        <f t="shared" si="39"/>
        <v>699.1</v>
      </c>
      <c r="M123" s="131">
        <f t="shared" si="40"/>
        <v>0</v>
      </c>
      <c r="N123" s="131">
        <f t="shared" si="41"/>
        <v>0</v>
      </c>
      <c r="O123" s="131">
        <f t="shared" si="42"/>
        <v>699.1</v>
      </c>
      <c r="P123" s="136">
        <f t="shared" si="28"/>
        <v>0</v>
      </c>
      <c r="S123" s="189">
        <v>0</v>
      </c>
      <c r="T123" s="189">
        <v>0</v>
      </c>
      <c r="BU123" s="523"/>
      <c r="BV123" s="523"/>
      <c r="BW123" s="523"/>
      <c r="BX123" s="523"/>
      <c r="BY123" s="523"/>
      <c r="BZ123" s="523"/>
      <c r="CA123" s="523"/>
      <c r="CB123" s="523"/>
      <c r="CC123" s="523"/>
      <c r="CD123" s="523"/>
      <c r="CE123" s="523"/>
      <c r="CF123" s="523"/>
      <c r="CG123" s="523"/>
      <c r="CH123" s="523"/>
      <c r="CI123" s="523">
        <f t="shared" si="22"/>
        <v>0</v>
      </c>
    </row>
    <row r="124" spans="1:87" x14ac:dyDescent="0.2">
      <c r="A124" s="125" t="s">
        <v>281</v>
      </c>
      <c r="B124" s="126">
        <v>72815</v>
      </c>
      <c r="C124" s="126" t="s">
        <v>1324</v>
      </c>
      <c r="D124" s="127" t="s">
        <v>1502</v>
      </c>
      <c r="E124" s="128" t="s">
        <v>14</v>
      </c>
      <c r="F124" s="138"/>
      <c r="G124" s="130">
        <v>43.08</v>
      </c>
      <c r="H124" s="128">
        <v>483.8</v>
      </c>
      <c r="I124" s="133">
        <f t="shared" si="23"/>
        <v>0</v>
      </c>
      <c r="J124" s="374">
        <f t="shared" si="24"/>
        <v>0</v>
      </c>
      <c r="K124" s="137">
        <f t="shared" si="38"/>
        <v>483.8</v>
      </c>
      <c r="L124" s="131">
        <f t="shared" si="39"/>
        <v>20842.099999999999</v>
      </c>
      <c r="M124" s="131">
        <f t="shared" si="40"/>
        <v>0</v>
      </c>
      <c r="N124" s="131">
        <f t="shared" si="41"/>
        <v>0</v>
      </c>
      <c r="O124" s="131">
        <f t="shared" si="42"/>
        <v>20842.099999999999</v>
      </c>
      <c r="P124" s="136">
        <f t="shared" si="28"/>
        <v>0</v>
      </c>
      <c r="S124" s="189">
        <v>0</v>
      </c>
      <c r="T124" s="189">
        <v>0</v>
      </c>
      <c r="BU124" s="523"/>
      <c r="BV124" s="523"/>
      <c r="BW124" s="523"/>
      <c r="BX124" s="523"/>
      <c r="BY124" s="523"/>
      <c r="BZ124" s="523"/>
      <c r="CA124" s="523"/>
      <c r="CB124" s="523"/>
      <c r="CC124" s="523"/>
      <c r="CD124" s="523"/>
      <c r="CE124" s="523"/>
      <c r="CF124" s="523"/>
      <c r="CG124" s="523"/>
      <c r="CH124" s="523"/>
      <c r="CI124" s="523">
        <f t="shared" si="22"/>
        <v>0</v>
      </c>
    </row>
    <row r="125" spans="1:87" x14ac:dyDescent="0.2">
      <c r="A125" s="125" t="s">
        <v>1503</v>
      </c>
      <c r="B125" s="126">
        <v>41595</v>
      </c>
      <c r="C125" s="126" t="s">
        <v>1324</v>
      </c>
      <c r="D125" s="127" t="s">
        <v>1504</v>
      </c>
      <c r="E125" s="128" t="s">
        <v>81</v>
      </c>
      <c r="F125" s="138"/>
      <c r="G125" s="130">
        <v>8.86</v>
      </c>
      <c r="H125" s="128">
        <v>275.60000000000002</v>
      </c>
      <c r="I125" s="133">
        <f t="shared" si="23"/>
        <v>0</v>
      </c>
      <c r="J125" s="374">
        <f t="shared" si="24"/>
        <v>0</v>
      </c>
      <c r="K125" s="137">
        <f t="shared" si="38"/>
        <v>275.60000000000002</v>
      </c>
      <c r="L125" s="131">
        <f t="shared" si="39"/>
        <v>2441.8200000000002</v>
      </c>
      <c r="M125" s="131">
        <f t="shared" si="40"/>
        <v>0</v>
      </c>
      <c r="N125" s="131">
        <f t="shared" si="41"/>
        <v>0</v>
      </c>
      <c r="O125" s="131">
        <f t="shared" si="42"/>
        <v>2441.8200000000002</v>
      </c>
      <c r="P125" s="136">
        <f t="shared" si="28"/>
        <v>0</v>
      </c>
      <c r="S125" s="189">
        <v>0</v>
      </c>
      <c r="T125" s="189">
        <v>0</v>
      </c>
      <c r="BU125" s="523"/>
      <c r="BV125" s="523"/>
      <c r="BW125" s="523"/>
      <c r="BX125" s="523"/>
      <c r="BY125" s="523"/>
      <c r="BZ125" s="523"/>
      <c r="CA125" s="523"/>
      <c r="CB125" s="523"/>
      <c r="CC125" s="523"/>
      <c r="CD125" s="523"/>
      <c r="CE125" s="523"/>
      <c r="CF125" s="523"/>
      <c r="CG125" s="523"/>
      <c r="CH125" s="523"/>
      <c r="CI125" s="523">
        <f t="shared" si="22"/>
        <v>0</v>
      </c>
    </row>
    <row r="126" spans="1:87" x14ac:dyDescent="0.2">
      <c r="A126" s="125" t="s">
        <v>1505</v>
      </c>
      <c r="B126" s="126" t="s">
        <v>1506</v>
      </c>
      <c r="C126" s="126" t="s">
        <v>1324</v>
      </c>
      <c r="D126" s="127" t="s">
        <v>1507</v>
      </c>
      <c r="E126" s="128" t="s">
        <v>14</v>
      </c>
      <c r="F126" s="129"/>
      <c r="G126" s="130">
        <v>7.25</v>
      </c>
      <c r="H126" s="128">
        <v>366.82</v>
      </c>
      <c r="I126" s="133">
        <f t="shared" si="23"/>
        <v>0</v>
      </c>
      <c r="J126" s="374">
        <f t="shared" si="24"/>
        <v>0</v>
      </c>
      <c r="K126" s="137">
        <f t="shared" si="38"/>
        <v>366.82</v>
      </c>
      <c r="L126" s="131">
        <f t="shared" si="39"/>
        <v>2659.45</v>
      </c>
      <c r="M126" s="131">
        <f t="shared" si="40"/>
        <v>0</v>
      </c>
      <c r="N126" s="131">
        <f t="shared" si="41"/>
        <v>0</v>
      </c>
      <c r="O126" s="131">
        <f t="shared" si="42"/>
        <v>2659.45</v>
      </c>
      <c r="P126" s="136">
        <f t="shared" si="28"/>
        <v>0</v>
      </c>
      <c r="S126" s="189">
        <v>0</v>
      </c>
      <c r="T126" s="189">
        <v>0</v>
      </c>
      <c r="BU126" s="523"/>
      <c r="BV126" s="523"/>
      <c r="BW126" s="523"/>
      <c r="BX126" s="523"/>
      <c r="BY126" s="523"/>
      <c r="BZ126" s="523"/>
      <c r="CA126" s="523"/>
      <c r="CB126" s="523"/>
      <c r="CC126" s="523"/>
      <c r="CD126" s="523"/>
      <c r="CE126" s="523"/>
      <c r="CF126" s="523"/>
      <c r="CG126" s="523"/>
      <c r="CH126" s="523"/>
      <c r="CI126" s="523">
        <f t="shared" si="22"/>
        <v>0</v>
      </c>
    </row>
    <row r="127" spans="1:87" x14ac:dyDescent="0.2">
      <c r="A127" s="125" t="s">
        <v>1508</v>
      </c>
      <c r="B127" s="126" t="s">
        <v>1509</v>
      </c>
      <c r="C127" s="126" t="s">
        <v>1324</v>
      </c>
      <c r="D127" s="127" t="s">
        <v>1510</v>
      </c>
      <c r="E127" s="128" t="s">
        <v>14</v>
      </c>
      <c r="F127" s="137">
        <v>37.78</v>
      </c>
      <c r="G127" s="130">
        <v>21.62</v>
      </c>
      <c r="H127" s="128">
        <v>567.82000000000005</v>
      </c>
      <c r="I127" s="133">
        <f t="shared" si="23"/>
        <v>0</v>
      </c>
      <c r="J127" s="374">
        <f t="shared" si="24"/>
        <v>0</v>
      </c>
      <c r="K127" s="137">
        <f t="shared" si="38"/>
        <v>567.82000000000005</v>
      </c>
      <c r="L127" s="131">
        <f t="shared" si="39"/>
        <v>12276.27</v>
      </c>
      <c r="M127" s="131">
        <f t="shared" si="40"/>
        <v>0</v>
      </c>
      <c r="N127" s="131">
        <f t="shared" si="41"/>
        <v>0</v>
      </c>
      <c r="O127" s="131">
        <f t="shared" si="42"/>
        <v>12276.27</v>
      </c>
      <c r="P127" s="136">
        <f t="shared" si="28"/>
        <v>0</v>
      </c>
      <c r="S127" s="189">
        <v>0</v>
      </c>
      <c r="T127" s="189">
        <v>0</v>
      </c>
      <c r="BU127" s="523"/>
      <c r="BV127" s="523"/>
      <c r="BW127" s="523"/>
      <c r="BX127" s="523"/>
      <c r="BY127" s="523"/>
      <c r="BZ127" s="523"/>
      <c r="CA127" s="523"/>
      <c r="CB127" s="523"/>
      <c r="CC127" s="523"/>
      <c r="CD127" s="523"/>
      <c r="CE127" s="523"/>
      <c r="CF127" s="523"/>
      <c r="CG127" s="523"/>
      <c r="CH127" s="523"/>
      <c r="CI127" s="523">
        <f t="shared" si="22"/>
        <v>0</v>
      </c>
    </row>
    <row r="128" spans="1:87" x14ac:dyDescent="0.2">
      <c r="A128" s="125" t="s">
        <v>1511</v>
      </c>
      <c r="B128" s="126" t="s">
        <v>1512</v>
      </c>
      <c r="C128" s="126" t="s">
        <v>1324</v>
      </c>
      <c r="D128" s="127" t="s">
        <v>1513</v>
      </c>
      <c r="E128" s="128" t="s">
        <v>14</v>
      </c>
      <c r="F128" s="137">
        <v>21.63</v>
      </c>
      <c r="G128" s="130">
        <v>14.78</v>
      </c>
      <c r="H128" s="128">
        <v>1030.4000000000001</v>
      </c>
      <c r="I128" s="133">
        <f t="shared" si="23"/>
        <v>0</v>
      </c>
      <c r="J128" s="374">
        <f t="shared" si="24"/>
        <v>0</v>
      </c>
      <c r="K128" s="137">
        <f t="shared" si="38"/>
        <v>1030.4000000000001</v>
      </c>
      <c r="L128" s="131">
        <f t="shared" si="39"/>
        <v>15229.31</v>
      </c>
      <c r="M128" s="131">
        <f t="shared" si="40"/>
        <v>0</v>
      </c>
      <c r="N128" s="131">
        <f t="shared" si="41"/>
        <v>0</v>
      </c>
      <c r="O128" s="131">
        <f t="shared" si="42"/>
        <v>15229.31</v>
      </c>
      <c r="P128" s="136">
        <f t="shared" si="28"/>
        <v>0</v>
      </c>
      <c r="S128" s="189">
        <v>0</v>
      </c>
      <c r="T128" s="189">
        <v>271</v>
      </c>
      <c r="BU128" s="523"/>
      <c r="BV128" s="523"/>
      <c r="BW128" s="523"/>
      <c r="BX128" s="523"/>
      <c r="BY128" s="523"/>
      <c r="BZ128" s="523"/>
      <c r="CA128" s="523"/>
      <c r="CB128" s="523"/>
      <c r="CC128" s="523"/>
      <c r="CD128" s="523"/>
      <c r="CE128" s="523"/>
      <c r="CF128" s="523"/>
      <c r="CG128" s="523"/>
      <c r="CH128" s="523"/>
      <c r="CI128" s="523">
        <f t="shared" si="22"/>
        <v>0</v>
      </c>
    </row>
    <row r="129" spans="1:87" s="481" customFormat="1" x14ac:dyDescent="0.2">
      <c r="A129" s="412">
        <v>12</v>
      </c>
      <c r="B129" s="413"/>
      <c r="C129" s="413"/>
      <c r="D129" s="414" t="s">
        <v>1514</v>
      </c>
      <c r="E129" s="415"/>
      <c r="F129" s="415"/>
      <c r="G129" s="415"/>
      <c r="H129" s="415"/>
      <c r="I129" s="415"/>
      <c r="J129" s="415"/>
      <c r="K129" s="415"/>
      <c r="L129" s="416">
        <f>SUM(L130,L152)</f>
        <v>4556.04</v>
      </c>
      <c r="M129" s="416">
        <f>SUM(M130,M152)</f>
        <v>0</v>
      </c>
      <c r="N129" s="416">
        <f>SUM(N130,N152)</f>
        <v>0</v>
      </c>
      <c r="O129" s="416">
        <f>SUM(O130,O152)</f>
        <v>4556.04</v>
      </c>
      <c r="P129" s="423">
        <f t="shared" si="28"/>
        <v>0</v>
      </c>
      <c r="S129" s="190">
        <v>0</v>
      </c>
      <c r="T129" s="190">
        <v>237</v>
      </c>
      <c r="BU129" s="523"/>
      <c r="BV129" s="523"/>
      <c r="BW129" s="523"/>
      <c r="BX129" s="523"/>
      <c r="BY129" s="523"/>
      <c r="BZ129" s="523"/>
      <c r="CA129" s="523"/>
      <c r="CB129" s="523"/>
      <c r="CC129" s="523"/>
      <c r="CD129" s="523"/>
      <c r="CE129" s="523"/>
      <c r="CF129" s="523"/>
      <c r="CG129" s="523"/>
      <c r="CH129" s="523"/>
      <c r="CI129" s="523">
        <f t="shared" si="22"/>
        <v>0</v>
      </c>
    </row>
    <row r="130" spans="1:87" x14ac:dyDescent="0.2">
      <c r="A130" s="449" t="s">
        <v>1515</v>
      </c>
      <c r="B130" s="450"/>
      <c r="C130" s="450"/>
      <c r="D130" s="451" t="s">
        <v>1516</v>
      </c>
      <c r="E130" s="465"/>
      <c r="F130" s="465"/>
      <c r="G130" s="465"/>
      <c r="H130" s="465"/>
      <c r="I130" s="465"/>
      <c r="J130" s="465"/>
      <c r="K130" s="465"/>
      <c r="L130" s="452">
        <f>SUM(L131:L151)</f>
        <v>1719.64</v>
      </c>
      <c r="M130" s="452">
        <f>SUM(M131:M151)</f>
        <v>0</v>
      </c>
      <c r="N130" s="452">
        <f>SUM(N131:N151)</f>
        <v>0</v>
      </c>
      <c r="O130" s="452">
        <f>SUM(O131:O151)</f>
        <v>1719.64</v>
      </c>
      <c r="P130" s="459">
        <f t="shared" si="28"/>
        <v>0</v>
      </c>
      <c r="S130" s="189">
        <v>0</v>
      </c>
      <c r="T130" s="189">
        <v>12</v>
      </c>
      <c r="BU130" s="523"/>
      <c r="BV130" s="523"/>
      <c r="BW130" s="523"/>
      <c r="BX130" s="523"/>
      <c r="BY130" s="523"/>
      <c r="BZ130" s="523"/>
      <c r="CA130" s="523"/>
      <c r="CB130" s="523"/>
      <c r="CC130" s="523"/>
      <c r="CD130" s="523"/>
      <c r="CE130" s="523"/>
      <c r="CF130" s="523"/>
      <c r="CG130" s="523"/>
      <c r="CH130" s="523"/>
      <c r="CI130" s="523">
        <f t="shared" si="22"/>
        <v>0</v>
      </c>
    </row>
    <row r="131" spans="1:87" x14ac:dyDescent="0.2">
      <c r="A131" s="125" t="s">
        <v>1517</v>
      </c>
      <c r="B131" s="126">
        <v>89401</v>
      </c>
      <c r="C131" s="126" t="s">
        <v>1324</v>
      </c>
      <c r="D131" s="127" t="s">
        <v>1518</v>
      </c>
      <c r="E131" s="128" t="s">
        <v>81</v>
      </c>
      <c r="F131" s="137">
        <v>22.03</v>
      </c>
      <c r="G131" s="130">
        <v>5.29</v>
      </c>
      <c r="H131" s="128">
        <v>12</v>
      </c>
      <c r="I131" s="133">
        <f t="shared" si="23"/>
        <v>0</v>
      </c>
      <c r="J131" s="374">
        <f t="shared" si="24"/>
        <v>0</v>
      </c>
      <c r="K131" s="137">
        <f t="shared" ref="K131:K193" si="43">H131-J131</f>
        <v>12</v>
      </c>
      <c r="L131" s="131">
        <f t="shared" ref="L131:L151" si="44">ROUND(H131*$G131,2)</f>
        <v>63.48</v>
      </c>
      <c r="M131" s="131">
        <f t="shared" ref="M131:M151" si="45">ROUND(I131*$G131,2)</f>
        <v>0</v>
      </c>
      <c r="N131" s="131">
        <f t="shared" ref="N131:N151" si="46">ROUND(J131*$G131,2)</f>
        <v>0</v>
      </c>
      <c r="O131" s="131">
        <f t="shared" ref="O131:O151" si="47">ROUND(K131*$G131,2)</f>
        <v>63.48</v>
      </c>
      <c r="P131" s="136">
        <f t="shared" si="28"/>
        <v>0</v>
      </c>
      <c r="S131" s="189">
        <v>0</v>
      </c>
      <c r="T131" s="189">
        <v>42</v>
      </c>
      <c r="BU131" s="523"/>
      <c r="BV131" s="523"/>
      <c r="BW131" s="523"/>
      <c r="BX131" s="523"/>
      <c r="BY131" s="523"/>
      <c r="BZ131" s="523"/>
      <c r="CA131" s="523"/>
      <c r="CB131" s="523"/>
      <c r="CC131" s="523"/>
      <c r="CD131" s="523"/>
      <c r="CE131" s="523"/>
      <c r="CF131" s="523"/>
      <c r="CG131" s="523"/>
      <c r="CH131" s="523"/>
      <c r="CI131" s="523">
        <f t="shared" si="22"/>
        <v>0</v>
      </c>
    </row>
    <row r="132" spans="1:87" x14ac:dyDescent="0.2">
      <c r="A132" s="125" t="s">
        <v>1519</v>
      </c>
      <c r="B132" s="126">
        <v>89446</v>
      </c>
      <c r="C132" s="126" t="s">
        <v>1324</v>
      </c>
      <c r="D132" s="127" t="s">
        <v>1520</v>
      </c>
      <c r="E132" s="128" t="s">
        <v>81</v>
      </c>
      <c r="F132" s="138"/>
      <c r="G132" s="130">
        <v>3.19</v>
      </c>
      <c r="H132" s="128">
        <v>42</v>
      </c>
      <c r="I132" s="133">
        <f t="shared" si="23"/>
        <v>0</v>
      </c>
      <c r="J132" s="374">
        <f t="shared" si="24"/>
        <v>0</v>
      </c>
      <c r="K132" s="128">
        <f t="shared" si="43"/>
        <v>42</v>
      </c>
      <c r="L132" s="131">
        <f t="shared" si="44"/>
        <v>133.97999999999999</v>
      </c>
      <c r="M132" s="131">
        <f t="shared" si="45"/>
        <v>0</v>
      </c>
      <c r="N132" s="131">
        <f t="shared" si="46"/>
        <v>0</v>
      </c>
      <c r="O132" s="131">
        <f t="shared" si="47"/>
        <v>133.97999999999999</v>
      </c>
      <c r="P132" s="136">
        <f t="shared" si="28"/>
        <v>0</v>
      </c>
      <c r="S132" s="189">
        <v>0</v>
      </c>
      <c r="T132" s="189">
        <v>28</v>
      </c>
      <c r="BU132" s="523"/>
      <c r="BV132" s="523"/>
      <c r="BW132" s="523"/>
      <c r="BX132" s="523"/>
      <c r="BY132" s="523"/>
      <c r="BZ132" s="523"/>
      <c r="CA132" s="523"/>
      <c r="CB132" s="523"/>
      <c r="CC132" s="523"/>
      <c r="CD132" s="523"/>
      <c r="CE132" s="523"/>
      <c r="CF132" s="523"/>
      <c r="CG132" s="523"/>
      <c r="CH132" s="523"/>
      <c r="CI132" s="523">
        <f t="shared" si="22"/>
        <v>0</v>
      </c>
    </row>
    <row r="133" spans="1:87" x14ac:dyDescent="0.2">
      <c r="A133" s="125" t="s">
        <v>1521</v>
      </c>
      <c r="B133" s="126">
        <v>89447</v>
      </c>
      <c r="C133" s="126" t="s">
        <v>1324</v>
      </c>
      <c r="D133" s="127" t="s">
        <v>1522</v>
      </c>
      <c r="E133" s="128" t="s">
        <v>81</v>
      </c>
      <c r="F133" s="138"/>
      <c r="G133" s="130">
        <v>6.33</v>
      </c>
      <c r="H133" s="128">
        <v>28</v>
      </c>
      <c r="I133" s="133">
        <f t="shared" si="23"/>
        <v>0</v>
      </c>
      <c r="J133" s="374">
        <f t="shared" si="24"/>
        <v>0</v>
      </c>
      <c r="K133" s="128">
        <f t="shared" si="43"/>
        <v>28</v>
      </c>
      <c r="L133" s="131">
        <f t="shared" si="44"/>
        <v>177.24</v>
      </c>
      <c r="M133" s="131">
        <f t="shared" si="45"/>
        <v>0</v>
      </c>
      <c r="N133" s="131">
        <f t="shared" si="46"/>
        <v>0</v>
      </c>
      <c r="O133" s="131">
        <f t="shared" si="47"/>
        <v>177.24</v>
      </c>
      <c r="P133" s="136">
        <f t="shared" si="28"/>
        <v>0</v>
      </c>
      <c r="S133" s="189">
        <v>0</v>
      </c>
      <c r="T133" s="189">
        <v>30</v>
      </c>
      <c r="BU133" s="523"/>
      <c r="BV133" s="523"/>
      <c r="BW133" s="523"/>
      <c r="BX133" s="523"/>
      <c r="BY133" s="523"/>
      <c r="BZ133" s="523"/>
      <c r="CA133" s="523"/>
      <c r="CB133" s="523"/>
      <c r="CC133" s="523"/>
      <c r="CD133" s="523"/>
      <c r="CE133" s="523"/>
      <c r="CF133" s="523"/>
      <c r="CG133" s="523"/>
      <c r="CH133" s="523"/>
      <c r="CI133" s="523">
        <f t="shared" si="22"/>
        <v>0</v>
      </c>
    </row>
    <row r="134" spans="1:87" x14ac:dyDescent="0.2">
      <c r="A134" s="125" t="s">
        <v>1523</v>
      </c>
      <c r="B134" s="126">
        <v>89448</v>
      </c>
      <c r="C134" s="126" t="s">
        <v>1324</v>
      </c>
      <c r="D134" s="127" t="s">
        <v>1524</v>
      </c>
      <c r="E134" s="128" t="s">
        <v>81</v>
      </c>
      <c r="F134" s="129"/>
      <c r="G134" s="130">
        <v>10.15</v>
      </c>
      <c r="H134" s="128">
        <v>30</v>
      </c>
      <c r="I134" s="133">
        <f t="shared" si="23"/>
        <v>0</v>
      </c>
      <c r="J134" s="374">
        <f t="shared" si="24"/>
        <v>0</v>
      </c>
      <c r="K134" s="128">
        <f t="shared" si="43"/>
        <v>30</v>
      </c>
      <c r="L134" s="131">
        <f t="shared" si="44"/>
        <v>304.5</v>
      </c>
      <c r="M134" s="131">
        <f t="shared" si="45"/>
        <v>0</v>
      </c>
      <c r="N134" s="131">
        <f t="shared" si="46"/>
        <v>0</v>
      </c>
      <c r="O134" s="131">
        <f t="shared" si="47"/>
        <v>304.5</v>
      </c>
      <c r="P134" s="136">
        <f t="shared" si="28"/>
        <v>0</v>
      </c>
      <c r="S134" s="189">
        <v>0</v>
      </c>
      <c r="T134" s="189">
        <v>36</v>
      </c>
      <c r="BU134" s="523"/>
      <c r="BV134" s="523"/>
      <c r="BW134" s="523"/>
      <c r="BX134" s="523"/>
      <c r="BY134" s="523"/>
      <c r="BZ134" s="523"/>
      <c r="CA134" s="523"/>
      <c r="CB134" s="523"/>
      <c r="CC134" s="523"/>
      <c r="CD134" s="523"/>
      <c r="CE134" s="523"/>
      <c r="CF134" s="523"/>
      <c r="CG134" s="523"/>
      <c r="CH134" s="523"/>
      <c r="CI134" s="523">
        <f t="shared" si="22"/>
        <v>0</v>
      </c>
    </row>
    <row r="135" spans="1:87" x14ac:dyDescent="0.2">
      <c r="A135" s="125" t="s">
        <v>1525</v>
      </c>
      <c r="B135" s="126">
        <v>89449</v>
      </c>
      <c r="C135" s="126" t="s">
        <v>1324</v>
      </c>
      <c r="D135" s="127" t="s">
        <v>1526</v>
      </c>
      <c r="E135" s="128" t="s">
        <v>81</v>
      </c>
      <c r="F135" s="137">
        <v>5.81</v>
      </c>
      <c r="G135" s="130">
        <v>11.27</v>
      </c>
      <c r="H135" s="128">
        <v>36</v>
      </c>
      <c r="I135" s="133">
        <f t="shared" si="23"/>
        <v>0</v>
      </c>
      <c r="J135" s="374">
        <f t="shared" si="24"/>
        <v>0</v>
      </c>
      <c r="K135" s="128">
        <f t="shared" si="43"/>
        <v>36</v>
      </c>
      <c r="L135" s="131">
        <f t="shared" si="44"/>
        <v>405.72</v>
      </c>
      <c r="M135" s="131">
        <f t="shared" si="45"/>
        <v>0</v>
      </c>
      <c r="N135" s="131">
        <f t="shared" si="46"/>
        <v>0</v>
      </c>
      <c r="O135" s="131">
        <f t="shared" si="47"/>
        <v>405.72</v>
      </c>
      <c r="P135" s="136">
        <f t="shared" si="28"/>
        <v>0</v>
      </c>
      <c r="S135" s="189">
        <v>0</v>
      </c>
      <c r="T135" s="189">
        <v>15</v>
      </c>
      <c r="BU135" s="523"/>
      <c r="BV135" s="523"/>
      <c r="BW135" s="523"/>
      <c r="BX135" s="523"/>
      <c r="BY135" s="523"/>
      <c r="BZ135" s="523"/>
      <c r="CA135" s="523"/>
      <c r="CB135" s="523"/>
      <c r="CC135" s="523"/>
      <c r="CD135" s="523"/>
      <c r="CE135" s="523"/>
      <c r="CF135" s="523"/>
      <c r="CG135" s="523"/>
      <c r="CH135" s="523"/>
      <c r="CI135" s="523">
        <f t="shared" si="22"/>
        <v>0</v>
      </c>
    </row>
    <row r="136" spans="1:87" x14ac:dyDescent="0.2">
      <c r="A136" s="125" t="s">
        <v>1527</v>
      </c>
      <c r="B136" s="126">
        <v>89408</v>
      </c>
      <c r="C136" s="126" t="s">
        <v>1324</v>
      </c>
      <c r="D136" s="127" t="s">
        <v>1528</v>
      </c>
      <c r="E136" s="128" t="s">
        <v>102</v>
      </c>
      <c r="F136" s="137">
        <v>37.78</v>
      </c>
      <c r="G136" s="130">
        <v>4.28</v>
      </c>
      <c r="H136" s="128">
        <v>15</v>
      </c>
      <c r="I136" s="133">
        <f t="shared" si="23"/>
        <v>0</v>
      </c>
      <c r="J136" s="374">
        <f t="shared" si="24"/>
        <v>0</v>
      </c>
      <c r="K136" s="128">
        <f t="shared" si="43"/>
        <v>15</v>
      </c>
      <c r="L136" s="131">
        <f t="shared" si="44"/>
        <v>64.2</v>
      </c>
      <c r="M136" s="131">
        <f t="shared" si="45"/>
        <v>0</v>
      </c>
      <c r="N136" s="131">
        <f t="shared" si="46"/>
        <v>0</v>
      </c>
      <c r="O136" s="131">
        <f t="shared" si="47"/>
        <v>64.2</v>
      </c>
      <c r="P136" s="136">
        <f t="shared" si="28"/>
        <v>0</v>
      </c>
      <c r="S136" s="189">
        <v>0</v>
      </c>
      <c r="T136" s="189">
        <v>8</v>
      </c>
      <c r="BU136" s="523"/>
      <c r="BV136" s="523"/>
      <c r="BW136" s="523"/>
      <c r="BX136" s="523"/>
      <c r="BY136" s="523"/>
      <c r="BZ136" s="523"/>
      <c r="CA136" s="523"/>
      <c r="CB136" s="523"/>
      <c r="CC136" s="523"/>
      <c r="CD136" s="523"/>
      <c r="CE136" s="523"/>
      <c r="CF136" s="523"/>
      <c r="CG136" s="523"/>
      <c r="CH136" s="523"/>
      <c r="CI136" s="523">
        <f t="shared" si="22"/>
        <v>0</v>
      </c>
    </row>
    <row r="137" spans="1:87" x14ac:dyDescent="0.2">
      <c r="A137" s="395" t="s">
        <v>1529</v>
      </c>
      <c r="B137" s="396">
        <v>89492</v>
      </c>
      <c r="C137" s="396" t="s">
        <v>1324</v>
      </c>
      <c r="D137" s="397" t="s">
        <v>1530</v>
      </c>
      <c r="E137" s="398" t="s">
        <v>102</v>
      </c>
      <c r="F137" s="399">
        <v>21.63</v>
      </c>
      <c r="G137" s="400">
        <v>4.79</v>
      </c>
      <c r="H137" s="398">
        <v>8</v>
      </c>
      <c r="I137" s="402">
        <f t="shared" si="23"/>
        <v>0</v>
      </c>
      <c r="J137" s="403">
        <f t="shared" si="24"/>
        <v>0</v>
      </c>
      <c r="K137" s="398">
        <f t="shared" si="43"/>
        <v>8</v>
      </c>
      <c r="L137" s="131">
        <f t="shared" si="44"/>
        <v>38.32</v>
      </c>
      <c r="M137" s="131">
        <f t="shared" si="45"/>
        <v>0</v>
      </c>
      <c r="N137" s="131">
        <f t="shared" si="46"/>
        <v>0</v>
      </c>
      <c r="O137" s="131">
        <f t="shared" si="47"/>
        <v>38.32</v>
      </c>
      <c r="P137" s="407">
        <f t="shared" si="28"/>
        <v>0</v>
      </c>
      <c r="S137" s="189">
        <v>0</v>
      </c>
      <c r="T137" s="189">
        <v>6</v>
      </c>
      <c r="BU137" s="523"/>
      <c r="BV137" s="523"/>
      <c r="BW137" s="523"/>
      <c r="BX137" s="523"/>
      <c r="BY137" s="523"/>
      <c r="BZ137" s="523"/>
      <c r="CA137" s="523"/>
      <c r="CB137" s="523"/>
      <c r="CC137" s="523"/>
      <c r="CD137" s="523"/>
      <c r="CE137" s="523"/>
      <c r="CF137" s="523"/>
      <c r="CG137" s="523"/>
      <c r="CH137" s="523"/>
      <c r="CI137" s="523">
        <f t="shared" si="22"/>
        <v>0</v>
      </c>
    </row>
    <row r="138" spans="1:87" x14ac:dyDescent="0.2">
      <c r="A138" s="395" t="s">
        <v>1531</v>
      </c>
      <c r="B138" s="396">
        <v>89501</v>
      </c>
      <c r="C138" s="396" t="s">
        <v>1324</v>
      </c>
      <c r="D138" s="397" t="s">
        <v>1532</v>
      </c>
      <c r="E138" s="398" t="s">
        <v>102</v>
      </c>
      <c r="F138" s="399">
        <v>38.770000000000003</v>
      </c>
      <c r="G138" s="400">
        <v>9.3800000000000008</v>
      </c>
      <c r="H138" s="398">
        <v>6</v>
      </c>
      <c r="I138" s="402">
        <f t="shared" si="23"/>
        <v>0</v>
      </c>
      <c r="J138" s="403">
        <f t="shared" si="24"/>
        <v>0</v>
      </c>
      <c r="K138" s="398">
        <f t="shared" si="43"/>
        <v>6</v>
      </c>
      <c r="L138" s="131">
        <f t="shared" si="44"/>
        <v>56.28</v>
      </c>
      <c r="M138" s="131">
        <f t="shared" si="45"/>
        <v>0</v>
      </c>
      <c r="N138" s="131">
        <f t="shared" si="46"/>
        <v>0</v>
      </c>
      <c r="O138" s="131">
        <f t="shared" si="47"/>
        <v>56.28</v>
      </c>
      <c r="P138" s="407">
        <f t="shared" si="28"/>
        <v>0</v>
      </c>
      <c r="S138" s="189">
        <v>0</v>
      </c>
      <c r="T138" s="189">
        <v>2</v>
      </c>
      <c r="BU138" s="523"/>
      <c r="BV138" s="523"/>
      <c r="BW138" s="523"/>
      <c r="BX138" s="523"/>
      <c r="BY138" s="523"/>
      <c r="BZ138" s="523"/>
      <c r="CA138" s="523"/>
      <c r="CB138" s="523"/>
      <c r="CC138" s="523"/>
      <c r="CD138" s="523"/>
      <c r="CE138" s="523"/>
      <c r="CF138" s="523"/>
      <c r="CG138" s="523"/>
      <c r="CH138" s="523"/>
      <c r="CI138" s="523">
        <f t="shared" si="22"/>
        <v>0</v>
      </c>
    </row>
    <row r="139" spans="1:87" ht="25.5" x14ac:dyDescent="0.2">
      <c r="A139" s="395" t="s">
        <v>1533</v>
      </c>
      <c r="B139" s="396">
        <v>90373</v>
      </c>
      <c r="C139" s="396" t="s">
        <v>1324</v>
      </c>
      <c r="D139" s="397" t="s">
        <v>1534</v>
      </c>
      <c r="E139" s="398" t="s">
        <v>102</v>
      </c>
      <c r="F139" s="138"/>
      <c r="G139" s="400">
        <v>10.06</v>
      </c>
      <c r="H139" s="398">
        <v>2</v>
      </c>
      <c r="I139" s="402">
        <f t="shared" si="23"/>
        <v>0</v>
      </c>
      <c r="J139" s="403">
        <f t="shared" si="24"/>
        <v>0</v>
      </c>
      <c r="K139" s="398">
        <f t="shared" si="43"/>
        <v>2</v>
      </c>
      <c r="L139" s="131">
        <f t="shared" si="44"/>
        <v>20.12</v>
      </c>
      <c r="M139" s="131">
        <f t="shared" si="45"/>
        <v>0</v>
      </c>
      <c r="N139" s="131">
        <f t="shared" si="46"/>
        <v>0</v>
      </c>
      <c r="O139" s="131">
        <f t="shared" si="47"/>
        <v>20.12</v>
      </c>
      <c r="P139" s="407">
        <f t="shared" si="28"/>
        <v>0</v>
      </c>
      <c r="S139" s="189">
        <v>0</v>
      </c>
      <c r="T139" s="189">
        <v>4</v>
      </c>
      <c r="BU139" s="523"/>
      <c r="BV139" s="523"/>
      <c r="BW139" s="523"/>
      <c r="BX139" s="523"/>
      <c r="BY139" s="523"/>
      <c r="BZ139" s="523"/>
      <c r="CA139" s="523"/>
      <c r="CB139" s="523"/>
      <c r="CC139" s="523"/>
      <c r="CD139" s="523"/>
      <c r="CE139" s="523"/>
      <c r="CF139" s="523"/>
      <c r="CG139" s="523"/>
      <c r="CH139" s="523"/>
      <c r="CI139" s="523">
        <f t="shared" si="22"/>
        <v>0</v>
      </c>
    </row>
    <row r="140" spans="1:87" x14ac:dyDescent="0.2">
      <c r="A140" s="395" t="s">
        <v>1535</v>
      </c>
      <c r="B140" s="396" t="s">
        <v>2007</v>
      </c>
      <c r="C140" s="396" t="s">
        <v>1339</v>
      </c>
      <c r="D140" s="397" t="s">
        <v>1536</v>
      </c>
      <c r="E140" s="398" t="s">
        <v>102</v>
      </c>
      <c r="F140" s="138"/>
      <c r="G140" s="400">
        <v>0</v>
      </c>
      <c r="H140" s="398">
        <v>4</v>
      </c>
      <c r="I140" s="402">
        <f t="shared" si="23"/>
        <v>0</v>
      </c>
      <c r="J140" s="403">
        <f t="shared" si="24"/>
        <v>0</v>
      </c>
      <c r="K140" s="398">
        <f t="shared" si="43"/>
        <v>4</v>
      </c>
      <c r="L140" s="131">
        <f t="shared" si="44"/>
        <v>0</v>
      </c>
      <c r="M140" s="131">
        <f t="shared" si="45"/>
        <v>0</v>
      </c>
      <c r="N140" s="131">
        <f t="shared" si="46"/>
        <v>0</v>
      </c>
      <c r="O140" s="131">
        <f t="shared" si="47"/>
        <v>0</v>
      </c>
      <c r="P140" s="407">
        <v>0</v>
      </c>
      <c r="S140" s="189">
        <v>0</v>
      </c>
      <c r="T140" s="189">
        <v>16</v>
      </c>
      <c r="BU140" s="523"/>
      <c r="BV140" s="523"/>
      <c r="BW140" s="523"/>
      <c r="BX140" s="523"/>
      <c r="BY140" s="523"/>
      <c r="BZ140" s="523"/>
      <c r="CA140" s="523"/>
      <c r="CB140" s="523"/>
      <c r="CC140" s="523"/>
      <c r="CD140" s="523"/>
      <c r="CE140" s="523"/>
      <c r="CF140" s="523"/>
      <c r="CG140" s="523"/>
      <c r="CH140" s="523"/>
      <c r="CI140" s="523">
        <f t="shared" si="22"/>
        <v>0</v>
      </c>
    </row>
    <row r="141" spans="1:87" ht="25.5" x14ac:dyDescent="0.2">
      <c r="A141" s="395" t="s">
        <v>1537</v>
      </c>
      <c r="B141" s="396">
        <v>90373</v>
      </c>
      <c r="C141" s="396" t="s">
        <v>1324</v>
      </c>
      <c r="D141" s="397" t="s">
        <v>1538</v>
      </c>
      <c r="E141" s="398" t="s">
        <v>102</v>
      </c>
      <c r="F141" s="138"/>
      <c r="G141" s="400">
        <v>10.06</v>
      </c>
      <c r="H141" s="398">
        <v>16</v>
      </c>
      <c r="I141" s="402">
        <f t="shared" si="23"/>
        <v>0</v>
      </c>
      <c r="J141" s="403">
        <f t="shared" si="24"/>
        <v>0</v>
      </c>
      <c r="K141" s="398">
        <f t="shared" si="43"/>
        <v>16</v>
      </c>
      <c r="L141" s="131">
        <f t="shared" si="44"/>
        <v>160.96</v>
      </c>
      <c r="M141" s="131">
        <f t="shared" si="45"/>
        <v>0</v>
      </c>
      <c r="N141" s="131">
        <f t="shared" si="46"/>
        <v>0</v>
      </c>
      <c r="O141" s="131">
        <f t="shared" si="47"/>
        <v>160.96</v>
      </c>
      <c r="P141" s="407">
        <f t="shared" ref="P141:P204" si="48">N141/L141</f>
        <v>0</v>
      </c>
      <c r="S141" s="189">
        <v>0</v>
      </c>
      <c r="T141" s="189">
        <v>4</v>
      </c>
      <c r="BU141" s="523"/>
      <c r="BV141" s="523"/>
      <c r="BW141" s="523"/>
      <c r="BX141" s="523"/>
      <c r="BY141" s="523"/>
      <c r="BZ141" s="523"/>
      <c r="CA141" s="523"/>
      <c r="CB141" s="523"/>
      <c r="CC141" s="523"/>
      <c r="CD141" s="523"/>
      <c r="CE141" s="523"/>
      <c r="CF141" s="523"/>
      <c r="CG141" s="523"/>
      <c r="CH141" s="523"/>
      <c r="CI141" s="523">
        <f t="shared" si="22"/>
        <v>0</v>
      </c>
    </row>
    <row r="142" spans="1:87" x14ac:dyDescent="0.2">
      <c r="A142" s="395" t="s">
        <v>1539</v>
      </c>
      <c r="B142" s="396">
        <v>89622</v>
      </c>
      <c r="C142" s="396" t="s">
        <v>1324</v>
      </c>
      <c r="D142" s="397" t="s">
        <v>1540</v>
      </c>
      <c r="E142" s="398" t="s">
        <v>102</v>
      </c>
      <c r="F142" s="399">
        <v>29.86</v>
      </c>
      <c r="G142" s="400">
        <v>9.23</v>
      </c>
      <c r="H142" s="398">
        <v>4</v>
      </c>
      <c r="I142" s="402">
        <f t="shared" si="23"/>
        <v>0</v>
      </c>
      <c r="J142" s="403">
        <f t="shared" si="24"/>
        <v>0</v>
      </c>
      <c r="K142" s="398">
        <f t="shared" si="43"/>
        <v>4</v>
      </c>
      <c r="L142" s="131">
        <f t="shared" si="44"/>
        <v>36.92</v>
      </c>
      <c r="M142" s="131">
        <f t="shared" si="45"/>
        <v>0</v>
      </c>
      <c r="N142" s="131">
        <f t="shared" si="46"/>
        <v>0</v>
      </c>
      <c r="O142" s="131">
        <f t="shared" si="47"/>
        <v>36.92</v>
      </c>
      <c r="P142" s="407">
        <f t="shared" si="48"/>
        <v>0</v>
      </c>
      <c r="S142" s="189">
        <v>0</v>
      </c>
      <c r="T142" s="189">
        <v>2</v>
      </c>
      <c r="BU142" s="523"/>
      <c r="BV142" s="523"/>
      <c r="BW142" s="523"/>
      <c r="BX142" s="523"/>
      <c r="BY142" s="523"/>
      <c r="BZ142" s="523"/>
      <c r="CA142" s="523"/>
      <c r="CB142" s="523"/>
      <c r="CC142" s="523"/>
      <c r="CD142" s="523"/>
      <c r="CE142" s="523"/>
      <c r="CF142" s="523"/>
      <c r="CG142" s="523"/>
      <c r="CH142" s="523"/>
      <c r="CI142" s="523">
        <f t="shared" si="22"/>
        <v>0</v>
      </c>
    </row>
    <row r="143" spans="1:87" x14ac:dyDescent="0.2">
      <c r="A143" s="395" t="s">
        <v>1541</v>
      </c>
      <c r="B143" s="396">
        <v>89626</v>
      </c>
      <c r="C143" s="396" t="s">
        <v>1324</v>
      </c>
      <c r="D143" s="397" t="s">
        <v>1542</v>
      </c>
      <c r="E143" s="398" t="s">
        <v>102</v>
      </c>
      <c r="F143" s="399">
        <v>32.090000000000003</v>
      </c>
      <c r="G143" s="400">
        <v>17.79</v>
      </c>
      <c r="H143" s="398">
        <v>2</v>
      </c>
      <c r="I143" s="402">
        <f t="shared" si="23"/>
        <v>0</v>
      </c>
      <c r="J143" s="403">
        <f t="shared" si="24"/>
        <v>0</v>
      </c>
      <c r="K143" s="398">
        <f t="shared" si="43"/>
        <v>2</v>
      </c>
      <c r="L143" s="131">
        <f t="shared" si="44"/>
        <v>35.58</v>
      </c>
      <c r="M143" s="131">
        <f t="shared" si="45"/>
        <v>0</v>
      </c>
      <c r="N143" s="131">
        <f t="shared" si="46"/>
        <v>0</v>
      </c>
      <c r="O143" s="131">
        <f t="shared" si="47"/>
        <v>35.58</v>
      </c>
      <c r="P143" s="407">
        <f t="shared" si="48"/>
        <v>0</v>
      </c>
      <c r="S143" s="189">
        <v>0</v>
      </c>
      <c r="T143" s="189">
        <v>8</v>
      </c>
      <c r="BU143" s="523"/>
      <c r="BV143" s="523"/>
      <c r="BW143" s="523"/>
      <c r="BX143" s="523"/>
      <c r="BY143" s="523"/>
      <c r="BZ143" s="523"/>
      <c r="CA143" s="523"/>
      <c r="CB143" s="523"/>
      <c r="CC143" s="523"/>
      <c r="CD143" s="523"/>
      <c r="CE143" s="523"/>
      <c r="CF143" s="523"/>
      <c r="CG143" s="523"/>
      <c r="CH143" s="523"/>
      <c r="CI143" s="523">
        <f t="shared" ref="CI143:CI206" si="49">SUM(BU143:CH143)</f>
        <v>0</v>
      </c>
    </row>
    <row r="144" spans="1:87" x14ac:dyDescent="0.2">
      <c r="A144" s="395" t="s">
        <v>1543</v>
      </c>
      <c r="B144" s="396">
        <v>89534</v>
      </c>
      <c r="C144" s="396" t="s">
        <v>1324</v>
      </c>
      <c r="D144" s="397" t="s">
        <v>1544</v>
      </c>
      <c r="E144" s="398" t="s">
        <v>102</v>
      </c>
      <c r="F144" s="399">
        <v>46.88</v>
      </c>
      <c r="G144" s="400">
        <v>2.9</v>
      </c>
      <c r="H144" s="398">
        <v>8</v>
      </c>
      <c r="I144" s="402">
        <f t="shared" ref="I144:I207" si="50">BU144</f>
        <v>0</v>
      </c>
      <c r="J144" s="403">
        <f t="shared" ref="J144:J207" si="51">CI144</f>
        <v>0</v>
      </c>
      <c r="K144" s="398">
        <f t="shared" si="43"/>
        <v>8</v>
      </c>
      <c r="L144" s="131">
        <f t="shared" si="44"/>
        <v>23.2</v>
      </c>
      <c r="M144" s="131">
        <f t="shared" si="45"/>
        <v>0</v>
      </c>
      <c r="N144" s="131">
        <f t="shared" si="46"/>
        <v>0</v>
      </c>
      <c r="O144" s="131">
        <f t="shared" si="47"/>
        <v>23.2</v>
      </c>
      <c r="P144" s="407">
        <f t="shared" si="48"/>
        <v>0</v>
      </c>
      <c r="S144" s="189">
        <v>0</v>
      </c>
      <c r="T144" s="189">
        <v>4</v>
      </c>
      <c r="BU144" s="523"/>
      <c r="BV144" s="523"/>
      <c r="BW144" s="523"/>
      <c r="BX144" s="523"/>
      <c r="BY144" s="523"/>
      <c r="BZ144" s="523"/>
      <c r="CA144" s="523"/>
      <c r="CB144" s="523"/>
      <c r="CC144" s="523"/>
      <c r="CD144" s="523"/>
      <c r="CE144" s="523"/>
      <c r="CF144" s="523"/>
      <c r="CG144" s="523"/>
      <c r="CH144" s="523"/>
      <c r="CI144" s="523">
        <f t="shared" si="49"/>
        <v>0</v>
      </c>
    </row>
    <row r="145" spans="1:87" x14ac:dyDescent="0.2">
      <c r="A145" s="395" t="s">
        <v>1545</v>
      </c>
      <c r="B145" s="396">
        <v>89386</v>
      </c>
      <c r="C145" s="396" t="s">
        <v>1324</v>
      </c>
      <c r="D145" s="397" t="s">
        <v>1546</v>
      </c>
      <c r="E145" s="398" t="s">
        <v>102</v>
      </c>
      <c r="F145" s="399">
        <v>31.2</v>
      </c>
      <c r="G145" s="400">
        <v>6</v>
      </c>
      <c r="H145" s="398">
        <v>4</v>
      </c>
      <c r="I145" s="402">
        <f t="shared" si="50"/>
        <v>0</v>
      </c>
      <c r="J145" s="403">
        <f t="shared" si="51"/>
        <v>0</v>
      </c>
      <c r="K145" s="398">
        <f t="shared" si="43"/>
        <v>4</v>
      </c>
      <c r="L145" s="131">
        <f t="shared" si="44"/>
        <v>24</v>
      </c>
      <c r="M145" s="131">
        <f t="shared" si="45"/>
        <v>0</v>
      </c>
      <c r="N145" s="131">
        <f t="shared" si="46"/>
        <v>0</v>
      </c>
      <c r="O145" s="131">
        <f t="shared" si="47"/>
        <v>24</v>
      </c>
      <c r="P145" s="407">
        <f t="shared" si="48"/>
        <v>0</v>
      </c>
      <c r="S145" s="189">
        <v>0</v>
      </c>
      <c r="T145" s="189">
        <v>4</v>
      </c>
      <c r="BU145" s="523"/>
      <c r="BV145" s="523"/>
      <c r="BW145" s="523"/>
      <c r="BX145" s="523"/>
      <c r="BY145" s="523"/>
      <c r="BZ145" s="523"/>
      <c r="CA145" s="523"/>
      <c r="CB145" s="523"/>
      <c r="CC145" s="523"/>
      <c r="CD145" s="523"/>
      <c r="CE145" s="523"/>
      <c r="CF145" s="523"/>
      <c r="CG145" s="523"/>
      <c r="CH145" s="523"/>
      <c r="CI145" s="523">
        <f t="shared" si="49"/>
        <v>0</v>
      </c>
    </row>
    <row r="146" spans="1:87" x14ac:dyDescent="0.2">
      <c r="A146" s="395" t="s">
        <v>1547</v>
      </c>
      <c r="B146" s="396">
        <v>89433</v>
      </c>
      <c r="C146" s="396" t="s">
        <v>1324</v>
      </c>
      <c r="D146" s="397" t="s">
        <v>1548</v>
      </c>
      <c r="E146" s="398" t="s">
        <v>102</v>
      </c>
      <c r="F146" s="399">
        <v>19.170000000000002</v>
      </c>
      <c r="G146" s="400">
        <v>5.63</v>
      </c>
      <c r="H146" s="398">
        <v>4</v>
      </c>
      <c r="I146" s="402">
        <f t="shared" si="50"/>
        <v>0</v>
      </c>
      <c r="J146" s="403">
        <f t="shared" si="51"/>
        <v>0</v>
      </c>
      <c r="K146" s="398">
        <f t="shared" si="43"/>
        <v>4</v>
      </c>
      <c r="L146" s="131">
        <f t="shared" si="44"/>
        <v>22.52</v>
      </c>
      <c r="M146" s="131">
        <f t="shared" si="45"/>
        <v>0</v>
      </c>
      <c r="N146" s="131">
        <f t="shared" si="46"/>
        <v>0</v>
      </c>
      <c r="O146" s="131">
        <f t="shared" si="47"/>
        <v>22.52</v>
      </c>
      <c r="P146" s="407">
        <f t="shared" si="48"/>
        <v>0</v>
      </c>
      <c r="S146" s="189">
        <v>0</v>
      </c>
      <c r="T146" s="189">
        <v>2</v>
      </c>
      <c r="BU146" s="523"/>
      <c r="BV146" s="523"/>
      <c r="BW146" s="523"/>
      <c r="BX146" s="523"/>
      <c r="BY146" s="523"/>
      <c r="BZ146" s="523"/>
      <c r="CA146" s="523"/>
      <c r="CB146" s="523"/>
      <c r="CC146" s="523"/>
      <c r="CD146" s="523"/>
      <c r="CE146" s="523"/>
      <c r="CF146" s="523"/>
      <c r="CG146" s="523"/>
      <c r="CH146" s="523"/>
      <c r="CI146" s="523">
        <f t="shared" si="49"/>
        <v>0</v>
      </c>
    </row>
    <row r="147" spans="1:87" x14ac:dyDescent="0.2">
      <c r="A147" s="125" t="s">
        <v>1549</v>
      </c>
      <c r="B147" s="126">
        <v>89605</v>
      </c>
      <c r="C147" s="126" t="s">
        <v>1324</v>
      </c>
      <c r="D147" s="127" t="s">
        <v>1550</v>
      </c>
      <c r="E147" s="128" t="s">
        <v>102</v>
      </c>
      <c r="F147" s="137">
        <v>98.11</v>
      </c>
      <c r="G147" s="130">
        <v>11.65</v>
      </c>
      <c r="H147" s="128">
        <v>2</v>
      </c>
      <c r="I147" s="133">
        <f t="shared" si="50"/>
        <v>0</v>
      </c>
      <c r="J147" s="374">
        <f t="shared" si="51"/>
        <v>0</v>
      </c>
      <c r="K147" s="128">
        <f t="shared" si="43"/>
        <v>2</v>
      </c>
      <c r="L147" s="131">
        <f t="shared" si="44"/>
        <v>23.3</v>
      </c>
      <c r="M147" s="131">
        <f t="shared" si="45"/>
        <v>0</v>
      </c>
      <c r="N147" s="131">
        <f t="shared" si="46"/>
        <v>0</v>
      </c>
      <c r="O147" s="131">
        <f t="shared" si="47"/>
        <v>23.3</v>
      </c>
      <c r="P147" s="136">
        <f t="shared" si="48"/>
        <v>0</v>
      </c>
      <c r="S147" s="189">
        <v>0</v>
      </c>
      <c r="T147" s="189">
        <v>2</v>
      </c>
      <c r="BU147" s="523"/>
      <c r="BV147" s="523"/>
      <c r="BW147" s="523"/>
      <c r="BX147" s="523"/>
      <c r="BY147" s="523"/>
      <c r="BZ147" s="523"/>
      <c r="CA147" s="523"/>
      <c r="CB147" s="523"/>
      <c r="CC147" s="523"/>
      <c r="CD147" s="523"/>
      <c r="CE147" s="523"/>
      <c r="CF147" s="523"/>
      <c r="CG147" s="523"/>
      <c r="CH147" s="523"/>
      <c r="CI147" s="523">
        <f t="shared" si="49"/>
        <v>0</v>
      </c>
    </row>
    <row r="148" spans="1:87" x14ac:dyDescent="0.2">
      <c r="A148" s="125" t="s">
        <v>1551</v>
      </c>
      <c r="B148" s="126">
        <v>90375</v>
      </c>
      <c r="C148" s="126" t="s">
        <v>1324</v>
      </c>
      <c r="D148" s="127" t="s">
        <v>1552</v>
      </c>
      <c r="E148" s="128" t="s">
        <v>102</v>
      </c>
      <c r="F148" s="137">
        <v>174.65</v>
      </c>
      <c r="G148" s="130">
        <v>6.61</v>
      </c>
      <c r="H148" s="128">
        <v>2</v>
      </c>
      <c r="I148" s="133">
        <f t="shared" si="50"/>
        <v>0</v>
      </c>
      <c r="J148" s="374">
        <f t="shared" si="51"/>
        <v>0</v>
      </c>
      <c r="K148" s="128">
        <f t="shared" si="43"/>
        <v>2</v>
      </c>
      <c r="L148" s="131">
        <f t="shared" si="44"/>
        <v>13.22</v>
      </c>
      <c r="M148" s="131">
        <f t="shared" si="45"/>
        <v>0</v>
      </c>
      <c r="N148" s="131">
        <f t="shared" si="46"/>
        <v>0</v>
      </c>
      <c r="O148" s="131">
        <f t="shared" si="47"/>
        <v>13.22</v>
      </c>
      <c r="P148" s="136">
        <f t="shared" si="48"/>
        <v>0</v>
      </c>
      <c r="S148" s="189">
        <v>0</v>
      </c>
      <c r="T148" s="189">
        <v>4</v>
      </c>
      <c r="BU148" s="523"/>
      <c r="BV148" s="523"/>
      <c r="BW148" s="523"/>
      <c r="BX148" s="523"/>
      <c r="BY148" s="523"/>
      <c r="BZ148" s="523"/>
      <c r="CA148" s="523"/>
      <c r="CB148" s="523"/>
      <c r="CC148" s="523"/>
      <c r="CD148" s="523"/>
      <c r="CE148" s="523"/>
      <c r="CF148" s="523"/>
      <c r="CG148" s="523"/>
      <c r="CH148" s="523"/>
      <c r="CI148" s="523">
        <f t="shared" si="49"/>
        <v>0</v>
      </c>
    </row>
    <row r="149" spans="1:87" x14ac:dyDescent="0.2">
      <c r="A149" s="125" t="s">
        <v>1553</v>
      </c>
      <c r="B149" s="126">
        <v>90375</v>
      </c>
      <c r="C149" s="126" t="s">
        <v>1324</v>
      </c>
      <c r="D149" s="127" t="s">
        <v>1554</v>
      </c>
      <c r="E149" s="128" t="s">
        <v>102</v>
      </c>
      <c r="F149" s="138"/>
      <c r="G149" s="130">
        <v>6.61</v>
      </c>
      <c r="H149" s="128">
        <v>4</v>
      </c>
      <c r="I149" s="133">
        <f t="shared" si="50"/>
        <v>0</v>
      </c>
      <c r="J149" s="374">
        <f t="shared" si="51"/>
        <v>0</v>
      </c>
      <c r="K149" s="128">
        <f t="shared" si="43"/>
        <v>4</v>
      </c>
      <c r="L149" s="131">
        <f t="shared" si="44"/>
        <v>26.44</v>
      </c>
      <c r="M149" s="131">
        <f t="shared" si="45"/>
        <v>0</v>
      </c>
      <c r="N149" s="131">
        <f t="shared" si="46"/>
        <v>0</v>
      </c>
      <c r="O149" s="131">
        <f t="shared" si="47"/>
        <v>26.44</v>
      </c>
      <c r="P149" s="136">
        <f t="shared" si="48"/>
        <v>0</v>
      </c>
      <c r="S149" s="189">
        <v>0</v>
      </c>
      <c r="T149" s="189">
        <v>6</v>
      </c>
      <c r="BU149" s="523"/>
      <c r="BV149" s="523"/>
      <c r="BW149" s="523"/>
      <c r="BX149" s="523"/>
      <c r="BY149" s="523"/>
      <c r="BZ149" s="523"/>
      <c r="CA149" s="523"/>
      <c r="CB149" s="523"/>
      <c r="CC149" s="523"/>
      <c r="CD149" s="523"/>
      <c r="CE149" s="523"/>
      <c r="CF149" s="523"/>
      <c r="CG149" s="523"/>
      <c r="CH149" s="523"/>
      <c r="CI149" s="523">
        <f t="shared" si="49"/>
        <v>0</v>
      </c>
    </row>
    <row r="150" spans="1:87" x14ac:dyDescent="0.2">
      <c r="A150" s="125" t="s">
        <v>1555</v>
      </c>
      <c r="B150" s="126">
        <v>89375</v>
      </c>
      <c r="C150" s="126" t="s">
        <v>1324</v>
      </c>
      <c r="D150" s="127" t="s">
        <v>1556</v>
      </c>
      <c r="E150" s="128" t="s">
        <v>102</v>
      </c>
      <c r="F150" s="138"/>
      <c r="G150" s="130">
        <v>7.45</v>
      </c>
      <c r="H150" s="128">
        <v>6</v>
      </c>
      <c r="I150" s="133">
        <f t="shared" si="50"/>
        <v>0</v>
      </c>
      <c r="J150" s="374">
        <f t="shared" si="51"/>
        <v>0</v>
      </c>
      <c r="K150" s="128">
        <f t="shared" si="43"/>
        <v>6</v>
      </c>
      <c r="L150" s="131">
        <f t="shared" si="44"/>
        <v>44.7</v>
      </c>
      <c r="M150" s="131">
        <f t="shared" si="45"/>
        <v>0</v>
      </c>
      <c r="N150" s="131">
        <f t="shared" si="46"/>
        <v>0</v>
      </c>
      <c r="O150" s="131">
        <f t="shared" si="47"/>
        <v>44.7</v>
      </c>
      <c r="P150" s="136">
        <f t="shared" si="48"/>
        <v>0</v>
      </c>
      <c r="S150" s="189">
        <v>0</v>
      </c>
      <c r="T150" s="189">
        <v>2</v>
      </c>
      <c r="BU150" s="523"/>
      <c r="BV150" s="523"/>
      <c r="BW150" s="523"/>
      <c r="BX150" s="523"/>
      <c r="BY150" s="523"/>
      <c r="BZ150" s="523"/>
      <c r="CA150" s="523"/>
      <c r="CB150" s="523"/>
      <c r="CC150" s="523"/>
      <c r="CD150" s="523"/>
      <c r="CE150" s="523"/>
      <c r="CF150" s="523"/>
      <c r="CG150" s="523"/>
      <c r="CH150" s="523"/>
      <c r="CI150" s="523">
        <f t="shared" si="49"/>
        <v>0</v>
      </c>
    </row>
    <row r="151" spans="1:87" s="481" customFormat="1" x14ac:dyDescent="0.2">
      <c r="A151" s="125" t="s">
        <v>1557</v>
      </c>
      <c r="B151" s="126">
        <v>89594</v>
      </c>
      <c r="C151" s="126" t="s">
        <v>1324</v>
      </c>
      <c r="D151" s="127" t="s">
        <v>1558</v>
      </c>
      <c r="E151" s="128" t="s">
        <v>102</v>
      </c>
      <c r="F151" s="137">
        <v>33.909999999999997</v>
      </c>
      <c r="G151" s="130">
        <v>22.48</v>
      </c>
      <c r="H151" s="128">
        <v>2</v>
      </c>
      <c r="I151" s="133">
        <f t="shared" si="50"/>
        <v>0</v>
      </c>
      <c r="J151" s="374">
        <f t="shared" si="51"/>
        <v>0</v>
      </c>
      <c r="K151" s="128">
        <f t="shared" si="43"/>
        <v>2</v>
      </c>
      <c r="L151" s="131">
        <f t="shared" si="44"/>
        <v>44.96</v>
      </c>
      <c r="M151" s="131">
        <f t="shared" si="45"/>
        <v>0</v>
      </c>
      <c r="N151" s="131">
        <f t="shared" si="46"/>
        <v>0</v>
      </c>
      <c r="O151" s="131">
        <f t="shared" si="47"/>
        <v>44.96</v>
      </c>
      <c r="P151" s="136">
        <f t="shared" si="48"/>
        <v>0</v>
      </c>
      <c r="S151" s="190">
        <v>0</v>
      </c>
      <c r="T151" s="190">
        <v>34</v>
      </c>
      <c r="BU151" s="523"/>
      <c r="BV151" s="523"/>
      <c r="BW151" s="523"/>
      <c r="BX151" s="523"/>
      <c r="BY151" s="523"/>
      <c r="BZ151" s="523"/>
      <c r="CA151" s="523"/>
      <c r="CB151" s="523"/>
      <c r="CC151" s="523"/>
      <c r="CD151" s="523"/>
      <c r="CE151" s="523"/>
      <c r="CF151" s="523"/>
      <c r="CG151" s="523"/>
      <c r="CH151" s="523"/>
      <c r="CI151" s="523">
        <f t="shared" si="49"/>
        <v>0</v>
      </c>
    </row>
    <row r="152" spans="1:87" x14ac:dyDescent="0.2">
      <c r="A152" s="449" t="s">
        <v>290</v>
      </c>
      <c r="B152" s="450"/>
      <c r="C152" s="450"/>
      <c r="D152" s="451" t="s">
        <v>1559</v>
      </c>
      <c r="E152" s="465"/>
      <c r="F152" s="468"/>
      <c r="G152" s="465"/>
      <c r="H152" s="465"/>
      <c r="I152" s="465"/>
      <c r="J152" s="465"/>
      <c r="K152" s="465"/>
      <c r="L152" s="452">
        <f>SUM(L153:L167)</f>
        <v>2836.4</v>
      </c>
      <c r="M152" s="452">
        <f>SUM(M153:M167)</f>
        <v>0</v>
      </c>
      <c r="N152" s="452">
        <f>SUM(N153:N167)</f>
        <v>0</v>
      </c>
      <c r="O152" s="452">
        <f>SUM(O153:O167)</f>
        <v>2836.4</v>
      </c>
      <c r="P152" s="459">
        <f t="shared" si="48"/>
        <v>0</v>
      </c>
      <c r="S152" s="189">
        <v>0</v>
      </c>
      <c r="T152" s="189">
        <v>0</v>
      </c>
      <c r="BU152" s="523"/>
      <c r="BV152" s="523"/>
      <c r="BW152" s="523"/>
      <c r="BX152" s="523"/>
      <c r="BY152" s="523"/>
      <c r="BZ152" s="523"/>
      <c r="CA152" s="523"/>
      <c r="CB152" s="523"/>
      <c r="CC152" s="523"/>
      <c r="CD152" s="523"/>
      <c r="CE152" s="523"/>
      <c r="CF152" s="523"/>
      <c r="CG152" s="523"/>
      <c r="CH152" s="523"/>
      <c r="CI152" s="523">
        <f t="shared" si="49"/>
        <v>0</v>
      </c>
    </row>
    <row r="153" spans="1:87" x14ac:dyDescent="0.2">
      <c r="A153" s="125" t="s">
        <v>1560</v>
      </c>
      <c r="B153" s="126">
        <v>89353</v>
      </c>
      <c r="C153" s="126" t="s">
        <v>1324</v>
      </c>
      <c r="D153" s="127" t="s">
        <v>1561</v>
      </c>
      <c r="E153" s="128" t="s">
        <v>102</v>
      </c>
      <c r="F153" s="137">
        <v>9.81</v>
      </c>
      <c r="G153" s="130">
        <v>30.67</v>
      </c>
      <c r="H153" s="128">
        <v>1</v>
      </c>
      <c r="I153" s="133">
        <f t="shared" si="50"/>
        <v>0</v>
      </c>
      <c r="J153" s="374">
        <f t="shared" si="51"/>
        <v>0</v>
      </c>
      <c r="K153" s="128">
        <f t="shared" si="43"/>
        <v>1</v>
      </c>
      <c r="L153" s="131">
        <f t="shared" ref="L153:L167" si="52">ROUND(H153*$G153,2)</f>
        <v>30.67</v>
      </c>
      <c r="M153" s="131">
        <f t="shared" ref="M153:M167" si="53">ROUND(I153*$G153,2)</f>
        <v>0</v>
      </c>
      <c r="N153" s="131">
        <f t="shared" ref="N153:N167" si="54">ROUND(J153*$G153,2)</f>
        <v>0</v>
      </c>
      <c r="O153" s="131">
        <f t="shared" ref="O153:O167" si="55">ROUND(K153*$G153,2)</f>
        <v>30.67</v>
      </c>
      <c r="P153" s="136">
        <f t="shared" si="48"/>
        <v>0</v>
      </c>
      <c r="S153" s="189">
        <v>0</v>
      </c>
      <c r="T153" s="189">
        <v>0</v>
      </c>
      <c r="BU153" s="523"/>
      <c r="BV153" s="523"/>
      <c r="BW153" s="523"/>
      <c r="BX153" s="523"/>
      <c r="BY153" s="523"/>
      <c r="BZ153" s="523"/>
      <c r="CA153" s="523"/>
      <c r="CB153" s="523"/>
      <c r="CC153" s="523"/>
      <c r="CD153" s="523"/>
      <c r="CE153" s="523"/>
      <c r="CF153" s="523"/>
      <c r="CG153" s="523"/>
      <c r="CH153" s="523"/>
      <c r="CI153" s="523">
        <f t="shared" si="49"/>
        <v>0</v>
      </c>
    </row>
    <row r="154" spans="1:87" x14ac:dyDescent="0.2">
      <c r="A154" s="125" t="s">
        <v>1562</v>
      </c>
      <c r="B154" s="126" t="s">
        <v>1563</v>
      </c>
      <c r="C154" s="126" t="s">
        <v>1324</v>
      </c>
      <c r="D154" s="127" t="s">
        <v>1564</v>
      </c>
      <c r="E154" s="128" t="s">
        <v>102</v>
      </c>
      <c r="F154" s="137">
        <v>12.72</v>
      </c>
      <c r="G154" s="130">
        <v>86.64</v>
      </c>
      <c r="H154" s="128">
        <v>2</v>
      </c>
      <c r="I154" s="133">
        <f t="shared" si="50"/>
        <v>0</v>
      </c>
      <c r="J154" s="374">
        <f t="shared" si="51"/>
        <v>0</v>
      </c>
      <c r="K154" s="128">
        <f t="shared" si="43"/>
        <v>2</v>
      </c>
      <c r="L154" s="131">
        <f t="shared" si="52"/>
        <v>173.28</v>
      </c>
      <c r="M154" s="131">
        <f t="shared" si="53"/>
        <v>0</v>
      </c>
      <c r="N154" s="131">
        <f t="shared" si="54"/>
        <v>0</v>
      </c>
      <c r="O154" s="131">
        <f t="shared" si="55"/>
        <v>173.28</v>
      </c>
      <c r="P154" s="136">
        <f t="shared" si="48"/>
        <v>0</v>
      </c>
      <c r="S154" s="189">
        <v>0</v>
      </c>
      <c r="T154" s="189">
        <v>0</v>
      </c>
      <c r="BU154" s="523"/>
      <c r="BV154" s="523"/>
      <c r="BW154" s="523"/>
      <c r="BX154" s="523"/>
      <c r="BY154" s="523"/>
      <c r="BZ154" s="523"/>
      <c r="CA154" s="523"/>
      <c r="CB154" s="523"/>
      <c r="CC154" s="523"/>
      <c r="CD154" s="523"/>
      <c r="CE154" s="523"/>
      <c r="CF154" s="523"/>
      <c r="CG154" s="523"/>
      <c r="CH154" s="523"/>
      <c r="CI154" s="523">
        <f t="shared" si="49"/>
        <v>0</v>
      </c>
    </row>
    <row r="155" spans="1:87" x14ac:dyDescent="0.2">
      <c r="A155" s="125" t="s">
        <v>1565</v>
      </c>
      <c r="B155" s="126" t="s">
        <v>1566</v>
      </c>
      <c r="C155" s="126" t="s">
        <v>1324</v>
      </c>
      <c r="D155" s="127" t="s">
        <v>1567</v>
      </c>
      <c r="E155" s="128" t="s">
        <v>102</v>
      </c>
      <c r="F155" s="138"/>
      <c r="G155" s="130">
        <v>52.59</v>
      </c>
      <c r="H155" s="128">
        <v>2</v>
      </c>
      <c r="I155" s="133">
        <f t="shared" si="50"/>
        <v>0</v>
      </c>
      <c r="J155" s="374">
        <f t="shared" si="51"/>
        <v>0</v>
      </c>
      <c r="K155" s="128">
        <f t="shared" si="43"/>
        <v>2</v>
      </c>
      <c r="L155" s="131">
        <f t="shared" si="52"/>
        <v>105.18</v>
      </c>
      <c r="M155" s="131">
        <f t="shared" si="53"/>
        <v>0</v>
      </c>
      <c r="N155" s="131">
        <f t="shared" si="54"/>
        <v>0</v>
      </c>
      <c r="O155" s="131">
        <f t="shared" si="55"/>
        <v>105.18</v>
      </c>
      <c r="P155" s="136">
        <f t="shared" si="48"/>
        <v>0</v>
      </c>
      <c r="S155" s="189">
        <v>0</v>
      </c>
      <c r="T155" s="189">
        <v>0</v>
      </c>
      <c r="BU155" s="523"/>
      <c r="BV155" s="523"/>
      <c r="BW155" s="523"/>
      <c r="BX155" s="523"/>
      <c r="BY155" s="523"/>
      <c r="BZ155" s="523"/>
      <c r="CA155" s="523"/>
      <c r="CB155" s="523"/>
      <c r="CC155" s="523"/>
      <c r="CD155" s="523"/>
      <c r="CE155" s="523"/>
      <c r="CF155" s="523"/>
      <c r="CG155" s="523"/>
      <c r="CH155" s="523"/>
      <c r="CI155" s="523">
        <f t="shared" si="49"/>
        <v>0</v>
      </c>
    </row>
    <row r="156" spans="1:87" x14ac:dyDescent="0.2">
      <c r="A156" s="125" t="s">
        <v>1568</v>
      </c>
      <c r="B156" s="126" t="s">
        <v>1569</v>
      </c>
      <c r="C156" s="126" t="s">
        <v>1324</v>
      </c>
      <c r="D156" s="127" t="s">
        <v>1570</v>
      </c>
      <c r="E156" s="128" t="s">
        <v>102</v>
      </c>
      <c r="F156" s="138"/>
      <c r="G156" s="130">
        <v>120.21</v>
      </c>
      <c r="H156" s="128">
        <v>2</v>
      </c>
      <c r="I156" s="133">
        <f t="shared" si="50"/>
        <v>0</v>
      </c>
      <c r="J156" s="374">
        <f t="shared" si="51"/>
        <v>0</v>
      </c>
      <c r="K156" s="128">
        <f t="shared" si="43"/>
        <v>2</v>
      </c>
      <c r="L156" s="131">
        <f t="shared" si="52"/>
        <v>240.42</v>
      </c>
      <c r="M156" s="131">
        <f t="shared" si="53"/>
        <v>0</v>
      </c>
      <c r="N156" s="131">
        <f t="shared" si="54"/>
        <v>0</v>
      </c>
      <c r="O156" s="131">
        <f t="shared" si="55"/>
        <v>240.42</v>
      </c>
      <c r="P156" s="136">
        <f t="shared" si="48"/>
        <v>0</v>
      </c>
      <c r="S156" s="189">
        <v>0</v>
      </c>
      <c r="T156" s="189">
        <v>0</v>
      </c>
      <c r="BU156" s="523"/>
      <c r="BV156" s="523"/>
      <c r="BW156" s="523"/>
      <c r="BX156" s="523"/>
      <c r="BY156" s="523"/>
      <c r="BZ156" s="523"/>
      <c r="CA156" s="523"/>
      <c r="CB156" s="523"/>
      <c r="CC156" s="523"/>
      <c r="CD156" s="523"/>
      <c r="CE156" s="523"/>
      <c r="CF156" s="523"/>
      <c r="CG156" s="523"/>
      <c r="CH156" s="523"/>
      <c r="CI156" s="523">
        <f t="shared" si="49"/>
        <v>0</v>
      </c>
    </row>
    <row r="157" spans="1:87" x14ac:dyDescent="0.2">
      <c r="A157" s="125" t="s">
        <v>1571</v>
      </c>
      <c r="B157" s="126" t="s">
        <v>1572</v>
      </c>
      <c r="C157" s="126" t="s">
        <v>1324</v>
      </c>
      <c r="D157" s="127" t="s">
        <v>1573</v>
      </c>
      <c r="E157" s="128" t="s">
        <v>102</v>
      </c>
      <c r="F157" s="129"/>
      <c r="G157" s="130">
        <v>67.349999999999994</v>
      </c>
      <c r="H157" s="128">
        <v>2</v>
      </c>
      <c r="I157" s="133">
        <f t="shared" si="50"/>
        <v>0</v>
      </c>
      <c r="J157" s="374">
        <f t="shared" si="51"/>
        <v>0</v>
      </c>
      <c r="K157" s="128">
        <f t="shared" si="43"/>
        <v>2</v>
      </c>
      <c r="L157" s="131">
        <f t="shared" si="52"/>
        <v>134.69999999999999</v>
      </c>
      <c r="M157" s="131">
        <f t="shared" si="53"/>
        <v>0</v>
      </c>
      <c r="N157" s="131">
        <f t="shared" si="54"/>
        <v>0</v>
      </c>
      <c r="O157" s="131">
        <f t="shared" si="55"/>
        <v>134.69999999999999</v>
      </c>
      <c r="P157" s="136">
        <f t="shared" si="48"/>
        <v>0</v>
      </c>
      <c r="S157" s="189">
        <v>0</v>
      </c>
      <c r="T157" s="189">
        <v>0</v>
      </c>
      <c r="BU157" s="523"/>
      <c r="BV157" s="523"/>
      <c r="BW157" s="523"/>
      <c r="BX157" s="523"/>
      <c r="BY157" s="523"/>
      <c r="BZ157" s="523"/>
      <c r="CA157" s="523"/>
      <c r="CB157" s="523"/>
      <c r="CC157" s="523"/>
      <c r="CD157" s="523"/>
      <c r="CE157" s="523"/>
      <c r="CF157" s="523"/>
      <c r="CG157" s="523"/>
      <c r="CH157" s="523"/>
      <c r="CI157" s="523">
        <f t="shared" si="49"/>
        <v>0</v>
      </c>
    </row>
    <row r="158" spans="1:87" x14ac:dyDescent="0.2">
      <c r="A158" s="125" t="s">
        <v>1574</v>
      </c>
      <c r="B158" s="126">
        <v>89987</v>
      </c>
      <c r="C158" s="126" t="s">
        <v>1324</v>
      </c>
      <c r="D158" s="127" t="s">
        <v>1575</v>
      </c>
      <c r="E158" s="128" t="s">
        <v>102</v>
      </c>
      <c r="F158" s="137">
        <v>8.41</v>
      </c>
      <c r="G158" s="130">
        <v>35.92</v>
      </c>
      <c r="H158" s="128">
        <v>2</v>
      </c>
      <c r="I158" s="133">
        <f t="shared" si="50"/>
        <v>0</v>
      </c>
      <c r="J158" s="374">
        <f t="shared" si="51"/>
        <v>0</v>
      </c>
      <c r="K158" s="128">
        <f t="shared" si="43"/>
        <v>2</v>
      </c>
      <c r="L158" s="131">
        <f t="shared" si="52"/>
        <v>71.84</v>
      </c>
      <c r="M158" s="131">
        <f t="shared" si="53"/>
        <v>0</v>
      </c>
      <c r="N158" s="131">
        <f t="shared" si="54"/>
        <v>0</v>
      </c>
      <c r="O158" s="131">
        <f t="shared" si="55"/>
        <v>71.84</v>
      </c>
      <c r="P158" s="136">
        <f t="shared" si="48"/>
        <v>0</v>
      </c>
      <c r="S158" s="189">
        <v>0</v>
      </c>
      <c r="T158" s="189">
        <v>0</v>
      </c>
      <c r="BU158" s="523"/>
      <c r="BV158" s="523"/>
      <c r="BW158" s="523"/>
      <c r="BX158" s="523"/>
      <c r="BY158" s="523"/>
      <c r="BZ158" s="523"/>
      <c r="CA158" s="523"/>
      <c r="CB158" s="523"/>
      <c r="CC158" s="523"/>
      <c r="CD158" s="523"/>
      <c r="CE158" s="523"/>
      <c r="CF158" s="523"/>
      <c r="CG158" s="523"/>
      <c r="CH158" s="523"/>
      <c r="CI158" s="523">
        <f t="shared" si="49"/>
        <v>0</v>
      </c>
    </row>
    <row r="159" spans="1:87" x14ac:dyDescent="0.2">
      <c r="A159" s="125" t="s">
        <v>1576</v>
      </c>
      <c r="B159" s="126">
        <v>89985</v>
      </c>
      <c r="C159" s="126" t="s">
        <v>1324</v>
      </c>
      <c r="D159" s="127" t="s">
        <v>1577</v>
      </c>
      <c r="E159" s="128" t="s">
        <v>102</v>
      </c>
      <c r="F159" s="137">
        <v>9.49</v>
      </c>
      <c r="G159" s="130">
        <v>64.02</v>
      </c>
      <c r="H159" s="128">
        <v>8</v>
      </c>
      <c r="I159" s="133">
        <f t="shared" si="50"/>
        <v>0</v>
      </c>
      <c r="J159" s="374">
        <f t="shared" si="51"/>
        <v>0</v>
      </c>
      <c r="K159" s="128">
        <f t="shared" si="43"/>
        <v>8</v>
      </c>
      <c r="L159" s="131">
        <f t="shared" si="52"/>
        <v>512.16</v>
      </c>
      <c r="M159" s="131">
        <f t="shared" si="53"/>
        <v>0</v>
      </c>
      <c r="N159" s="131">
        <f t="shared" si="54"/>
        <v>0</v>
      </c>
      <c r="O159" s="131">
        <f t="shared" si="55"/>
        <v>512.16</v>
      </c>
      <c r="P159" s="136">
        <f t="shared" si="48"/>
        <v>0</v>
      </c>
      <c r="S159" s="189">
        <v>0</v>
      </c>
      <c r="T159" s="189">
        <v>12</v>
      </c>
      <c r="BU159" s="523"/>
      <c r="BV159" s="523"/>
      <c r="BW159" s="523"/>
      <c r="BX159" s="523"/>
      <c r="BY159" s="523"/>
      <c r="BZ159" s="523"/>
      <c r="CA159" s="523"/>
      <c r="CB159" s="523"/>
      <c r="CC159" s="523"/>
      <c r="CD159" s="523"/>
      <c r="CE159" s="523"/>
      <c r="CF159" s="523"/>
      <c r="CG159" s="523"/>
      <c r="CH159" s="523"/>
      <c r="CI159" s="523">
        <f t="shared" si="49"/>
        <v>0</v>
      </c>
    </row>
    <row r="160" spans="1:87" x14ac:dyDescent="0.2">
      <c r="A160" s="125" t="s">
        <v>1578</v>
      </c>
      <c r="B160" s="126">
        <v>89538</v>
      </c>
      <c r="C160" s="126" t="s">
        <v>1324</v>
      </c>
      <c r="D160" s="127" t="s">
        <v>1579</v>
      </c>
      <c r="E160" s="128" t="s">
        <v>102</v>
      </c>
      <c r="F160" s="137">
        <v>6.56</v>
      </c>
      <c r="G160" s="130">
        <v>2.75</v>
      </c>
      <c r="H160" s="128">
        <v>12</v>
      </c>
      <c r="I160" s="133">
        <f t="shared" si="50"/>
        <v>0</v>
      </c>
      <c r="J160" s="374">
        <f t="shared" si="51"/>
        <v>0</v>
      </c>
      <c r="K160" s="128">
        <f t="shared" si="43"/>
        <v>12</v>
      </c>
      <c r="L160" s="131">
        <f t="shared" si="52"/>
        <v>33</v>
      </c>
      <c r="M160" s="131">
        <f t="shared" si="53"/>
        <v>0</v>
      </c>
      <c r="N160" s="131">
        <f t="shared" si="54"/>
        <v>0</v>
      </c>
      <c r="O160" s="131">
        <f t="shared" si="55"/>
        <v>33</v>
      </c>
      <c r="P160" s="136">
        <f t="shared" si="48"/>
        <v>0</v>
      </c>
      <c r="S160" s="189">
        <v>0</v>
      </c>
      <c r="T160" s="189">
        <v>4</v>
      </c>
      <c r="BU160" s="523"/>
      <c r="BV160" s="523"/>
      <c r="BW160" s="523"/>
      <c r="BX160" s="523"/>
      <c r="BY160" s="523"/>
      <c r="BZ160" s="523"/>
      <c r="CA160" s="523"/>
      <c r="CB160" s="523"/>
      <c r="CC160" s="523"/>
      <c r="CD160" s="523"/>
      <c r="CE160" s="523"/>
      <c r="CF160" s="523"/>
      <c r="CG160" s="523"/>
      <c r="CH160" s="523"/>
      <c r="CI160" s="523">
        <f t="shared" si="49"/>
        <v>0</v>
      </c>
    </row>
    <row r="161" spans="1:87" x14ac:dyDescent="0.2">
      <c r="A161" s="125" t="s">
        <v>1580</v>
      </c>
      <c r="B161" s="126">
        <v>89553</v>
      </c>
      <c r="C161" s="126" t="s">
        <v>1324</v>
      </c>
      <c r="D161" s="127" t="s">
        <v>1581</v>
      </c>
      <c r="E161" s="128" t="s">
        <v>102</v>
      </c>
      <c r="F161" s="138"/>
      <c r="G161" s="130">
        <v>4.01</v>
      </c>
      <c r="H161" s="128">
        <v>4</v>
      </c>
      <c r="I161" s="133">
        <f t="shared" si="50"/>
        <v>0</v>
      </c>
      <c r="J161" s="374">
        <f t="shared" si="51"/>
        <v>0</v>
      </c>
      <c r="K161" s="128">
        <f t="shared" si="43"/>
        <v>4</v>
      </c>
      <c r="L161" s="131">
        <f t="shared" si="52"/>
        <v>16.04</v>
      </c>
      <c r="M161" s="131">
        <f t="shared" si="53"/>
        <v>0</v>
      </c>
      <c r="N161" s="131">
        <f t="shared" si="54"/>
        <v>0</v>
      </c>
      <c r="O161" s="131">
        <f t="shared" si="55"/>
        <v>16.04</v>
      </c>
      <c r="P161" s="136">
        <f t="shared" si="48"/>
        <v>0</v>
      </c>
      <c r="S161" s="189">
        <v>0</v>
      </c>
      <c r="T161" s="189">
        <v>4</v>
      </c>
      <c r="BU161" s="523"/>
      <c r="BV161" s="523"/>
      <c r="BW161" s="523"/>
      <c r="BX161" s="523"/>
      <c r="BY161" s="523"/>
      <c r="BZ161" s="523"/>
      <c r="CA161" s="523"/>
      <c r="CB161" s="523"/>
      <c r="CC161" s="523"/>
      <c r="CD161" s="523"/>
      <c r="CE161" s="523"/>
      <c r="CF161" s="523"/>
      <c r="CG161" s="523"/>
      <c r="CH161" s="523"/>
      <c r="CI161" s="523">
        <f t="shared" si="49"/>
        <v>0</v>
      </c>
    </row>
    <row r="162" spans="1:87" x14ac:dyDescent="0.2">
      <c r="A162" s="125" t="s">
        <v>1582</v>
      </c>
      <c r="B162" s="126">
        <v>89570</v>
      </c>
      <c r="C162" s="126" t="s">
        <v>1324</v>
      </c>
      <c r="D162" s="127" t="s">
        <v>1583</v>
      </c>
      <c r="E162" s="128" t="s">
        <v>102</v>
      </c>
      <c r="F162" s="137">
        <v>8.41</v>
      </c>
      <c r="G162" s="130">
        <v>6.66</v>
      </c>
      <c r="H162" s="128">
        <v>4</v>
      </c>
      <c r="I162" s="133">
        <f t="shared" si="50"/>
        <v>0</v>
      </c>
      <c r="J162" s="374">
        <f t="shared" si="51"/>
        <v>0</v>
      </c>
      <c r="K162" s="128">
        <f t="shared" si="43"/>
        <v>4</v>
      </c>
      <c r="L162" s="131">
        <f t="shared" si="52"/>
        <v>26.64</v>
      </c>
      <c r="M162" s="131">
        <f t="shared" si="53"/>
        <v>0</v>
      </c>
      <c r="N162" s="131">
        <f t="shared" si="54"/>
        <v>0</v>
      </c>
      <c r="O162" s="131">
        <f t="shared" si="55"/>
        <v>26.64</v>
      </c>
      <c r="P162" s="136">
        <f t="shared" si="48"/>
        <v>0</v>
      </c>
      <c r="S162" s="189">
        <v>0</v>
      </c>
      <c r="T162" s="189">
        <v>4</v>
      </c>
      <c r="BU162" s="523"/>
      <c r="BV162" s="523"/>
      <c r="BW162" s="523"/>
      <c r="BX162" s="523"/>
      <c r="BY162" s="523"/>
      <c r="BZ162" s="523"/>
      <c r="CA162" s="523"/>
      <c r="CB162" s="523"/>
      <c r="CC162" s="523"/>
      <c r="CD162" s="523"/>
      <c r="CE162" s="523"/>
      <c r="CF162" s="523"/>
      <c r="CG162" s="523"/>
      <c r="CH162" s="523"/>
      <c r="CI162" s="523">
        <f t="shared" si="49"/>
        <v>0</v>
      </c>
    </row>
    <row r="163" spans="1:87" x14ac:dyDescent="0.2">
      <c r="A163" s="125" t="s">
        <v>1584</v>
      </c>
      <c r="B163" s="126">
        <v>89596</v>
      </c>
      <c r="C163" s="126" t="s">
        <v>1324</v>
      </c>
      <c r="D163" s="127" t="s">
        <v>1585</v>
      </c>
      <c r="E163" s="128" t="s">
        <v>102</v>
      </c>
      <c r="F163" s="138"/>
      <c r="G163" s="130">
        <v>7.49</v>
      </c>
      <c r="H163" s="128">
        <v>4</v>
      </c>
      <c r="I163" s="133">
        <f t="shared" si="50"/>
        <v>0</v>
      </c>
      <c r="J163" s="374">
        <f t="shared" si="51"/>
        <v>0</v>
      </c>
      <c r="K163" s="128">
        <f t="shared" si="43"/>
        <v>4</v>
      </c>
      <c r="L163" s="131">
        <f t="shared" si="52"/>
        <v>29.96</v>
      </c>
      <c r="M163" s="131">
        <f t="shared" si="53"/>
        <v>0</v>
      </c>
      <c r="N163" s="131">
        <f t="shared" si="54"/>
        <v>0</v>
      </c>
      <c r="O163" s="131">
        <f t="shared" si="55"/>
        <v>29.96</v>
      </c>
      <c r="P163" s="136">
        <f t="shared" si="48"/>
        <v>0</v>
      </c>
      <c r="S163" s="189">
        <v>0</v>
      </c>
      <c r="T163" s="189">
        <v>10</v>
      </c>
      <c r="BU163" s="523"/>
      <c r="BV163" s="523"/>
      <c r="BW163" s="523"/>
      <c r="BX163" s="523"/>
      <c r="BY163" s="523"/>
      <c r="BZ163" s="523"/>
      <c r="CA163" s="523"/>
      <c r="CB163" s="523"/>
      <c r="CC163" s="523"/>
      <c r="CD163" s="523"/>
      <c r="CE163" s="523"/>
      <c r="CF163" s="523"/>
      <c r="CG163" s="523"/>
      <c r="CH163" s="523"/>
      <c r="CI163" s="523">
        <f t="shared" si="49"/>
        <v>0</v>
      </c>
    </row>
    <row r="164" spans="1:87" x14ac:dyDescent="0.2">
      <c r="A164" s="125" t="s">
        <v>1586</v>
      </c>
      <c r="B164" s="126">
        <v>86884</v>
      </c>
      <c r="C164" s="126" t="s">
        <v>1324</v>
      </c>
      <c r="D164" s="127" t="s">
        <v>1587</v>
      </c>
      <c r="E164" s="128" t="s">
        <v>102</v>
      </c>
      <c r="F164" s="137">
        <v>6.56</v>
      </c>
      <c r="G164" s="130">
        <v>6.05</v>
      </c>
      <c r="H164" s="128">
        <v>10</v>
      </c>
      <c r="I164" s="133">
        <f t="shared" si="50"/>
        <v>0</v>
      </c>
      <c r="J164" s="374">
        <f t="shared" si="51"/>
        <v>0</v>
      </c>
      <c r="K164" s="128">
        <f t="shared" si="43"/>
        <v>10</v>
      </c>
      <c r="L164" s="131">
        <f t="shared" si="52"/>
        <v>60.5</v>
      </c>
      <c r="M164" s="131">
        <f t="shared" si="53"/>
        <v>0</v>
      </c>
      <c r="N164" s="131">
        <f t="shared" si="54"/>
        <v>0</v>
      </c>
      <c r="O164" s="131">
        <f t="shared" si="55"/>
        <v>60.5</v>
      </c>
      <c r="P164" s="136">
        <f t="shared" si="48"/>
        <v>0</v>
      </c>
      <c r="S164" s="189">
        <v>0</v>
      </c>
      <c r="T164" s="189">
        <v>0</v>
      </c>
      <c r="BU164" s="523"/>
      <c r="BV164" s="523"/>
      <c r="BW164" s="523"/>
      <c r="BX164" s="523"/>
      <c r="BY164" s="523"/>
      <c r="BZ164" s="523"/>
      <c r="CA164" s="523"/>
      <c r="CB164" s="523"/>
      <c r="CC164" s="523"/>
      <c r="CD164" s="523"/>
      <c r="CE164" s="523"/>
      <c r="CF164" s="523"/>
      <c r="CG164" s="523"/>
      <c r="CH164" s="523"/>
      <c r="CI164" s="523">
        <f t="shared" si="49"/>
        <v>0</v>
      </c>
    </row>
    <row r="165" spans="1:87" x14ac:dyDescent="0.2">
      <c r="A165" s="125" t="s">
        <v>1588</v>
      </c>
      <c r="B165" s="126">
        <v>72789</v>
      </c>
      <c r="C165" s="126" t="s">
        <v>1324</v>
      </c>
      <c r="D165" s="127" t="s">
        <v>1589</v>
      </c>
      <c r="E165" s="128" t="s">
        <v>102</v>
      </c>
      <c r="F165" s="137">
        <v>9.49</v>
      </c>
      <c r="G165" s="130">
        <v>16.59</v>
      </c>
      <c r="H165" s="128">
        <v>3</v>
      </c>
      <c r="I165" s="133">
        <f t="shared" si="50"/>
        <v>0</v>
      </c>
      <c r="J165" s="374">
        <f t="shared" si="51"/>
        <v>0</v>
      </c>
      <c r="K165" s="128">
        <f t="shared" si="43"/>
        <v>3</v>
      </c>
      <c r="L165" s="131">
        <f t="shared" si="52"/>
        <v>49.77</v>
      </c>
      <c r="M165" s="131">
        <f t="shared" si="53"/>
        <v>0</v>
      </c>
      <c r="N165" s="131">
        <f t="shared" si="54"/>
        <v>0</v>
      </c>
      <c r="O165" s="131">
        <f t="shared" si="55"/>
        <v>49.77</v>
      </c>
      <c r="P165" s="136">
        <f t="shared" si="48"/>
        <v>0</v>
      </c>
      <c r="S165" s="189">
        <v>0</v>
      </c>
      <c r="T165" s="189">
        <v>0</v>
      </c>
      <c r="BU165" s="523"/>
      <c r="BV165" s="523"/>
      <c r="BW165" s="523"/>
      <c r="BX165" s="523"/>
      <c r="BY165" s="523"/>
      <c r="BZ165" s="523"/>
      <c r="CA165" s="523"/>
      <c r="CB165" s="523"/>
      <c r="CC165" s="523"/>
      <c r="CD165" s="523"/>
      <c r="CE165" s="523"/>
      <c r="CF165" s="523"/>
      <c r="CG165" s="523"/>
      <c r="CH165" s="523"/>
      <c r="CI165" s="523">
        <f t="shared" si="49"/>
        <v>0</v>
      </c>
    </row>
    <row r="166" spans="1:87" x14ac:dyDescent="0.2">
      <c r="A166" s="125" t="s">
        <v>1590</v>
      </c>
      <c r="B166" s="126">
        <v>72792</v>
      </c>
      <c r="C166" s="126" t="s">
        <v>1324</v>
      </c>
      <c r="D166" s="127" t="s">
        <v>1591</v>
      </c>
      <c r="E166" s="128" t="s">
        <v>102</v>
      </c>
      <c r="F166" s="138"/>
      <c r="G166" s="130">
        <v>32.79</v>
      </c>
      <c r="H166" s="128">
        <v>2</v>
      </c>
      <c r="I166" s="133">
        <f t="shared" si="50"/>
        <v>0</v>
      </c>
      <c r="J166" s="374">
        <f t="shared" si="51"/>
        <v>0</v>
      </c>
      <c r="K166" s="128">
        <f t="shared" si="43"/>
        <v>2</v>
      </c>
      <c r="L166" s="131">
        <f t="shared" si="52"/>
        <v>65.58</v>
      </c>
      <c r="M166" s="131">
        <f t="shared" si="53"/>
        <v>0</v>
      </c>
      <c r="N166" s="131">
        <f t="shared" si="54"/>
        <v>0</v>
      </c>
      <c r="O166" s="131">
        <f t="shared" si="55"/>
        <v>65.58</v>
      </c>
      <c r="P166" s="136">
        <f t="shared" si="48"/>
        <v>0</v>
      </c>
      <c r="S166" s="189">
        <v>0</v>
      </c>
      <c r="T166" s="189">
        <v>0</v>
      </c>
      <c r="BU166" s="523"/>
      <c r="BV166" s="523"/>
      <c r="BW166" s="523"/>
      <c r="BX166" s="523"/>
      <c r="BY166" s="523"/>
      <c r="BZ166" s="523"/>
      <c r="CA166" s="523"/>
      <c r="CB166" s="523"/>
      <c r="CC166" s="523"/>
      <c r="CD166" s="523"/>
      <c r="CE166" s="523"/>
      <c r="CF166" s="523"/>
      <c r="CG166" s="523"/>
      <c r="CH166" s="523"/>
      <c r="CI166" s="523">
        <f t="shared" si="49"/>
        <v>0</v>
      </c>
    </row>
    <row r="167" spans="1:87" x14ac:dyDescent="0.2">
      <c r="A167" s="125" t="s">
        <v>1592</v>
      </c>
      <c r="B167" s="126" t="s">
        <v>2007</v>
      </c>
      <c r="C167" s="126" t="s">
        <v>1339</v>
      </c>
      <c r="D167" s="127" t="s">
        <v>1593</v>
      </c>
      <c r="E167" s="128" t="s">
        <v>102</v>
      </c>
      <c r="F167" s="137">
        <v>13.87</v>
      </c>
      <c r="G167" s="130">
        <v>1286.6600000000001</v>
      </c>
      <c r="H167" s="128">
        <v>1</v>
      </c>
      <c r="I167" s="133">
        <f t="shared" si="50"/>
        <v>0</v>
      </c>
      <c r="J167" s="374">
        <f t="shared" si="51"/>
        <v>0</v>
      </c>
      <c r="K167" s="128">
        <f t="shared" si="43"/>
        <v>1</v>
      </c>
      <c r="L167" s="131">
        <f t="shared" si="52"/>
        <v>1286.6600000000001</v>
      </c>
      <c r="M167" s="131">
        <f t="shared" si="53"/>
        <v>0</v>
      </c>
      <c r="N167" s="131">
        <f t="shared" si="54"/>
        <v>0</v>
      </c>
      <c r="O167" s="131">
        <f t="shared" si="55"/>
        <v>1286.6600000000001</v>
      </c>
      <c r="P167" s="136">
        <f t="shared" si="48"/>
        <v>0</v>
      </c>
      <c r="S167" s="189">
        <v>0</v>
      </c>
      <c r="T167" s="189">
        <v>0</v>
      </c>
      <c r="BU167" s="523"/>
      <c r="BV167" s="523"/>
      <c r="BW167" s="523"/>
      <c r="BX167" s="523"/>
      <c r="BY167" s="523"/>
      <c r="BZ167" s="523"/>
      <c r="CA167" s="523"/>
      <c r="CB167" s="523"/>
      <c r="CC167" s="523"/>
      <c r="CD167" s="523"/>
      <c r="CE167" s="523"/>
      <c r="CF167" s="523"/>
      <c r="CG167" s="523"/>
      <c r="CH167" s="523"/>
      <c r="CI167" s="523">
        <f t="shared" si="49"/>
        <v>0</v>
      </c>
    </row>
    <row r="168" spans="1:87" s="481" customFormat="1" x14ac:dyDescent="0.2">
      <c r="A168" s="412">
        <v>13</v>
      </c>
      <c r="B168" s="413"/>
      <c r="C168" s="413"/>
      <c r="D168" s="414" t="s">
        <v>1594</v>
      </c>
      <c r="E168" s="415"/>
      <c r="F168" s="415"/>
      <c r="G168" s="415"/>
      <c r="H168" s="415"/>
      <c r="I168" s="415"/>
      <c r="J168" s="415"/>
      <c r="K168" s="415"/>
      <c r="L168" s="416">
        <f>SUM(L169,L181)</f>
        <v>16232.49</v>
      </c>
      <c r="M168" s="416">
        <f>SUM(M169,M181)</f>
        <v>0</v>
      </c>
      <c r="N168" s="416">
        <f>SUM(N169,N181)</f>
        <v>0</v>
      </c>
      <c r="O168" s="416">
        <f>SUM(O169,O181)</f>
        <v>16232.49</v>
      </c>
      <c r="P168" s="423">
        <f t="shared" si="48"/>
        <v>0</v>
      </c>
      <c r="S168" s="190">
        <v>0</v>
      </c>
      <c r="T168" s="190">
        <v>0</v>
      </c>
      <c r="BU168" s="523"/>
      <c r="BV168" s="523"/>
      <c r="BW168" s="523"/>
      <c r="BX168" s="523"/>
      <c r="BY168" s="523"/>
      <c r="BZ168" s="523"/>
      <c r="CA168" s="523"/>
      <c r="CB168" s="523"/>
      <c r="CC168" s="523"/>
      <c r="CD168" s="523"/>
      <c r="CE168" s="523"/>
      <c r="CF168" s="523"/>
      <c r="CG168" s="523"/>
      <c r="CH168" s="523"/>
      <c r="CI168" s="523">
        <f t="shared" si="49"/>
        <v>0</v>
      </c>
    </row>
    <row r="169" spans="1:87" x14ac:dyDescent="0.2">
      <c r="A169" s="449" t="s">
        <v>306</v>
      </c>
      <c r="B169" s="450"/>
      <c r="C169" s="450"/>
      <c r="D169" s="451" t="s">
        <v>1516</v>
      </c>
      <c r="E169" s="452"/>
      <c r="F169" s="452"/>
      <c r="G169" s="452"/>
      <c r="H169" s="452"/>
      <c r="I169" s="452"/>
      <c r="J169" s="452"/>
      <c r="K169" s="452"/>
      <c r="L169" s="470">
        <f>SUM(L171:L180)</f>
        <v>2433.5100000000002</v>
      </c>
      <c r="M169" s="470">
        <f>SUM(M171:M180)</f>
        <v>0</v>
      </c>
      <c r="N169" s="470">
        <f>SUM(N171:N180)</f>
        <v>0</v>
      </c>
      <c r="O169" s="470">
        <f>SUM(O171:O180)</f>
        <v>2433.5100000000002</v>
      </c>
      <c r="P169" s="459">
        <f t="shared" si="48"/>
        <v>0</v>
      </c>
      <c r="S169" s="189">
        <v>0</v>
      </c>
      <c r="T169" s="189">
        <v>47.5</v>
      </c>
      <c r="BU169" s="523"/>
      <c r="BV169" s="523"/>
      <c r="BW169" s="523"/>
      <c r="BX169" s="523"/>
      <c r="BY169" s="523"/>
      <c r="BZ169" s="523"/>
      <c r="CA169" s="523"/>
      <c r="CB169" s="523"/>
      <c r="CC169" s="523"/>
      <c r="CD169" s="523"/>
      <c r="CE169" s="523"/>
      <c r="CF169" s="523"/>
      <c r="CG169" s="523"/>
      <c r="CH169" s="523"/>
      <c r="CI169" s="523">
        <f t="shared" si="49"/>
        <v>0</v>
      </c>
    </row>
    <row r="170" spans="1:87" x14ac:dyDescent="0.2">
      <c r="A170" s="125" t="s">
        <v>1595</v>
      </c>
      <c r="B170" s="126">
        <v>89711</v>
      </c>
      <c r="C170" s="126" t="s">
        <v>1324</v>
      </c>
      <c r="D170" s="127" t="s">
        <v>1596</v>
      </c>
      <c r="E170" s="128" t="s">
        <v>81</v>
      </c>
      <c r="F170" s="138"/>
      <c r="G170" s="130">
        <v>13.04</v>
      </c>
      <c r="H170" s="128">
        <v>0</v>
      </c>
      <c r="I170" s="133">
        <f t="shared" si="50"/>
        <v>0</v>
      </c>
      <c r="J170" s="374">
        <f t="shared" si="51"/>
        <v>0</v>
      </c>
      <c r="K170" s="128">
        <f t="shared" si="43"/>
        <v>0</v>
      </c>
      <c r="L170" s="131">
        <f t="shared" ref="L170:L180" si="56">ROUND(H170*$G170,2)</f>
        <v>0</v>
      </c>
      <c r="M170" s="131">
        <f t="shared" ref="M170:M180" si="57">ROUND(I170*$G170,2)</f>
        <v>0</v>
      </c>
      <c r="N170" s="131">
        <f t="shared" ref="N170:N180" si="58">ROUND(J170*$G170,2)</f>
        <v>0</v>
      </c>
      <c r="O170" s="131">
        <f t="shared" ref="O170:O180" si="59">ROUND(K170*$G170,2)</f>
        <v>0</v>
      </c>
      <c r="P170" s="136">
        <v>1</v>
      </c>
      <c r="S170" s="189">
        <v>0</v>
      </c>
      <c r="T170" s="189">
        <v>21.5</v>
      </c>
      <c r="BU170" s="523"/>
      <c r="BV170" s="523"/>
      <c r="BW170" s="523"/>
      <c r="BX170" s="523"/>
      <c r="BY170" s="523"/>
      <c r="BZ170" s="523"/>
      <c r="CA170" s="523"/>
      <c r="CB170" s="523"/>
      <c r="CC170" s="523"/>
      <c r="CD170" s="523"/>
      <c r="CE170" s="523"/>
      <c r="CF170" s="523"/>
      <c r="CG170" s="523"/>
      <c r="CH170" s="523"/>
      <c r="CI170" s="523">
        <f t="shared" si="49"/>
        <v>0</v>
      </c>
    </row>
    <row r="171" spans="1:87" x14ac:dyDescent="0.2">
      <c r="A171" s="125" t="s">
        <v>1597</v>
      </c>
      <c r="B171" s="126">
        <v>89712</v>
      </c>
      <c r="C171" s="126" t="s">
        <v>1324</v>
      </c>
      <c r="D171" s="127" t="s">
        <v>1598</v>
      </c>
      <c r="E171" s="128" t="s">
        <v>81</v>
      </c>
      <c r="F171" s="138"/>
      <c r="G171" s="130">
        <v>18.98</v>
      </c>
      <c r="H171" s="128">
        <v>21.5</v>
      </c>
      <c r="I171" s="133">
        <f t="shared" si="50"/>
        <v>0</v>
      </c>
      <c r="J171" s="374">
        <f t="shared" si="51"/>
        <v>0</v>
      </c>
      <c r="K171" s="128">
        <f t="shared" si="43"/>
        <v>21.5</v>
      </c>
      <c r="L171" s="131">
        <f t="shared" si="56"/>
        <v>408.07</v>
      </c>
      <c r="M171" s="131">
        <f t="shared" si="57"/>
        <v>0</v>
      </c>
      <c r="N171" s="131">
        <f t="shared" si="58"/>
        <v>0</v>
      </c>
      <c r="O171" s="131">
        <f t="shared" si="59"/>
        <v>408.07</v>
      </c>
      <c r="P171" s="136">
        <f t="shared" si="48"/>
        <v>0</v>
      </c>
      <c r="S171" s="189">
        <v>0</v>
      </c>
      <c r="T171" s="189">
        <v>36</v>
      </c>
      <c r="BU171" s="523"/>
      <c r="BV171" s="523"/>
      <c r="BW171" s="523"/>
      <c r="BX171" s="523"/>
      <c r="BY171" s="523"/>
      <c r="BZ171" s="523"/>
      <c r="CA171" s="523"/>
      <c r="CB171" s="523"/>
      <c r="CC171" s="523"/>
      <c r="CD171" s="523"/>
      <c r="CE171" s="523"/>
      <c r="CF171" s="523"/>
      <c r="CG171" s="523"/>
      <c r="CH171" s="523"/>
      <c r="CI171" s="523">
        <f t="shared" si="49"/>
        <v>0</v>
      </c>
    </row>
    <row r="172" spans="1:87" x14ac:dyDescent="0.2">
      <c r="A172" s="125" t="s">
        <v>1599</v>
      </c>
      <c r="B172" s="126">
        <v>89714</v>
      </c>
      <c r="C172" s="126" t="s">
        <v>1324</v>
      </c>
      <c r="D172" s="127" t="s">
        <v>1600</v>
      </c>
      <c r="E172" s="128" t="s">
        <v>81</v>
      </c>
      <c r="F172" s="137">
        <v>224.11</v>
      </c>
      <c r="G172" s="130">
        <v>36.869999999999997</v>
      </c>
      <c r="H172" s="128">
        <v>36</v>
      </c>
      <c r="I172" s="133">
        <f t="shared" si="50"/>
        <v>0</v>
      </c>
      <c r="J172" s="374">
        <f t="shared" si="51"/>
        <v>0</v>
      </c>
      <c r="K172" s="128">
        <f t="shared" si="43"/>
        <v>36</v>
      </c>
      <c r="L172" s="131">
        <f t="shared" si="56"/>
        <v>1327.32</v>
      </c>
      <c r="M172" s="131">
        <f t="shared" si="57"/>
        <v>0</v>
      </c>
      <c r="N172" s="131">
        <f t="shared" si="58"/>
        <v>0</v>
      </c>
      <c r="O172" s="131">
        <f t="shared" si="59"/>
        <v>1327.32</v>
      </c>
      <c r="P172" s="136">
        <f t="shared" si="48"/>
        <v>0</v>
      </c>
      <c r="S172" s="189">
        <v>0</v>
      </c>
      <c r="T172" s="189">
        <v>7</v>
      </c>
      <c r="BU172" s="523"/>
      <c r="BV172" s="523"/>
      <c r="BW172" s="523"/>
      <c r="BX172" s="523"/>
      <c r="BY172" s="523"/>
      <c r="BZ172" s="523"/>
      <c r="CA172" s="523"/>
      <c r="CB172" s="523"/>
      <c r="CC172" s="523"/>
      <c r="CD172" s="523"/>
      <c r="CE172" s="523"/>
      <c r="CF172" s="523"/>
      <c r="CG172" s="523"/>
      <c r="CH172" s="523"/>
      <c r="CI172" s="523">
        <f t="shared" si="49"/>
        <v>0</v>
      </c>
    </row>
    <row r="173" spans="1:87" x14ac:dyDescent="0.2">
      <c r="A173" s="125" t="s">
        <v>1601</v>
      </c>
      <c r="B173" s="126">
        <v>89726</v>
      </c>
      <c r="C173" s="126" t="s">
        <v>1324</v>
      </c>
      <c r="D173" s="127" t="s">
        <v>1602</v>
      </c>
      <c r="E173" s="128" t="s">
        <v>102</v>
      </c>
      <c r="F173" s="137">
        <v>312.5</v>
      </c>
      <c r="G173" s="130">
        <v>6.33</v>
      </c>
      <c r="H173" s="128">
        <v>7</v>
      </c>
      <c r="I173" s="133">
        <f t="shared" si="50"/>
        <v>0</v>
      </c>
      <c r="J173" s="374">
        <f t="shared" si="51"/>
        <v>0</v>
      </c>
      <c r="K173" s="128">
        <f t="shared" si="43"/>
        <v>7</v>
      </c>
      <c r="L173" s="131">
        <f t="shared" si="56"/>
        <v>44.31</v>
      </c>
      <c r="M173" s="131">
        <f t="shared" si="57"/>
        <v>0</v>
      </c>
      <c r="N173" s="131">
        <f t="shared" si="58"/>
        <v>0</v>
      </c>
      <c r="O173" s="131">
        <f t="shared" si="59"/>
        <v>44.31</v>
      </c>
      <c r="P173" s="136">
        <f t="shared" si="48"/>
        <v>0</v>
      </c>
      <c r="S173" s="189">
        <v>0</v>
      </c>
      <c r="T173" s="189">
        <v>6</v>
      </c>
      <c r="BU173" s="523"/>
      <c r="BV173" s="523"/>
      <c r="BW173" s="523"/>
      <c r="BX173" s="523"/>
      <c r="BY173" s="523"/>
      <c r="BZ173" s="523"/>
      <c r="CA173" s="523"/>
      <c r="CB173" s="523"/>
      <c r="CC173" s="523"/>
      <c r="CD173" s="523"/>
      <c r="CE173" s="523"/>
      <c r="CF173" s="523"/>
      <c r="CG173" s="523"/>
      <c r="CH173" s="523"/>
      <c r="CI173" s="523">
        <f t="shared" si="49"/>
        <v>0</v>
      </c>
    </row>
    <row r="174" spans="1:87" x14ac:dyDescent="0.2">
      <c r="A174" s="125" t="s">
        <v>1603</v>
      </c>
      <c r="B174" s="126">
        <v>89744</v>
      </c>
      <c r="C174" s="126" t="s">
        <v>1324</v>
      </c>
      <c r="D174" s="127" t="s">
        <v>1604</v>
      </c>
      <c r="E174" s="128" t="s">
        <v>102</v>
      </c>
      <c r="F174" s="137">
        <v>323.14</v>
      </c>
      <c r="G174" s="130">
        <v>16.600000000000001</v>
      </c>
      <c r="H174" s="128">
        <v>6</v>
      </c>
      <c r="I174" s="133">
        <f t="shared" si="50"/>
        <v>0</v>
      </c>
      <c r="J174" s="374">
        <f t="shared" si="51"/>
        <v>0</v>
      </c>
      <c r="K174" s="128">
        <f t="shared" si="43"/>
        <v>6</v>
      </c>
      <c r="L174" s="131">
        <f t="shared" si="56"/>
        <v>99.6</v>
      </c>
      <c r="M174" s="131">
        <f t="shared" si="57"/>
        <v>0</v>
      </c>
      <c r="N174" s="131">
        <f t="shared" si="58"/>
        <v>0</v>
      </c>
      <c r="O174" s="131">
        <f t="shared" si="59"/>
        <v>99.6</v>
      </c>
      <c r="P174" s="136">
        <f t="shared" si="48"/>
        <v>0</v>
      </c>
      <c r="S174" s="189">
        <v>0</v>
      </c>
      <c r="T174" s="189">
        <v>10</v>
      </c>
      <c r="BU174" s="523"/>
      <c r="BV174" s="523"/>
      <c r="BW174" s="523"/>
      <c r="BX174" s="523"/>
      <c r="BY174" s="523"/>
      <c r="BZ174" s="523"/>
      <c r="CA174" s="523"/>
      <c r="CB174" s="523"/>
      <c r="CC174" s="523"/>
      <c r="CD174" s="523"/>
      <c r="CE174" s="523"/>
      <c r="CF174" s="523"/>
      <c r="CG174" s="523"/>
      <c r="CH174" s="523"/>
      <c r="CI174" s="523">
        <f t="shared" si="49"/>
        <v>0</v>
      </c>
    </row>
    <row r="175" spans="1:87" x14ac:dyDescent="0.2">
      <c r="A175" s="125" t="s">
        <v>1605</v>
      </c>
      <c r="B175" s="126">
        <v>89724</v>
      </c>
      <c r="C175" s="126" t="s">
        <v>1324</v>
      </c>
      <c r="D175" s="127" t="s">
        <v>1606</v>
      </c>
      <c r="E175" s="128" t="s">
        <v>102</v>
      </c>
      <c r="F175" s="137">
        <v>224.11</v>
      </c>
      <c r="G175" s="130">
        <v>5.6</v>
      </c>
      <c r="H175" s="128">
        <v>10</v>
      </c>
      <c r="I175" s="133">
        <f t="shared" si="50"/>
        <v>0</v>
      </c>
      <c r="J175" s="374">
        <f t="shared" si="51"/>
        <v>0</v>
      </c>
      <c r="K175" s="128">
        <f t="shared" si="43"/>
        <v>10</v>
      </c>
      <c r="L175" s="131">
        <f t="shared" si="56"/>
        <v>56</v>
      </c>
      <c r="M175" s="131">
        <f t="shared" si="57"/>
        <v>0</v>
      </c>
      <c r="N175" s="131">
        <f t="shared" si="58"/>
        <v>0</v>
      </c>
      <c r="O175" s="131">
        <f t="shared" si="59"/>
        <v>56</v>
      </c>
      <c r="P175" s="136">
        <f t="shared" si="48"/>
        <v>0</v>
      </c>
      <c r="S175" s="189">
        <v>0</v>
      </c>
      <c r="T175" s="189">
        <v>6</v>
      </c>
      <c r="BU175" s="523"/>
      <c r="BV175" s="523"/>
      <c r="BW175" s="523"/>
      <c r="BX175" s="523"/>
      <c r="BY175" s="523"/>
      <c r="BZ175" s="523"/>
      <c r="CA175" s="523"/>
      <c r="CB175" s="523"/>
      <c r="CC175" s="523"/>
      <c r="CD175" s="523"/>
      <c r="CE175" s="523"/>
      <c r="CF175" s="523"/>
      <c r="CG175" s="523"/>
      <c r="CH175" s="523"/>
      <c r="CI175" s="523">
        <f t="shared" si="49"/>
        <v>0</v>
      </c>
    </row>
    <row r="176" spans="1:87" x14ac:dyDescent="0.2">
      <c r="A176" s="125" t="s">
        <v>1607</v>
      </c>
      <c r="B176" s="126">
        <v>89827</v>
      </c>
      <c r="C176" s="126" t="s">
        <v>1324</v>
      </c>
      <c r="D176" s="127" t="s">
        <v>1608</v>
      </c>
      <c r="E176" s="128" t="s">
        <v>102</v>
      </c>
      <c r="F176" s="137">
        <v>33.93</v>
      </c>
      <c r="G176" s="130">
        <v>10.23</v>
      </c>
      <c r="H176" s="128">
        <v>6</v>
      </c>
      <c r="I176" s="133">
        <f t="shared" si="50"/>
        <v>0</v>
      </c>
      <c r="J176" s="374">
        <f t="shared" si="51"/>
        <v>0</v>
      </c>
      <c r="K176" s="128">
        <f t="shared" si="43"/>
        <v>6</v>
      </c>
      <c r="L176" s="131">
        <f t="shared" si="56"/>
        <v>61.38</v>
      </c>
      <c r="M176" s="131">
        <f t="shared" si="57"/>
        <v>0</v>
      </c>
      <c r="N176" s="131">
        <f t="shared" si="58"/>
        <v>0</v>
      </c>
      <c r="O176" s="131">
        <f t="shared" si="59"/>
        <v>61.38</v>
      </c>
      <c r="P176" s="136">
        <f t="shared" si="48"/>
        <v>0</v>
      </c>
      <c r="S176" s="189">
        <v>0</v>
      </c>
      <c r="T176" s="189">
        <v>5</v>
      </c>
      <c r="BU176" s="523"/>
      <c r="BV176" s="523"/>
      <c r="BW176" s="523"/>
      <c r="BX176" s="523"/>
      <c r="BY176" s="523"/>
      <c r="BZ176" s="523"/>
      <c r="CA176" s="523"/>
      <c r="CB176" s="523"/>
      <c r="CC176" s="523"/>
      <c r="CD176" s="523"/>
      <c r="CE176" s="523"/>
      <c r="CF176" s="523"/>
      <c r="CG176" s="523"/>
      <c r="CH176" s="523"/>
      <c r="CI176" s="523">
        <f t="shared" si="49"/>
        <v>0</v>
      </c>
    </row>
    <row r="177" spans="1:87" x14ac:dyDescent="0.2">
      <c r="A177" s="125" t="s">
        <v>1609</v>
      </c>
      <c r="B177" s="126">
        <v>89834</v>
      </c>
      <c r="C177" s="126" t="s">
        <v>1324</v>
      </c>
      <c r="D177" s="127" t="s">
        <v>1610</v>
      </c>
      <c r="E177" s="128" t="s">
        <v>102</v>
      </c>
      <c r="F177" s="137">
        <v>33.93</v>
      </c>
      <c r="G177" s="130">
        <v>25.46</v>
      </c>
      <c r="H177" s="128">
        <v>5</v>
      </c>
      <c r="I177" s="133">
        <f t="shared" si="50"/>
        <v>0</v>
      </c>
      <c r="J177" s="374">
        <f t="shared" si="51"/>
        <v>0</v>
      </c>
      <c r="K177" s="128">
        <f t="shared" si="43"/>
        <v>5</v>
      </c>
      <c r="L177" s="131">
        <f t="shared" si="56"/>
        <v>127.3</v>
      </c>
      <c r="M177" s="131">
        <f t="shared" si="57"/>
        <v>0</v>
      </c>
      <c r="N177" s="131">
        <f t="shared" si="58"/>
        <v>0</v>
      </c>
      <c r="O177" s="131">
        <f t="shared" si="59"/>
        <v>127.3</v>
      </c>
      <c r="P177" s="136">
        <f t="shared" si="48"/>
        <v>0</v>
      </c>
      <c r="S177" s="189">
        <v>0</v>
      </c>
      <c r="T177" s="189">
        <v>5</v>
      </c>
      <c r="BU177" s="523"/>
      <c r="BV177" s="523"/>
      <c r="BW177" s="523"/>
      <c r="BX177" s="523"/>
      <c r="BY177" s="523"/>
      <c r="BZ177" s="523"/>
      <c r="CA177" s="523"/>
      <c r="CB177" s="523"/>
      <c r="CC177" s="523"/>
      <c r="CD177" s="523"/>
      <c r="CE177" s="523"/>
      <c r="CF177" s="523"/>
      <c r="CG177" s="523"/>
      <c r="CH177" s="523"/>
      <c r="CI177" s="523">
        <f t="shared" si="49"/>
        <v>0</v>
      </c>
    </row>
    <row r="178" spans="1:87" x14ac:dyDescent="0.2">
      <c r="A178" s="125" t="s">
        <v>1611</v>
      </c>
      <c r="B178" s="126">
        <v>89797</v>
      </c>
      <c r="C178" s="126" t="s">
        <v>1324</v>
      </c>
      <c r="D178" s="127" t="s">
        <v>1612</v>
      </c>
      <c r="E178" s="128" t="s">
        <v>102</v>
      </c>
      <c r="F178" s="137">
        <v>33.93</v>
      </c>
      <c r="G178" s="130">
        <v>31.16</v>
      </c>
      <c r="H178" s="128">
        <v>5</v>
      </c>
      <c r="I178" s="133">
        <f t="shared" si="50"/>
        <v>0</v>
      </c>
      <c r="J178" s="374">
        <f t="shared" si="51"/>
        <v>0</v>
      </c>
      <c r="K178" s="128">
        <f t="shared" si="43"/>
        <v>5</v>
      </c>
      <c r="L178" s="131">
        <f t="shared" si="56"/>
        <v>155.80000000000001</v>
      </c>
      <c r="M178" s="131">
        <f t="shared" si="57"/>
        <v>0</v>
      </c>
      <c r="N178" s="131">
        <f t="shared" si="58"/>
        <v>0</v>
      </c>
      <c r="O178" s="131">
        <f t="shared" si="59"/>
        <v>155.80000000000001</v>
      </c>
      <c r="P178" s="136">
        <f t="shared" si="48"/>
        <v>0</v>
      </c>
      <c r="S178" s="189">
        <v>0</v>
      </c>
      <c r="T178" s="189">
        <v>1</v>
      </c>
      <c r="BU178" s="523"/>
      <c r="BV178" s="523"/>
      <c r="BW178" s="523"/>
      <c r="BX178" s="523"/>
      <c r="BY178" s="523"/>
      <c r="BZ178" s="523"/>
      <c r="CA178" s="523"/>
      <c r="CB178" s="523"/>
      <c r="CC178" s="523"/>
      <c r="CD178" s="523"/>
      <c r="CE178" s="523"/>
      <c r="CF178" s="523"/>
      <c r="CG178" s="523"/>
      <c r="CH178" s="523"/>
      <c r="CI178" s="523">
        <f t="shared" si="49"/>
        <v>0</v>
      </c>
    </row>
    <row r="179" spans="1:87" x14ac:dyDescent="0.2">
      <c r="A179" s="125" t="s">
        <v>1613</v>
      </c>
      <c r="B179" s="126">
        <v>89852</v>
      </c>
      <c r="C179" s="126" t="s">
        <v>1324</v>
      </c>
      <c r="D179" s="127" t="s">
        <v>1614</v>
      </c>
      <c r="E179" s="128" t="s">
        <v>102</v>
      </c>
      <c r="F179" s="137">
        <v>33.93</v>
      </c>
      <c r="G179" s="130">
        <v>27.17</v>
      </c>
      <c r="H179" s="128">
        <v>1</v>
      </c>
      <c r="I179" s="133">
        <f t="shared" si="50"/>
        <v>0</v>
      </c>
      <c r="J179" s="374">
        <f t="shared" si="51"/>
        <v>0</v>
      </c>
      <c r="K179" s="128">
        <f t="shared" si="43"/>
        <v>1</v>
      </c>
      <c r="L179" s="131">
        <f t="shared" si="56"/>
        <v>27.17</v>
      </c>
      <c r="M179" s="131">
        <f t="shared" si="57"/>
        <v>0</v>
      </c>
      <c r="N179" s="131">
        <f t="shared" si="58"/>
        <v>0</v>
      </c>
      <c r="O179" s="131">
        <f t="shared" si="59"/>
        <v>27.17</v>
      </c>
      <c r="P179" s="136">
        <f t="shared" si="48"/>
        <v>0</v>
      </c>
      <c r="S179" s="189">
        <v>0</v>
      </c>
      <c r="T179" s="189">
        <v>16</v>
      </c>
      <c r="BU179" s="523"/>
      <c r="BV179" s="523"/>
      <c r="BW179" s="523"/>
      <c r="BX179" s="523"/>
      <c r="BY179" s="523"/>
      <c r="BZ179" s="523"/>
      <c r="CA179" s="523"/>
      <c r="CB179" s="523"/>
      <c r="CC179" s="523"/>
      <c r="CD179" s="523"/>
      <c r="CE179" s="523"/>
      <c r="CF179" s="523"/>
      <c r="CG179" s="523"/>
      <c r="CH179" s="523"/>
      <c r="CI179" s="523">
        <f t="shared" si="49"/>
        <v>0</v>
      </c>
    </row>
    <row r="180" spans="1:87" s="481" customFormat="1" x14ac:dyDescent="0.2">
      <c r="A180" s="125" t="s">
        <v>1615</v>
      </c>
      <c r="B180" s="126">
        <v>89728</v>
      </c>
      <c r="C180" s="126" t="s">
        <v>1324</v>
      </c>
      <c r="D180" s="127" t="s">
        <v>1616</v>
      </c>
      <c r="E180" s="128" t="s">
        <v>102</v>
      </c>
      <c r="F180" s="137">
        <v>33.93</v>
      </c>
      <c r="G180" s="130">
        <v>7.91</v>
      </c>
      <c r="H180" s="128">
        <v>16</v>
      </c>
      <c r="I180" s="133">
        <f t="shared" si="50"/>
        <v>0</v>
      </c>
      <c r="J180" s="374">
        <f t="shared" si="51"/>
        <v>0</v>
      </c>
      <c r="K180" s="128">
        <f t="shared" si="43"/>
        <v>16</v>
      </c>
      <c r="L180" s="131">
        <f t="shared" si="56"/>
        <v>126.56</v>
      </c>
      <c r="M180" s="131">
        <f t="shared" si="57"/>
        <v>0</v>
      </c>
      <c r="N180" s="131">
        <f t="shared" si="58"/>
        <v>0</v>
      </c>
      <c r="O180" s="131">
        <f t="shared" si="59"/>
        <v>126.56</v>
      </c>
      <c r="P180" s="136">
        <f t="shared" si="48"/>
        <v>0</v>
      </c>
      <c r="S180" s="190">
        <v>0</v>
      </c>
      <c r="T180" s="190">
        <v>0</v>
      </c>
      <c r="BU180" s="523"/>
      <c r="BV180" s="523"/>
      <c r="BW180" s="523"/>
      <c r="BX180" s="523"/>
      <c r="BY180" s="523"/>
      <c r="BZ180" s="523"/>
      <c r="CA180" s="523"/>
      <c r="CB180" s="523"/>
      <c r="CC180" s="523"/>
      <c r="CD180" s="523"/>
      <c r="CE180" s="523"/>
      <c r="CF180" s="523"/>
      <c r="CG180" s="523"/>
      <c r="CH180" s="523"/>
      <c r="CI180" s="523">
        <f t="shared" si="49"/>
        <v>0</v>
      </c>
    </row>
    <row r="181" spans="1:87" x14ac:dyDescent="0.2">
      <c r="A181" s="449" t="s">
        <v>309</v>
      </c>
      <c r="B181" s="450"/>
      <c r="C181" s="450"/>
      <c r="D181" s="451" t="s">
        <v>1617</v>
      </c>
      <c r="E181" s="465"/>
      <c r="F181" s="465"/>
      <c r="G181" s="465"/>
      <c r="H181" s="465"/>
      <c r="I181" s="465"/>
      <c r="J181" s="465"/>
      <c r="K181" s="465"/>
      <c r="L181" s="452">
        <f>SUM(L182:L189)</f>
        <v>13798.98</v>
      </c>
      <c r="M181" s="452">
        <f>SUM(M182:M189)</f>
        <v>0</v>
      </c>
      <c r="N181" s="452">
        <f>SUM(N182:N189)</f>
        <v>0</v>
      </c>
      <c r="O181" s="452">
        <f>SUM(O182:O189)</f>
        <v>13798.98</v>
      </c>
      <c r="P181" s="459">
        <f t="shared" si="48"/>
        <v>0</v>
      </c>
      <c r="S181" s="189">
        <v>0</v>
      </c>
      <c r="T181" s="189">
        <v>0</v>
      </c>
      <c r="BU181" s="523"/>
      <c r="BV181" s="523"/>
      <c r="BW181" s="523"/>
      <c r="BX181" s="523"/>
      <c r="BY181" s="523"/>
      <c r="BZ181" s="523"/>
      <c r="CA181" s="523"/>
      <c r="CB181" s="523"/>
      <c r="CC181" s="523"/>
      <c r="CD181" s="523"/>
      <c r="CE181" s="523"/>
      <c r="CF181" s="523"/>
      <c r="CG181" s="523"/>
      <c r="CH181" s="523"/>
      <c r="CI181" s="523">
        <f t="shared" si="49"/>
        <v>0</v>
      </c>
    </row>
    <row r="182" spans="1:87" x14ac:dyDescent="0.2">
      <c r="A182" s="125" t="s">
        <v>1618</v>
      </c>
      <c r="B182" s="126" t="s">
        <v>2007</v>
      </c>
      <c r="C182" s="126" t="s">
        <v>1339</v>
      </c>
      <c r="D182" s="127" t="s">
        <v>1619</v>
      </c>
      <c r="E182" s="128" t="s">
        <v>102</v>
      </c>
      <c r="F182" s="137">
        <v>190.09</v>
      </c>
      <c r="G182" s="130">
        <v>46.81</v>
      </c>
      <c r="H182" s="128">
        <v>6</v>
      </c>
      <c r="I182" s="116">
        <f t="shared" si="50"/>
        <v>0</v>
      </c>
      <c r="J182" s="374">
        <f t="shared" si="51"/>
        <v>0</v>
      </c>
      <c r="K182" s="137">
        <f t="shared" si="43"/>
        <v>6</v>
      </c>
      <c r="L182" s="131">
        <f t="shared" ref="L182:L189" si="60">ROUND(H182*$G182,2)</f>
        <v>280.86</v>
      </c>
      <c r="M182" s="131">
        <f t="shared" ref="M182:M189" si="61">ROUND(I182*$G182,2)</f>
        <v>0</v>
      </c>
      <c r="N182" s="131">
        <f t="shared" ref="N182:N189" si="62">ROUND(J182*$G182,2)</f>
        <v>0</v>
      </c>
      <c r="O182" s="131">
        <f t="shared" ref="O182:O189" si="63">ROUND(K182*$G182,2)</f>
        <v>280.86</v>
      </c>
      <c r="P182" s="136">
        <f t="shared" si="48"/>
        <v>0</v>
      </c>
      <c r="S182" s="189">
        <v>0</v>
      </c>
      <c r="T182" s="189">
        <v>0</v>
      </c>
      <c r="BU182" s="523"/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523">
        <f t="shared" si="49"/>
        <v>0</v>
      </c>
    </row>
    <row r="183" spans="1:87" x14ac:dyDescent="0.2">
      <c r="A183" s="125" t="s">
        <v>1620</v>
      </c>
      <c r="B183" s="126" t="s">
        <v>1621</v>
      </c>
      <c r="C183" s="126" t="s">
        <v>1324</v>
      </c>
      <c r="D183" s="127" t="s">
        <v>1622</v>
      </c>
      <c r="E183" s="128" t="s">
        <v>102</v>
      </c>
      <c r="F183" s="137">
        <v>222.14</v>
      </c>
      <c r="G183" s="130">
        <v>367.21</v>
      </c>
      <c r="H183" s="128">
        <v>2</v>
      </c>
      <c r="I183" s="116">
        <f t="shared" si="50"/>
        <v>0</v>
      </c>
      <c r="J183" s="374">
        <f t="shared" si="51"/>
        <v>0</v>
      </c>
      <c r="K183" s="137">
        <f t="shared" si="43"/>
        <v>2</v>
      </c>
      <c r="L183" s="131">
        <f t="shared" si="60"/>
        <v>734.42</v>
      </c>
      <c r="M183" s="131">
        <f t="shared" si="61"/>
        <v>0</v>
      </c>
      <c r="N183" s="131">
        <f t="shared" si="62"/>
        <v>0</v>
      </c>
      <c r="O183" s="131">
        <f t="shared" si="63"/>
        <v>734.42</v>
      </c>
      <c r="P183" s="136">
        <f t="shared" si="48"/>
        <v>0</v>
      </c>
      <c r="S183" s="189">
        <v>0</v>
      </c>
      <c r="T183" s="189">
        <v>0</v>
      </c>
      <c r="BU183" s="523"/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523">
        <f t="shared" si="49"/>
        <v>0</v>
      </c>
    </row>
    <row r="184" spans="1:87" x14ac:dyDescent="0.2">
      <c r="A184" s="125" t="s">
        <v>1623</v>
      </c>
      <c r="B184" s="126">
        <v>89710</v>
      </c>
      <c r="C184" s="126" t="s">
        <v>1324</v>
      </c>
      <c r="D184" s="127" t="s">
        <v>1624</v>
      </c>
      <c r="E184" s="128" t="s">
        <v>102</v>
      </c>
      <c r="F184" s="137">
        <v>474.97</v>
      </c>
      <c r="G184" s="130">
        <v>7.75</v>
      </c>
      <c r="H184" s="128">
        <v>6</v>
      </c>
      <c r="I184" s="116">
        <f t="shared" si="50"/>
        <v>0</v>
      </c>
      <c r="J184" s="374">
        <f t="shared" si="51"/>
        <v>0</v>
      </c>
      <c r="K184" s="137">
        <f t="shared" si="43"/>
        <v>6</v>
      </c>
      <c r="L184" s="131">
        <f t="shared" si="60"/>
        <v>46.5</v>
      </c>
      <c r="M184" s="131">
        <f t="shared" si="61"/>
        <v>0</v>
      </c>
      <c r="N184" s="131">
        <f t="shared" si="62"/>
        <v>0</v>
      </c>
      <c r="O184" s="131">
        <f t="shared" si="63"/>
        <v>46.5</v>
      </c>
      <c r="P184" s="136">
        <f t="shared" si="48"/>
        <v>0</v>
      </c>
      <c r="S184" s="189">
        <v>0</v>
      </c>
      <c r="T184" s="189">
        <v>0</v>
      </c>
      <c r="BU184" s="523"/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523">
        <f t="shared" si="49"/>
        <v>0</v>
      </c>
    </row>
    <row r="185" spans="1:87" x14ac:dyDescent="0.2">
      <c r="A185" s="125" t="s">
        <v>1625</v>
      </c>
      <c r="B185" s="126">
        <v>89798</v>
      </c>
      <c r="C185" s="126" t="s">
        <v>1324</v>
      </c>
      <c r="D185" s="127" t="s">
        <v>1626</v>
      </c>
      <c r="E185" s="128" t="s">
        <v>81</v>
      </c>
      <c r="F185" s="137">
        <v>891.52</v>
      </c>
      <c r="G185" s="130">
        <v>6.93</v>
      </c>
      <c r="H185" s="128">
        <v>8</v>
      </c>
      <c r="I185" s="116">
        <f t="shared" si="50"/>
        <v>0</v>
      </c>
      <c r="J185" s="374">
        <f t="shared" si="51"/>
        <v>0</v>
      </c>
      <c r="K185" s="137">
        <f t="shared" si="43"/>
        <v>8</v>
      </c>
      <c r="L185" s="131">
        <f t="shared" si="60"/>
        <v>55.44</v>
      </c>
      <c r="M185" s="131">
        <f t="shared" si="61"/>
        <v>0</v>
      </c>
      <c r="N185" s="131">
        <f t="shared" si="62"/>
        <v>0</v>
      </c>
      <c r="O185" s="131">
        <f t="shared" si="63"/>
        <v>55.44</v>
      </c>
      <c r="P185" s="136">
        <f t="shared" si="48"/>
        <v>0</v>
      </c>
      <c r="S185" s="189">
        <v>0</v>
      </c>
      <c r="T185" s="189">
        <v>0</v>
      </c>
      <c r="BU185" s="523"/>
      <c r="BV185" s="523"/>
      <c r="BW185" s="523"/>
      <c r="BX185" s="523"/>
      <c r="BY185" s="523"/>
      <c r="BZ185" s="523"/>
      <c r="CA185" s="523"/>
      <c r="CB185" s="523"/>
      <c r="CC185" s="523"/>
      <c r="CD185" s="523"/>
      <c r="CE185" s="523"/>
      <c r="CF185" s="523"/>
      <c r="CG185" s="523"/>
      <c r="CH185" s="523"/>
      <c r="CI185" s="523">
        <f t="shared" si="49"/>
        <v>0</v>
      </c>
    </row>
    <row r="186" spans="1:87" x14ac:dyDescent="0.2">
      <c r="A186" s="125" t="s">
        <v>1627</v>
      </c>
      <c r="B186" s="126">
        <v>86882</v>
      </c>
      <c r="C186" s="126" t="s">
        <v>1324</v>
      </c>
      <c r="D186" s="127" t="s">
        <v>1628</v>
      </c>
      <c r="E186" s="128" t="s">
        <v>102</v>
      </c>
      <c r="F186" s="137">
        <v>179</v>
      </c>
      <c r="G186" s="130">
        <v>13.42</v>
      </c>
      <c r="H186" s="128">
        <v>8</v>
      </c>
      <c r="I186" s="116">
        <f t="shared" si="50"/>
        <v>0</v>
      </c>
      <c r="J186" s="374">
        <f t="shared" si="51"/>
        <v>0</v>
      </c>
      <c r="K186" s="137">
        <f t="shared" si="43"/>
        <v>8</v>
      </c>
      <c r="L186" s="131">
        <f t="shared" si="60"/>
        <v>107.36</v>
      </c>
      <c r="M186" s="131">
        <f t="shared" si="61"/>
        <v>0</v>
      </c>
      <c r="N186" s="131">
        <f t="shared" si="62"/>
        <v>0</v>
      </c>
      <c r="O186" s="131">
        <f t="shared" si="63"/>
        <v>107.36</v>
      </c>
      <c r="P186" s="136">
        <f t="shared" si="48"/>
        <v>0</v>
      </c>
      <c r="S186" s="189">
        <v>0</v>
      </c>
      <c r="T186" s="189">
        <v>0</v>
      </c>
      <c r="BU186" s="523"/>
      <c r="BV186" s="523"/>
      <c r="BW186" s="523"/>
      <c r="BX186" s="523"/>
      <c r="BY186" s="523"/>
      <c r="BZ186" s="523"/>
      <c r="CA186" s="523"/>
      <c r="CB186" s="523"/>
      <c r="CC186" s="523"/>
      <c r="CD186" s="523"/>
      <c r="CE186" s="523"/>
      <c r="CF186" s="523"/>
      <c r="CG186" s="523"/>
      <c r="CH186" s="523"/>
      <c r="CI186" s="523">
        <f t="shared" si="49"/>
        <v>0</v>
      </c>
    </row>
    <row r="187" spans="1:87" x14ac:dyDescent="0.2">
      <c r="A187" s="125" t="s">
        <v>1629</v>
      </c>
      <c r="B187" s="126" t="s">
        <v>1630</v>
      </c>
      <c r="C187" s="126" t="s">
        <v>1324</v>
      </c>
      <c r="D187" s="127" t="s">
        <v>1631</v>
      </c>
      <c r="E187" s="128" t="s">
        <v>102</v>
      </c>
      <c r="F187" s="137">
        <v>144</v>
      </c>
      <c r="G187" s="130">
        <v>57.87</v>
      </c>
      <c r="H187" s="128">
        <v>8</v>
      </c>
      <c r="I187" s="116">
        <f t="shared" si="50"/>
        <v>0</v>
      </c>
      <c r="J187" s="374">
        <f t="shared" si="51"/>
        <v>0</v>
      </c>
      <c r="K187" s="137">
        <f t="shared" si="43"/>
        <v>8</v>
      </c>
      <c r="L187" s="131">
        <f t="shared" si="60"/>
        <v>462.96</v>
      </c>
      <c r="M187" s="131">
        <f t="shared" si="61"/>
        <v>0</v>
      </c>
      <c r="N187" s="131">
        <f t="shared" si="62"/>
        <v>0</v>
      </c>
      <c r="O187" s="131">
        <f t="shared" si="63"/>
        <v>462.96</v>
      </c>
      <c r="P187" s="136">
        <f t="shared" si="48"/>
        <v>0</v>
      </c>
      <c r="S187" s="189">
        <v>0</v>
      </c>
      <c r="T187" s="189">
        <v>0</v>
      </c>
      <c r="BU187" s="523"/>
      <c r="BV187" s="523"/>
      <c r="BW187" s="523"/>
      <c r="BX187" s="523"/>
      <c r="BY187" s="523"/>
      <c r="BZ187" s="523"/>
      <c r="CA187" s="523"/>
      <c r="CB187" s="523"/>
      <c r="CC187" s="523"/>
      <c r="CD187" s="523"/>
      <c r="CE187" s="523"/>
      <c r="CF187" s="523"/>
      <c r="CG187" s="523"/>
      <c r="CH187" s="523"/>
      <c r="CI187" s="523">
        <f t="shared" si="49"/>
        <v>0</v>
      </c>
    </row>
    <row r="188" spans="1:87" x14ac:dyDescent="0.2">
      <c r="A188" s="125" t="s">
        <v>1632</v>
      </c>
      <c r="B188" s="126" t="s">
        <v>1633</v>
      </c>
      <c r="C188" s="126" t="s">
        <v>1324</v>
      </c>
      <c r="D188" s="127" t="s">
        <v>1634</v>
      </c>
      <c r="E188" s="128" t="s">
        <v>102</v>
      </c>
      <c r="F188" s="137">
        <v>201.25</v>
      </c>
      <c r="G188" s="130">
        <v>3019.34</v>
      </c>
      <c r="H188" s="128">
        <v>1</v>
      </c>
      <c r="I188" s="116">
        <f t="shared" si="50"/>
        <v>0</v>
      </c>
      <c r="J188" s="374">
        <f t="shared" si="51"/>
        <v>0</v>
      </c>
      <c r="K188" s="137">
        <f t="shared" si="43"/>
        <v>1</v>
      </c>
      <c r="L188" s="131">
        <f t="shared" si="60"/>
        <v>3019.34</v>
      </c>
      <c r="M188" s="131">
        <f t="shared" si="61"/>
        <v>0</v>
      </c>
      <c r="N188" s="131">
        <f t="shared" si="62"/>
        <v>0</v>
      </c>
      <c r="O188" s="131">
        <f t="shared" si="63"/>
        <v>3019.34</v>
      </c>
      <c r="P188" s="136">
        <f t="shared" si="48"/>
        <v>0</v>
      </c>
      <c r="S188" s="189">
        <v>0</v>
      </c>
      <c r="T188" s="189">
        <v>0</v>
      </c>
      <c r="BU188" s="523"/>
      <c r="BV188" s="523"/>
      <c r="BW188" s="523"/>
      <c r="BX188" s="523"/>
      <c r="BY188" s="523"/>
      <c r="BZ188" s="523"/>
      <c r="CA188" s="523"/>
      <c r="CB188" s="523"/>
      <c r="CC188" s="523"/>
      <c r="CD188" s="523"/>
      <c r="CE188" s="523"/>
      <c r="CF188" s="523"/>
      <c r="CG188" s="523"/>
      <c r="CH188" s="523"/>
      <c r="CI188" s="523">
        <f t="shared" si="49"/>
        <v>0</v>
      </c>
    </row>
    <row r="189" spans="1:87" s="481" customFormat="1" x14ac:dyDescent="0.2">
      <c r="A189" s="125" t="s">
        <v>1635</v>
      </c>
      <c r="B189" s="126" t="s">
        <v>1636</v>
      </c>
      <c r="C189" s="126" t="s">
        <v>1324</v>
      </c>
      <c r="D189" s="127" t="s">
        <v>1637</v>
      </c>
      <c r="E189" s="128" t="s">
        <v>102</v>
      </c>
      <c r="F189" s="137">
        <v>356.72</v>
      </c>
      <c r="G189" s="130">
        <v>9092.1</v>
      </c>
      <c r="H189" s="128">
        <v>1</v>
      </c>
      <c r="I189" s="116">
        <f t="shared" si="50"/>
        <v>0</v>
      </c>
      <c r="J189" s="374">
        <f t="shared" si="51"/>
        <v>0</v>
      </c>
      <c r="K189" s="137">
        <f t="shared" si="43"/>
        <v>1</v>
      </c>
      <c r="L189" s="131">
        <f t="shared" si="60"/>
        <v>9092.1</v>
      </c>
      <c r="M189" s="131">
        <f t="shared" si="61"/>
        <v>0</v>
      </c>
      <c r="N189" s="131">
        <f t="shared" si="62"/>
        <v>0</v>
      </c>
      <c r="O189" s="131">
        <f t="shared" si="63"/>
        <v>9092.1</v>
      </c>
      <c r="P189" s="136">
        <f t="shared" si="48"/>
        <v>0</v>
      </c>
      <c r="S189" s="190">
        <v>0</v>
      </c>
      <c r="T189" s="190">
        <v>0</v>
      </c>
      <c r="BU189" s="523"/>
      <c r="BV189" s="523"/>
      <c r="BW189" s="523"/>
      <c r="BX189" s="523"/>
      <c r="BY189" s="523"/>
      <c r="BZ189" s="523"/>
      <c r="CA189" s="523"/>
      <c r="CB189" s="523"/>
      <c r="CC189" s="523"/>
      <c r="CD189" s="523"/>
      <c r="CE189" s="523"/>
      <c r="CF189" s="523"/>
      <c r="CG189" s="523"/>
      <c r="CH189" s="523"/>
      <c r="CI189" s="523">
        <f t="shared" si="49"/>
        <v>0</v>
      </c>
    </row>
    <row r="190" spans="1:87" x14ac:dyDescent="0.2">
      <c r="A190" s="412">
        <v>14</v>
      </c>
      <c r="B190" s="413"/>
      <c r="C190" s="413"/>
      <c r="D190" s="414" t="s">
        <v>656</v>
      </c>
      <c r="E190" s="415"/>
      <c r="F190" s="415"/>
      <c r="G190" s="415"/>
      <c r="H190" s="415"/>
      <c r="I190" s="415"/>
      <c r="J190" s="415"/>
      <c r="K190" s="415"/>
      <c r="L190" s="416">
        <f>SUM(L191:L193)</f>
        <v>11646.28</v>
      </c>
      <c r="M190" s="416">
        <f>SUM(M191:M193)</f>
        <v>0</v>
      </c>
      <c r="N190" s="416">
        <f>SUM(N191:N193)</f>
        <v>0</v>
      </c>
      <c r="O190" s="416">
        <f>SUM(O191:O193)</f>
        <v>11646.28</v>
      </c>
      <c r="P190" s="423">
        <f t="shared" si="48"/>
        <v>0</v>
      </c>
      <c r="S190" s="189">
        <v>0</v>
      </c>
      <c r="T190" s="189">
        <v>0</v>
      </c>
      <c r="BU190" s="523"/>
      <c r="BV190" s="523"/>
      <c r="BW190" s="523"/>
      <c r="BX190" s="523"/>
      <c r="BY190" s="523"/>
      <c r="BZ190" s="523"/>
      <c r="CA190" s="523"/>
      <c r="CB190" s="523"/>
      <c r="CC190" s="523"/>
      <c r="CD190" s="523"/>
      <c r="CE190" s="523"/>
      <c r="CF190" s="523"/>
      <c r="CG190" s="523"/>
      <c r="CH190" s="523"/>
      <c r="CI190" s="523">
        <f t="shared" si="49"/>
        <v>0</v>
      </c>
    </row>
    <row r="191" spans="1:87" x14ac:dyDescent="0.2">
      <c r="A191" s="125" t="s">
        <v>355</v>
      </c>
      <c r="B191" s="126">
        <v>83688</v>
      </c>
      <c r="C191" s="126" t="s">
        <v>1324</v>
      </c>
      <c r="D191" s="127" t="s">
        <v>1638</v>
      </c>
      <c r="E191" s="128" t="s">
        <v>81</v>
      </c>
      <c r="F191" s="137">
        <v>415</v>
      </c>
      <c r="G191" s="130">
        <v>141.97999999999999</v>
      </c>
      <c r="H191" s="128">
        <v>76.400000000000006</v>
      </c>
      <c r="I191" s="116">
        <f t="shared" si="50"/>
        <v>0</v>
      </c>
      <c r="J191" s="374">
        <f t="shared" si="51"/>
        <v>0</v>
      </c>
      <c r="K191" s="137">
        <f t="shared" si="43"/>
        <v>76.400000000000006</v>
      </c>
      <c r="L191" s="131">
        <f t="shared" ref="L191:O193" si="64">ROUND(H191*$G191,2)</f>
        <v>10847.27</v>
      </c>
      <c r="M191" s="131">
        <f t="shared" si="64"/>
        <v>0</v>
      </c>
      <c r="N191" s="131">
        <f t="shared" si="64"/>
        <v>0</v>
      </c>
      <c r="O191" s="131">
        <f t="shared" si="64"/>
        <v>10847.27</v>
      </c>
      <c r="P191" s="136">
        <f t="shared" si="48"/>
        <v>0</v>
      </c>
      <c r="S191" s="189">
        <v>0</v>
      </c>
      <c r="T191" s="189">
        <v>0</v>
      </c>
      <c r="BU191" s="523"/>
      <c r="BV191" s="523"/>
      <c r="BW191" s="523"/>
      <c r="BX191" s="523"/>
      <c r="BY191" s="523"/>
      <c r="BZ191" s="523"/>
      <c r="CA191" s="523"/>
      <c r="CB191" s="523"/>
      <c r="CC191" s="523"/>
      <c r="CD191" s="523"/>
      <c r="CE191" s="523"/>
      <c r="CF191" s="523"/>
      <c r="CG191" s="523"/>
      <c r="CH191" s="523"/>
      <c r="CI191" s="523">
        <f t="shared" si="49"/>
        <v>0</v>
      </c>
    </row>
    <row r="192" spans="1:87" x14ac:dyDescent="0.2">
      <c r="A192" s="125" t="s">
        <v>1639</v>
      </c>
      <c r="B192" s="126" t="s">
        <v>2007</v>
      </c>
      <c r="C192" s="126" t="s">
        <v>1339</v>
      </c>
      <c r="D192" s="127" t="s">
        <v>1640</v>
      </c>
      <c r="E192" s="128" t="s">
        <v>102</v>
      </c>
      <c r="F192" s="137">
        <v>63.04</v>
      </c>
      <c r="G192" s="130">
        <v>76.84</v>
      </c>
      <c r="H192" s="128">
        <v>8</v>
      </c>
      <c r="I192" s="116">
        <f t="shared" si="50"/>
        <v>0</v>
      </c>
      <c r="J192" s="374">
        <f t="shared" si="51"/>
        <v>0</v>
      </c>
      <c r="K192" s="137">
        <f t="shared" si="43"/>
        <v>8</v>
      </c>
      <c r="L192" s="131">
        <f t="shared" si="64"/>
        <v>614.72</v>
      </c>
      <c r="M192" s="131">
        <f t="shared" si="64"/>
        <v>0</v>
      </c>
      <c r="N192" s="131">
        <f t="shared" si="64"/>
        <v>0</v>
      </c>
      <c r="O192" s="131">
        <f t="shared" si="64"/>
        <v>614.72</v>
      </c>
      <c r="P192" s="136">
        <f t="shared" si="48"/>
        <v>0</v>
      </c>
      <c r="S192" s="189">
        <v>0</v>
      </c>
      <c r="T192" s="189">
        <v>0</v>
      </c>
      <c r="BU192" s="523"/>
      <c r="BV192" s="523"/>
      <c r="BW192" s="523"/>
      <c r="BX192" s="523"/>
      <c r="BY192" s="523"/>
      <c r="BZ192" s="523"/>
      <c r="CA192" s="523"/>
      <c r="CB192" s="523"/>
      <c r="CC192" s="523"/>
      <c r="CD192" s="523"/>
      <c r="CE192" s="523"/>
      <c r="CF192" s="523"/>
      <c r="CG192" s="523"/>
      <c r="CH192" s="523"/>
      <c r="CI192" s="523">
        <f t="shared" si="49"/>
        <v>0</v>
      </c>
    </row>
    <row r="193" spans="1:87" s="481" customFormat="1" x14ac:dyDescent="0.2">
      <c r="A193" s="125" t="s">
        <v>1641</v>
      </c>
      <c r="B193" s="126">
        <v>88549</v>
      </c>
      <c r="C193" s="126" t="s">
        <v>1324</v>
      </c>
      <c r="D193" s="127" t="s">
        <v>1642</v>
      </c>
      <c r="E193" s="128" t="s">
        <v>48</v>
      </c>
      <c r="F193" s="172"/>
      <c r="G193" s="130">
        <v>98.55</v>
      </c>
      <c r="H193" s="128">
        <v>1.87</v>
      </c>
      <c r="I193" s="116">
        <f t="shared" si="50"/>
        <v>0</v>
      </c>
      <c r="J193" s="374">
        <f t="shared" si="51"/>
        <v>0</v>
      </c>
      <c r="K193" s="137">
        <f t="shared" si="43"/>
        <v>1.87</v>
      </c>
      <c r="L193" s="131">
        <f t="shared" si="64"/>
        <v>184.29</v>
      </c>
      <c r="M193" s="131">
        <f t="shared" si="64"/>
        <v>0</v>
      </c>
      <c r="N193" s="131">
        <f t="shared" si="64"/>
        <v>0</v>
      </c>
      <c r="O193" s="131">
        <f t="shared" si="64"/>
        <v>184.29</v>
      </c>
      <c r="P193" s="136">
        <f t="shared" si="48"/>
        <v>0</v>
      </c>
      <c r="S193" s="190">
        <v>0</v>
      </c>
      <c r="T193" s="190">
        <v>0</v>
      </c>
      <c r="BU193" s="523"/>
      <c r="BV193" s="523"/>
      <c r="BW193" s="523"/>
      <c r="BX193" s="523"/>
      <c r="BY193" s="523"/>
      <c r="BZ193" s="523"/>
      <c r="CA193" s="523"/>
      <c r="CB193" s="523"/>
      <c r="CC193" s="523"/>
      <c r="CD193" s="523"/>
      <c r="CE193" s="523"/>
      <c r="CF193" s="523"/>
      <c r="CG193" s="523"/>
      <c r="CH193" s="523"/>
      <c r="CI193" s="523">
        <f t="shared" si="49"/>
        <v>0</v>
      </c>
    </row>
    <row r="194" spans="1:87" x14ac:dyDescent="0.2">
      <c r="A194" s="412">
        <v>15</v>
      </c>
      <c r="B194" s="413"/>
      <c r="C194" s="413"/>
      <c r="D194" s="414" t="s">
        <v>1643</v>
      </c>
      <c r="E194" s="415"/>
      <c r="F194" s="415"/>
      <c r="G194" s="415"/>
      <c r="H194" s="415"/>
      <c r="I194" s="415"/>
      <c r="J194" s="415"/>
      <c r="K194" s="415"/>
      <c r="L194" s="416">
        <f>SUM(L195:L207)</f>
        <v>7636.1200000000017</v>
      </c>
      <c r="M194" s="416">
        <f>SUM(M195:M207)</f>
        <v>0</v>
      </c>
      <c r="N194" s="416">
        <f>SUM(N195:N207)</f>
        <v>0</v>
      </c>
      <c r="O194" s="416">
        <f>SUM(O195:O207)</f>
        <v>7636.1200000000017</v>
      </c>
      <c r="P194" s="423">
        <f t="shared" si="48"/>
        <v>0</v>
      </c>
      <c r="S194" s="189">
        <v>0</v>
      </c>
      <c r="T194" s="189">
        <v>0</v>
      </c>
      <c r="BU194" s="523"/>
      <c r="BV194" s="523"/>
      <c r="BW194" s="523"/>
      <c r="BX194" s="523"/>
      <c r="BY194" s="523"/>
      <c r="BZ194" s="523"/>
      <c r="CA194" s="523"/>
      <c r="CB194" s="523"/>
      <c r="CC194" s="523"/>
      <c r="CD194" s="523"/>
      <c r="CE194" s="523"/>
      <c r="CF194" s="523"/>
      <c r="CG194" s="523"/>
      <c r="CH194" s="523"/>
      <c r="CI194" s="523">
        <f t="shared" si="49"/>
        <v>0</v>
      </c>
    </row>
    <row r="195" spans="1:87" x14ac:dyDescent="0.2">
      <c r="A195" s="125" t="s">
        <v>494</v>
      </c>
      <c r="B195" s="126">
        <v>6021</v>
      </c>
      <c r="C195" s="126" t="s">
        <v>1324</v>
      </c>
      <c r="D195" s="127" t="s">
        <v>1644</v>
      </c>
      <c r="E195" s="128" t="s">
        <v>102</v>
      </c>
      <c r="F195" s="129"/>
      <c r="G195" s="130">
        <v>330.33</v>
      </c>
      <c r="H195" s="128">
        <v>6</v>
      </c>
      <c r="I195" s="116">
        <f t="shared" si="50"/>
        <v>0</v>
      </c>
      <c r="J195" s="374">
        <f t="shared" si="51"/>
        <v>0</v>
      </c>
      <c r="K195" s="137">
        <f t="shared" ref="K195:K258" si="65">H195-J195</f>
        <v>6</v>
      </c>
      <c r="L195" s="131">
        <f t="shared" ref="L195:L207" si="66">ROUND(H195*$G195,2)</f>
        <v>1981.98</v>
      </c>
      <c r="M195" s="131">
        <f t="shared" ref="M195:M207" si="67">ROUND(I195*$G195,2)</f>
        <v>0</v>
      </c>
      <c r="N195" s="131">
        <f t="shared" ref="N195:N207" si="68">ROUND(J195*$G195,2)</f>
        <v>0</v>
      </c>
      <c r="O195" s="131">
        <f t="shared" ref="O195:O207" si="69">ROUND(K195*$G195,2)</f>
        <v>1981.98</v>
      </c>
      <c r="P195" s="136">
        <f t="shared" si="48"/>
        <v>0</v>
      </c>
      <c r="S195" s="189">
        <v>0</v>
      </c>
      <c r="T195" s="189">
        <v>0</v>
      </c>
      <c r="BU195" s="523"/>
      <c r="BV195" s="523"/>
      <c r="BW195" s="523"/>
      <c r="BX195" s="523"/>
      <c r="BY195" s="523"/>
      <c r="BZ195" s="523"/>
      <c r="CA195" s="523"/>
      <c r="CB195" s="523"/>
      <c r="CC195" s="523"/>
      <c r="CD195" s="523"/>
      <c r="CE195" s="523"/>
      <c r="CF195" s="523"/>
      <c r="CG195" s="523"/>
      <c r="CH195" s="523"/>
      <c r="CI195" s="523">
        <f t="shared" si="49"/>
        <v>0</v>
      </c>
    </row>
    <row r="196" spans="1:87" ht="25.5" x14ac:dyDescent="0.2">
      <c r="A196" s="125" t="s">
        <v>496</v>
      </c>
      <c r="B196" s="126">
        <v>40729</v>
      </c>
      <c r="C196" s="126" t="s">
        <v>1324</v>
      </c>
      <c r="D196" s="127" t="s">
        <v>1645</v>
      </c>
      <c r="E196" s="128" t="s">
        <v>102</v>
      </c>
      <c r="F196" s="129"/>
      <c r="G196" s="130">
        <v>204.63</v>
      </c>
      <c r="H196" s="128">
        <v>6</v>
      </c>
      <c r="I196" s="116">
        <f t="shared" si="50"/>
        <v>0</v>
      </c>
      <c r="J196" s="374">
        <f t="shared" si="51"/>
        <v>0</v>
      </c>
      <c r="K196" s="137">
        <f t="shared" si="65"/>
        <v>6</v>
      </c>
      <c r="L196" s="131">
        <f t="shared" si="66"/>
        <v>1227.78</v>
      </c>
      <c r="M196" s="131">
        <f t="shared" si="67"/>
        <v>0</v>
      </c>
      <c r="N196" s="131">
        <f t="shared" si="68"/>
        <v>0</v>
      </c>
      <c r="O196" s="131">
        <f t="shared" si="69"/>
        <v>1227.78</v>
      </c>
      <c r="P196" s="136">
        <f t="shared" si="48"/>
        <v>0</v>
      </c>
      <c r="S196" s="189">
        <v>0</v>
      </c>
      <c r="T196" s="189">
        <v>0</v>
      </c>
      <c r="BU196" s="523"/>
      <c r="BV196" s="523"/>
      <c r="BW196" s="523"/>
      <c r="BX196" s="523"/>
      <c r="BY196" s="523"/>
      <c r="BZ196" s="523"/>
      <c r="CA196" s="523"/>
      <c r="CB196" s="523"/>
      <c r="CC196" s="523"/>
      <c r="CD196" s="523"/>
      <c r="CE196" s="523"/>
      <c r="CF196" s="523"/>
      <c r="CG196" s="523"/>
      <c r="CH196" s="523"/>
      <c r="CI196" s="523">
        <f t="shared" si="49"/>
        <v>0</v>
      </c>
    </row>
    <row r="197" spans="1:87" x14ac:dyDescent="0.2">
      <c r="A197" s="125" t="s">
        <v>498</v>
      </c>
      <c r="B197" s="126">
        <v>86901</v>
      </c>
      <c r="C197" s="126" t="s">
        <v>1324</v>
      </c>
      <c r="D197" s="127" t="s">
        <v>1646</v>
      </c>
      <c r="E197" s="128" t="s">
        <v>102</v>
      </c>
      <c r="F197" s="137">
        <v>11.27</v>
      </c>
      <c r="G197" s="130">
        <v>102.4</v>
      </c>
      <c r="H197" s="128">
        <v>6</v>
      </c>
      <c r="I197" s="116">
        <f t="shared" si="50"/>
        <v>0</v>
      </c>
      <c r="J197" s="374">
        <f t="shared" si="51"/>
        <v>0</v>
      </c>
      <c r="K197" s="137">
        <f t="shared" si="65"/>
        <v>6</v>
      </c>
      <c r="L197" s="131">
        <f t="shared" si="66"/>
        <v>614.4</v>
      </c>
      <c r="M197" s="131">
        <f t="shared" si="67"/>
        <v>0</v>
      </c>
      <c r="N197" s="131">
        <f t="shared" si="68"/>
        <v>0</v>
      </c>
      <c r="O197" s="131">
        <f t="shared" si="69"/>
        <v>614.4</v>
      </c>
      <c r="P197" s="136">
        <f t="shared" si="48"/>
        <v>0</v>
      </c>
      <c r="S197" s="189">
        <v>0</v>
      </c>
      <c r="T197" s="189">
        <v>0</v>
      </c>
      <c r="BU197" s="523"/>
      <c r="BV197" s="523"/>
      <c r="BW197" s="523"/>
      <c r="BX197" s="523"/>
      <c r="BY197" s="523"/>
      <c r="BZ197" s="523"/>
      <c r="CA197" s="523"/>
      <c r="CB197" s="523"/>
      <c r="CC197" s="523"/>
      <c r="CD197" s="523"/>
      <c r="CE197" s="523"/>
      <c r="CF197" s="523"/>
      <c r="CG197" s="523"/>
      <c r="CH197" s="523"/>
      <c r="CI197" s="523">
        <f t="shared" si="49"/>
        <v>0</v>
      </c>
    </row>
    <row r="198" spans="1:87" ht="25.5" x14ac:dyDescent="0.2">
      <c r="A198" s="125" t="s">
        <v>500</v>
      </c>
      <c r="B198" s="126">
        <v>86942</v>
      </c>
      <c r="C198" s="126" t="s">
        <v>1324</v>
      </c>
      <c r="D198" s="127" t="s">
        <v>1647</v>
      </c>
      <c r="E198" s="128" t="s">
        <v>102</v>
      </c>
      <c r="F198" s="137">
        <v>11.89</v>
      </c>
      <c r="G198" s="130">
        <v>160.06</v>
      </c>
      <c r="H198" s="128">
        <v>2</v>
      </c>
      <c r="I198" s="116">
        <f t="shared" si="50"/>
        <v>0</v>
      </c>
      <c r="J198" s="374">
        <f t="shared" si="51"/>
        <v>0</v>
      </c>
      <c r="K198" s="137">
        <f t="shared" si="65"/>
        <v>2</v>
      </c>
      <c r="L198" s="131">
        <f t="shared" si="66"/>
        <v>320.12</v>
      </c>
      <c r="M198" s="131">
        <f t="shared" si="67"/>
        <v>0</v>
      </c>
      <c r="N198" s="131">
        <f t="shared" si="68"/>
        <v>0</v>
      </c>
      <c r="O198" s="131">
        <f t="shared" si="69"/>
        <v>320.12</v>
      </c>
      <c r="P198" s="136">
        <f t="shared" si="48"/>
        <v>0</v>
      </c>
      <c r="S198" s="189">
        <v>0</v>
      </c>
      <c r="T198" s="189">
        <v>0</v>
      </c>
      <c r="BU198" s="523"/>
      <c r="BV198" s="523"/>
      <c r="BW198" s="523"/>
      <c r="BX198" s="523"/>
      <c r="BY198" s="523"/>
      <c r="BZ198" s="523"/>
      <c r="CA198" s="523"/>
      <c r="CB198" s="523"/>
      <c r="CC198" s="523"/>
      <c r="CD198" s="523"/>
      <c r="CE198" s="523"/>
      <c r="CF198" s="523"/>
      <c r="CG198" s="523"/>
      <c r="CH198" s="523"/>
      <c r="CI198" s="523">
        <f t="shared" si="49"/>
        <v>0</v>
      </c>
    </row>
    <row r="199" spans="1:87" ht="25.5" x14ac:dyDescent="0.2">
      <c r="A199" s="125" t="s">
        <v>502</v>
      </c>
      <c r="B199" s="126" t="s">
        <v>2007</v>
      </c>
      <c r="C199" s="126" t="s">
        <v>1339</v>
      </c>
      <c r="D199" s="127" t="s">
        <v>1648</v>
      </c>
      <c r="E199" s="128" t="s">
        <v>102</v>
      </c>
      <c r="F199" s="137">
        <v>28.56</v>
      </c>
      <c r="G199" s="130">
        <v>223.26</v>
      </c>
      <c r="H199" s="128">
        <v>2</v>
      </c>
      <c r="I199" s="116">
        <f t="shared" si="50"/>
        <v>0</v>
      </c>
      <c r="J199" s="374">
        <f t="shared" si="51"/>
        <v>0</v>
      </c>
      <c r="K199" s="137">
        <f t="shared" si="65"/>
        <v>2</v>
      </c>
      <c r="L199" s="131">
        <f t="shared" si="66"/>
        <v>446.52</v>
      </c>
      <c r="M199" s="131">
        <f t="shared" si="67"/>
        <v>0</v>
      </c>
      <c r="N199" s="131">
        <f t="shared" si="68"/>
        <v>0</v>
      </c>
      <c r="O199" s="131">
        <f t="shared" si="69"/>
        <v>446.52</v>
      </c>
      <c r="P199" s="136">
        <f t="shared" si="48"/>
        <v>0</v>
      </c>
      <c r="S199" s="189">
        <v>0</v>
      </c>
      <c r="T199" s="189">
        <v>0</v>
      </c>
      <c r="BU199" s="523"/>
      <c r="BV199" s="523"/>
      <c r="BW199" s="523"/>
      <c r="BX199" s="523"/>
      <c r="BY199" s="523"/>
      <c r="BZ199" s="523"/>
      <c r="CA199" s="523"/>
      <c r="CB199" s="523"/>
      <c r="CC199" s="523"/>
      <c r="CD199" s="523"/>
      <c r="CE199" s="523"/>
      <c r="CF199" s="523"/>
      <c r="CG199" s="523"/>
      <c r="CH199" s="523"/>
      <c r="CI199" s="523">
        <f t="shared" si="49"/>
        <v>0</v>
      </c>
    </row>
    <row r="200" spans="1:87" ht="25.5" x14ac:dyDescent="0.2">
      <c r="A200" s="125" t="s">
        <v>504</v>
      </c>
      <c r="B200" s="126">
        <v>86906</v>
      </c>
      <c r="C200" s="126" t="s">
        <v>1324</v>
      </c>
      <c r="D200" s="127" t="s">
        <v>1649</v>
      </c>
      <c r="E200" s="128" t="s">
        <v>102</v>
      </c>
      <c r="F200" s="137">
        <v>35.53</v>
      </c>
      <c r="G200" s="130">
        <v>39.97</v>
      </c>
      <c r="H200" s="128">
        <v>8</v>
      </c>
      <c r="I200" s="116">
        <f t="shared" si="50"/>
        <v>0</v>
      </c>
      <c r="J200" s="374">
        <f t="shared" si="51"/>
        <v>0</v>
      </c>
      <c r="K200" s="137">
        <f t="shared" si="65"/>
        <v>8</v>
      </c>
      <c r="L200" s="131">
        <f t="shared" si="66"/>
        <v>319.76</v>
      </c>
      <c r="M200" s="131">
        <f t="shared" si="67"/>
        <v>0</v>
      </c>
      <c r="N200" s="131">
        <f t="shared" si="68"/>
        <v>0</v>
      </c>
      <c r="O200" s="131">
        <f t="shared" si="69"/>
        <v>319.76</v>
      </c>
      <c r="P200" s="136">
        <f t="shared" si="48"/>
        <v>0</v>
      </c>
      <c r="S200" s="189">
        <v>0</v>
      </c>
      <c r="T200" s="189">
        <v>0</v>
      </c>
      <c r="BU200" s="523"/>
      <c r="BV200" s="523"/>
      <c r="BW200" s="523"/>
      <c r="BX200" s="523"/>
      <c r="BY200" s="523"/>
      <c r="BZ200" s="523"/>
      <c r="CA200" s="523"/>
      <c r="CB200" s="523"/>
      <c r="CC200" s="523"/>
      <c r="CD200" s="523"/>
      <c r="CE200" s="523"/>
      <c r="CF200" s="523"/>
      <c r="CG200" s="523"/>
      <c r="CH200" s="523"/>
      <c r="CI200" s="523">
        <f t="shared" si="49"/>
        <v>0</v>
      </c>
    </row>
    <row r="201" spans="1:87" x14ac:dyDescent="0.2">
      <c r="A201" s="125" t="s">
        <v>506</v>
      </c>
      <c r="B201" s="126">
        <v>86914</v>
      </c>
      <c r="C201" s="126" t="s">
        <v>1324</v>
      </c>
      <c r="D201" s="127" t="s">
        <v>1650</v>
      </c>
      <c r="E201" s="128" t="s">
        <v>102</v>
      </c>
      <c r="F201" s="137">
        <v>47.11</v>
      </c>
      <c r="G201" s="130">
        <v>31.02</v>
      </c>
      <c r="H201" s="128">
        <v>2</v>
      </c>
      <c r="I201" s="116">
        <f t="shared" si="50"/>
        <v>0</v>
      </c>
      <c r="J201" s="374">
        <f t="shared" si="51"/>
        <v>0</v>
      </c>
      <c r="K201" s="137">
        <f t="shared" si="65"/>
        <v>2</v>
      </c>
      <c r="L201" s="131">
        <f t="shared" si="66"/>
        <v>62.04</v>
      </c>
      <c r="M201" s="131">
        <f t="shared" si="67"/>
        <v>0</v>
      </c>
      <c r="N201" s="131">
        <f t="shared" si="68"/>
        <v>0</v>
      </c>
      <c r="O201" s="131">
        <f t="shared" si="69"/>
        <v>62.04</v>
      </c>
      <c r="P201" s="136">
        <f t="shared" si="48"/>
        <v>0</v>
      </c>
      <c r="S201" s="189">
        <v>0</v>
      </c>
      <c r="T201" s="189">
        <v>0</v>
      </c>
      <c r="BU201" s="523"/>
      <c r="BV201" s="523"/>
      <c r="BW201" s="523"/>
      <c r="BX201" s="523"/>
      <c r="BY201" s="523"/>
      <c r="BZ201" s="523"/>
      <c r="CA201" s="523"/>
      <c r="CB201" s="523"/>
      <c r="CC201" s="523"/>
      <c r="CD201" s="523"/>
      <c r="CE201" s="523"/>
      <c r="CF201" s="523"/>
      <c r="CG201" s="523"/>
      <c r="CH201" s="523"/>
      <c r="CI201" s="523">
        <f t="shared" si="49"/>
        <v>0</v>
      </c>
    </row>
    <row r="202" spans="1:87" ht="25.5" x14ac:dyDescent="0.2">
      <c r="A202" s="125" t="s">
        <v>508</v>
      </c>
      <c r="B202" s="126">
        <v>9535</v>
      </c>
      <c r="C202" s="126" t="s">
        <v>1324</v>
      </c>
      <c r="D202" s="127" t="s">
        <v>1651</v>
      </c>
      <c r="E202" s="128" t="s">
        <v>102</v>
      </c>
      <c r="F202" s="129"/>
      <c r="G202" s="130">
        <v>30.06</v>
      </c>
      <c r="H202" s="128">
        <v>6</v>
      </c>
      <c r="I202" s="116">
        <f t="shared" si="50"/>
        <v>0</v>
      </c>
      <c r="J202" s="374">
        <f t="shared" si="51"/>
        <v>0</v>
      </c>
      <c r="K202" s="137">
        <f t="shared" si="65"/>
        <v>6</v>
      </c>
      <c r="L202" s="131">
        <f t="shared" si="66"/>
        <v>180.36</v>
      </c>
      <c r="M202" s="131">
        <f t="shared" si="67"/>
        <v>0</v>
      </c>
      <c r="N202" s="131">
        <f t="shared" si="68"/>
        <v>0</v>
      </c>
      <c r="O202" s="131">
        <f t="shared" si="69"/>
        <v>180.36</v>
      </c>
      <c r="P202" s="136">
        <f t="shared" si="48"/>
        <v>0</v>
      </c>
      <c r="S202" s="189">
        <v>0</v>
      </c>
      <c r="T202" s="189">
        <v>0</v>
      </c>
      <c r="BU202" s="523"/>
      <c r="BV202" s="523"/>
      <c r="BW202" s="523"/>
      <c r="BX202" s="523"/>
      <c r="BY202" s="523"/>
      <c r="BZ202" s="523"/>
      <c r="CA202" s="523"/>
      <c r="CB202" s="523"/>
      <c r="CC202" s="523"/>
      <c r="CD202" s="523"/>
      <c r="CE202" s="523"/>
      <c r="CF202" s="523"/>
      <c r="CG202" s="523"/>
      <c r="CH202" s="523"/>
      <c r="CI202" s="523">
        <f t="shared" si="49"/>
        <v>0</v>
      </c>
    </row>
    <row r="203" spans="1:87" ht="25.5" x14ac:dyDescent="0.2">
      <c r="A203" s="125" t="s">
        <v>511</v>
      </c>
      <c r="B203" s="126" t="s">
        <v>2007</v>
      </c>
      <c r="C203" s="126" t="s">
        <v>1339</v>
      </c>
      <c r="D203" s="127" t="s">
        <v>1652</v>
      </c>
      <c r="E203" s="128" t="s">
        <v>102</v>
      </c>
      <c r="F203" s="137">
        <v>5.09</v>
      </c>
      <c r="G203" s="130">
        <v>141.72</v>
      </c>
      <c r="H203" s="128">
        <v>6</v>
      </c>
      <c r="I203" s="116">
        <f t="shared" si="50"/>
        <v>0</v>
      </c>
      <c r="J203" s="374">
        <f t="shared" si="51"/>
        <v>0</v>
      </c>
      <c r="K203" s="137">
        <f t="shared" si="65"/>
        <v>6</v>
      </c>
      <c r="L203" s="131">
        <f t="shared" si="66"/>
        <v>850.32</v>
      </c>
      <c r="M203" s="131">
        <f t="shared" si="67"/>
        <v>0</v>
      </c>
      <c r="N203" s="131">
        <f t="shared" si="68"/>
        <v>0</v>
      </c>
      <c r="O203" s="131">
        <f t="shared" si="69"/>
        <v>850.32</v>
      </c>
      <c r="P203" s="136">
        <f t="shared" si="48"/>
        <v>0</v>
      </c>
      <c r="S203" s="189">
        <v>0</v>
      </c>
      <c r="T203" s="189">
        <v>0</v>
      </c>
      <c r="BU203" s="523"/>
      <c r="BV203" s="523"/>
      <c r="BW203" s="523"/>
      <c r="BX203" s="523"/>
      <c r="BY203" s="523"/>
      <c r="BZ203" s="523"/>
      <c r="CA203" s="523"/>
      <c r="CB203" s="523"/>
      <c r="CC203" s="523"/>
      <c r="CD203" s="523"/>
      <c r="CE203" s="523"/>
      <c r="CF203" s="523"/>
      <c r="CG203" s="523"/>
      <c r="CH203" s="523"/>
      <c r="CI203" s="523">
        <f t="shared" si="49"/>
        <v>0</v>
      </c>
    </row>
    <row r="204" spans="1:87" x14ac:dyDescent="0.2">
      <c r="A204" s="125" t="s">
        <v>513</v>
      </c>
      <c r="B204" s="126" t="s">
        <v>2007</v>
      </c>
      <c r="C204" s="126" t="s">
        <v>1339</v>
      </c>
      <c r="D204" s="127" t="s">
        <v>1653</v>
      </c>
      <c r="E204" s="128" t="s">
        <v>102</v>
      </c>
      <c r="F204" s="137">
        <v>6.77</v>
      </c>
      <c r="G204" s="130">
        <v>39.700000000000003</v>
      </c>
      <c r="H204" s="128">
        <v>4</v>
      </c>
      <c r="I204" s="116">
        <f t="shared" si="50"/>
        <v>0</v>
      </c>
      <c r="J204" s="374">
        <f t="shared" si="51"/>
        <v>0</v>
      </c>
      <c r="K204" s="137">
        <f t="shared" si="65"/>
        <v>4</v>
      </c>
      <c r="L204" s="131">
        <f t="shared" si="66"/>
        <v>158.80000000000001</v>
      </c>
      <c r="M204" s="131">
        <f t="shared" si="67"/>
        <v>0</v>
      </c>
      <c r="N204" s="131">
        <f t="shared" si="68"/>
        <v>0</v>
      </c>
      <c r="O204" s="131">
        <f t="shared" si="69"/>
        <v>158.80000000000001</v>
      </c>
      <c r="P204" s="136">
        <f t="shared" si="48"/>
        <v>0</v>
      </c>
      <c r="S204" s="189">
        <v>0</v>
      </c>
      <c r="T204" s="189">
        <v>0</v>
      </c>
      <c r="BU204" s="523"/>
      <c r="BV204" s="523"/>
      <c r="BW204" s="523"/>
      <c r="BX204" s="523"/>
      <c r="BY204" s="523"/>
      <c r="BZ204" s="523"/>
      <c r="CA204" s="523"/>
      <c r="CB204" s="523"/>
      <c r="CC204" s="523"/>
      <c r="CD204" s="523"/>
      <c r="CE204" s="523"/>
      <c r="CF204" s="523"/>
      <c r="CG204" s="523"/>
      <c r="CH204" s="523"/>
      <c r="CI204" s="523">
        <f t="shared" si="49"/>
        <v>0</v>
      </c>
    </row>
    <row r="205" spans="1:87" x14ac:dyDescent="0.2">
      <c r="A205" s="125" t="s">
        <v>515</v>
      </c>
      <c r="B205" s="126" t="s">
        <v>2007</v>
      </c>
      <c r="C205" s="126" t="s">
        <v>1339</v>
      </c>
      <c r="D205" s="127" t="s">
        <v>1654</v>
      </c>
      <c r="E205" s="128" t="s">
        <v>102</v>
      </c>
      <c r="F205" s="137">
        <v>10.76</v>
      </c>
      <c r="G205" s="130">
        <v>30.45</v>
      </c>
      <c r="H205" s="128">
        <v>4</v>
      </c>
      <c r="I205" s="116">
        <f t="shared" si="50"/>
        <v>0</v>
      </c>
      <c r="J205" s="374">
        <f t="shared" si="51"/>
        <v>0</v>
      </c>
      <c r="K205" s="137">
        <f t="shared" si="65"/>
        <v>4</v>
      </c>
      <c r="L205" s="131">
        <f t="shared" si="66"/>
        <v>121.8</v>
      </c>
      <c r="M205" s="131">
        <f t="shared" si="67"/>
        <v>0</v>
      </c>
      <c r="N205" s="131">
        <f t="shared" si="68"/>
        <v>0</v>
      </c>
      <c r="O205" s="131">
        <f t="shared" si="69"/>
        <v>121.8</v>
      </c>
      <c r="P205" s="136">
        <f t="shared" ref="P205:P268" si="70">N205/L205</f>
        <v>0</v>
      </c>
      <c r="S205" s="189">
        <v>0</v>
      </c>
      <c r="T205" s="189">
        <v>0</v>
      </c>
      <c r="BU205" s="523"/>
      <c r="BV205" s="523"/>
      <c r="BW205" s="523"/>
      <c r="BX205" s="523"/>
      <c r="BY205" s="523"/>
      <c r="BZ205" s="523"/>
      <c r="CA205" s="523"/>
      <c r="CB205" s="523"/>
      <c r="CC205" s="523"/>
      <c r="CD205" s="523"/>
      <c r="CE205" s="523"/>
      <c r="CF205" s="523"/>
      <c r="CG205" s="523"/>
      <c r="CH205" s="523"/>
      <c r="CI205" s="523">
        <f t="shared" si="49"/>
        <v>0</v>
      </c>
    </row>
    <row r="206" spans="1:87" ht="25.5" x14ac:dyDescent="0.2">
      <c r="A206" s="125" t="s">
        <v>517</v>
      </c>
      <c r="B206" s="126" t="s">
        <v>2007</v>
      </c>
      <c r="C206" s="126" t="s">
        <v>1339</v>
      </c>
      <c r="D206" s="127" t="s">
        <v>1655</v>
      </c>
      <c r="E206" s="128" t="s">
        <v>102</v>
      </c>
      <c r="F206" s="137">
        <v>42.01</v>
      </c>
      <c r="G206" s="130">
        <v>32.1</v>
      </c>
      <c r="H206" s="128">
        <v>6</v>
      </c>
      <c r="I206" s="116">
        <f t="shared" si="50"/>
        <v>0</v>
      </c>
      <c r="J206" s="374">
        <f t="shared" si="51"/>
        <v>0</v>
      </c>
      <c r="K206" s="137">
        <f t="shared" si="65"/>
        <v>6</v>
      </c>
      <c r="L206" s="131">
        <f t="shared" si="66"/>
        <v>192.6</v>
      </c>
      <c r="M206" s="131">
        <f t="shared" si="67"/>
        <v>0</v>
      </c>
      <c r="N206" s="131">
        <f t="shared" si="68"/>
        <v>0</v>
      </c>
      <c r="O206" s="131">
        <f t="shared" si="69"/>
        <v>192.6</v>
      </c>
      <c r="P206" s="136">
        <f t="shared" si="70"/>
        <v>0</v>
      </c>
      <c r="S206" s="189">
        <v>0</v>
      </c>
      <c r="T206" s="189">
        <v>0</v>
      </c>
      <c r="BU206" s="523"/>
      <c r="BV206" s="523"/>
      <c r="BW206" s="523"/>
      <c r="BX206" s="523"/>
      <c r="BY206" s="523"/>
      <c r="BZ206" s="523"/>
      <c r="CA206" s="523"/>
      <c r="CB206" s="523"/>
      <c r="CC206" s="523"/>
      <c r="CD206" s="523"/>
      <c r="CE206" s="523"/>
      <c r="CF206" s="523"/>
      <c r="CG206" s="523"/>
      <c r="CH206" s="523"/>
      <c r="CI206" s="523">
        <f t="shared" si="49"/>
        <v>0</v>
      </c>
    </row>
    <row r="207" spans="1:87" s="481" customFormat="1" x14ac:dyDescent="0.2">
      <c r="A207" s="125" t="s">
        <v>519</v>
      </c>
      <c r="B207" s="126" t="s">
        <v>2007</v>
      </c>
      <c r="C207" s="126" t="s">
        <v>1339</v>
      </c>
      <c r="D207" s="127" t="s">
        <v>1656</v>
      </c>
      <c r="E207" s="128" t="s">
        <v>102</v>
      </c>
      <c r="F207" s="137">
        <v>19.79</v>
      </c>
      <c r="G207" s="130">
        <v>579.82000000000005</v>
      </c>
      <c r="H207" s="128">
        <v>2</v>
      </c>
      <c r="I207" s="116">
        <f t="shared" si="50"/>
        <v>0</v>
      </c>
      <c r="J207" s="374">
        <f t="shared" si="51"/>
        <v>0</v>
      </c>
      <c r="K207" s="137">
        <f t="shared" si="65"/>
        <v>2</v>
      </c>
      <c r="L207" s="131">
        <f t="shared" si="66"/>
        <v>1159.6400000000001</v>
      </c>
      <c r="M207" s="131">
        <f t="shared" si="67"/>
        <v>0</v>
      </c>
      <c r="N207" s="131">
        <f t="shared" si="68"/>
        <v>0</v>
      </c>
      <c r="O207" s="131">
        <f t="shared" si="69"/>
        <v>1159.6400000000001</v>
      </c>
      <c r="P207" s="136">
        <f t="shared" si="70"/>
        <v>0</v>
      </c>
      <c r="S207" s="190">
        <v>0</v>
      </c>
      <c r="T207" s="190">
        <v>0</v>
      </c>
      <c r="BU207" s="523"/>
      <c r="BV207" s="523"/>
      <c r="BW207" s="523"/>
      <c r="BX207" s="523"/>
      <c r="BY207" s="523"/>
      <c r="BZ207" s="523"/>
      <c r="CA207" s="523"/>
      <c r="CB207" s="523"/>
      <c r="CC207" s="523"/>
      <c r="CD207" s="523"/>
      <c r="CE207" s="523"/>
      <c r="CF207" s="523"/>
      <c r="CG207" s="523"/>
      <c r="CH207" s="523"/>
      <c r="CI207" s="523">
        <f t="shared" ref="CI207:CI270" si="71">SUM(BU207:CH207)</f>
        <v>0</v>
      </c>
    </row>
    <row r="208" spans="1:87" x14ac:dyDescent="0.2">
      <c r="A208" s="412">
        <v>16</v>
      </c>
      <c r="B208" s="413"/>
      <c r="C208" s="413"/>
      <c r="D208" s="414" t="s">
        <v>1657</v>
      </c>
      <c r="E208" s="415"/>
      <c r="F208" s="415"/>
      <c r="G208" s="415"/>
      <c r="H208" s="415"/>
      <c r="I208" s="415"/>
      <c r="J208" s="415"/>
      <c r="K208" s="415"/>
      <c r="L208" s="416">
        <f>SUM(L209:L213)</f>
        <v>792.22</v>
      </c>
      <c r="M208" s="416">
        <f>SUM(M209:M213)</f>
        <v>0</v>
      </c>
      <c r="N208" s="416">
        <f>SUM(N209:N213)</f>
        <v>0</v>
      </c>
      <c r="O208" s="416">
        <f>SUM(O209:O213)</f>
        <v>792.22</v>
      </c>
      <c r="P208" s="423">
        <f t="shared" si="70"/>
        <v>0</v>
      </c>
      <c r="S208" s="189">
        <v>0</v>
      </c>
      <c r="T208" s="189">
        <v>0</v>
      </c>
      <c r="BU208" s="523"/>
      <c r="BV208" s="523"/>
      <c r="BW208" s="523"/>
      <c r="BX208" s="523"/>
      <c r="BY208" s="523"/>
      <c r="BZ208" s="523"/>
      <c r="CA208" s="523"/>
      <c r="CB208" s="523"/>
      <c r="CC208" s="523"/>
      <c r="CD208" s="523"/>
      <c r="CE208" s="523"/>
      <c r="CF208" s="523"/>
      <c r="CG208" s="523"/>
      <c r="CH208" s="523"/>
      <c r="CI208" s="523">
        <f t="shared" si="71"/>
        <v>0</v>
      </c>
    </row>
    <row r="209" spans="1:87" x14ac:dyDescent="0.2">
      <c r="A209" s="125" t="s">
        <v>616</v>
      </c>
      <c r="B209" s="126" t="s">
        <v>2007</v>
      </c>
      <c r="C209" s="126" t="s">
        <v>1339</v>
      </c>
      <c r="D209" s="127" t="s">
        <v>1658</v>
      </c>
      <c r="E209" s="128" t="s">
        <v>102</v>
      </c>
      <c r="F209" s="137">
        <v>40.08</v>
      </c>
      <c r="G209" s="130">
        <v>109.5</v>
      </c>
      <c r="H209" s="128">
        <v>2</v>
      </c>
      <c r="I209" s="116">
        <f t="shared" ref="I209:I271" si="72">BU209</f>
        <v>0</v>
      </c>
      <c r="J209" s="374">
        <f t="shared" ref="J209:J271" si="73">CI209</f>
        <v>0</v>
      </c>
      <c r="K209" s="137">
        <f t="shared" si="65"/>
        <v>2</v>
      </c>
      <c r="L209" s="131">
        <f t="shared" ref="L209:L213" si="74">ROUND(H209*$G209,2)</f>
        <v>219</v>
      </c>
      <c r="M209" s="131">
        <f t="shared" ref="M209:M213" si="75">ROUND(I209*$G209,2)</f>
        <v>0</v>
      </c>
      <c r="N209" s="131">
        <f t="shared" ref="N209:N213" si="76">ROUND(J209*$G209,2)</f>
        <v>0</v>
      </c>
      <c r="O209" s="131">
        <f t="shared" ref="O209:O213" si="77">ROUND(K209*$G209,2)</f>
        <v>219</v>
      </c>
      <c r="P209" s="136">
        <f t="shared" si="70"/>
        <v>0</v>
      </c>
      <c r="S209" s="189">
        <v>0</v>
      </c>
      <c r="T209" s="189">
        <v>0</v>
      </c>
      <c r="BU209" s="523"/>
      <c r="BV209" s="523"/>
      <c r="BW209" s="523"/>
      <c r="BX209" s="523"/>
      <c r="BY209" s="523"/>
      <c r="BZ209" s="523"/>
      <c r="CA209" s="523"/>
      <c r="CB209" s="523"/>
      <c r="CC209" s="523"/>
      <c r="CD209" s="523"/>
      <c r="CE209" s="523"/>
      <c r="CF209" s="523"/>
      <c r="CG209" s="523"/>
      <c r="CH209" s="523"/>
      <c r="CI209" s="523">
        <f t="shared" si="71"/>
        <v>0</v>
      </c>
    </row>
    <row r="210" spans="1:87" x14ac:dyDescent="0.2">
      <c r="A210" s="125" t="s">
        <v>618</v>
      </c>
      <c r="B210" s="126" t="s">
        <v>2007</v>
      </c>
      <c r="C210" s="126" t="s">
        <v>1339</v>
      </c>
      <c r="D210" s="127" t="s">
        <v>1659</v>
      </c>
      <c r="E210" s="128" t="s">
        <v>102</v>
      </c>
      <c r="F210" s="137">
        <v>199.75</v>
      </c>
      <c r="G210" s="130">
        <v>227.16</v>
      </c>
      <c r="H210" s="128">
        <v>2</v>
      </c>
      <c r="I210" s="116">
        <f t="shared" si="72"/>
        <v>0</v>
      </c>
      <c r="J210" s="374">
        <f t="shared" si="73"/>
        <v>0</v>
      </c>
      <c r="K210" s="137">
        <f t="shared" si="65"/>
        <v>2</v>
      </c>
      <c r="L210" s="131">
        <f t="shared" si="74"/>
        <v>454.32</v>
      </c>
      <c r="M210" s="131">
        <f t="shared" si="75"/>
        <v>0</v>
      </c>
      <c r="N210" s="131">
        <f t="shared" si="76"/>
        <v>0</v>
      </c>
      <c r="O210" s="131">
        <f t="shared" si="77"/>
        <v>454.32</v>
      </c>
      <c r="P210" s="136">
        <f t="shared" si="70"/>
        <v>0</v>
      </c>
      <c r="S210" s="189">
        <v>0</v>
      </c>
      <c r="T210" s="189">
        <v>0</v>
      </c>
      <c r="BU210" s="523"/>
      <c r="BV210" s="523"/>
      <c r="BW210" s="523"/>
      <c r="BX210" s="523"/>
      <c r="BY210" s="523"/>
      <c r="BZ210" s="523"/>
      <c r="CA210" s="523"/>
      <c r="CB210" s="523"/>
      <c r="CC210" s="523"/>
      <c r="CD210" s="523"/>
      <c r="CE210" s="523"/>
      <c r="CF210" s="523"/>
      <c r="CG210" s="523"/>
      <c r="CH210" s="523"/>
      <c r="CI210" s="523">
        <f t="shared" si="71"/>
        <v>0</v>
      </c>
    </row>
    <row r="211" spans="1:87" x14ac:dyDescent="0.2">
      <c r="A211" s="125" t="s">
        <v>620</v>
      </c>
      <c r="B211" s="126" t="s">
        <v>2007</v>
      </c>
      <c r="C211" s="126" t="s">
        <v>1339</v>
      </c>
      <c r="D211" s="127" t="s">
        <v>1660</v>
      </c>
      <c r="E211" s="128" t="s">
        <v>102</v>
      </c>
      <c r="F211" s="129"/>
      <c r="G211" s="130">
        <v>27.98</v>
      </c>
      <c r="H211" s="128">
        <v>2</v>
      </c>
      <c r="I211" s="116">
        <f t="shared" si="72"/>
        <v>0</v>
      </c>
      <c r="J211" s="374">
        <f t="shared" si="73"/>
        <v>0</v>
      </c>
      <c r="K211" s="137">
        <f t="shared" si="65"/>
        <v>2</v>
      </c>
      <c r="L211" s="131">
        <f t="shared" si="74"/>
        <v>55.96</v>
      </c>
      <c r="M211" s="131">
        <f t="shared" si="75"/>
        <v>0</v>
      </c>
      <c r="N211" s="131">
        <f t="shared" si="76"/>
        <v>0</v>
      </c>
      <c r="O211" s="131">
        <f t="shared" si="77"/>
        <v>55.96</v>
      </c>
      <c r="P211" s="136">
        <f t="shared" si="70"/>
        <v>0</v>
      </c>
      <c r="S211" s="189">
        <v>0</v>
      </c>
      <c r="T211" s="189">
        <v>0</v>
      </c>
      <c r="BU211" s="523"/>
      <c r="BV211" s="523"/>
      <c r="BW211" s="523"/>
      <c r="BX211" s="523"/>
      <c r="BY211" s="523"/>
      <c r="BZ211" s="523"/>
      <c r="CA211" s="523"/>
      <c r="CB211" s="523"/>
      <c r="CC211" s="523"/>
      <c r="CD211" s="523"/>
      <c r="CE211" s="523"/>
      <c r="CF211" s="523"/>
      <c r="CG211" s="523"/>
      <c r="CH211" s="523"/>
      <c r="CI211" s="523">
        <f t="shared" si="71"/>
        <v>0</v>
      </c>
    </row>
    <row r="212" spans="1:87" x14ac:dyDescent="0.2">
      <c r="A212" s="125" t="s">
        <v>1661</v>
      </c>
      <c r="B212" s="126" t="s">
        <v>2007</v>
      </c>
      <c r="C212" s="126" t="s">
        <v>1339</v>
      </c>
      <c r="D212" s="127" t="s">
        <v>1662</v>
      </c>
      <c r="E212" s="128" t="s">
        <v>102</v>
      </c>
      <c r="F212" s="137">
        <v>3.37</v>
      </c>
      <c r="G212" s="130">
        <v>16.36</v>
      </c>
      <c r="H212" s="128">
        <v>2</v>
      </c>
      <c r="I212" s="116">
        <f t="shared" si="72"/>
        <v>0</v>
      </c>
      <c r="J212" s="374">
        <f t="shared" si="73"/>
        <v>0</v>
      </c>
      <c r="K212" s="137">
        <f t="shared" si="65"/>
        <v>2</v>
      </c>
      <c r="L212" s="131">
        <f t="shared" si="74"/>
        <v>32.72</v>
      </c>
      <c r="M212" s="131">
        <f t="shared" si="75"/>
        <v>0</v>
      </c>
      <c r="N212" s="131">
        <f t="shared" si="76"/>
        <v>0</v>
      </c>
      <c r="O212" s="131">
        <f t="shared" si="77"/>
        <v>32.72</v>
      </c>
      <c r="P212" s="136">
        <f t="shared" si="70"/>
        <v>0</v>
      </c>
      <c r="S212" s="189">
        <v>0</v>
      </c>
      <c r="T212" s="189">
        <v>0</v>
      </c>
      <c r="BU212" s="523"/>
      <c r="BV212" s="523"/>
      <c r="BW212" s="523"/>
      <c r="BX212" s="523"/>
      <c r="BY212" s="523"/>
      <c r="BZ212" s="523"/>
      <c r="CA212" s="523"/>
      <c r="CB212" s="523"/>
      <c r="CC212" s="523"/>
      <c r="CD212" s="523"/>
      <c r="CE212" s="523"/>
      <c r="CF212" s="523"/>
      <c r="CG212" s="523"/>
      <c r="CH212" s="523"/>
      <c r="CI212" s="523">
        <f t="shared" si="71"/>
        <v>0</v>
      </c>
    </row>
    <row r="213" spans="1:87" s="194" customFormat="1" x14ac:dyDescent="0.2">
      <c r="A213" s="125" t="s">
        <v>1663</v>
      </c>
      <c r="B213" s="126" t="s">
        <v>2007</v>
      </c>
      <c r="C213" s="126" t="s">
        <v>1339</v>
      </c>
      <c r="D213" s="127" t="s">
        <v>1664</v>
      </c>
      <c r="E213" s="128" t="s">
        <v>102</v>
      </c>
      <c r="F213" s="137">
        <v>10.220000000000001</v>
      </c>
      <c r="G213" s="130">
        <v>15.11</v>
      </c>
      <c r="H213" s="128">
        <v>2</v>
      </c>
      <c r="I213" s="116">
        <f t="shared" si="72"/>
        <v>0</v>
      </c>
      <c r="J213" s="374">
        <f t="shared" si="73"/>
        <v>0</v>
      </c>
      <c r="K213" s="137">
        <f t="shared" si="65"/>
        <v>2</v>
      </c>
      <c r="L213" s="131">
        <f t="shared" si="74"/>
        <v>30.22</v>
      </c>
      <c r="M213" s="131">
        <f t="shared" si="75"/>
        <v>0</v>
      </c>
      <c r="N213" s="131">
        <f t="shared" si="76"/>
        <v>0</v>
      </c>
      <c r="O213" s="131">
        <f t="shared" si="77"/>
        <v>30.22</v>
      </c>
      <c r="P213" s="136">
        <f t="shared" si="70"/>
        <v>0</v>
      </c>
      <c r="S213" s="195">
        <v>0</v>
      </c>
      <c r="T213" s="195">
        <v>0</v>
      </c>
      <c r="BU213" s="523"/>
      <c r="BV213" s="523"/>
      <c r="BW213" s="523"/>
      <c r="BX213" s="523"/>
      <c r="BY213" s="523"/>
      <c r="BZ213" s="523"/>
      <c r="CA213" s="523"/>
      <c r="CB213" s="523"/>
      <c r="CC213" s="523"/>
      <c r="CD213" s="523"/>
      <c r="CE213" s="523"/>
      <c r="CF213" s="523"/>
      <c r="CG213" s="523"/>
      <c r="CH213" s="523"/>
      <c r="CI213" s="523">
        <f t="shared" si="71"/>
        <v>0</v>
      </c>
    </row>
    <row r="214" spans="1:87" s="481" customFormat="1" x14ac:dyDescent="0.2">
      <c r="A214" s="425">
        <v>17</v>
      </c>
      <c r="B214" s="414"/>
      <c r="C214" s="414"/>
      <c r="D214" s="414" t="s">
        <v>1665</v>
      </c>
      <c r="E214" s="415"/>
      <c r="F214" s="415"/>
      <c r="G214" s="415"/>
      <c r="H214" s="415"/>
      <c r="I214" s="415"/>
      <c r="J214" s="415"/>
      <c r="K214" s="415"/>
      <c r="L214" s="435">
        <f>SUM(L215,L225,L247,L252)</f>
        <v>20098.660000000003</v>
      </c>
      <c r="M214" s="435">
        <f>SUM(M215,M225,M247,M252)</f>
        <v>0</v>
      </c>
      <c r="N214" s="435">
        <f>SUM(N215,N225,N247,N252)</f>
        <v>0</v>
      </c>
      <c r="O214" s="435">
        <f>SUM(O215,O225,O247,O252)</f>
        <v>20098.660000000003</v>
      </c>
      <c r="P214" s="437">
        <f t="shared" si="70"/>
        <v>0</v>
      </c>
      <c r="S214" s="190">
        <v>0</v>
      </c>
      <c r="T214" s="190">
        <v>0</v>
      </c>
      <c r="BU214" s="523"/>
      <c r="BV214" s="523"/>
      <c r="BW214" s="523"/>
      <c r="BX214" s="523"/>
      <c r="BY214" s="523"/>
      <c r="BZ214" s="523"/>
      <c r="CA214" s="523"/>
      <c r="CB214" s="523"/>
      <c r="CC214" s="523"/>
      <c r="CD214" s="523"/>
      <c r="CE214" s="523"/>
      <c r="CF214" s="523"/>
      <c r="CG214" s="523"/>
      <c r="CH214" s="523"/>
      <c r="CI214" s="523">
        <f t="shared" si="71"/>
        <v>0</v>
      </c>
    </row>
    <row r="215" spans="1:87" x14ac:dyDescent="0.2">
      <c r="A215" s="449" t="s">
        <v>625</v>
      </c>
      <c r="B215" s="450"/>
      <c r="C215" s="450"/>
      <c r="D215" s="451" t="s">
        <v>1666</v>
      </c>
      <c r="E215" s="452"/>
      <c r="F215" s="452"/>
      <c r="G215" s="452"/>
      <c r="H215" s="452"/>
      <c r="I215" s="452"/>
      <c r="J215" s="452"/>
      <c r="K215" s="452"/>
      <c r="L215" s="452">
        <f>SUM(L216:L224)</f>
        <v>1711.6100000000001</v>
      </c>
      <c r="M215" s="452">
        <f>SUM(M216:M224)</f>
        <v>0</v>
      </c>
      <c r="N215" s="452">
        <f>SUM(N216:N224)</f>
        <v>0</v>
      </c>
      <c r="O215" s="452">
        <f>SUM(O216:O224)</f>
        <v>1711.6100000000001</v>
      </c>
      <c r="P215" s="459">
        <f t="shared" si="70"/>
        <v>0</v>
      </c>
      <c r="S215" s="189">
        <v>0</v>
      </c>
      <c r="T215" s="189">
        <v>0</v>
      </c>
      <c r="BU215" s="523"/>
      <c r="BV215" s="523"/>
      <c r="BW215" s="523"/>
      <c r="BX215" s="523"/>
      <c r="BY215" s="523"/>
      <c r="BZ215" s="523"/>
      <c r="CA215" s="523"/>
      <c r="CB215" s="523"/>
      <c r="CC215" s="523"/>
      <c r="CD215" s="523"/>
      <c r="CE215" s="523"/>
      <c r="CF215" s="523"/>
      <c r="CG215" s="523"/>
      <c r="CH215" s="523"/>
      <c r="CI215" s="523">
        <f t="shared" si="71"/>
        <v>0</v>
      </c>
    </row>
    <row r="216" spans="1:87" x14ac:dyDescent="0.2">
      <c r="A216" s="125" t="s">
        <v>1667</v>
      </c>
      <c r="B216" s="126">
        <v>83463</v>
      </c>
      <c r="C216" s="126" t="s">
        <v>1324</v>
      </c>
      <c r="D216" s="127" t="s">
        <v>1668</v>
      </c>
      <c r="E216" s="128" t="s">
        <v>102</v>
      </c>
      <c r="F216" s="137">
        <v>12.73</v>
      </c>
      <c r="G216" s="130">
        <v>211.62</v>
      </c>
      <c r="H216" s="128">
        <v>1</v>
      </c>
      <c r="I216" s="116">
        <f t="shared" si="72"/>
        <v>0</v>
      </c>
      <c r="J216" s="374">
        <f t="shared" si="73"/>
        <v>0</v>
      </c>
      <c r="K216" s="137">
        <f t="shared" si="65"/>
        <v>1</v>
      </c>
      <c r="L216" s="131">
        <f t="shared" ref="L216:L224" si="78">ROUND(H216*$G216,2)</f>
        <v>211.62</v>
      </c>
      <c r="M216" s="131">
        <f t="shared" ref="M216:M224" si="79">ROUND(I216*$G216,2)</f>
        <v>0</v>
      </c>
      <c r="N216" s="131">
        <f t="shared" ref="N216:N224" si="80">ROUND(J216*$G216,2)</f>
        <v>0</v>
      </c>
      <c r="O216" s="131">
        <f t="shared" ref="O216:O224" si="81">ROUND(K216*$G216,2)</f>
        <v>211.62</v>
      </c>
      <c r="P216" s="136">
        <f t="shared" si="70"/>
        <v>0</v>
      </c>
      <c r="S216" s="189">
        <v>0</v>
      </c>
      <c r="T216" s="189">
        <v>0</v>
      </c>
      <c r="BU216" s="523"/>
      <c r="BV216" s="523"/>
      <c r="BW216" s="523"/>
      <c r="BX216" s="523"/>
      <c r="BY216" s="523"/>
      <c r="BZ216" s="523"/>
      <c r="CA216" s="523"/>
      <c r="CB216" s="523"/>
      <c r="CC216" s="523"/>
      <c r="CD216" s="523"/>
      <c r="CE216" s="523"/>
      <c r="CF216" s="523"/>
      <c r="CG216" s="523"/>
      <c r="CH216" s="523"/>
      <c r="CI216" s="523">
        <f t="shared" si="71"/>
        <v>0</v>
      </c>
    </row>
    <row r="217" spans="1:87" x14ac:dyDescent="0.2">
      <c r="A217" s="125" t="s">
        <v>1669</v>
      </c>
      <c r="B217" s="126" t="s">
        <v>1670</v>
      </c>
      <c r="C217" s="126" t="s">
        <v>1324</v>
      </c>
      <c r="D217" s="127" t="s">
        <v>1671</v>
      </c>
      <c r="E217" s="128" t="s">
        <v>102</v>
      </c>
      <c r="F217" s="137">
        <v>8.5299999999999994</v>
      </c>
      <c r="G217" s="130">
        <v>332.47</v>
      </c>
      <c r="H217" s="128">
        <v>1</v>
      </c>
      <c r="I217" s="116">
        <f t="shared" si="72"/>
        <v>0</v>
      </c>
      <c r="J217" s="374">
        <f t="shared" si="73"/>
        <v>0</v>
      </c>
      <c r="K217" s="137">
        <f t="shared" si="65"/>
        <v>1</v>
      </c>
      <c r="L217" s="131">
        <f t="shared" si="78"/>
        <v>332.47</v>
      </c>
      <c r="M217" s="131">
        <f t="shared" si="79"/>
        <v>0</v>
      </c>
      <c r="N217" s="131">
        <f t="shared" si="80"/>
        <v>0</v>
      </c>
      <c r="O217" s="131">
        <f t="shared" si="81"/>
        <v>332.47</v>
      </c>
      <c r="P217" s="136">
        <f t="shared" si="70"/>
        <v>0</v>
      </c>
      <c r="S217" s="189">
        <v>0</v>
      </c>
      <c r="T217" s="189">
        <v>0</v>
      </c>
      <c r="BU217" s="523"/>
      <c r="BV217" s="523"/>
      <c r="BW217" s="523"/>
      <c r="BX217" s="523"/>
      <c r="BY217" s="523"/>
      <c r="BZ217" s="523"/>
      <c r="CA217" s="523"/>
      <c r="CB217" s="523"/>
      <c r="CC217" s="523"/>
      <c r="CD217" s="523"/>
      <c r="CE217" s="523"/>
      <c r="CF217" s="523"/>
      <c r="CG217" s="523"/>
      <c r="CH217" s="523"/>
      <c r="CI217" s="523">
        <f t="shared" si="71"/>
        <v>0</v>
      </c>
    </row>
    <row r="218" spans="1:87" x14ac:dyDescent="0.2">
      <c r="A218" s="125" t="s">
        <v>1672</v>
      </c>
      <c r="B218" s="126" t="s">
        <v>1673</v>
      </c>
      <c r="C218" s="126" t="s">
        <v>1343</v>
      </c>
      <c r="D218" s="127" t="s">
        <v>1674</v>
      </c>
      <c r="E218" s="128" t="s">
        <v>102</v>
      </c>
      <c r="F218" s="137">
        <v>22.59</v>
      </c>
      <c r="G218" s="130">
        <v>65.62</v>
      </c>
      <c r="H218" s="128">
        <v>1</v>
      </c>
      <c r="I218" s="116">
        <f t="shared" si="72"/>
        <v>0</v>
      </c>
      <c r="J218" s="374">
        <f t="shared" si="73"/>
        <v>0</v>
      </c>
      <c r="K218" s="137">
        <f t="shared" si="65"/>
        <v>1</v>
      </c>
      <c r="L218" s="131">
        <f t="shared" si="78"/>
        <v>65.62</v>
      </c>
      <c r="M218" s="131">
        <f t="shared" si="79"/>
        <v>0</v>
      </c>
      <c r="N218" s="131">
        <f t="shared" si="80"/>
        <v>0</v>
      </c>
      <c r="O218" s="131">
        <f t="shared" si="81"/>
        <v>65.62</v>
      </c>
      <c r="P218" s="136">
        <f t="shared" si="70"/>
        <v>0</v>
      </c>
      <c r="S218" s="189">
        <v>0</v>
      </c>
      <c r="T218" s="189">
        <v>0</v>
      </c>
      <c r="BU218" s="523"/>
      <c r="BV218" s="523"/>
      <c r="BW218" s="523"/>
      <c r="BX218" s="523"/>
      <c r="BY218" s="523"/>
      <c r="BZ218" s="523"/>
      <c r="CA218" s="523"/>
      <c r="CB218" s="523"/>
      <c r="CC218" s="523"/>
      <c r="CD218" s="523"/>
      <c r="CE218" s="523"/>
      <c r="CF218" s="523"/>
      <c r="CG218" s="523"/>
      <c r="CH218" s="523"/>
      <c r="CI218" s="523">
        <f t="shared" si="71"/>
        <v>0</v>
      </c>
    </row>
    <row r="219" spans="1:87" x14ac:dyDescent="0.2">
      <c r="A219" s="125" t="s">
        <v>1675</v>
      </c>
      <c r="B219" s="126" t="s">
        <v>1676</v>
      </c>
      <c r="C219" s="126" t="s">
        <v>1324</v>
      </c>
      <c r="D219" s="127" t="s">
        <v>1677</v>
      </c>
      <c r="E219" s="128" t="s">
        <v>102</v>
      </c>
      <c r="F219" s="129"/>
      <c r="G219" s="130">
        <v>11.27</v>
      </c>
      <c r="H219" s="128">
        <v>7</v>
      </c>
      <c r="I219" s="116">
        <f t="shared" si="72"/>
        <v>0</v>
      </c>
      <c r="J219" s="374">
        <f t="shared" si="73"/>
        <v>0</v>
      </c>
      <c r="K219" s="137">
        <f t="shared" si="65"/>
        <v>7</v>
      </c>
      <c r="L219" s="131">
        <f t="shared" si="78"/>
        <v>78.89</v>
      </c>
      <c r="M219" s="131">
        <f t="shared" si="79"/>
        <v>0</v>
      </c>
      <c r="N219" s="131">
        <f t="shared" si="80"/>
        <v>0</v>
      </c>
      <c r="O219" s="131">
        <f t="shared" si="81"/>
        <v>78.89</v>
      </c>
      <c r="P219" s="136">
        <f t="shared" si="70"/>
        <v>0</v>
      </c>
      <c r="S219" s="189">
        <v>0</v>
      </c>
      <c r="T219" s="189">
        <v>0</v>
      </c>
      <c r="BU219" s="523"/>
      <c r="BV219" s="523"/>
      <c r="BW219" s="523"/>
      <c r="BX219" s="523"/>
      <c r="BY219" s="523"/>
      <c r="BZ219" s="523"/>
      <c r="CA219" s="523"/>
      <c r="CB219" s="523"/>
      <c r="CC219" s="523"/>
      <c r="CD219" s="523"/>
      <c r="CE219" s="523"/>
      <c r="CF219" s="523"/>
      <c r="CG219" s="523"/>
      <c r="CH219" s="523"/>
      <c r="CI219" s="523">
        <f t="shared" si="71"/>
        <v>0</v>
      </c>
    </row>
    <row r="220" spans="1:87" x14ac:dyDescent="0.2">
      <c r="A220" s="125" t="s">
        <v>1678</v>
      </c>
      <c r="B220" s="126" t="s">
        <v>1676</v>
      </c>
      <c r="C220" s="126" t="s">
        <v>1324</v>
      </c>
      <c r="D220" s="127" t="s">
        <v>1679</v>
      </c>
      <c r="E220" s="128" t="s">
        <v>102</v>
      </c>
      <c r="F220" s="137">
        <v>4.09</v>
      </c>
      <c r="G220" s="130">
        <v>11.27</v>
      </c>
      <c r="H220" s="128">
        <v>5</v>
      </c>
      <c r="I220" s="116">
        <f t="shared" si="72"/>
        <v>0</v>
      </c>
      <c r="J220" s="374">
        <f t="shared" si="73"/>
        <v>0</v>
      </c>
      <c r="K220" s="137">
        <f t="shared" si="65"/>
        <v>5</v>
      </c>
      <c r="L220" s="131">
        <f t="shared" si="78"/>
        <v>56.35</v>
      </c>
      <c r="M220" s="131">
        <f t="shared" si="79"/>
        <v>0</v>
      </c>
      <c r="N220" s="131">
        <f t="shared" si="80"/>
        <v>0</v>
      </c>
      <c r="O220" s="131">
        <f t="shared" si="81"/>
        <v>56.35</v>
      </c>
      <c r="P220" s="136">
        <f t="shared" si="70"/>
        <v>0</v>
      </c>
      <c r="S220" s="189">
        <v>0</v>
      </c>
      <c r="T220" s="189">
        <v>0</v>
      </c>
      <c r="BU220" s="523"/>
      <c r="BV220" s="523"/>
      <c r="BW220" s="523"/>
      <c r="BX220" s="523"/>
      <c r="BY220" s="523"/>
      <c r="BZ220" s="523"/>
      <c r="CA220" s="523"/>
      <c r="CB220" s="523"/>
      <c r="CC220" s="523"/>
      <c r="CD220" s="523"/>
      <c r="CE220" s="523"/>
      <c r="CF220" s="523"/>
      <c r="CG220" s="523"/>
      <c r="CH220" s="523"/>
      <c r="CI220" s="523">
        <f t="shared" si="71"/>
        <v>0</v>
      </c>
    </row>
    <row r="221" spans="1:87" x14ac:dyDescent="0.2">
      <c r="A221" s="125" t="s">
        <v>1680</v>
      </c>
      <c r="B221" s="126" t="s">
        <v>1676</v>
      </c>
      <c r="C221" s="126" t="s">
        <v>1324</v>
      </c>
      <c r="D221" s="127" t="s">
        <v>1681</v>
      </c>
      <c r="E221" s="128" t="s">
        <v>102</v>
      </c>
      <c r="F221" s="137">
        <v>5.71</v>
      </c>
      <c r="G221" s="130">
        <v>11.27</v>
      </c>
      <c r="H221" s="128">
        <v>8</v>
      </c>
      <c r="I221" s="116">
        <f t="shared" si="72"/>
        <v>0</v>
      </c>
      <c r="J221" s="374">
        <f t="shared" si="73"/>
        <v>0</v>
      </c>
      <c r="K221" s="137">
        <f t="shared" si="65"/>
        <v>8</v>
      </c>
      <c r="L221" s="131">
        <f t="shared" si="78"/>
        <v>90.16</v>
      </c>
      <c r="M221" s="131">
        <f t="shared" si="79"/>
        <v>0</v>
      </c>
      <c r="N221" s="131">
        <f t="shared" si="80"/>
        <v>0</v>
      </c>
      <c r="O221" s="131">
        <f t="shared" si="81"/>
        <v>90.16</v>
      </c>
      <c r="P221" s="136">
        <f t="shared" si="70"/>
        <v>0</v>
      </c>
      <c r="S221" s="189">
        <v>0</v>
      </c>
      <c r="T221" s="189">
        <v>0</v>
      </c>
      <c r="BU221" s="523"/>
      <c r="BV221" s="523"/>
      <c r="BW221" s="523"/>
      <c r="BX221" s="523"/>
      <c r="BY221" s="523"/>
      <c r="BZ221" s="523"/>
      <c r="CA221" s="523"/>
      <c r="CB221" s="523"/>
      <c r="CC221" s="523"/>
      <c r="CD221" s="523"/>
      <c r="CE221" s="523"/>
      <c r="CF221" s="523"/>
      <c r="CG221" s="523"/>
      <c r="CH221" s="523"/>
      <c r="CI221" s="523">
        <f t="shared" si="71"/>
        <v>0</v>
      </c>
    </row>
    <row r="222" spans="1:87" x14ac:dyDescent="0.2">
      <c r="A222" s="125" t="s">
        <v>1682</v>
      </c>
      <c r="B222" s="126" t="s">
        <v>1683</v>
      </c>
      <c r="C222" s="126" t="s">
        <v>1324</v>
      </c>
      <c r="D222" s="127" t="s">
        <v>1684</v>
      </c>
      <c r="E222" s="128" t="s">
        <v>102</v>
      </c>
      <c r="F222" s="137">
        <v>8.99</v>
      </c>
      <c r="G222" s="130">
        <v>97.76</v>
      </c>
      <c r="H222" s="128">
        <v>2</v>
      </c>
      <c r="I222" s="116">
        <f t="shared" si="72"/>
        <v>0</v>
      </c>
      <c r="J222" s="374">
        <f t="shared" si="73"/>
        <v>0</v>
      </c>
      <c r="K222" s="137">
        <f t="shared" si="65"/>
        <v>2</v>
      </c>
      <c r="L222" s="131">
        <f t="shared" si="78"/>
        <v>195.52</v>
      </c>
      <c r="M222" s="131">
        <f t="shared" si="79"/>
        <v>0</v>
      </c>
      <c r="N222" s="131">
        <f t="shared" si="80"/>
        <v>0</v>
      </c>
      <c r="O222" s="131">
        <f t="shared" si="81"/>
        <v>195.52</v>
      </c>
      <c r="P222" s="136">
        <f t="shared" si="70"/>
        <v>0</v>
      </c>
      <c r="S222" s="189">
        <v>0</v>
      </c>
      <c r="T222" s="189">
        <v>0</v>
      </c>
      <c r="BU222" s="523"/>
      <c r="BV222" s="523"/>
      <c r="BW222" s="523"/>
      <c r="BX222" s="523"/>
      <c r="BY222" s="523"/>
      <c r="BZ222" s="523"/>
      <c r="CA222" s="523"/>
      <c r="CB222" s="523"/>
      <c r="CC222" s="523"/>
      <c r="CD222" s="523"/>
      <c r="CE222" s="523"/>
      <c r="CF222" s="523"/>
      <c r="CG222" s="523"/>
      <c r="CH222" s="523"/>
      <c r="CI222" s="523">
        <f t="shared" si="71"/>
        <v>0</v>
      </c>
    </row>
    <row r="223" spans="1:87" x14ac:dyDescent="0.2">
      <c r="A223" s="125" t="s">
        <v>1685</v>
      </c>
      <c r="B223" s="126" t="s">
        <v>1686</v>
      </c>
      <c r="C223" s="126" t="s">
        <v>1324</v>
      </c>
      <c r="D223" s="127" t="s">
        <v>1687</v>
      </c>
      <c r="E223" s="128" t="s">
        <v>102</v>
      </c>
      <c r="F223" s="137">
        <v>23.78</v>
      </c>
      <c r="G223" s="130">
        <v>276.94</v>
      </c>
      <c r="H223" s="128">
        <v>1</v>
      </c>
      <c r="I223" s="116">
        <f t="shared" si="72"/>
        <v>0</v>
      </c>
      <c r="J223" s="374">
        <f t="shared" si="73"/>
        <v>0</v>
      </c>
      <c r="K223" s="137">
        <f t="shared" si="65"/>
        <v>1</v>
      </c>
      <c r="L223" s="131">
        <f t="shared" si="78"/>
        <v>276.94</v>
      </c>
      <c r="M223" s="131">
        <f t="shared" si="79"/>
        <v>0</v>
      </c>
      <c r="N223" s="131">
        <f t="shared" si="80"/>
        <v>0</v>
      </c>
      <c r="O223" s="131">
        <f t="shared" si="81"/>
        <v>276.94</v>
      </c>
      <c r="P223" s="136">
        <f t="shared" si="70"/>
        <v>0</v>
      </c>
      <c r="S223" s="189">
        <v>0</v>
      </c>
      <c r="T223" s="189">
        <v>0</v>
      </c>
      <c r="BU223" s="523"/>
      <c r="BV223" s="523"/>
      <c r="BW223" s="523"/>
      <c r="BX223" s="523"/>
      <c r="BY223" s="523"/>
      <c r="BZ223" s="523"/>
      <c r="CA223" s="523"/>
      <c r="CB223" s="523"/>
      <c r="CC223" s="523"/>
      <c r="CD223" s="523"/>
      <c r="CE223" s="523"/>
      <c r="CF223" s="523"/>
      <c r="CG223" s="523"/>
      <c r="CH223" s="523"/>
      <c r="CI223" s="523">
        <f t="shared" si="71"/>
        <v>0</v>
      </c>
    </row>
    <row r="224" spans="1:87" s="487" customFormat="1" ht="25.5" x14ac:dyDescent="0.2">
      <c r="A224" s="125" t="s">
        <v>1688</v>
      </c>
      <c r="B224" s="126" t="s">
        <v>2007</v>
      </c>
      <c r="C224" s="126" t="s">
        <v>1339</v>
      </c>
      <c r="D224" s="127" t="s">
        <v>1689</v>
      </c>
      <c r="E224" s="128" t="s">
        <v>102</v>
      </c>
      <c r="F224" s="137">
        <v>72.209999999999994</v>
      </c>
      <c r="G224" s="130">
        <v>101.01</v>
      </c>
      <c r="H224" s="128">
        <v>4</v>
      </c>
      <c r="I224" s="116">
        <f t="shared" si="72"/>
        <v>0</v>
      </c>
      <c r="J224" s="374">
        <f t="shared" si="73"/>
        <v>0</v>
      </c>
      <c r="K224" s="137">
        <f t="shared" si="65"/>
        <v>4</v>
      </c>
      <c r="L224" s="131">
        <f t="shared" si="78"/>
        <v>404.04</v>
      </c>
      <c r="M224" s="131">
        <f t="shared" si="79"/>
        <v>0</v>
      </c>
      <c r="N224" s="131">
        <f t="shared" si="80"/>
        <v>0</v>
      </c>
      <c r="O224" s="131">
        <f t="shared" si="81"/>
        <v>404.04</v>
      </c>
      <c r="P224" s="136">
        <f t="shared" si="70"/>
        <v>0</v>
      </c>
      <c r="S224" s="191">
        <v>0</v>
      </c>
      <c r="T224" s="191">
        <v>0</v>
      </c>
      <c r="BU224" s="523"/>
      <c r="BV224" s="523"/>
      <c r="BW224" s="523"/>
      <c r="BX224" s="523"/>
      <c r="BY224" s="523"/>
      <c r="BZ224" s="523"/>
      <c r="CA224" s="523"/>
      <c r="CB224" s="523"/>
      <c r="CC224" s="523"/>
      <c r="CD224" s="523"/>
      <c r="CE224" s="523"/>
      <c r="CF224" s="523"/>
      <c r="CG224" s="523"/>
      <c r="CH224" s="523"/>
      <c r="CI224" s="523">
        <f t="shared" si="71"/>
        <v>0</v>
      </c>
    </row>
    <row r="225" spans="1:87" s="110" customFormat="1" x14ac:dyDescent="0.2">
      <c r="A225" s="449" t="s">
        <v>631</v>
      </c>
      <c r="B225" s="450"/>
      <c r="C225" s="450"/>
      <c r="D225" s="451" t="s">
        <v>1690</v>
      </c>
      <c r="E225" s="452"/>
      <c r="F225" s="452">
        <f>SUM(F226:F246)</f>
        <v>274.84000000000003</v>
      </c>
      <c r="G225" s="468"/>
      <c r="H225" s="452"/>
      <c r="I225" s="452">
        <f t="shared" si="72"/>
        <v>0</v>
      </c>
      <c r="J225" s="457">
        <f t="shared" si="73"/>
        <v>0</v>
      </c>
      <c r="K225" s="527">
        <f t="shared" si="65"/>
        <v>0</v>
      </c>
      <c r="L225" s="452">
        <f>SUM(L226:L246)</f>
        <v>3741.5200000000004</v>
      </c>
      <c r="M225" s="452">
        <f>SUM(M226:M246)</f>
        <v>0</v>
      </c>
      <c r="N225" s="452">
        <f>SUM(N226:N246)</f>
        <v>0</v>
      </c>
      <c r="O225" s="452">
        <f>SUM(O226:O246)</f>
        <v>3741.5200000000004</v>
      </c>
      <c r="P225" s="459">
        <f t="shared" si="70"/>
        <v>0</v>
      </c>
      <c r="S225" s="192">
        <v>28</v>
      </c>
      <c r="T225" s="192">
        <v>0</v>
      </c>
      <c r="BU225" s="523"/>
      <c r="BV225" s="523"/>
      <c r="BW225" s="523"/>
      <c r="BX225" s="523"/>
      <c r="BY225" s="523"/>
      <c r="BZ225" s="523"/>
      <c r="CA225" s="523"/>
      <c r="CB225" s="523"/>
      <c r="CC225" s="523"/>
      <c r="CD225" s="523"/>
      <c r="CE225" s="523"/>
      <c r="CF225" s="523"/>
      <c r="CG225" s="523"/>
      <c r="CH225" s="523"/>
      <c r="CI225" s="523">
        <f t="shared" si="71"/>
        <v>0</v>
      </c>
    </row>
    <row r="226" spans="1:87" s="110" customFormat="1" x14ac:dyDescent="0.2">
      <c r="A226" s="379" t="s">
        <v>1691</v>
      </c>
      <c r="B226" s="380">
        <v>91854</v>
      </c>
      <c r="C226" s="380" t="s">
        <v>1324</v>
      </c>
      <c r="D226" s="381" t="s">
        <v>1692</v>
      </c>
      <c r="E226" s="382" t="s">
        <v>81</v>
      </c>
      <c r="F226" s="137">
        <v>6.88</v>
      </c>
      <c r="G226" s="383">
        <v>6.16</v>
      </c>
      <c r="H226" s="382">
        <v>28</v>
      </c>
      <c r="I226" s="392">
        <f t="shared" si="72"/>
        <v>0</v>
      </c>
      <c r="J226" s="374">
        <f t="shared" si="73"/>
        <v>0</v>
      </c>
      <c r="K226" s="508">
        <f t="shared" si="65"/>
        <v>28</v>
      </c>
      <c r="L226" s="131">
        <f t="shared" ref="L226:L246" si="82">ROUND(H226*$G226,2)</f>
        <v>172.48</v>
      </c>
      <c r="M226" s="131">
        <f t="shared" ref="M226:M246" si="83">ROUND(I226*$G226,2)</f>
        <v>0</v>
      </c>
      <c r="N226" s="131">
        <f t="shared" ref="N226:N246" si="84">ROUND(J226*$G226,2)</f>
        <v>0</v>
      </c>
      <c r="O226" s="131">
        <f t="shared" ref="O226:O246" si="85">ROUND(K226*$G226,2)</f>
        <v>172.48</v>
      </c>
      <c r="P226" s="388">
        <f t="shared" si="70"/>
        <v>0</v>
      </c>
      <c r="S226" s="192">
        <v>18</v>
      </c>
      <c r="T226" s="192">
        <v>0</v>
      </c>
      <c r="BU226" s="523"/>
      <c r="BV226" s="523"/>
      <c r="BW226" s="523"/>
      <c r="BX226" s="523"/>
      <c r="BY226" s="523"/>
      <c r="BZ226" s="523"/>
      <c r="CA226" s="523"/>
      <c r="CB226" s="523"/>
      <c r="CC226" s="523"/>
      <c r="CD226" s="523"/>
      <c r="CE226" s="523"/>
      <c r="CF226" s="523"/>
      <c r="CG226" s="523"/>
      <c r="CH226" s="523"/>
      <c r="CI226" s="523">
        <f t="shared" si="71"/>
        <v>0</v>
      </c>
    </row>
    <row r="227" spans="1:87" x14ac:dyDescent="0.2">
      <c r="A227" s="379" t="s">
        <v>1693</v>
      </c>
      <c r="B227" s="380">
        <v>91856</v>
      </c>
      <c r="C227" s="380" t="s">
        <v>1324</v>
      </c>
      <c r="D227" s="381" t="s">
        <v>1694</v>
      </c>
      <c r="E227" s="382" t="s">
        <v>81</v>
      </c>
      <c r="F227" s="137">
        <v>9.86</v>
      </c>
      <c r="G227" s="383">
        <v>7.73</v>
      </c>
      <c r="H227" s="382">
        <v>18</v>
      </c>
      <c r="I227" s="392">
        <f t="shared" si="72"/>
        <v>0</v>
      </c>
      <c r="J227" s="374">
        <f t="shared" si="73"/>
        <v>0</v>
      </c>
      <c r="K227" s="508">
        <f t="shared" si="65"/>
        <v>18</v>
      </c>
      <c r="L227" s="131">
        <f t="shared" si="82"/>
        <v>139.13999999999999</v>
      </c>
      <c r="M227" s="131">
        <f t="shared" si="83"/>
        <v>0</v>
      </c>
      <c r="N227" s="131">
        <f t="shared" si="84"/>
        <v>0</v>
      </c>
      <c r="O227" s="131">
        <f t="shared" si="85"/>
        <v>139.13999999999999</v>
      </c>
      <c r="P227" s="388">
        <f t="shared" si="70"/>
        <v>0</v>
      </c>
      <c r="S227" s="189">
        <v>0</v>
      </c>
      <c r="T227" s="189">
        <v>0</v>
      </c>
      <c r="BU227" s="523"/>
      <c r="BV227" s="523"/>
      <c r="BW227" s="523"/>
      <c r="BX227" s="523"/>
      <c r="BY227" s="523"/>
      <c r="BZ227" s="523"/>
      <c r="CA227" s="523"/>
      <c r="CB227" s="523"/>
      <c r="CC227" s="523"/>
      <c r="CD227" s="523"/>
      <c r="CE227" s="523"/>
      <c r="CF227" s="523"/>
      <c r="CG227" s="523"/>
      <c r="CH227" s="523"/>
      <c r="CI227" s="523">
        <f t="shared" si="71"/>
        <v>0</v>
      </c>
    </row>
    <row r="228" spans="1:87" x14ac:dyDescent="0.2">
      <c r="A228" s="125" t="s">
        <v>1695</v>
      </c>
      <c r="B228" s="126">
        <v>91873</v>
      </c>
      <c r="C228" s="126" t="s">
        <v>1324</v>
      </c>
      <c r="D228" s="127" t="s">
        <v>1696</v>
      </c>
      <c r="E228" s="128" t="s">
        <v>81</v>
      </c>
      <c r="F228" s="137">
        <v>10.4</v>
      </c>
      <c r="G228" s="130">
        <v>12.57</v>
      </c>
      <c r="H228" s="128">
        <v>18</v>
      </c>
      <c r="I228" s="116">
        <f t="shared" si="72"/>
        <v>0</v>
      </c>
      <c r="J228" s="374">
        <f t="shared" si="73"/>
        <v>0</v>
      </c>
      <c r="K228" s="137">
        <f t="shared" si="65"/>
        <v>18</v>
      </c>
      <c r="L228" s="131">
        <f t="shared" si="82"/>
        <v>226.26</v>
      </c>
      <c r="M228" s="131">
        <f t="shared" si="83"/>
        <v>0</v>
      </c>
      <c r="N228" s="131">
        <f t="shared" si="84"/>
        <v>0</v>
      </c>
      <c r="O228" s="131">
        <f t="shared" si="85"/>
        <v>226.26</v>
      </c>
      <c r="P228" s="136">
        <f t="shared" si="70"/>
        <v>0</v>
      </c>
      <c r="S228" s="189">
        <v>0</v>
      </c>
      <c r="T228" s="189">
        <v>0</v>
      </c>
      <c r="BU228" s="523"/>
      <c r="BV228" s="523"/>
      <c r="BW228" s="523"/>
      <c r="BX228" s="523"/>
      <c r="BY228" s="523"/>
      <c r="BZ228" s="523"/>
      <c r="CA228" s="523"/>
      <c r="CB228" s="523"/>
      <c r="CC228" s="523"/>
      <c r="CD228" s="523"/>
      <c r="CE228" s="523"/>
      <c r="CF228" s="523"/>
      <c r="CG228" s="523"/>
      <c r="CH228" s="523"/>
      <c r="CI228" s="523">
        <f t="shared" si="71"/>
        <v>0</v>
      </c>
    </row>
    <row r="229" spans="1:87" x14ac:dyDescent="0.2">
      <c r="A229" s="125" t="s">
        <v>1697</v>
      </c>
      <c r="B229" s="126">
        <v>72308</v>
      </c>
      <c r="C229" s="126" t="s">
        <v>1324</v>
      </c>
      <c r="D229" s="127" t="s">
        <v>1698</v>
      </c>
      <c r="E229" s="128" t="s">
        <v>81</v>
      </c>
      <c r="F229" s="137">
        <v>9.6</v>
      </c>
      <c r="G229" s="130">
        <v>14.39</v>
      </c>
      <c r="H229" s="128">
        <v>82</v>
      </c>
      <c r="I229" s="116">
        <f t="shared" si="72"/>
        <v>0</v>
      </c>
      <c r="J229" s="374">
        <f t="shared" si="73"/>
        <v>0</v>
      </c>
      <c r="K229" s="137">
        <f t="shared" si="65"/>
        <v>82</v>
      </c>
      <c r="L229" s="131">
        <f t="shared" si="82"/>
        <v>1179.98</v>
      </c>
      <c r="M229" s="131">
        <f t="shared" si="83"/>
        <v>0</v>
      </c>
      <c r="N229" s="131">
        <f t="shared" si="84"/>
        <v>0</v>
      </c>
      <c r="O229" s="131">
        <f t="shared" si="85"/>
        <v>1179.98</v>
      </c>
      <c r="P229" s="136">
        <f t="shared" si="70"/>
        <v>0</v>
      </c>
      <c r="S229" s="189">
        <v>0</v>
      </c>
      <c r="T229" s="189">
        <v>0</v>
      </c>
      <c r="BU229" s="523"/>
      <c r="BV229" s="523"/>
      <c r="BW229" s="523"/>
      <c r="BX229" s="523"/>
      <c r="BY229" s="523"/>
      <c r="BZ229" s="523"/>
      <c r="CA229" s="523"/>
      <c r="CB229" s="523"/>
      <c r="CC229" s="523"/>
      <c r="CD229" s="523"/>
      <c r="CE229" s="523"/>
      <c r="CF229" s="523"/>
      <c r="CG229" s="523"/>
      <c r="CH229" s="523"/>
      <c r="CI229" s="523">
        <f t="shared" si="71"/>
        <v>0</v>
      </c>
    </row>
    <row r="230" spans="1:87" x14ac:dyDescent="0.2">
      <c r="A230" s="125" t="s">
        <v>1699</v>
      </c>
      <c r="B230" s="126">
        <v>72309</v>
      </c>
      <c r="C230" s="126" t="s">
        <v>1324</v>
      </c>
      <c r="D230" s="127" t="s">
        <v>1700</v>
      </c>
      <c r="E230" s="128" t="s">
        <v>81</v>
      </c>
      <c r="F230" s="137">
        <v>7.38</v>
      </c>
      <c r="G230" s="130">
        <v>22.92</v>
      </c>
      <c r="H230" s="128">
        <v>13</v>
      </c>
      <c r="I230" s="116">
        <f t="shared" si="72"/>
        <v>0</v>
      </c>
      <c r="J230" s="374">
        <f t="shared" si="73"/>
        <v>0</v>
      </c>
      <c r="K230" s="137">
        <f t="shared" si="65"/>
        <v>13</v>
      </c>
      <c r="L230" s="131">
        <f t="shared" si="82"/>
        <v>297.95999999999998</v>
      </c>
      <c r="M230" s="131">
        <f t="shared" si="83"/>
        <v>0</v>
      </c>
      <c r="N230" s="131">
        <f t="shared" si="84"/>
        <v>0</v>
      </c>
      <c r="O230" s="131">
        <f t="shared" si="85"/>
        <v>297.95999999999998</v>
      </c>
      <c r="P230" s="136">
        <f t="shared" si="70"/>
        <v>0</v>
      </c>
      <c r="S230" s="189">
        <v>0</v>
      </c>
      <c r="T230" s="189">
        <v>0</v>
      </c>
      <c r="BU230" s="523"/>
      <c r="BV230" s="523"/>
      <c r="BW230" s="523"/>
      <c r="BX230" s="523"/>
      <c r="BY230" s="523"/>
      <c r="BZ230" s="523"/>
      <c r="CA230" s="523"/>
      <c r="CB230" s="523"/>
      <c r="CC230" s="523"/>
      <c r="CD230" s="523"/>
      <c r="CE230" s="523"/>
      <c r="CF230" s="523"/>
      <c r="CG230" s="523"/>
      <c r="CH230" s="523"/>
      <c r="CI230" s="523">
        <f t="shared" si="71"/>
        <v>0</v>
      </c>
    </row>
    <row r="231" spans="1:87" x14ac:dyDescent="0.2">
      <c r="A231" s="125" t="s">
        <v>2011</v>
      </c>
      <c r="B231" s="126" t="s">
        <v>2012</v>
      </c>
      <c r="C231" s="126" t="s">
        <v>1324</v>
      </c>
      <c r="D231" s="127" t="s">
        <v>1702</v>
      </c>
      <c r="E231" s="128" t="s">
        <v>81</v>
      </c>
      <c r="F231" s="129"/>
      <c r="G231" s="130">
        <v>24.94</v>
      </c>
      <c r="H231" s="128">
        <v>30</v>
      </c>
      <c r="I231" s="116">
        <f t="shared" si="72"/>
        <v>0</v>
      </c>
      <c r="J231" s="374">
        <f t="shared" si="73"/>
        <v>0</v>
      </c>
      <c r="K231" s="137">
        <f t="shared" si="65"/>
        <v>30</v>
      </c>
      <c r="L231" s="131">
        <f t="shared" si="82"/>
        <v>748.2</v>
      </c>
      <c r="M231" s="131">
        <f t="shared" si="83"/>
        <v>0</v>
      </c>
      <c r="N231" s="131">
        <f t="shared" si="84"/>
        <v>0</v>
      </c>
      <c r="O231" s="131">
        <f t="shared" si="85"/>
        <v>748.2</v>
      </c>
      <c r="P231" s="136">
        <f t="shared" si="70"/>
        <v>0</v>
      </c>
      <c r="S231" s="189">
        <v>0</v>
      </c>
      <c r="T231" s="189">
        <v>0</v>
      </c>
      <c r="BU231" s="523"/>
      <c r="BV231" s="523"/>
      <c r="BW231" s="523"/>
      <c r="BX231" s="523"/>
      <c r="BY231" s="523"/>
      <c r="BZ231" s="523"/>
      <c r="CA231" s="523"/>
      <c r="CB231" s="523"/>
      <c r="CC231" s="523"/>
      <c r="CD231" s="523"/>
      <c r="CE231" s="523"/>
      <c r="CF231" s="523"/>
      <c r="CG231" s="523"/>
      <c r="CH231" s="523"/>
      <c r="CI231" s="523">
        <f t="shared" si="71"/>
        <v>0</v>
      </c>
    </row>
    <row r="232" spans="1:87" x14ac:dyDescent="0.2">
      <c r="A232" s="125" t="s">
        <v>1703</v>
      </c>
      <c r="B232" s="126" t="s">
        <v>1704</v>
      </c>
      <c r="C232" s="126" t="s">
        <v>1324</v>
      </c>
      <c r="D232" s="127" t="s">
        <v>1705</v>
      </c>
      <c r="E232" s="128" t="s">
        <v>102</v>
      </c>
      <c r="F232" s="137">
        <v>3.06</v>
      </c>
      <c r="G232" s="130">
        <v>23.12</v>
      </c>
      <c r="H232" s="128">
        <v>5</v>
      </c>
      <c r="I232" s="116">
        <f t="shared" si="72"/>
        <v>0</v>
      </c>
      <c r="J232" s="374">
        <f t="shared" si="73"/>
        <v>0</v>
      </c>
      <c r="K232" s="137">
        <f t="shared" si="65"/>
        <v>5</v>
      </c>
      <c r="L232" s="131">
        <f t="shared" si="82"/>
        <v>115.6</v>
      </c>
      <c r="M232" s="131">
        <f t="shared" si="83"/>
        <v>0</v>
      </c>
      <c r="N232" s="131">
        <f t="shared" si="84"/>
        <v>0</v>
      </c>
      <c r="O232" s="131">
        <f t="shared" si="85"/>
        <v>115.6</v>
      </c>
      <c r="P232" s="136">
        <f t="shared" si="70"/>
        <v>0</v>
      </c>
      <c r="S232" s="189">
        <v>0</v>
      </c>
      <c r="T232" s="189">
        <v>0</v>
      </c>
      <c r="BU232" s="523"/>
      <c r="BV232" s="523"/>
      <c r="BW232" s="523"/>
      <c r="BX232" s="523"/>
      <c r="BY232" s="523"/>
      <c r="BZ232" s="523"/>
      <c r="CA232" s="523"/>
      <c r="CB232" s="523"/>
      <c r="CC232" s="523"/>
      <c r="CD232" s="523"/>
      <c r="CE232" s="523"/>
      <c r="CF232" s="523"/>
      <c r="CG232" s="523"/>
      <c r="CH232" s="523"/>
      <c r="CI232" s="523">
        <f t="shared" si="71"/>
        <v>0</v>
      </c>
    </row>
    <row r="233" spans="1:87" x14ac:dyDescent="0.2">
      <c r="A233" s="125" t="s">
        <v>1706</v>
      </c>
      <c r="B233" s="126" t="s">
        <v>1707</v>
      </c>
      <c r="C233" s="126" t="s">
        <v>1324</v>
      </c>
      <c r="D233" s="127" t="s">
        <v>1708</v>
      </c>
      <c r="E233" s="128" t="s">
        <v>102</v>
      </c>
      <c r="F233" s="137">
        <v>4.18</v>
      </c>
      <c r="G233" s="130">
        <v>25.34</v>
      </c>
      <c r="H233" s="128">
        <v>5</v>
      </c>
      <c r="I233" s="116">
        <f t="shared" si="72"/>
        <v>0</v>
      </c>
      <c r="J233" s="374">
        <f t="shared" si="73"/>
        <v>0</v>
      </c>
      <c r="K233" s="137">
        <f t="shared" si="65"/>
        <v>5</v>
      </c>
      <c r="L233" s="131">
        <f t="shared" si="82"/>
        <v>126.7</v>
      </c>
      <c r="M233" s="131">
        <f t="shared" si="83"/>
        <v>0</v>
      </c>
      <c r="N233" s="131">
        <f t="shared" si="84"/>
        <v>0</v>
      </c>
      <c r="O233" s="131">
        <f t="shared" si="85"/>
        <v>126.7</v>
      </c>
      <c r="P233" s="136">
        <f t="shared" si="70"/>
        <v>0</v>
      </c>
      <c r="S233" s="189">
        <v>0</v>
      </c>
      <c r="T233" s="189">
        <v>0</v>
      </c>
      <c r="BU233" s="523"/>
      <c r="BV233" s="523"/>
      <c r="BW233" s="523"/>
      <c r="BX233" s="523"/>
      <c r="BY233" s="523"/>
      <c r="BZ233" s="523"/>
      <c r="CA233" s="523"/>
      <c r="CB233" s="523"/>
      <c r="CC233" s="523"/>
      <c r="CD233" s="523"/>
      <c r="CE233" s="523"/>
      <c r="CF233" s="523"/>
      <c r="CG233" s="523"/>
      <c r="CH233" s="523"/>
      <c r="CI233" s="523">
        <f t="shared" si="71"/>
        <v>0</v>
      </c>
    </row>
    <row r="234" spans="1:87" x14ac:dyDescent="0.2">
      <c r="A234" s="125" t="s">
        <v>1709</v>
      </c>
      <c r="B234" s="126" t="s">
        <v>1704</v>
      </c>
      <c r="C234" s="126" t="s">
        <v>1324</v>
      </c>
      <c r="D234" s="127" t="s">
        <v>1710</v>
      </c>
      <c r="E234" s="128" t="s">
        <v>102</v>
      </c>
      <c r="F234" s="137">
        <v>6.7</v>
      </c>
      <c r="G234" s="130">
        <v>25.88</v>
      </c>
      <c r="H234" s="128">
        <v>4</v>
      </c>
      <c r="I234" s="116">
        <f t="shared" si="72"/>
        <v>0</v>
      </c>
      <c r="J234" s="374">
        <f t="shared" si="73"/>
        <v>0</v>
      </c>
      <c r="K234" s="137">
        <f t="shared" si="65"/>
        <v>4</v>
      </c>
      <c r="L234" s="131">
        <f t="shared" si="82"/>
        <v>103.52</v>
      </c>
      <c r="M234" s="131">
        <f t="shared" si="83"/>
        <v>0</v>
      </c>
      <c r="N234" s="131">
        <f t="shared" si="84"/>
        <v>0</v>
      </c>
      <c r="O234" s="131">
        <f t="shared" si="85"/>
        <v>103.52</v>
      </c>
      <c r="P234" s="136">
        <f t="shared" si="70"/>
        <v>0</v>
      </c>
      <c r="S234" s="189">
        <v>0</v>
      </c>
      <c r="T234" s="189">
        <v>0</v>
      </c>
      <c r="BU234" s="523"/>
      <c r="BV234" s="523"/>
      <c r="BW234" s="523"/>
      <c r="BX234" s="523"/>
      <c r="BY234" s="523"/>
      <c r="BZ234" s="523"/>
      <c r="CA234" s="523"/>
      <c r="CB234" s="523"/>
      <c r="CC234" s="523"/>
      <c r="CD234" s="523"/>
      <c r="CE234" s="523"/>
      <c r="CF234" s="523"/>
      <c r="CG234" s="523"/>
      <c r="CH234" s="523"/>
      <c r="CI234" s="523">
        <f t="shared" si="71"/>
        <v>0</v>
      </c>
    </row>
    <row r="235" spans="1:87" x14ac:dyDescent="0.2">
      <c r="A235" s="125" t="s">
        <v>1711</v>
      </c>
      <c r="B235" s="126" t="s">
        <v>1712</v>
      </c>
      <c r="C235" s="126" t="s">
        <v>1324</v>
      </c>
      <c r="D235" s="127" t="s">
        <v>1713</v>
      </c>
      <c r="E235" s="128" t="s">
        <v>102</v>
      </c>
      <c r="F235" s="137">
        <v>12.3</v>
      </c>
      <c r="G235" s="130">
        <v>26.28</v>
      </c>
      <c r="H235" s="128">
        <v>1</v>
      </c>
      <c r="I235" s="116">
        <f t="shared" si="72"/>
        <v>0</v>
      </c>
      <c r="J235" s="374">
        <f t="shared" si="73"/>
        <v>0</v>
      </c>
      <c r="K235" s="137">
        <f t="shared" si="65"/>
        <v>1</v>
      </c>
      <c r="L235" s="131">
        <f t="shared" si="82"/>
        <v>26.28</v>
      </c>
      <c r="M235" s="131">
        <f t="shared" si="83"/>
        <v>0</v>
      </c>
      <c r="N235" s="131">
        <f t="shared" si="84"/>
        <v>0</v>
      </c>
      <c r="O235" s="131">
        <f t="shared" si="85"/>
        <v>26.28</v>
      </c>
      <c r="P235" s="136">
        <f t="shared" si="70"/>
        <v>0</v>
      </c>
      <c r="S235" s="189">
        <v>0</v>
      </c>
      <c r="T235" s="189">
        <v>0</v>
      </c>
      <c r="BU235" s="523"/>
      <c r="BV235" s="523"/>
      <c r="BW235" s="523"/>
      <c r="BX235" s="523"/>
      <c r="BY235" s="523"/>
      <c r="BZ235" s="523"/>
      <c r="CA235" s="523"/>
      <c r="CB235" s="523"/>
      <c r="CC235" s="523"/>
      <c r="CD235" s="523"/>
      <c r="CE235" s="523"/>
      <c r="CF235" s="523"/>
      <c r="CG235" s="523"/>
      <c r="CH235" s="523"/>
      <c r="CI235" s="523">
        <f t="shared" si="71"/>
        <v>0</v>
      </c>
    </row>
    <row r="236" spans="1:87" x14ac:dyDescent="0.2">
      <c r="A236" s="125" t="s">
        <v>1714</v>
      </c>
      <c r="B236" s="126" t="s">
        <v>1715</v>
      </c>
      <c r="C236" s="126" t="s">
        <v>1343</v>
      </c>
      <c r="D236" s="127" t="s">
        <v>1716</v>
      </c>
      <c r="E236" s="128" t="s">
        <v>102</v>
      </c>
      <c r="F236" s="137">
        <v>33.06</v>
      </c>
      <c r="G236" s="130">
        <v>1.94</v>
      </c>
      <c r="H236" s="128">
        <v>50</v>
      </c>
      <c r="I236" s="116">
        <f t="shared" si="72"/>
        <v>0</v>
      </c>
      <c r="J236" s="374">
        <f t="shared" si="73"/>
        <v>0</v>
      </c>
      <c r="K236" s="137">
        <f t="shared" si="65"/>
        <v>50</v>
      </c>
      <c r="L236" s="131">
        <f t="shared" si="82"/>
        <v>97</v>
      </c>
      <c r="M236" s="131">
        <f t="shared" si="83"/>
        <v>0</v>
      </c>
      <c r="N236" s="131">
        <f t="shared" si="84"/>
        <v>0</v>
      </c>
      <c r="O236" s="131">
        <f t="shared" si="85"/>
        <v>97</v>
      </c>
      <c r="P236" s="136">
        <f t="shared" si="70"/>
        <v>0</v>
      </c>
      <c r="S236" s="189">
        <v>0</v>
      </c>
      <c r="T236" s="189">
        <v>0</v>
      </c>
      <c r="BU236" s="523"/>
      <c r="BV236" s="523"/>
      <c r="BW236" s="523"/>
      <c r="BX236" s="523"/>
      <c r="BY236" s="523"/>
      <c r="BZ236" s="523"/>
      <c r="CA236" s="523"/>
      <c r="CB236" s="523"/>
      <c r="CC236" s="523"/>
      <c r="CD236" s="523"/>
      <c r="CE236" s="523"/>
      <c r="CF236" s="523"/>
      <c r="CG236" s="523"/>
      <c r="CH236" s="523"/>
      <c r="CI236" s="523">
        <f t="shared" si="71"/>
        <v>0</v>
      </c>
    </row>
    <row r="237" spans="1:87" x14ac:dyDescent="0.2">
      <c r="A237" s="125" t="s">
        <v>1717</v>
      </c>
      <c r="B237" s="126" t="s">
        <v>1715</v>
      </c>
      <c r="C237" s="126" t="s">
        <v>1343</v>
      </c>
      <c r="D237" s="127" t="s">
        <v>1718</v>
      </c>
      <c r="E237" s="128" t="s">
        <v>102</v>
      </c>
      <c r="F237" s="137">
        <v>4.53</v>
      </c>
      <c r="G237" s="130">
        <v>2.19</v>
      </c>
      <c r="H237" s="128">
        <v>4</v>
      </c>
      <c r="I237" s="116">
        <f t="shared" si="72"/>
        <v>0</v>
      </c>
      <c r="J237" s="374">
        <f t="shared" si="73"/>
        <v>0</v>
      </c>
      <c r="K237" s="137">
        <f t="shared" si="65"/>
        <v>4</v>
      </c>
      <c r="L237" s="131">
        <f t="shared" si="82"/>
        <v>8.76</v>
      </c>
      <c r="M237" s="131">
        <f t="shared" si="83"/>
        <v>0</v>
      </c>
      <c r="N237" s="131">
        <f t="shared" si="84"/>
        <v>0</v>
      </c>
      <c r="O237" s="131">
        <f t="shared" si="85"/>
        <v>8.76</v>
      </c>
      <c r="P237" s="136">
        <f t="shared" si="70"/>
        <v>0</v>
      </c>
      <c r="S237" s="189">
        <v>0</v>
      </c>
      <c r="T237" s="189">
        <v>0</v>
      </c>
      <c r="BU237" s="523"/>
      <c r="BV237" s="523"/>
      <c r="BW237" s="523"/>
      <c r="BX237" s="523"/>
      <c r="BY237" s="523"/>
      <c r="BZ237" s="523"/>
      <c r="CA237" s="523"/>
      <c r="CB237" s="523"/>
      <c r="CC237" s="523"/>
      <c r="CD237" s="523"/>
      <c r="CE237" s="523"/>
      <c r="CF237" s="523"/>
      <c r="CG237" s="523"/>
      <c r="CH237" s="523"/>
      <c r="CI237" s="523">
        <f t="shared" si="71"/>
        <v>0</v>
      </c>
    </row>
    <row r="238" spans="1:87" x14ac:dyDescent="0.2">
      <c r="A238" s="125" t="s">
        <v>1719</v>
      </c>
      <c r="B238" s="126" t="s">
        <v>1715</v>
      </c>
      <c r="C238" s="126" t="s">
        <v>1343</v>
      </c>
      <c r="D238" s="127" t="s">
        <v>1720</v>
      </c>
      <c r="E238" s="128" t="s">
        <v>102</v>
      </c>
      <c r="F238" s="129"/>
      <c r="G238" s="130">
        <v>2.4</v>
      </c>
      <c r="H238" s="128">
        <v>4</v>
      </c>
      <c r="I238" s="116">
        <f t="shared" si="72"/>
        <v>0</v>
      </c>
      <c r="J238" s="374">
        <f t="shared" si="73"/>
        <v>0</v>
      </c>
      <c r="K238" s="129">
        <f t="shared" si="65"/>
        <v>4</v>
      </c>
      <c r="L238" s="131">
        <f t="shared" si="82"/>
        <v>9.6</v>
      </c>
      <c r="M238" s="131">
        <f t="shared" si="83"/>
        <v>0</v>
      </c>
      <c r="N238" s="131">
        <f t="shared" si="84"/>
        <v>0</v>
      </c>
      <c r="O238" s="131">
        <f t="shared" si="85"/>
        <v>9.6</v>
      </c>
      <c r="P238" s="136">
        <f t="shared" si="70"/>
        <v>0</v>
      </c>
      <c r="S238" s="189">
        <v>0</v>
      </c>
      <c r="T238" s="189">
        <v>0</v>
      </c>
      <c r="BU238" s="523"/>
      <c r="BV238" s="523"/>
      <c r="BW238" s="523"/>
      <c r="BX238" s="523"/>
      <c r="BY238" s="523"/>
      <c r="BZ238" s="523"/>
      <c r="CA238" s="523"/>
      <c r="CB238" s="523"/>
      <c r="CC238" s="523"/>
      <c r="CD238" s="523"/>
      <c r="CE238" s="523"/>
      <c r="CF238" s="523"/>
      <c r="CG238" s="523"/>
      <c r="CH238" s="523"/>
      <c r="CI238" s="523">
        <f t="shared" si="71"/>
        <v>0</v>
      </c>
    </row>
    <row r="239" spans="1:87" x14ac:dyDescent="0.2">
      <c r="A239" s="125" t="s">
        <v>1721</v>
      </c>
      <c r="B239" s="126">
        <v>73542</v>
      </c>
      <c r="C239" s="126" t="s">
        <v>1324</v>
      </c>
      <c r="D239" s="127" t="s">
        <v>1722</v>
      </c>
      <c r="E239" s="128" t="s">
        <v>1723</v>
      </c>
      <c r="F239" s="137">
        <v>5.76</v>
      </c>
      <c r="G239" s="130">
        <v>0.73</v>
      </c>
      <c r="H239" s="128">
        <v>15</v>
      </c>
      <c r="I239" s="116">
        <f t="shared" si="72"/>
        <v>0</v>
      </c>
      <c r="J239" s="374">
        <f t="shared" si="73"/>
        <v>0</v>
      </c>
      <c r="K239" s="137">
        <f t="shared" si="65"/>
        <v>15</v>
      </c>
      <c r="L239" s="131">
        <f t="shared" si="82"/>
        <v>10.95</v>
      </c>
      <c r="M239" s="131">
        <f t="shared" si="83"/>
        <v>0</v>
      </c>
      <c r="N239" s="131">
        <f t="shared" si="84"/>
        <v>0</v>
      </c>
      <c r="O239" s="131">
        <f t="shared" si="85"/>
        <v>10.95</v>
      </c>
      <c r="P239" s="136">
        <f t="shared" si="70"/>
        <v>0</v>
      </c>
      <c r="S239" s="189">
        <v>0</v>
      </c>
      <c r="T239" s="189">
        <v>0</v>
      </c>
      <c r="BU239" s="523"/>
      <c r="BV239" s="523"/>
      <c r="BW239" s="523"/>
      <c r="BX239" s="523"/>
      <c r="BY239" s="523"/>
      <c r="BZ239" s="523"/>
      <c r="CA239" s="523"/>
      <c r="CB239" s="523"/>
      <c r="CC239" s="523"/>
      <c r="CD239" s="523"/>
      <c r="CE239" s="523"/>
      <c r="CF239" s="523"/>
      <c r="CG239" s="523"/>
      <c r="CH239" s="523"/>
      <c r="CI239" s="523">
        <f t="shared" si="71"/>
        <v>0</v>
      </c>
    </row>
    <row r="240" spans="1:87" x14ac:dyDescent="0.2">
      <c r="A240" s="125" t="s">
        <v>1724</v>
      </c>
      <c r="B240" s="126">
        <v>84158</v>
      </c>
      <c r="C240" s="126" t="s">
        <v>1324</v>
      </c>
      <c r="D240" s="127" t="s">
        <v>1725</v>
      </c>
      <c r="E240" s="128" t="s">
        <v>1723</v>
      </c>
      <c r="F240" s="137">
        <v>8.1999999999999993</v>
      </c>
      <c r="G240" s="130">
        <v>1.42</v>
      </c>
      <c r="H240" s="128">
        <v>2</v>
      </c>
      <c r="I240" s="116">
        <f t="shared" si="72"/>
        <v>0</v>
      </c>
      <c r="J240" s="374">
        <f t="shared" si="73"/>
        <v>0</v>
      </c>
      <c r="K240" s="137">
        <f t="shared" si="65"/>
        <v>2</v>
      </c>
      <c r="L240" s="131">
        <f t="shared" si="82"/>
        <v>2.84</v>
      </c>
      <c r="M240" s="131">
        <f t="shared" si="83"/>
        <v>0</v>
      </c>
      <c r="N240" s="131">
        <f t="shared" si="84"/>
        <v>0</v>
      </c>
      <c r="O240" s="131">
        <f t="shared" si="85"/>
        <v>2.84</v>
      </c>
      <c r="P240" s="136">
        <f t="shared" si="70"/>
        <v>0</v>
      </c>
      <c r="S240" s="189">
        <v>0</v>
      </c>
      <c r="T240" s="189">
        <v>0</v>
      </c>
      <c r="BU240" s="523"/>
      <c r="BV240" s="523"/>
      <c r="BW240" s="523"/>
      <c r="BX240" s="523"/>
      <c r="BY240" s="523"/>
      <c r="BZ240" s="523"/>
      <c r="CA240" s="523"/>
      <c r="CB240" s="523"/>
      <c r="CC240" s="523"/>
      <c r="CD240" s="523"/>
      <c r="CE240" s="523"/>
      <c r="CF240" s="523"/>
      <c r="CG240" s="523"/>
      <c r="CH240" s="523"/>
      <c r="CI240" s="523">
        <f t="shared" si="71"/>
        <v>0</v>
      </c>
    </row>
    <row r="241" spans="1:87" x14ac:dyDescent="0.2">
      <c r="A241" s="125" t="s">
        <v>1726</v>
      </c>
      <c r="B241" s="126">
        <v>84159</v>
      </c>
      <c r="C241" s="126" t="s">
        <v>1324</v>
      </c>
      <c r="D241" s="127" t="s">
        <v>1727</v>
      </c>
      <c r="E241" s="128" t="s">
        <v>1723</v>
      </c>
      <c r="F241" s="137">
        <v>13.75</v>
      </c>
      <c r="G241" s="130">
        <v>3.16</v>
      </c>
      <c r="H241" s="128">
        <v>1</v>
      </c>
      <c r="I241" s="116">
        <f t="shared" si="72"/>
        <v>0</v>
      </c>
      <c r="J241" s="374">
        <f t="shared" si="73"/>
        <v>0</v>
      </c>
      <c r="K241" s="137">
        <f t="shared" si="65"/>
        <v>1</v>
      </c>
      <c r="L241" s="131">
        <f t="shared" si="82"/>
        <v>3.16</v>
      </c>
      <c r="M241" s="131">
        <f t="shared" si="83"/>
        <v>0</v>
      </c>
      <c r="N241" s="131">
        <f t="shared" si="84"/>
        <v>0</v>
      </c>
      <c r="O241" s="131">
        <f t="shared" si="85"/>
        <v>3.16</v>
      </c>
      <c r="P241" s="136">
        <f t="shared" si="70"/>
        <v>0</v>
      </c>
      <c r="S241" s="189">
        <v>0</v>
      </c>
      <c r="T241" s="189">
        <v>0</v>
      </c>
      <c r="BU241" s="523"/>
      <c r="BV241" s="523"/>
      <c r="BW241" s="523"/>
      <c r="BX241" s="523"/>
      <c r="BY241" s="523"/>
      <c r="BZ241" s="523"/>
      <c r="CA241" s="523"/>
      <c r="CB241" s="523"/>
      <c r="CC241" s="523"/>
      <c r="CD241" s="523"/>
      <c r="CE241" s="523"/>
      <c r="CF241" s="523"/>
      <c r="CG241" s="523"/>
      <c r="CH241" s="523"/>
      <c r="CI241" s="523">
        <f t="shared" si="71"/>
        <v>0</v>
      </c>
    </row>
    <row r="242" spans="1:87" x14ac:dyDescent="0.2">
      <c r="A242" s="125" t="s">
        <v>1728</v>
      </c>
      <c r="B242" s="126">
        <v>92695</v>
      </c>
      <c r="C242" s="126" t="s">
        <v>1324</v>
      </c>
      <c r="D242" s="127" t="s">
        <v>1729</v>
      </c>
      <c r="E242" s="128" t="s">
        <v>102</v>
      </c>
      <c r="F242" s="137">
        <v>27.72</v>
      </c>
      <c r="G242" s="130">
        <v>14</v>
      </c>
      <c r="H242" s="128">
        <v>15</v>
      </c>
      <c r="I242" s="116">
        <f t="shared" si="72"/>
        <v>0</v>
      </c>
      <c r="J242" s="374">
        <f t="shared" si="73"/>
        <v>0</v>
      </c>
      <c r="K242" s="137">
        <f t="shared" si="65"/>
        <v>15</v>
      </c>
      <c r="L242" s="131">
        <f t="shared" si="82"/>
        <v>210</v>
      </c>
      <c r="M242" s="131">
        <f t="shared" si="83"/>
        <v>0</v>
      </c>
      <c r="N242" s="131">
        <f t="shared" si="84"/>
        <v>0</v>
      </c>
      <c r="O242" s="131">
        <f t="shared" si="85"/>
        <v>210</v>
      </c>
      <c r="P242" s="136">
        <f t="shared" si="70"/>
        <v>0</v>
      </c>
      <c r="S242" s="189">
        <v>0</v>
      </c>
      <c r="T242" s="189">
        <v>0</v>
      </c>
      <c r="BU242" s="523"/>
      <c r="BV242" s="523"/>
      <c r="BW242" s="523"/>
      <c r="BX242" s="523"/>
      <c r="BY242" s="523"/>
      <c r="BZ242" s="523"/>
      <c r="CA242" s="523"/>
      <c r="CB242" s="523"/>
      <c r="CC242" s="523"/>
      <c r="CD242" s="523"/>
      <c r="CE242" s="523"/>
      <c r="CF242" s="523"/>
      <c r="CG242" s="523"/>
      <c r="CH242" s="523"/>
      <c r="CI242" s="523">
        <f t="shared" si="71"/>
        <v>0</v>
      </c>
    </row>
    <row r="243" spans="1:87" x14ac:dyDescent="0.2">
      <c r="A243" s="125" t="s">
        <v>1730</v>
      </c>
      <c r="B243" s="126">
        <v>92697</v>
      </c>
      <c r="C243" s="126" t="s">
        <v>1324</v>
      </c>
      <c r="D243" s="127" t="s">
        <v>1731</v>
      </c>
      <c r="E243" s="128" t="s">
        <v>102</v>
      </c>
      <c r="F243" s="137">
        <v>71.03</v>
      </c>
      <c r="G243" s="130">
        <v>22.66</v>
      </c>
      <c r="H243" s="128">
        <v>2</v>
      </c>
      <c r="I243" s="116">
        <f t="shared" si="72"/>
        <v>0</v>
      </c>
      <c r="J243" s="374">
        <f t="shared" si="73"/>
        <v>0</v>
      </c>
      <c r="K243" s="137">
        <f t="shared" si="65"/>
        <v>2</v>
      </c>
      <c r="L243" s="131">
        <f t="shared" si="82"/>
        <v>45.32</v>
      </c>
      <c r="M243" s="131">
        <f t="shared" si="83"/>
        <v>0</v>
      </c>
      <c r="N243" s="131">
        <f t="shared" si="84"/>
        <v>0</v>
      </c>
      <c r="O243" s="131">
        <f t="shared" si="85"/>
        <v>45.32</v>
      </c>
      <c r="P243" s="136">
        <f t="shared" si="70"/>
        <v>0</v>
      </c>
      <c r="S243" s="189">
        <v>0</v>
      </c>
      <c r="T243" s="189">
        <v>0</v>
      </c>
      <c r="BU243" s="523"/>
      <c r="BV243" s="523"/>
      <c r="BW243" s="523"/>
      <c r="BX243" s="523"/>
      <c r="BY243" s="523"/>
      <c r="BZ243" s="523"/>
      <c r="CA243" s="523"/>
      <c r="CB243" s="523"/>
      <c r="CC243" s="523"/>
      <c r="CD243" s="523"/>
      <c r="CE243" s="523"/>
      <c r="CF243" s="523"/>
      <c r="CG243" s="523"/>
      <c r="CH243" s="523"/>
      <c r="CI243" s="523">
        <f t="shared" si="71"/>
        <v>0</v>
      </c>
    </row>
    <row r="244" spans="1:87" x14ac:dyDescent="0.2">
      <c r="A244" s="125" t="s">
        <v>1732</v>
      </c>
      <c r="B244" s="126">
        <v>92662</v>
      </c>
      <c r="C244" s="126" t="s">
        <v>1324</v>
      </c>
      <c r="D244" s="127" t="s">
        <v>1733</v>
      </c>
      <c r="E244" s="128" t="s">
        <v>102</v>
      </c>
      <c r="F244" s="137">
        <v>12.99</v>
      </c>
      <c r="G244" s="130">
        <v>22.38</v>
      </c>
      <c r="H244" s="128">
        <v>1</v>
      </c>
      <c r="I244" s="116">
        <f t="shared" si="72"/>
        <v>0</v>
      </c>
      <c r="J244" s="374">
        <f t="shared" si="73"/>
        <v>0</v>
      </c>
      <c r="K244" s="137">
        <f t="shared" si="65"/>
        <v>1</v>
      </c>
      <c r="L244" s="131">
        <f t="shared" si="82"/>
        <v>22.38</v>
      </c>
      <c r="M244" s="131">
        <f t="shared" si="83"/>
        <v>0</v>
      </c>
      <c r="N244" s="131">
        <f t="shared" si="84"/>
        <v>0</v>
      </c>
      <c r="O244" s="131">
        <f t="shared" si="85"/>
        <v>22.38</v>
      </c>
      <c r="P244" s="136">
        <f t="shared" si="70"/>
        <v>0</v>
      </c>
      <c r="S244" s="189">
        <v>0</v>
      </c>
      <c r="T244" s="189">
        <v>0</v>
      </c>
      <c r="BU244" s="523"/>
      <c r="BV244" s="523"/>
      <c r="BW244" s="523"/>
      <c r="BX244" s="523"/>
      <c r="BY244" s="523"/>
      <c r="BZ244" s="523"/>
      <c r="CA244" s="523"/>
      <c r="CB244" s="523"/>
      <c r="CC244" s="523"/>
      <c r="CD244" s="523"/>
      <c r="CE244" s="523"/>
      <c r="CF244" s="523"/>
      <c r="CG244" s="523"/>
      <c r="CH244" s="523"/>
      <c r="CI244" s="523">
        <f t="shared" si="71"/>
        <v>0</v>
      </c>
    </row>
    <row r="245" spans="1:87" x14ac:dyDescent="0.2">
      <c r="A245" s="125" t="s">
        <v>1734</v>
      </c>
      <c r="B245" s="126">
        <v>92868</v>
      </c>
      <c r="C245" s="126" t="s">
        <v>1324</v>
      </c>
      <c r="D245" s="127" t="s">
        <v>1735</v>
      </c>
      <c r="E245" s="128" t="s">
        <v>102</v>
      </c>
      <c r="F245" s="137">
        <v>14.25</v>
      </c>
      <c r="G245" s="130">
        <v>9.5299999999999994</v>
      </c>
      <c r="H245" s="128">
        <v>16</v>
      </c>
      <c r="I245" s="116">
        <f t="shared" si="72"/>
        <v>0</v>
      </c>
      <c r="J245" s="374">
        <f t="shared" si="73"/>
        <v>0</v>
      </c>
      <c r="K245" s="137">
        <f t="shared" si="65"/>
        <v>16</v>
      </c>
      <c r="L245" s="131">
        <f t="shared" si="82"/>
        <v>152.47999999999999</v>
      </c>
      <c r="M245" s="131">
        <f t="shared" si="83"/>
        <v>0</v>
      </c>
      <c r="N245" s="131">
        <f t="shared" si="84"/>
        <v>0</v>
      </c>
      <c r="O245" s="131">
        <f t="shared" si="85"/>
        <v>152.47999999999999</v>
      </c>
      <c r="P245" s="136">
        <f t="shared" si="70"/>
        <v>0</v>
      </c>
      <c r="S245" s="189">
        <v>0</v>
      </c>
      <c r="T245" s="189">
        <v>0</v>
      </c>
      <c r="BU245" s="523"/>
      <c r="BV245" s="523"/>
      <c r="BW245" s="523"/>
      <c r="BX245" s="523"/>
      <c r="BY245" s="523"/>
      <c r="BZ245" s="523"/>
      <c r="CA245" s="523"/>
      <c r="CB245" s="523"/>
      <c r="CC245" s="523"/>
      <c r="CD245" s="523"/>
      <c r="CE245" s="523"/>
      <c r="CF245" s="523"/>
      <c r="CG245" s="523"/>
      <c r="CH245" s="523"/>
      <c r="CI245" s="523">
        <f t="shared" si="71"/>
        <v>0</v>
      </c>
    </row>
    <row r="246" spans="1:87" s="481" customFormat="1" ht="25.5" x14ac:dyDescent="0.2">
      <c r="A246" s="125" t="s">
        <v>1736</v>
      </c>
      <c r="B246" s="126">
        <v>92865</v>
      </c>
      <c r="C246" s="126" t="s">
        <v>1324</v>
      </c>
      <c r="D246" s="127" t="s">
        <v>1737</v>
      </c>
      <c r="E246" s="128" t="s">
        <v>102</v>
      </c>
      <c r="F246" s="137">
        <v>13.19</v>
      </c>
      <c r="G246" s="130">
        <v>6.13</v>
      </c>
      <c r="H246" s="128">
        <v>7</v>
      </c>
      <c r="I246" s="116">
        <f t="shared" si="72"/>
        <v>0</v>
      </c>
      <c r="J246" s="374">
        <f t="shared" si="73"/>
        <v>0</v>
      </c>
      <c r="K246" s="137">
        <f t="shared" si="65"/>
        <v>7</v>
      </c>
      <c r="L246" s="131">
        <f t="shared" si="82"/>
        <v>42.91</v>
      </c>
      <c r="M246" s="131">
        <f t="shared" si="83"/>
        <v>0</v>
      </c>
      <c r="N246" s="131">
        <f t="shared" si="84"/>
        <v>0</v>
      </c>
      <c r="O246" s="131">
        <f t="shared" si="85"/>
        <v>42.91</v>
      </c>
      <c r="P246" s="136">
        <f t="shared" si="70"/>
        <v>0</v>
      </c>
      <c r="S246" s="190">
        <v>0</v>
      </c>
      <c r="T246" s="190">
        <v>0</v>
      </c>
      <c r="BU246" s="523"/>
      <c r="BV246" s="523"/>
      <c r="BW246" s="523"/>
      <c r="BX246" s="523"/>
      <c r="BY246" s="523"/>
      <c r="BZ246" s="523"/>
      <c r="CA246" s="523"/>
      <c r="CB246" s="523"/>
      <c r="CC246" s="523"/>
      <c r="CD246" s="523"/>
      <c r="CE246" s="523"/>
      <c r="CF246" s="523"/>
      <c r="CG246" s="523"/>
      <c r="CH246" s="523"/>
      <c r="CI246" s="523">
        <f t="shared" si="71"/>
        <v>0</v>
      </c>
    </row>
    <row r="247" spans="1:87" x14ac:dyDescent="0.2">
      <c r="A247" s="449" t="s">
        <v>634</v>
      </c>
      <c r="B247" s="450"/>
      <c r="C247" s="450"/>
      <c r="D247" s="451" t="s">
        <v>1738</v>
      </c>
      <c r="E247" s="452"/>
      <c r="F247" s="452"/>
      <c r="G247" s="452"/>
      <c r="H247" s="452"/>
      <c r="I247" s="452"/>
      <c r="J247" s="452"/>
      <c r="K247" s="452"/>
      <c r="L247" s="452">
        <f>SUM(L248:L251)</f>
        <v>4345.79</v>
      </c>
      <c r="M247" s="452">
        <f>SUM(M248:M251)</f>
        <v>0</v>
      </c>
      <c r="N247" s="452">
        <f>SUM(N248:N251)</f>
        <v>0</v>
      </c>
      <c r="O247" s="452">
        <f>SUM(O248:O251)</f>
        <v>4345.79</v>
      </c>
      <c r="P247" s="459">
        <f t="shared" si="70"/>
        <v>0</v>
      </c>
      <c r="S247" s="189">
        <v>0</v>
      </c>
      <c r="T247" s="189">
        <v>0</v>
      </c>
      <c r="BU247" s="523"/>
      <c r="BV247" s="523"/>
      <c r="BW247" s="523"/>
      <c r="BX247" s="523"/>
      <c r="BY247" s="523"/>
      <c r="BZ247" s="523"/>
      <c r="CA247" s="523"/>
      <c r="CB247" s="523"/>
      <c r="CC247" s="523"/>
      <c r="CD247" s="523"/>
      <c r="CE247" s="523"/>
      <c r="CF247" s="523"/>
      <c r="CG247" s="523"/>
      <c r="CH247" s="523"/>
      <c r="CI247" s="523">
        <f t="shared" si="71"/>
        <v>0</v>
      </c>
    </row>
    <row r="248" spans="1:87" x14ac:dyDescent="0.2">
      <c r="A248" s="125" t="s">
        <v>1739</v>
      </c>
      <c r="B248" s="126">
        <v>91926</v>
      </c>
      <c r="C248" s="126" t="s">
        <v>1324</v>
      </c>
      <c r="D248" s="127" t="s">
        <v>1740</v>
      </c>
      <c r="E248" s="128" t="s">
        <v>81</v>
      </c>
      <c r="F248" s="137">
        <v>26.32</v>
      </c>
      <c r="G248" s="130">
        <v>2.31</v>
      </c>
      <c r="H248" s="128">
        <v>190</v>
      </c>
      <c r="I248" s="116">
        <f t="shared" si="72"/>
        <v>0</v>
      </c>
      <c r="J248" s="374">
        <f t="shared" si="73"/>
        <v>0</v>
      </c>
      <c r="K248" s="137">
        <f t="shared" si="65"/>
        <v>190</v>
      </c>
      <c r="L248" s="131">
        <f t="shared" ref="L248:O251" si="86">ROUND(H248*$G248,2)</f>
        <v>438.9</v>
      </c>
      <c r="M248" s="131">
        <f t="shared" si="86"/>
        <v>0</v>
      </c>
      <c r="N248" s="131">
        <f t="shared" si="86"/>
        <v>0</v>
      </c>
      <c r="O248" s="131">
        <f t="shared" si="86"/>
        <v>438.9</v>
      </c>
      <c r="P248" s="136">
        <f t="shared" si="70"/>
        <v>0</v>
      </c>
      <c r="S248" s="189">
        <v>0</v>
      </c>
      <c r="T248" s="189">
        <v>0</v>
      </c>
      <c r="BU248" s="523"/>
      <c r="BV248" s="523"/>
      <c r="BW248" s="523"/>
      <c r="BX248" s="523"/>
      <c r="BY248" s="523"/>
      <c r="BZ248" s="523"/>
      <c r="CA248" s="523"/>
      <c r="CB248" s="523"/>
      <c r="CC248" s="523"/>
      <c r="CD248" s="523"/>
      <c r="CE248" s="523"/>
      <c r="CF248" s="523"/>
      <c r="CG248" s="523"/>
      <c r="CH248" s="523"/>
      <c r="CI248" s="523">
        <f t="shared" si="71"/>
        <v>0</v>
      </c>
    </row>
    <row r="249" spans="1:87" x14ac:dyDescent="0.2">
      <c r="A249" s="125" t="s">
        <v>1741</v>
      </c>
      <c r="B249" s="126">
        <v>91928</v>
      </c>
      <c r="C249" s="126" t="s">
        <v>1324</v>
      </c>
      <c r="D249" s="127" t="s">
        <v>1742</v>
      </c>
      <c r="E249" s="128" t="s">
        <v>81</v>
      </c>
      <c r="F249" s="137">
        <v>61.2</v>
      </c>
      <c r="G249" s="130">
        <v>3.64</v>
      </c>
      <c r="H249" s="128">
        <v>820</v>
      </c>
      <c r="I249" s="116">
        <f t="shared" si="72"/>
        <v>0</v>
      </c>
      <c r="J249" s="374">
        <f t="shared" si="73"/>
        <v>0</v>
      </c>
      <c r="K249" s="137">
        <f t="shared" si="65"/>
        <v>820</v>
      </c>
      <c r="L249" s="131">
        <f t="shared" si="86"/>
        <v>2984.8</v>
      </c>
      <c r="M249" s="131">
        <f t="shared" si="86"/>
        <v>0</v>
      </c>
      <c r="N249" s="131">
        <f t="shared" si="86"/>
        <v>0</v>
      </c>
      <c r="O249" s="131">
        <f t="shared" si="86"/>
        <v>2984.8</v>
      </c>
      <c r="P249" s="136">
        <f t="shared" si="70"/>
        <v>0</v>
      </c>
      <c r="S249" s="189">
        <v>0</v>
      </c>
      <c r="T249" s="189">
        <v>0</v>
      </c>
      <c r="BU249" s="523"/>
      <c r="BV249" s="523"/>
      <c r="BW249" s="523"/>
      <c r="BX249" s="523"/>
      <c r="BY249" s="523"/>
      <c r="BZ249" s="523"/>
      <c r="CA249" s="523"/>
      <c r="CB249" s="523"/>
      <c r="CC249" s="523"/>
      <c r="CD249" s="523"/>
      <c r="CE249" s="523"/>
      <c r="CF249" s="523"/>
      <c r="CG249" s="523"/>
      <c r="CH249" s="523"/>
      <c r="CI249" s="523">
        <f t="shared" si="71"/>
        <v>0</v>
      </c>
    </row>
    <row r="250" spans="1:87" x14ac:dyDescent="0.2">
      <c r="A250" s="125" t="s">
        <v>1743</v>
      </c>
      <c r="B250" s="126">
        <v>91934</v>
      </c>
      <c r="C250" s="126" t="s">
        <v>1324</v>
      </c>
      <c r="D250" s="127" t="s">
        <v>1744</v>
      </c>
      <c r="E250" s="128" t="s">
        <v>81</v>
      </c>
      <c r="F250" s="129"/>
      <c r="G250" s="130">
        <v>12.3</v>
      </c>
      <c r="H250" s="128">
        <v>14</v>
      </c>
      <c r="I250" s="116">
        <f t="shared" si="72"/>
        <v>0</v>
      </c>
      <c r="J250" s="374">
        <f t="shared" si="73"/>
        <v>0</v>
      </c>
      <c r="K250" s="137">
        <f t="shared" si="65"/>
        <v>14</v>
      </c>
      <c r="L250" s="131">
        <f t="shared" si="86"/>
        <v>172.2</v>
      </c>
      <c r="M250" s="131">
        <f t="shared" si="86"/>
        <v>0</v>
      </c>
      <c r="N250" s="131">
        <f t="shared" si="86"/>
        <v>0</v>
      </c>
      <c r="O250" s="131">
        <f t="shared" si="86"/>
        <v>172.2</v>
      </c>
      <c r="P250" s="136">
        <f t="shared" si="70"/>
        <v>0</v>
      </c>
      <c r="S250" s="189">
        <v>0</v>
      </c>
      <c r="T250" s="189">
        <v>0</v>
      </c>
      <c r="BU250" s="523"/>
      <c r="BV250" s="523"/>
      <c r="BW250" s="523"/>
      <c r="BX250" s="523"/>
      <c r="BY250" s="523"/>
      <c r="BZ250" s="523"/>
      <c r="CA250" s="523"/>
      <c r="CB250" s="523"/>
      <c r="CC250" s="523"/>
      <c r="CD250" s="523"/>
      <c r="CE250" s="523"/>
      <c r="CF250" s="523"/>
      <c r="CG250" s="523"/>
      <c r="CH250" s="523"/>
      <c r="CI250" s="523">
        <f t="shared" si="71"/>
        <v>0</v>
      </c>
    </row>
    <row r="251" spans="1:87" s="481" customFormat="1" x14ac:dyDescent="0.2">
      <c r="A251" s="125" t="s">
        <v>1745</v>
      </c>
      <c r="B251" s="126">
        <v>92985</v>
      </c>
      <c r="C251" s="126" t="s">
        <v>1324</v>
      </c>
      <c r="D251" s="127" t="s">
        <v>1746</v>
      </c>
      <c r="E251" s="128" t="s">
        <v>81</v>
      </c>
      <c r="F251" s="137">
        <v>8.39</v>
      </c>
      <c r="G251" s="130">
        <v>18.29</v>
      </c>
      <c r="H251" s="128">
        <v>41</v>
      </c>
      <c r="I251" s="116">
        <f t="shared" si="72"/>
        <v>0</v>
      </c>
      <c r="J251" s="374">
        <f t="shared" si="73"/>
        <v>0</v>
      </c>
      <c r="K251" s="137">
        <f t="shared" si="65"/>
        <v>41</v>
      </c>
      <c r="L251" s="131">
        <f t="shared" si="86"/>
        <v>749.89</v>
      </c>
      <c r="M251" s="131">
        <f t="shared" si="86"/>
        <v>0</v>
      </c>
      <c r="N251" s="131">
        <f t="shared" si="86"/>
        <v>0</v>
      </c>
      <c r="O251" s="131">
        <f t="shared" si="86"/>
        <v>749.89</v>
      </c>
      <c r="P251" s="136">
        <f t="shared" si="70"/>
        <v>0</v>
      </c>
      <c r="S251" s="190">
        <v>0</v>
      </c>
      <c r="T251" s="190">
        <v>0</v>
      </c>
      <c r="BU251" s="523"/>
      <c r="BV251" s="523"/>
      <c r="BW251" s="523"/>
      <c r="BX251" s="523"/>
      <c r="BY251" s="523"/>
      <c r="BZ251" s="523"/>
      <c r="CA251" s="523"/>
      <c r="CB251" s="523"/>
      <c r="CC251" s="523"/>
      <c r="CD251" s="523"/>
      <c r="CE251" s="523"/>
      <c r="CF251" s="523"/>
      <c r="CG251" s="523"/>
      <c r="CH251" s="523"/>
      <c r="CI251" s="523">
        <f t="shared" si="71"/>
        <v>0</v>
      </c>
    </row>
    <row r="252" spans="1:87" x14ac:dyDescent="0.2">
      <c r="A252" s="449" t="s">
        <v>640</v>
      </c>
      <c r="B252" s="450"/>
      <c r="C252" s="450"/>
      <c r="D252" s="451" t="s">
        <v>1747</v>
      </c>
      <c r="E252" s="452"/>
      <c r="F252" s="452"/>
      <c r="G252" s="452"/>
      <c r="H252" s="452"/>
      <c r="I252" s="452"/>
      <c r="J252" s="452"/>
      <c r="K252" s="452"/>
      <c r="L252" s="452">
        <f>SUM(L253:L258)</f>
        <v>10299.74</v>
      </c>
      <c r="M252" s="452">
        <f>SUM(M253:M258)</f>
        <v>0</v>
      </c>
      <c r="N252" s="452">
        <f>SUM(N253:N258)</f>
        <v>0</v>
      </c>
      <c r="O252" s="452">
        <f>SUM(O253:O258)</f>
        <v>10299.74</v>
      </c>
      <c r="P252" s="459">
        <f t="shared" si="70"/>
        <v>0</v>
      </c>
      <c r="S252" s="189">
        <v>0</v>
      </c>
      <c r="T252" s="189">
        <v>0</v>
      </c>
      <c r="BU252" s="523"/>
      <c r="BV252" s="523"/>
      <c r="BW252" s="523"/>
      <c r="BX252" s="523"/>
      <c r="BY252" s="523"/>
      <c r="BZ252" s="523"/>
      <c r="CA252" s="523"/>
      <c r="CB252" s="523"/>
      <c r="CC252" s="523"/>
      <c r="CD252" s="523"/>
      <c r="CE252" s="523"/>
      <c r="CF252" s="523"/>
      <c r="CG252" s="523"/>
      <c r="CH252" s="523"/>
      <c r="CI252" s="523">
        <f t="shared" si="71"/>
        <v>0</v>
      </c>
    </row>
    <row r="253" spans="1:87" x14ac:dyDescent="0.2">
      <c r="A253" s="125" t="s">
        <v>1748</v>
      </c>
      <c r="B253" s="126">
        <v>92000</v>
      </c>
      <c r="C253" s="126" t="s">
        <v>1324</v>
      </c>
      <c r="D253" s="127" t="s">
        <v>1749</v>
      </c>
      <c r="E253" s="128" t="s">
        <v>102</v>
      </c>
      <c r="F253" s="137">
        <v>21.53</v>
      </c>
      <c r="G253" s="130">
        <v>20.07</v>
      </c>
      <c r="H253" s="128">
        <v>4</v>
      </c>
      <c r="I253" s="116">
        <f t="shared" si="72"/>
        <v>0</v>
      </c>
      <c r="J253" s="374">
        <f t="shared" si="73"/>
        <v>0</v>
      </c>
      <c r="K253" s="137">
        <f t="shared" si="65"/>
        <v>4</v>
      </c>
      <c r="L253" s="131">
        <f t="shared" ref="L253:L258" si="87">ROUND(H253*$G253,2)</f>
        <v>80.28</v>
      </c>
      <c r="M253" s="131">
        <f t="shared" ref="M253:M258" si="88">ROUND(I253*$G253,2)</f>
        <v>0</v>
      </c>
      <c r="N253" s="131">
        <f t="shared" ref="N253:N258" si="89">ROUND(J253*$G253,2)</f>
        <v>0</v>
      </c>
      <c r="O253" s="131">
        <f t="shared" ref="O253:O258" si="90">ROUND(K253*$G253,2)</f>
        <v>80.28</v>
      </c>
      <c r="P253" s="136">
        <f t="shared" si="70"/>
        <v>0</v>
      </c>
      <c r="S253" s="189">
        <v>0</v>
      </c>
      <c r="T253" s="189">
        <v>0</v>
      </c>
      <c r="BU253" s="523"/>
      <c r="BV253" s="523"/>
      <c r="BW253" s="523"/>
      <c r="BX253" s="523"/>
      <c r="BY253" s="523"/>
      <c r="BZ253" s="523"/>
      <c r="CA253" s="523"/>
      <c r="CB253" s="523"/>
      <c r="CC253" s="523"/>
      <c r="CD253" s="523"/>
      <c r="CE253" s="523"/>
      <c r="CF253" s="523"/>
      <c r="CG253" s="523"/>
      <c r="CH253" s="523"/>
      <c r="CI253" s="523">
        <f t="shared" si="71"/>
        <v>0</v>
      </c>
    </row>
    <row r="254" spans="1:87" x14ac:dyDescent="0.2">
      <c r="A254" s="125" t="s">
        <v>1750</v>
      </c>
      <c r="B254" s="126">
        <v>92001</v>
      </c>
      <c r="C254" s="126" t="s">
        <v>1324</v>
      </c>
      <c r="D254" s="127" t="s">
        <v>1751</v>
      </c>
      <c r="E254" s="128" t="s">
        <v>102</v>
      </c>
      <c r="F254" s="137">
        <v>133.13999999999999</v>
      </c>
      <c r="G254" s="130">
        <v>21.83</v>
      </c>
      <c r="H254" s="128">
        <v>1</v>
      </c>
      <c r="I254" s="116">
        <f t="shared" si="72"/>
        <v>0</v>
      </c>
      <c r="J254" s="374">
        <f t="shared" si="73"/>
        <v>0</v>
      </c>
      <c r="K254" s="137">
        <f t="shared" si="65"/>
        <v>1</v>
      </c>
      <c r="L254" s="131">
        <f t="shared" si="87"/>
        <v>21.83</v>
      </c>
      <c r="M254" s="131">
        <f t="shared" si="88"/>
        <v>0</v>
      </c>
      <c r="N254" s="131">
        <f t="shared" si="89"/>
        <v>0</v>
      </c>
      <c r="O254" s="131">
        <f t="shared" si="90"/>
        <v>21.83</v>
      </c>
      <c r="P254" s="136">
        <f t="shared" si="70"/>
        <v>0</v>
      </c>
      <c r="S254" s="189">
        <v>0</v>
      </c>
      <c r="T254" s="189">
        <v>0</v>
      </c>
      <c r="BU254" s="523"/>
      <c r="BV254" s="523"/>
      <c r="BW254" s="523"/>
      <c r="BX254" s="523"/>
      <c r="BY254" s="523"/>
      <c r="BZ254" s="523"/>
      <c r="CA254" s="523"/>
      <c r="CB254" s="523"/>
      <c r="CC254" s="523"/>
      <c r="CD254" s="523"/>
      <c r="CE254" s="523"/>
      <c r="CF254" s="523"/>
      <c r="CG254" s="523"/>
      <c r="CH254" s="523"/>
      <c r="CI254" s="523">
        <f t="shared" si="71"/>
        <v>0</v>
      </c>
    </row>
    <row r="255" spans="1:87" ht="25.5" x14ac:dyDescent="0.2">
      <c r="A255" s="125" t="s">
        <v>1752</v>
      </c>
      <c r="B255" s="126">
        <v>91953</v>
      </c>
      <c r="C255" s="126" t="s">
        <v>1324</v>
      </c>
      <c r="D255" s="127" t="s">
        <v>1753</v>
      </c>
      <c r="E255" s="128" t="s">
        <v>102</v>
      </c>
      <c r="F255" s="129"/>
      <c r="G255" s="130">
        <v>18.98</v>
      </c>
      <c r="H255" s="128">
        <v>7</v>
      </c>
      <c r="I255" s="116">
        <f t="shared" si="72"/>
        <v>0</v>
      </c>
      <c r="J255" s="374">
        <f t="shared" si="73"/>
        <v>0</v>
      </c>
      <c r="K255" s="137">
        <f t="shared" si="65"/>
        <v>7</v>
      </c>
      <c r="L255" s="131">
        <f t="shared" si="87"/>
        <v>132.86000000000001</v>
      </c>
      <c r="M255" s="131">
        <f t="shared" si="88"/>
        <v>0</v>
      </c>
      <c r="N255" s="131">
        <f t="shared" si="89"/>
        <v>0</v>
      </c>
      <c r="O255" s="131">
        <f t="shared" si="90"/>
        <v>132.86000000000001</v>
      </c>
      <c r="P255" s="136">
        <f t="shared" si="70"/>
        <v>0</v>
      </c>
      <c r="S255" s="189">
        <v>0</v>
      </c>
      <c r="T255" s="189">
        <v>0</v>
      </c>
      <c r="BU255" s="523"/>
      <c r="BV255" s="523"/>
      <c r="BW255" s="523"/>
      <c r="BX255" s="523"/>
      <c r="BY255" s="523"/>
      <c r="BZ255" s="523"/>
      <c r="CA255" s="523"/>
      <c r="CB255" s="523"/>
      <c r="CC255" s="523"/>
      <c r="CD255" s="523"/>
      <c r="CE255" s="523"/>
      <c r="CF255" s="523"/>
      <c r="CG255" s="523"/>
      <c r="CH255" s="523"/>
      <c r="CI255" s="523">
        <f t="shared" si="71"/>
        <v>0</v>
      </c>
    </row>
    <row r="256" spans="1:87" x14ac:dyDescent="0.2">
      <c r="A256" s="125" t="s">
        <v>1754</v>
      </c>
      <c r="B256" s="126" t="s">
        <v>1755</v>
      </c>
      <c r="C256" s="126" t="s">
        <v>1324</v>
      </c>
      <c r="D256" s="127" t="s">
        <v>1756</v>
      </c>
      <c r="E256" s="128" t="s">
        <v>102</v>
      </c>
      <c r="F256" s="137">
        <v>1.81</v>
      </c>
      <c r="G256" s="130">
        <v>133.31</v>
      </c>
      <c r="H256" s="128">
        <v>1</v>
      </c>
      <c r="I256" s="116">
        <f t="shared" si="72"/>
        <v>0</v>
      </c>
      <c r="J256" s="374">
        <f t="shared" si="73"/>
        <v>0</v>
      </c>
      <c r="K256" s="137">
        <f t="shared" si="65"/>
        <v>1</v>
      </c>
      <c r="L256" s="131">
        <f t="shared" si="87"/>
        <v>133.31</v>
      </c>
      <c r="M256" s="131">
        <f t="shared" si="88"/>
        <v>0</v>
      </c>
      <c r="N256" s="131">
        <f t="shared" si="89"/>
        <v>0</v>
      </c>
      <c r="O256" s="131">
        <f t="shared" si="90"/>
        <v>133.31</v>
      </c>
      <c r="P256" s="136">
        <f t="shared" si="70"/>
        <v>0</v>
      </c>
      <c r="S256" s="189">
        <v>0</v>
      </c>
      <c r="T256" s="189">
        <v>0</v>
      </c>
      <c r="BU256" s="523"/>
      <c r="BV256" s="523"/>
      <c r="BW256" s="523"/>
      <c r="BX256" s="523"/>
      <c r="BY256" s="523"/>
      <c r="BZ256" s="523"/>
      <c r="CA256" s="523"/>
      <c r="CB256" s="523"/>
      <c r="CC256" s="523"/>
      <c r="CD256" s="523"/>
      <c r="CE256" s="523"/>
      <c r="CF256" s="523"/>
      <c r="CG256" s="523"/>
      <c r="CH256" s="523"/>
      <c r="CI256" s="523">
        <f t="shared" si="71"/>
        <v>0</v>
      </c>
    </row>
    <row r="257" spans="1:87" x14ac:dyDescent="0.2">
      <c r="A257" s="125" t="s">
        <v>1757</v>
      </c>
      <c r="B257" s="126" t="s">
        <v>1758</v>
      </c>
      <c r="C257" s="126" t="s">
        <v>1324</v>
      </c>
      <c r="D257" s="127" t="s">
        <v>1759</v>
      </c>
      <c r="E257" s="128" t="s">
        <v>102</v>
      </c>
      <c r="F257" s="137">
        <v>2.93</v>
      </c>
      <c r="G257" s="130">
        <v>156.31</v>
      </c>
      <c r="H257" s="128">
        <v>6</v>
      </c>
      <c r="I257" s="116">
        <f t="shared" si="72"/>
        <v>0</v>
      </c>
      <c r="J257" s="374">
        <f t="shared" si="73"/>
        <v>0</v>
      </c>
      <c r="K257" s="137">
        <f t="shared" si="65"/>
        <v>6</v>
      </c>
      <c r="L257" s="131">
        <f t="shared" si="87"/>
        <v>937.86</v>
      </c>
      <c r="M257" s="131">
        <f t="shared" si="88"/>
        <v>0</v>
      </c>
      <c r="N257" s="131">
        <f t="shared" si="89"/>
        <v>0</v>
      </c>
      <c r="O257" s="131">
        <f t="shared" si="90"/>
        <v>937.86</v>
      </c>
      <c r="P257" s="136">
        <f t="shared" si="70"/>
        <v>0</v>
      </c>
      <c r="S257" s="189">
        <v>0</v>
      </c>
      <c r="T257" s="189">
        <v>0</v>
      </c>
      <c r="BU257" s="523"/>
      <c r="BV257" s="523"/>
      <c r="BW257" s="523"/>
      <c r="BX257" s="523"/>
      <c r="BY257" s="523"/>
      <c r="BZ257" s="523"/>
      <c r="CA257" s="523"/>
      <c r="CB257" s="523"/>
      <c r="CC257" s="523"/>
      <c r="CD257" s="523"/>
      <c r="CE257" s="523"/>
      <c r="CF257" s="523"/>
      <c r="CG257" s="523"/>
      <c r="CH257" s="523"/>
      <c r="CI257" s="523">
        <f t="shared" si="71"/>
        <v>0</v>
      </c>
    </row>
    <row r="258" spans="1:87" ht="25.5" x14ac:dyDescent="0.2">
      <c r="A258" s="125" t="s">
        <v>1760</v>
      </c>
      <c r="B258" s="126" t="s">
        <v>2007</v>
      </c>
      <c r="C258" s="126" t="s">
        <v>1339</v>
      </c>
      <c r="D258" s="127" t="s">
        <v>1761</v>
      </c>
      <c r="E258" s="128" t="s">
        <v>102</v>
      </c>
      <c r="F258" s="137">
        <v>4.1100000000000003</v>
      </c>
      <c r="G258" s="130">
        <v>449.68</v>
      </c>
      <c r="H258" s="128">
        <v>20</v>
      </c>
      <c r="I258" s="116">
        <f t="shared" si="72"/>
        <v>0</v>
      </c>
      <c r="J258" s="374">
        <f t="shared" si="73"/>
        <v>0</v>
      </c>
      <c r="K258" s="137">
        <f t="shared" si="65"/>
        <v>20</v>
      </c>
      <c r="L258" s="131">
        <f t="shared" si="87"/>
        <v>8993.6</v>
      </c>
      <c r="M258" s="131">
        <f t="shared" si="88"/>
        <v>0</v>
      </c>
      <c r="N258" s="131">
        <f t="shared" si="89"/>
        <v>0</v>
      </c>
      <c r="O258" s="131">
        <f t="shared" si="90"/>
        <v>8993.6</v>
      </c>
      <c r="P258" s="136">
        <f t="shared" si="70"/>
        <v>0</v>
      </c>
      <c r="S258" s="189">
        <v>0</v>
      </c>
      <c r="T258" s="189">
        <v>0</v>
      </c>
      <c r="BU258" s="523"/>
      <c r="BV258" s="523"/>
      <c r="BW258" s="523"/>
      <c r="BX258" s="523"/>
      <c r="BY258" s="523"/>
      <c r="BZ258" s="523"/>
      <c r="CA258" s="523"/>
      <c r="CB258" s="523"/>
      <c r="CC258" s="523"/>
      <c r="CD258" s="523"/>
      <c r="CE258" s="523"/>
      <c r="CF258" s="523"/>
      <c r="CG258" s="523"/>
      <c r="CH258" s="523"/>
      <c r="CI258" s="523">
        <f t="shared" si="71"/>
        <v>0</v>
      </c>
    </row>
    <row r="259" spans="1:87" x14ac:dyDescent="0.2">
      <c r="A259" s="412">
        <v>18</v>
      </c>
      <c r="B259" s="413"/>
      <c r="C259" s="413"/>
      <c r="D259" s="414" t="s">
        <v>1762</v>
      </c>
      <c r="E259" s="415"/>
      <c r="F259" s="415"/>
      <c r="G259" s="415"/>
      <c r="H259" s="415"/>
      <c r="I259" s="415"/>
      <c r="J259" s="415"/>
      <c r="K259" s="415"/>
      <c r="L259" s="416">
        <f>SUM(L260:L267)</f>
        <v>7237.1900000000014</v>
      </c>
      <c r="M259" s="416">
        <f>SUM(M260:M267)</f>
        <v>0</v>
      </c>
      <c r="N259" s="416">
        <f>SUM(N260:N267)</f>
        <v>0</v>
      </c>
      <c r="O259" s="416">
        <f>SUM(O260:O267)</f>
        <v>7237.1900000000014</v>
      </c>
      <c r="P259" s="423">
        <f t="shared" si="70"/>
        <v>0</v>
      </c>
      <c r="S259" s="189">
        <v>0</v>
      </c>
      <c r="T259" s="189">
        <v>0</v>
      </c>
      <c r="BU259" s="523"/>
      <c r="BV259" s="523"/>
      <c r="BW259" s="523"/>
      <c r="BX259" s="523"/>
      <c r="BY259" s="523"/>
      <c r="BZ259" s="523"/>
      <c r="CA259" s="523"/>
      <c r="CB259" s="523"/>
      <c r="CC259" s="523"/>
      <c r="CD259" s="523"/>
      <c r="CE259" s="523"/>
      <c r="CF259" s="523"/>
      <c r="CG259" s="523"/>
      <c r="CH259" s="523"/>
      <c r="CI259" s="523">
        <f t="shared" si="71"/>
        <v>0</v>
      </c>
    </row>
    <row r="260" spans="1:87" ht="25.5" x14ac:dyDescent="0.2">
      <c r="A260" s="125" t="s">
        <v>657</v>
      </c>
      <c r="B260" s="126" t="s">
        <v>2007</v>
      </c>
      <c r="C260" s="126" t="s">
        <v>1339</v>
      </c>
      <c r="D260" s="127" t="s">
        <v>1763</v>
      </c>
      <c r="E260" s="128" t="s">
        <v>102</v>
      </c>
      <c r="F260" s="129"/>
      <c r="G260" s="130">
        <v>205.82</v>
      </c>
      <c r="H260" s="128">
        <v>7</v>
      </c>
      <c r="I260" s="116">
        <f t="shared" si="72"/>
        <v>0</v>
      </c>
      <c r="J260" s="374">
        <f t="shared" si="73"/>
        <v>0</v>
      </c>
      <c r="K260" s="137">
        <f t="shared" ref="K260:K284" si="91">H260-J260</f>
        <v>7</v>
      </c>
      <c r="L260" s="131">
        <f t="shared" ref="L260:L267" si="92">ROUND(H260*$G260,2)</f>
        <v>1440.74</v>
      </c>
      <c r="M260" s="131">
        <f t="shared" ref="M260:M267" si="93">ROUND(I260*$G260,2)</f>
        <v>0</v>
      </c>
      <c r="N260" s="131">
        <f t="shared" ref="N260:N267" si="94">ROUND(J260*$G260,2)</f>
        <v>0</v>
      </c>
      <c r="O260" s="131">
        <f t="shared" ref="O260:O267" si="95">ROUND(K260*$G260,2)</f>
        <v>1440.74</v>
      </c>
      <c r="P260" s="136">
        <f t="shared" si="70"/>
        <v>0</v>
      </c>
      <c r="S260" s="189">
        <v>0</v>
      </c>
      <c r="T260" s="189">
        <v>0</v>
      </c>
      <c r="BU260" s="523"/>
      <c r="BV260" s="523"/>
      <c r="BW260" s="523"/>
      <c r="BX260" s="523"/>
      <c r="BY260" s="523"/>
      <c r="BZ260" s="523"/>
      <c r="CA260" s="523"/>
      <c r="CB260" s="523"/>
      <c r="CC260" s="523"/>
      <c r="CD260" s="523"/>
      <c r="CE260" s="523"/>
      <c r="CF260" s="523"/>
      <c r="CG260" s="523"/>
      <c r="CH260" s="523"/>
      <c r="CI260" s="523">
        <f t="shared" si="71"/>
        <v>0</v>
      </c>
    </row>
    <row r="261" spans="1:87" x14ac:dyDescent="0.2">
      <c r="A261" s="125" t="s">
        <v>664</v>
      </c>
      <c r="B261" s="126" t="s">
        <v>2007</v>
      </c>
      <c r="C261" s="126" t="s">
        <v>1339</v>
      </c>
      <c r="D261" s="127" t="s">
        <v>1764</v>
      </c>
      <c r="E261" s="128" t="s">
        <v>102</v>
      </c>
      <c r="F261" s="137">
        <v>179.19</v>
      </c>
      <c r="G261" s="130">
        <v>232.41</v>
      </c>
      <c r="H261" s="128">
        <v>1</v>
      </c>
      <c r="I261" s="116">
        <f t="shared" si="72"/>
        <v>0</v>
      </c>
      <c r="J261" s="374">
        <f t="shared" si="73"/>
        <v>0</v>
      </c>
      <c r="K261" s="137">
        <f t="shared" si="91"/>
        <v>1</v>
      </c>
      <c r="L261" s="131">
        <f t="shared" si="92"/>
        <v>232.41</v>
      </c>
      <c r="M261" s="131">
        <f t="shared" si="93"/>
        <v>0</v>
      </c>
      <c r="N261" s="131">
        <f t="shared" si="94"/>
        <v>0</v>
      </c>
      <c r="O261" s="131">
        <f t="shared" si="95"/>
        <v>232.41</v>
      </c>
      <c r="P261" s="136">
        <f t="shared" si="70"/>
        <v>0</v>
      </c>
      <c r="S261" s="189">
        <v>0</v>
      </c>
      <c r="T261" s="189">
        <v>0</v>
      </c>
      <c r="BU261" s="523"/>
      <c r="BV261" s="523"/>
      <c r="BW261" s="523"/>
      <c r="BX261" s="523"/>
      <c r="BY261" s="523"/>
      <c r="BZ261" s="523"/>
      <c r="CA261" s="523"/>
      <c r="CB261" s="523"/>
      <c r="CC261" s="523"/>
      <c r="CD261" s="523"/>
      <c r="CE261" s="523"/>
      <c r="CF261" s="523"/>
      <c r="CG261" s="523"/>
      <c r="CH261" s="523"/>
      <c r="CI261" s="523">
        <f t="shared" si="71"/>
        <v>0</v>
      </c>
    </row>
    <row r="262" spans="1:87" x14ac:dyDescent="0.2">
      <c r="A262" s="125" t="s">
        <v>668</v>
      </c>
      <c r="B262" s="126">
        <v>72929</v>
      </c>
      <c r="C262" s="126" t="s">
        <v>1324</v>
      </c>
      <c r="D262" s="127" t="s">
        <v>1765</v>
      </c>
      <c r="E262" s="128" t="s">
        <v>81</v>
      </c>
      <c r="F262" s="137">
        <v>212.03</v>
      </c>
      <c r="G262" s="130">
        <v>22.1</v>
      </c>
      <c r="H262" s="128">
        <v>39.200000000000003</v>
      </c>
      <c r="I262" s="116">
        <f t="shared" si="72"/>
        <v>0</v>
      </c>
      <c r="J262" s="374">
        <f t="shared" si="73"/>
        <v>0</v>
      </c>
      <c r="K262" s="137">
        <f t="shared" si="91"/>
        <v>39.200000000000003</v>
      </c>
      <c r="L262" s="131">
        <f t="shared" si="92"/>
        <v>866.32</v>
      </c>
      <c r="M262" s="131">
        <f t="shared" si="93"/>
        <v>0</v>
      </c>
      <c r="N262" s="131">
        <f t="shared" si="94"/>
        <v>0</v>
      </c>
      <c r="O262" s="131">
        <f t="shared" si="95"/>
        <v>866.32</v>
      </c>
      <c r="P262" s="136">
        <f t="shared" si="70"/>
        <v>0</v>
      </c>
      <c r="S262" s="189">
        <v>0</v>
      </c>
      <c r="T262" s="189">
        <v>0</v>
      </c>
      <c r="BU262" s="523"/>
      <c r="BV262" s="523"/>
      <c r="BW262" s="523"/>
      <c r="BX262" s="523"/>
      <c r="BY262" s="523"/>
      <c r="BZ262" s="523"/>
      <c r="CA262" s="523"/>
      <c r="CB262" s="523"/>
      <c r="CC262" s="523"/>
      <c r="CD262" s="523"/>
      <c r="CE262" s="523"/>
      <c r="CF262" s="523"/>
      <c r="CG262" s="523"/>
      <c r="CH262" s="523"/>
      <c r="CI262" s="523">
        <f t="shared" si="71"/>
        <v>0</v>
      </c>
    </row>
    <row r="263" spans="1:87" x14ac:dyDescent="0.2">
      <c r="A263" s="125" t="s">
        <v>671</v>
      </c>
      <c r="B263" s="126">
        <v>72930</v>
      </c>
      <c r="C263" s="126" t="s">
        <v>1324</v>
      </c>
      <c r="D263" s="127" t="s">
        <v>1766</v>
      </c>
      <c r="E263" s="128" t="s">
        <v>81</v>
      </c>
      <c r="F263" s="137">
        <v>101.58</v>
      </c>
      <c r="G263" s="130">
        <v>31.35</v>
      </c>
      <c r="H263" s="128">
        <v>126.32</v>
      </c>
      <c r="I263" s="116">
        <f t="shared" si="72"/>
        <v>0</v>
      </c>
      <c r="J263" s="374">
        <f t="shared" si="73"/>
        <v>0</v>
      </c>
      <c r="K263" s="137">
        <f t="shared" si="91"/>
        <v>126.32</v>
      </c>
      <c r="L263" s="131">
        <f t="shared" si="92"/>
        <v>3960.13</v>
      </c>
      <c r="M263" s="131">
        <f t="shared" si="93"/>
        <v>0</v>
      </c>
      <c r="N263" s="131">
        <f t="shared" si="94"/>
        <v>0</v>
      </c>
      <c r="O263" s="131">
        <f t="shared" si="95"/>
        <v>3960.13</v>
      </c>
      <c r="P263" s="136">
        <f t="shared" si="70"/>
        <v>0</v>
      </c>
      <c r="S263" s="189">
        <v>0</v>
      </c>
      <c r="T263" s="189">
        <v>0</v>
      </c>
      <c r="BU263" s="523"/>
      <c r="BV263" s="523"/>
      <c r="BW263" s="523"/>
      <c r="BX263" s="523"/>
      <c r="BY263" s="523"/>
      <c r="BZ263" s="523"/>
      <c r="CA263" s="523"/>
      <c r="CB263" s="523"/>
      <c r="CC263" s="523"/>
      <c r="CD263" s="523"/>
      <c r="CE263" s="523"/>
      <c r="CF263" s="523"/>
      <c r="CG263" s="523"/>
      <c r="CH263" s="523"/>
      <c r="CI263" s="523">
        <f t="shared" si="71"/>
        <v>0</v>
      </c>
    </row>
    <row r="264" spans="1:87" x14ac:dyDescent="0.2">
      <c r="A264" s="125" t="s">
        <v>679</v>
      </c>
      <c r="B264" s="126">
        <v>93008</v>
      </c>
      <c r="C264" s="126" t="s">
        <v>1324</v>
      </c>
      <c r="D264" s="127" t="s">
        <v>1767</v>
      </c>
      <c r="E264" s="128" t="s">
        <v>81</v>
      </c>
      <c r="F264" s="137">
        <v>412.2</v>
      </c>
      <c r="G264" s="130">
        <v>9.83</v>
      </c>
      <c r="H264" s="128">
        <v>21</v>
      </c>
      <c r="I264" s="116">
        <f t="shared" si="72"/>
        <v>0</v>
      </c>
      <c r="J264" s="374">
        <f t="shared" si="73"/>
        <v>0</v>
      </c>
      <c r="K264" s="137">
        <f t="shared" si="91"/>
        <v>21</v>
      </c>
      <c r="L264" s="131">
        <f t="shared" si="92"/>
        <v>206.43</v>
      </c>
      <c r="M264" s="131">
        <f t="shared" si="93"/>
        <v>0</v>
      </c>
      <c r="N264" s="131">
        <f t="shared" si="94"/>
        <v>0</v>
      </c>
      <c r="O264" s="131">
        <f t="shared" si="95"/>
        <v>206.43</v>
      </c>
      <c r="P264" s="136">
        <f t="shared" si="70"/>
        <v>0</v>
      </c>
      <c r="S264" s="189">
        <v>0</v>
      </c>
      <c r="T264" s="189">
        <v>0</v>
      </c>
      <c r="BU264" s="523"/>
      <c r="BV264" s="523"/>
      <c r="BW264" s="523"/>
      <c r="BX264" s="523"/>
      <c r="BY264" s="523"/>
      <c r="BZ264" s="523"/>
      <c r="CA264" s="523"/>
      <c r="CB264" s="523"/>
      <c r="CC264" s="523"/>
      <c r="CD264" s="523"/>
      <c r="CE264" s="523"/>
      <c r="CF264" s="523"/>
      <c r="CG264" s="523"/>
      <c r="CH264" s="523"/>
      <c r="CI264" s="523">
        <f t="shared" si="71"/>
        <v>0</v>
      </c>
    </row>
    <row r="265" spans="1:87" x14ac:dyDescent="0.2">
      <c r="A265" s="125" t="s">
        <v>1768</v>
      </c>
      <c r="B265" s="126" t="s">
        <v>2007</v>
      </c>
      <c r="C265" s="126" t="s">
        <v>1769</v>
      </c>
      <c r="D265" s="127" t="s">
        <v>1770</v>
      </c>
      <c r="E265" s="128" t="s">
        <v>102</v>
      </c>
      <c r="F265" s="137">
        <v>348.66</v>
      </c>
      <c r="G265" s="130">
        <v>38.299999999999997</v>
      </c>
      <c r="H265" s="128">
        <v>7</v>
      </c>
      <c r="I265" s="116">
        <f t="shared" si="72"/>
        <v>0</v>
      </c>
      <c r="J265" s="374">
        <f t="shared" si="73"/>
        <v>0</v>
      </c>
      <c r="K265" s="137">
        <f t="shared" si="91"/>
        <v>7</v>
      </c>
      <c r="L265" s="131">
        <f t="shared" si="92"/>
        <v>268.10000000000002</v>
      </c>
      <c r="M265" s="131">
        <f t="shared" si="93"/>
        <v>0</v>
      </c>
      <c r="N265" s="131">
        <f t="shared" si="94"/>
        <v>0</v>
      </c>
      <c r="O265" s="131">
        <f t="shared" si="95"/>
        <v>268.10000000000002</v>
      </c>
      <c r="P265" s="136">
        <f t="shared" si="70"/>
        <v>0</v>
      </c>
      <c r="S265" s="189">
        <v>0</v>
      </c>
      <c r="T265" s="189">
        <v>0</v>
      </c>
      <c r="BU265" s="523"/>
      <c r="BV265" s="523"/>
      <c r="BW265" s="523"/>
      <c r="BX265" s="523"/>
      <c r="BY265" s="523"/>
      <c r="BZ265" s="523"/>
      <c r="CA265" s="523"/>
      <c r="CB265" s="523"/>
      <c r="CC265" s="523"/>
      <c r="CD265" s="523"/>
      <c r="CE265" s="523"/>
      <c r="CF265" s="523"/>
      <c r="CG265" s="523"/>
      <c r="CH265" s="523"/>
      <c r="CI265" s="523">
        <f t="shared" si="71"/>
        <v>0</v>
      </c>
    </row>
    <row r="266" spans="1:87" x14ac:dyDescent="0.2">
      <c r="A266" s="125" t="s">
        <v>1771</v>
      </c>
      <c r="B266" s="126" t="s">
        <v>2007</v>
      </c>
      <c r="C266" s="126" t="s">
        <v>1769</v>
      </c>
      <c r="D266" s="127" t="s">
        <v>1772</v>
      </c>
      <c r="E266" s="128" t="s">
        <v>102</v>
      </c>
      <c r="F266" s="137">
        <v>153.37</v>
      </c>
      <c r="G266" s="130">
        <v>24.49</v>
      </c>
      <c r="H266" s="128">
        <v>7</v>
      </c>
      <c r="I266" s="116">
        <f t="shared" si="72"/>
        <v>0</v>
      </c>
      <c r="J266" s="374">
        <f t="shared" si="73"/>
        <v>0</v>
      </c>
      <c r="K266" s="137">
        <f t="shared" si="91"/>
        <v>7</v>
      </c>
      <c r="L266" s="131">
        <f t="shared" si="92"/>
        <v>171.43</v>
      </c>
      <c r="M266" s="131">
        <f t="shared" si="93"/>
        <v>0</v>
      </c>
      <c r="N266" s="131">
        <f t="shared" si="94"/>
        <v>0</v>
      </c>
      <c r="O266" s="131">
        <f t="shared" si="95"/>
        <v>171.43</v>
      </c>
      <c r="P266" s="136">
        <f t="shared" si="70"/>
        <v>0</v>
      </c>
      <c r="S266" s="189">
        <v>0</v>
      </c>
      <c r="T266" s="189">
        <v>0</v>
      </c>
      <c r="BU266" s="523"/>
      <c r="BV266" s="523"/>
      <c r="BW266" s="523"/>
      <c r="BX266" s="523"/>
      <c r="BY266" s="523"/>
      <c r="BZ266" s="523"/>
      <c r="CA266" s="523"/>
      <c r="CB266" s="523"/>
      <c r="CC266" s="523"/>
      <c r="CD266" s="523"/>
      <c r="CE266" s="523"/>
      <c r="CF266" s="523"/>
      <c r="CG266" s="523"/>
      <c r="CH266" s="523"/>
      <c r="CI266" s="523">
        <f t="shared" si="71"/>
        <v>0</v>
      </c>
    </row>
    <row r="267" spans="1:87" x14ac:dyDescent="0.2">
      <c r="A267" s="125" t="s">
        <v>1773</v>
      </c>
      <c r="B267" s="126">
        <v>72262</v>
      </c>
      <c r="C267" s="126" t="s">
        <v>1324</v>
      </c>
      <c r="D267" s="127" t="s">
        <v>1774</v>
      </c>
      <c r="E267" s="128" t="s">
        <v>102</v>
      </c>
      <c r="F267" s="137">
        <v>62.01</v>
      </c>
      <c r="G267" s="130">
        <v>13.09</v>
      </c>
      <c r="H267" s="128">
        <v>7</v>
      </c>
      <c r="I267" s="116">
        <f t="shared" si="72"/>
        <v>0</v>
      </c>
      <c r="J267" s="374">
        <f t="shared" si="73"/>
        <v>0</v>
      </c>
      <c r="K267" s="137">
        <f t="shared" si="91"/>
        <v>7</v>
      </c>
      <c r="L267" s="131">
        <f t="shared" si="92"/>
        <v>91.63</v>
      </c>
      <c r="M267" s="131">
        <f t="shared" si="93"/>
        <v>0</v>
      </c>
      <c r="N267" s="131">
        <f t="shared" si="94"/>
        <v>0</v>
      </c>
      <c r="O267" s="131">
        <f t="shared" si="95"/>
        <v>91.63</v>
      </c>
      <c r="P267" s="136">
        <f t="shared" si="70"/>
        <v>0</v>
      </c>
      <c r="S267" s="189">
        <v>0</v>
      </c>
      <c r="T267" s="189">
        <v>0</v>
      </c>
      <c r="BU267" s="523"/>
      <c r="BV267" s="523"/>
      <c r="BW267" s="523"/>
      <c r="BX267" s="523"/>
      <c r="BY267" s="523"/>
      <c r="BZ267" s="523"/>
      <c r="CA267" s="523"/>
      <c r="CB267" s="523"/>
      <c r="CC267" s="523"/>
      <c r="CD267" s="523"/>
      <c r="CE267" s="523"/>
      <c r="CF267" s="523"/>
      <c r="CG267" s="523"/>
      <c r="CH267" s="523"/>
      <c r="CI267" s="523">
        <f t="shared" si="71"/>
        <v>0</v>
      </c>
    </row>
    <row r="268" spans="1:87" s="481" customFormat="1" x14ac:dyDescent="0.2">
      <c r="A268" s="412">
        <v>19</v>
      </c>
      <c r="B268" s="413"/>
      <c r="C268" s="413"/>
      <c r="D268" s="414" t="s">
        <v>304</v>
      </c>
      <c r="E268" s="415"/>
      <c r="F268" s="415"/>
      <c r="G268" s="415"/>
      <c r="H268" s="415"/>
      <c r="I268" s="415"/>
      <c r="J268" s="415"/>
      <c r="K268" s="415"/>
      <c r="L268" s="416">
        <f>SUM(L269,L275)</f>
        <v>28168.979999999996</v>
      </c>
      <c r="M268" s="416">
        <f>SUM(M269,M275)</f>
        <v>0</v>
      </c>
      <c r="N268" s="416">
        <f>SUM(N269,N275)</f>
        <v>0</v>
      </c>
      <c r="O268" s="416">
        <f>SUM(O269,O275)</f>
        <v>28168.979999999996</v>
      </c>
      <c r="P268" s="423">
        <f t="shared" si="70"/>
        <v>0</v>
      </c>
      <c r="S268" s="190">
        <v>0</v>
      </c>
      <c r="T268" s="190">
        <v>0</v>
      </c>
      <c r="BU268" s="523"/>
      <c r="BV268" s="523"/>
      <c r="BW268" s="523"/>
      <c r="BX268" s="523"/>
      <c r="BY268" s="523"/>
      <c r="BZ268" s="523"/>
      <c r="CA268" s="523"/>
      <c r="CB268" s="523"/>
      <c r="CC268" s="523"/>
      <c r="CD268" s="523"/>
      <c r="CE268" s="523"/>
      <c r="CF268" s="523"/>
      <c r="CG268" s="523"/>
      <c r="CH268" s="523"/>
      <c r="CI268" s="523">
        <f t="shared" si="71"/>
        <v>0</v>
      </c>
    </row>
    <row r="269" spans="1:87" x14ac:dyDescent="0.2">
      <c r="A269" s="449" t="s">
        <v>685</v>
      </c>
      <c r="B269" s="450"/>
      <c r="C269" s="450"/>
      <c r="D269" s="451" t="s">
        <v>1775</v>
      </c>
      <c r="E269" s="452"/>
      <c r="F269" s="452"/>
      <c r="G269" s="452"/>
      <c r="H269" s="452"/>
      <c r="I269" s="452"/>
      <c r="J269" s="452"/>
      <c r="K269" s="452"/>
      <c r="L269" s="452">
        <f>SUM(L270:L274)</f>
        <v>6263.99</v>
      </c>
      <c r="M269" s="452">
        <f>SUM(M270:M274)</f>
        <v>0</v>
      </c>
      <c r="N269" s="452">
        <f>SUM(N270:N274)</f>
        <v>0</v>
      </c>
      <c r="O269" s="452">
        <f>SUM(O270:O274)</f>
        <v>6263.99</v>
      </c>
      <c r="P269" s="459">
        <f t="shared" ref="P269:P283" si="96">N269/L269</f>
        <v>0</v>
      </c>
      <c r="S269" s="189">
        <v>0</v>
      </c>
      <c r="T269" s="189">
        <v>0</v>
      </c>
      <c r="BU269" s="523"/>
      <c r="BV269" s="523"/>
      <c r="BW269" s="523"/>
      <c r="BX269" s="523"/>
      <c r="BY269" s="523"/>
      <c r="BZ269" s="523"/>
      <c r="CA269" s="523"/>
      <c r="CB269" s="523"/>
      <c r="CC269" s="523"/>
      <c r="CD269" s="523"/>
      <c r="CE269" s="523"/>
      <c r="CF269" s="523"/>
      <c r="CG269" s="523"/>
      <c r="CH269" s="523"/>
      <c r="CI269" s="523">
        <f t="shared" si="71"/>
        <v>0</v>
      </c>
    </row>
    <row r="270" spans="1:87" x14ac:dyDescent="0.2">
      <c r="A270" s="125" t="s">
        <v>1776</v>
      </c>
      <c r="B270" s="126" t="s">
        <v>2007</v>
      </c>
      <c r="C270" s="126" t="s">
        <v>1339</v>
      </c>
      <c r="D270" s="127" t="s">
        <v>1777</v>
      </c>
      <c r="E270" s="128" t="s">
        <v>14</v>
      </c>
      <c r="F270" s="137">
        <v>224.79</v>
      </c>
      <c r="G270" s="130">
        <v>236.77</v>
      </c>
      <c r="H270" s="128">
        <v>2.5</v>
      </c>
      <c r="I270" s="116">
        <f t="shared" si="72"/>
        <v>0</v>
      </c>
      <c r="J270" s="374">
        <f t="shared" si="73"/>
        <v>0</v>
      </c>
      <c r="K270" s="137">
        <f t="shared" si="91"/>
        <v>2.5</v>
      </c>
      <c r="L270" s="131">
        <f t="shared" ref="L270:O274" si="97">ROUND(H270*$G270,2)</f>
        <v>591.92999999999995</v>
      </c>
      <c r="M270" s="131">
        <f t="shared" si="97"/>
        <v>0</v>
      </c>
      <c r="N270" s="131">
        <f t="shared" si="97"/>
        <v>0</v>
      </c>
      <c r="O270" s="131">
        <f t="shared" si="97"/>
        <v>591.92999999999995</v>
      </c>
      <c r="P270" s="136">
        <f t="shared" si="96"/>
        <v>0</v>
      </c>
      <c r="S270" s="189">
        <v>0</v>
      </c>
      <c r="T270" s="189">
        <v>0</v>
      </c>
      <c r="BU270" s="523"/>
      <c r="BV270" s="523"/>
      <c r="BW270" s="523"/>
      <c r="BX270" s="523"/>
      <c r="BY270" s="523"/>
      <c r="BZ270" s="523"/>
      <c r="CA270" s="523"/>
      <c r="CB270" s="523"/>
      <c r="CC270" s="523"/>
      <c r="CD270" s="523"/>
      <c r="CE270" s="523"/>
      <c r="CF270" s="523"/>
      <c r="CG270" s="523"/>
      <c r="CH270" s="523"/>
      <c r="CI270" s="523">
        <f t="shared" si="71"/>
        <v>0</v>
      </c>
    </row>
    <row r="271" spans="1:87" x14ac:dyDescent="0.2">
      <c r="A271" s="125" t="s">
        <v>1778</v>
      </c>
      <c r="B271" s="126" t="s">
        <v>2007</v>
      </c>
      <c r="C271" s="126" t="s">
        <v>1339</v>
      </c>
      <c r="D271" s="127" t="s">
        <v>1779</v>
      </c>
      <c r="E271" s="128" t="s">
        <v>102</v>
      </c>
      <c r="F271" s="137">
        <v>170.36</v>
      </c>
      <c r="G271" s="130">
        <v>1103.49</v>
      </c>
      <c r="H271" s="128">
        <v>1</v>
      </c>
      <c r="I271" s="116">
        <f t="shared" si="72"/>
        <v>0</v>
      </c>
      <c r="J271" s="374">
        <f t="shared" si="73"/>
        <v>0</v>
      </c>
      <c r="K271" s="137">
        <f t="shared" si="91"/>
        <v>1</v>
      </c>
      <c r="L271" s="131">
        <f t="shared" si="97"/>
        <v>1103.49</v>
      </c>
      <c r="M271" s="131">
        <f t="shared" si="97"/>
        <v>0</v>
      </c>
      <c r="N271" s="131">
        <f t="shared" si="97"/>
        <v>0</v>
      </c>
      <c r="O271" s="131">
        <f t="shared" si="97"/>
        <v>1103.49</v>
      </c>
      <c r="P271" s="136">
        <f t="shared" si="96"/>
        <v>0</v>
      </c>
      <c r="S271" s="189">
        <v>0</v>
      </c>
      <c r="T271" s="189">
        <v>0</v>
      </c>
      <c r="BU271" s="523"/>
      <c r="BV271" s="523"/>
      <c r="BW271" s="523"/>
      <c r="BX271" s="523"/>
      <c r="BY271" s="523"/>
      <c r="BZ271" s="523"/>
      <c r="CA271" s="523"/>
      <c r="CB271" s="523"/>
      <c r="CC271" s="523"/>
      <c r="CD271" s="523"/>
      <c r="CE271" s="523"/>
      <c r="CF271" s="523"/>
      <c r="CG271" s="523"/>
      <c r="CH271" s="523"/>
      <c r="CI271" s="523">
        <f t="shared" ref="CI271:CI284" si="98">SUM(BU271:CH271)</f>
        <v>0</v>
      </c>
    </row>
    <row r="272" spans="1:87" x14ac:dyDescent="0.2">
      <c r="A272" s="125" t="s">
        <v>1780</v>
      </c>
      <c r="B272" s="126" t="s">
        <v>2007</v>
      </c>
      <c r="C272" s="126" t="s">
        <v>1339</v>
      </c>
      <c r="D272" s="127" t="s">
        <v>1781</v>
      </c>
      <c r="E272" s="128" t="s">
        <v>102</v>
      </c>
      <c r="F272" s="137">
        <v>108</v>
      </c>
      <c r="G272" s="130">
        <v>1841.38</v>
      </c>
      <c r="H272" s="128">
        <v>1</v>
      </c>
      <c r="I272" s="116">
        <f t="shared" ref="I272:I284" si="99">BU272</f>
        <v>0</v>
      </c>
      <c r="J272" s="374">
        <f t="shared" ref="J272:J284" si="100">CI272</f>
        <v>0</v>
      </c>
      <c r="K272" s="137">
        <f t="shared" si="91"/>
        <v>1</v>
      </c>
      <c r="L272" s="131">
        <f t="shared" si="97"/>
        <v>1841.38</v>
      </c>
      <c r="M272" s="131">
        <f t="shared" si="97"/>
        <v>0</v>
      </c>
      <c r="N272" s="131">
        <f t="shared" si="97"/>
        <v>0</v>
      </c>
      <c r="O272" s="131">
        <f t="shared" si="97"/>
        <v>1841.38</v>
      </c>
      <c r="P272" s="136">
        <f t="shared" si="96"/>
        <v>0</v>
      </c>
      <c r="S272" s="189">
        <v>0</v>
      </c>
      <c r="T272" s="189">
        <v>0</v>
      </c>
      <c r="BU272" s="523"/>
      <c r="BV272" s="523"/>
      <c r="BW272" s="523"/>
      <c r="BX272" s="523"/>
      <c r="BY272" s="523"/>
      <c r="BZ272" s="523"/>
      <c r="CA272" s="523"/>
      <c r="CB272" s="523"/>
      <c r="CC272" s="523"/>
      <c r="CD272" s="523"/>
      <c r="CE272" s="523"/>
      <c r="CF272" s="523"/>
      <c r="CG272" s="523"/>
      <c r="CH272" s="523"/>
      <c r="CI272" s="523">
        <f t="shared" si="98"/>
        <v>0</v>
      </c>
    </row>
    <row r="273" spans="1:87" x14ac:dyDescent="0.2">
      <c r="A273" s="125" t="s">
        <v>1782</v>
      </c>
      <c r="B273" s="126" t="s">
        <v>2007</v>
      </c>
      <c r="C273" s="126" t="s">
        <v>1339</v>
      </c>
      <c r="D273" s="127" t="s">
        <v>1783</v>
      </c>
      <c r="E273" s="128" t="s">
        <v>102</v>
      </c>
      <c r="F273" s="137">
        <v>1249</v>
      </c>
      <c r="G273" s="130">
        <v>777.91</v>
      </c>
      <c r="H273" s="128">
        <v>1</v>
      </c>
      <c r="I273" s="116">
        <f t="shared" si="99"/>
        <v>0</v>
      </c>
      <c r="J273" s="374">
        <f t="shared" si="100"/>
        <v>0</v>
      </c>
      <c r="K273" s="137">
        <f t="shared" si="91"/>
        <v>1</v>
      </c>
      <c r="L273" s="131">
        <f t="shared" si="97"/>
        <v>777.91</v>
      </c>
      <c r="M273" s="131">
        <f t="shared" si="97"/>
        <v>0</v>
      </c>
      <c r="N273" s="131">
        <f t="shared" si="97"/>
        <v>0</v>
      </c>
      <c r="O273" s="131">
        <f t="shared" si="97"/>
        <v>777.91</v>
      </c>
      <c r="P273" s="136">
        <f t="shared" si="96"/>
        <v>0</v>
      </c>
      <c r="S273" s="189">
        <v>0</v>
      </c>
      <c r="T273" s="189">
        <v>0</v>
      </c>
      <c r="BU273" s="523"/>
      <c r="BV273" s="523"/>
      <c r="BW273" s="523"/>
      <c r="BX273" s="523"/>
      <c r="BY273" s="523"/>
      <c r="BZ273" s="523"/>
      <c r="CA273" s="523"/>
      <c r="CB273" s="523"/>
      <c r="CC273" s="523"/>
      <c r="CD273" s="523"/>
      <c r="CE273" s="523"/>
      <c r="CF273" s="523"/>
      <c r="CG273" s="523"/>
      <c r="CH273" s="523"/>
      <c r="CI273" s="523">
        <f t="shared" si="98"/>
        <v>0</v>
      </c>
    </row>
    <row r="274" spans="1:87" s="481" customFormat="1" x14ac:dyDescent="0.2">
      <c r="A274" s="125" t="s">
        <v>1784</v>
      </c>
      <c r="B274" s="126">
        <v>84862</v>
      </c>
      <c r="C274" s="126" t="s">
        <v>1324</v>
      </c>
      <c r="D274" s="127" t="s">
        <v>1785</v>
      </c>
      <c r="E274" s="128" t="s">
        <v>81</v>
      </c>
      <c r="F274" s="137">
        <v>74.2</v>
      </c>
      <c r="G274" s="130">
        <v>203.05</v>
      </c>
      <c r="H274" s="128">
        <v>9.6</v>
      </c>
      <c r="I274" s="116">
        <f t="shared" si="99"/>
        <v>0</v>
      </c>
      <c r="J274" s="374">
        <f t="shared" si="100"/>
        <v>0</v>
      </c>
      <c r="K274" s="137">
        <f t="shared" si="91"/>
        <v>9.6</v>
      </c>
      <c r="L274" s="131">
        <f t="shared" si="97"/>
        <v>1949.28</v>
      </c>
      <c r="M274" s="131">
        <f t="shared" si="97"/>
        <v>0</v>
      </c>
      <c r="N274" s="131">
        <f t="shared" si="97"/>
        <v>0</v>
      </c>
      <c r="O274" s="131">
        <f t="shared" si="97"/>
        <v>1949.28</v>
      </c>
      <c r="P274" s="136">
        <f t="shared" si="96"/>
        <v>0</v>
      </c>
      <c r="S274" s="190">
        <v>0</v>
      </c>
      <c r="T274" s="190">
        <v>0</v>
      </c>
      <c r="BU274" s="523"/>
      <c r="BV274" s="523"/>
      <c r="BW274" s="523"/>
      <c r="BX274" s="523"/>
      <c r="BY274" s="523"/>
      <c r="BZ274" s="523"/>
      <c r="CA274" s="523"/>
      <c r="CB274" s="523"/>
      <c r="CC274" s="523"/>
      <c r="CD274" s="523"/>
      <c r="CE274" s="523"/>
      <c r="CF274" s="523"/>
      <c r="CG274" s="523"/>
      <c r="CH274" s="523"/>
      <c r="CI274" s="523">
        <f t="shared" si="98"/>
        <v>0</v>
      </c>
    </row>
    <row r="275" spans="1:87" x14ac:dyDescent="0.2">
      <c r="A275" s="449" t="s">
        <v>691</v>
      </c>
      <c r="B275" s="450"/>
      <c r="C275" s="450"/>
      <c r="D275" s="451" t="s">
        <v>1786</v>
      </c>
      <c r="E275" s="452"/>
      <c r="F275" s="452"/>
      <c r="G275" s="452"/>
      <c r="H275" s="452"/>
      <c r="I275" s="452"/>
      <c r="J275" s="452"/>
      <c r="K275" s="452"/>
      <c r="L275" s="452">
        <f>SUM(L276:L277)</f>
        <v>21904.989999999998</v>
      </c>
      <c r="M275" s="452">
        <f>SUM(M276:M277)</f>
        <v>0</v>
      </c>
      <c r="N275" s="452">
        <f>SUM(N276:N277)</f>
        <v>0</v>
      </c>
      <c r="O275" s="452">
        <f>SUM(O276:O277)</f>
        <v>21904.989999999998</v>
      </c>
      <c r="P275" s="459">
        <f t="shared" si="96"/>
        <v>0</v>
      </c>
      <c r="S275" s="189">
        <v>0</v>
      </c>
      <c r="T275" s="189">
        <v>0</v>
      </c>
      <c r="BU275" s="523"/>
      <c r="BV275" s="523"/>
      <c r="BW275" s="523"/>
      <c r="BX275" s="523"/>
      <c r="BY275" s="523"/>
      <c r="BZ275" s="523"/>
      <c r="CA275" s="523"/>
      <c r="CB275" s="523"/>
      <c r="CC275" s="523"/>
      <c r="CD275" s="523"/>
      <c r="CE275" s="523"/>
      <c r="CF275" s="523"/>
      <c r="CG275" s="523"/>
      <c r="CH275" s="523"/>
      <c r="CI275" s="523">
        <f t="shared" si="98"/>
        <v>0</v>
      </c>
    </row>
    <row r="276" spans="1:87" ht="25.5" x14ac:dyDescent="0.2">
      <c r="A276" s="125" t="s">
        <v>1787</v>
      </c>
      <c r="B276" s="126" t="s">
        <v>1788</v>
      </c>
      <c r="C276" s="126" t="s">
        <v>1324</v>
      </c>
      <c r="D276" s="127" t="s">
        <v>1789</v>
      </c>
      <c r="E276" s="128" t="s">
        <v>14</v>
      </c>
      <c r="F276" s="137">
        <v>62.36</v>
      </c>
      <c r="G276" s="130">
        <v>103.67</v>
      </c>
      <c r="H276" s="128">
        <v>201</v>
      </c>
      <c r="I276" s="116">
        <f t="shared" si="99"/>
        <v>0</v>
      </c>
      <c r="J276" s="374">
        <f t="shared" si="100"/>
        <v>0</v>
      </c>
      <c r="K276" s="137">
        <f t="shared" si="91"/>
        <v>201</v>
      </c>
      <c r="L276" s="131">
        <f t="shared" ref="L276:O277" si="101">ROUND(H276*$G276,2)</f>
        <v>20837.669999999998</v>
      </c>
      <c r="M276" s="131">
        <f t="shared" si="101"/>
        <v>0</v>
      </c>
      <c r="N276" s="131">
        <f t="shared" si="101"/>
        <v>0</v>
      </c>
      <c r="O276" s="131">
        <f t="shared" si="101"/>
        <v>20837.669999999998</v>
      </c>
      <c r="P276" s="136">
        <f t="shared" si="96"/>
        <v>0</v>
      </c>
      <c r="S276" s="189">
        <v>0</v>
      </c>
      <c r="T276" s="189">
        <v>0</v>
      </c>
      <c r="BU276" s="523"/>
      <c r="BV276" s="523"/>
      <c r="BW276" s="523"/>
      <c r="BX276" s="523"/>
      <c r="BY276" s="523"/>
      <c r="BZ276" s="523"/>
      <c r="CA276" s="523"/>
      <c r="CB276" s="523"/>
      <c r="CC276" s="523"/>
      <c r="CD276" s="523"/>
      <c r="CE276" s="523"/>
      <c r="CF276" s="523"/>
      <c r="CG276" s="523"/>
      <c r="CH276" s="523"/>
      <c r="CI276" s="523">
        <f t="shared" si="98"/>
        <v>0</v>
      </c>
    </row>
    <row r="277" spans="1:87" s="481" customFormat="1" x14ac:dyDescent="0.2">
      <c r="A277" s="125" t="s">
        <v>1790</v>
      </c>
      <c r="B277" s="126" t="s">
        <v>2007</v>
      </c>
      <c r="C277" s="126" t="s">
        <v>1339</v>
      </c>
      <c r="D277" s="127" t="s">
        <v>1791</v>
      </c>
      <c r="E277" s="128" t="s">
        <v>102</v>
      </c>
      <c r="F277" s="137">
        <v>100.46</v>
      </c>
      <c r="G277" s="130">
        <v>266.83</v>
      </c>
      <c r="H277" s="128">
        <v>4</v>
      </c>
      <c r="I277" s="116">
        <f t="shared" si="99"/>
        <v>0</v>
      </c>
      <c r="J277" s="374">
        <f t="shared" si="100"/>
        <v>0</v>
      </c>
      <c r="K277" s="137">
        <f t="shared" si="91"/>
        <v>4</v>
      </c>
      <c r="L277" s="131">
        <f t="shared" si="101"/>
        <v>1067.32</v>
      </c>
      <c r="M277" s="131">
        <f t="shared" si="101"/>
        <v>0</v>
      </c>
      <c r="N277" s="131">
        <f t="shared" si="101"/>
        <v>0</v>
      </c>
      <c r="O277" s="131">
        <f t="shared" si="101"/>
        <v>1067.32</v>
      </c>
      <c r="P277" s="136">
        <f t="shared" si="96"/>
        <v>0</v>
      </c>
      <c r="S277" s="190">
        <v>0</v>
      </c>
      <c r="T277" s="190">
        <v>0</v>
      </c>
      <c r="BU277" s="523"/>
      <c r="BV277" s="523"/>
      <c r="BW277" s="523"/>
      <c r="BX277" s="523"/>
      <c r="BY277" s="523"/>
      <c r="BZ277" s="523"/>
      <c r="CA277" s="523"/>
      <c r="CB277" s="523"/>
      <c r="CC277" s="523"/>
      <c r="CD277" s="523"/>
      <c r="CE277" s="523"/>
      <c r="CF277" s="523"/>
      <c r="CG277" s="523"/>
      <c r="CH277" s="523"/>
      <c r="CI277" s="523">
        <f t="shared" si="98"/>
        <v>0</v>
      </c>
    </row>
    <row r="278" spans="1:87" x14ac:dyDescent="0.2">
      <c r="A278" s="412">
        <v>20</v>
      </c>
      <c r="B278" s="413"/>
      <c r="C278" s="413"/>
      <c r="D278" s="414" t="s">
        <v>1232</v>
      </c>
      <c r="E278" s="415"/>
      <c r="F278" s="415"/>
      <c r="G278" s="415"/>
      <c r="H278" s="415"/>
      <c r="I278" s="415"/>
      <c r="J278" s="415"/>
      <c r="K278" s="415"/>
      <c r="L278" s="416">
        <f>SUM(L279:L283)</f>
        <v>4777.13</v>
      </c>
      <c r="M278" s="416">
        <f>SUM(M279:M283)</f>
        <v>0</v>
      </c>
      <c r="N278" s="416">
        <f>SUM(N279:N283)</f>
        <v>0</v>
      </c>
      <c r="O278" s="416">
        <f>SUM(O279:O283)</f>
        <v>4777.13</v>
      </c>
      <c r="P278" s="423">
        <f t="shared" si="96"/>
        <v>0</v>
      </c>
      <c r="S278" s="189">
        <v>0</v>
      </c>
      <c r="T278" s="189">
        <v>0</v>
      </c>
      <c r="BU278" s="523"/>
      <c r="BV278" s="523"/>
      <c r="BW278" s="523"/>
      <c r="BX278" s="523"/>
      <c r="BY278" s="523"/>
      <c r="BZ278" s="523"/>
      <c r="CA278" s="523"/>
      <c r="CB278" s="523"/>
      <c r="CC278" s="523"/>
      <c r="CD278" s="523"/>
      <c r="CE278" s="523"/>
      <c r="CF278" s="523"/>
      <c r="CG278" s="523"/>
      <c r="CH278" s="523"/>
      <c r="CI278" s="523">
        <f t="shared" si="98"/>
        <v>0</v>
      </c>
    </row>
    <row r="279" spans="1:87" x14ac:dyDescent="0.2">
      <c r="A279" s="125" t="s">
        <v>719</v>
      </c>
      <c r="B279" s="126" t="s">
        <v>1792</v>
      </c>
      <c r="C279" s="126" t="s">
        <v>1324</v>
      </c>
      <c r="D279" s="127" t="s">
        <v>1793</v>
      </c>
      <c r="E279" s="128" t="s">
        <v>14</v>
      </c>
      <c r="F279" s="137">
        <v>37.18</v>
      </c>
      <c r="G279" s="130">
        <v>4.97</v>
      </c>
      <c r="H279" s="128">
        <v>296.01</v>
      </c>
      <c r="I279" s="116">
        <f t="shared" si="99"/>
        <v>0</v>
      </c>
      <c r="J279" s="374">
        <f t="shared" si="100"/>
        <v>0</v>
      </c>
      <c r="K279" s="137">
        <f t="shared" si="91"/>
        <v>296.01</v>
      </c>
      <c r="L279" s="131">
        <f t="shared" ref="L279:L283" si="102">ROUND(H279*$G279,2)</f>
        <v>1471.17</v>
      </c>
      <c r="M279" s="131">
        <f t="shared" ref="M279:M283" si="103">ROUND(I279*$G279,2)</f>
        <v>0</v>
      </c>
      <c r="N279" s="131">
        <f t="shared" ref="N279:N283" si="104">ROUND(J279*$G279,2)</f>
        <v>0</v>
      </c>
      <c r="O279" s="131">
        <f t="shared" ref="O279:O283" si="105">ROUND(K279*$G279,2)</f>
        <v>1471.17</v>
      </c>
      <c r="P279" s="136">
        <f t="shared" si="96"/>
        <v>0</v>
      </c>
      <c r="S279" s="189">
        <v>0</v>
      </c>
      <c r="T279" s="189">
        <v>0</v>
      </c>
      <c r="BU279" s="523"/>
      <c r="BV279" s="523"/>
      <c r="BW279" s="523"/>
      <c r="BX279" s="523"/>
      <c r="BY279" s="523"/>
      <c r="BZ279" s="523"/>
      <c r="CA279" s="523"/>
      <c r="CB279" s="523"/>
      <c r="CC279" s="523"/>
      <c r="CD279" s="523"/>
      <c r="CE279" s="523"/>
      <c r="CF279" s="523"/>
      <c r="CG279" s="523"/>
      <c r="CH279" s="523"/>
      <c r="CI279" s="523">
        <f t="shared" si="98"/>
        <v>0</v>
      </c>
    </row>
    <row r="280" spans="1:87" x14ac:dyDescent="0.2">
      <c r="A280" s="125" t="s">
        <v>726</v>
      </c>
      <c r="B280" s="126" t="s">
        <v>1794</v>
      </c>
      <c r="C280" s="126" t="s">
        <v>1324</v>
      </c>
      <c r="D280" s="127" t="s">
        <v>1795</v>
      </c>
      <c r="E280" s="128" t="s">
        <v>14</v>
      </c>
      <c r="F280" s="137">
        <v>14.42</v>
      </c>
      <c r="G280" s="130">
        <v>9.57</v>
      </c>
      <c r="H280" s="128">
        <v>21.9</v>
      </c>
      <c r="I280" s="116">
        <f t="shared" si="99"/>
        <v>0</v>
      </c>
      <c r="J280" s="374">
        <f t="shared" si="100"/>
        <v>0</v>
      </c>
      <c r="K280" s="137">
        <f t="shared" si="91"/>
        <v>21.9</v>
      </c>
      <c r="L280" s="131">
        <f t="shared" si="102"/>
        <v>209.58</v>
      </c>
      <c r="M280" s="131">
        <f t="shared" si="103"/>
        <v>0</v>
      </c>
      <c r="N280" s="131">
        <f t="shared" si="104"/>
        <v>0</v>
      </c>
      <c r="O280" s="131">
        <f t="shared" si="105"/>
        <v>209.58</v>
      </c>
      <c r="P280" s="136">
        <f t="shared" si="96"/>
        <v>0</v>
      </c>
      <c r="S280" s="189">
        <v>0</v>
      </c>
      <c r="T280" s="189">
        <v>0</v>
      </c>
      <c r="BU280" s="523"/>
      <c r="BV280" s="523"/>
      <c r="BW280" s="523"/>
      <c r="BX280" s="523"/>
      <c r="BY280" s="523"/>
      <c r="BZ280" s="523"/>
      <c r="CA280" s="523"/>
      <c r="CB280" s="523"/>
      <c r="CC280" s="523"/>
      <c r="CD280" s="523"/>
      <c r="CE280" s="523"/>
      <c r="CF280" s="523"/>
      <c r="CG280" s="523"/>
      <c r="CH280" s="523"/>
      <c r="CI280" s="523">
        <f t="shared" si="98"/>
        <v>0</v>
      </c>
    </row>
    <row r="281" spans="1:87" x14ac:dyDescent="0.2">
      <c r="A281" s="125" t="s">
        <v>730</v>
      </c>
      <c r="B281" s="126" t="s">
        <v>1796</v>
      </c>
      <c r="C281" s="126" t="s">
        <v>1324</v>
      </c>
      <c r="D281" s="127" t="s">
        <v>1797</v>
      </c>
      <c r="E281" s="128" t="s">
        <v>14</v>
      </c>
      <c r="F281" s="137">
        <v>22.57</v>
      </c>
      <c r="G281" s="130">
        <v>11.45</v>
      </c>
      <c r="H281" s="128">
        <v>64.91</v>
      </c>
      <c r="I281" s="116">
        <f t="shared" si="99"/>
        <v>0</v>
      </c>
      <c r="J281" s="374">
        <f t="shared" si="100"/>
        <v>0</v>
      </c>
      <c r="K281" s="137">
        <f t="shared" si="91"/>
        <v>64.91</v>
      </c>
      <c r="L281" s="131">
        <f t="shared" si="102"/>
        <v>743.22</v>
      </c>
      <c r="M281" s="131">
        <f t="shared" si="103"/>
        <v>0</v>
      </c>
      <c r="N281" s="131">
        <f t="shared" si="104"/>
        <v>0</v>
      </c>
      <c r="O281" s="131">
        <f t="shared" si="105"/>
        <v>743.22</v>
      </c>
      <c r="P281" s="136">
        <f t="shared" si="96"/>
        <v>0</v>
      </c>
      <c r="S281" s="189">
        <v>0</v>
      </c>
      <c r="T281" s="189">
        <v>0</v>
      </c>
      <c r="BU281" s="523"/>
      <c r="BV281" s="523"/>
      <c r="BW281" s="523"/>
      <c r="BX281" s="523"/>
      <c r="BY281" s="523"/>
      <c r="BZ281" s="523"/>
      <c r="CA281" s="523"/>
      <c r="CB281" s="523"/>
      <c r="CC281" s="523"/>
      <c r="CD281" s="523"/>
      <c r="CE281" s="523"/>
      <c r="CF281" s="523"/>
      <c r="CG281" s="523"/>
      <c r="CH281" s="523"/>
      <c r="CI281" s="523">
        <f t="shared" si="98"/>
        <v>0</v>
      </c>
    </row>
    <row r="282" spans="1:87" x14ac:dyDescent="0.2">
      <c r="A282" s="125" t="s">
        <v>739</v>
      </c>
      <c r="B282" s="126" t="s">
        <v>1798</v>
      </c>
      <c r="C282" s="126" t="s">
        <v>1324</v>
      </c>
      <c r="D282" s="127" t="s">
        <v>1799</v>
      </c>
      <c r="E282" s="128" t="s">
        <v>14</v>
      </c>
      <c r="F282" s="137">
        <v>26.75</v>
      </c>
      <c r="G282" s="130">
        <v>1.53</v>
      </c>
      <c r="H282" s="128">
        <v>676.67</v>
      </c>
      <c r="I282" s="116">
        <f t="shared" si="99"/>
        <v>0</v>
      </c>
      <c r="J282" s="374">
        <f t="shared" si="100"/>
        <v>0</v>
      </c>
      <c r="K282" s="137">
        <f t="shared" si="91"/>
        <v>676.67</v>
      </c>
      <c r="L282" s="131">
        <f t="shared" si="102"/>
        <v>1035.31</v>
      </c>
      <c r="M282" s="131">
        <f t="shared" si="103"/>
        <v>0</v>
      </c>
      <c r="N282" s="131">
        <f t="shared" si="104"/>
        <v>0</v>
      </c>
      <c r="O282" s="131">
        <f t="shared" si="105"/>
        <v>1035.31</v>
      </c>
      <c r="P282" s="136">
        <f t="shared" si="96"/>
        <v>0</v>
      </c>
      <c r="S282" s="189">
        <v>0</v>
      </c>
      <c r="T282" s="189">
        <v>0</v>
      </c>
      <c r="BU282" s="523"/>
      <c r="BV282" s="523"/>
      <c r="BW282" s="523"/>
      <c r="BX282" s="523"/>
      <c r="BY282" s="523"/>
      <c r="BZ282" s="523"/>
      <c r="CA282" s="523"/>
      <c r="CB282" s="523"/>
      <c r="CC282" s="523"/>
      <c r="CD282" s="523"/>
      <c r="CE282" s="523"/>
      <c r="CF282" s="523"/>
      <c r="CG282" s="523"/>
      <c r="CH282" s="523"/>
      <c r="CI282" s="523">
        <f t="shared" si="98"/>
        <v>0</v>
      </c>
    </row>
    <row r="283" spans="1:87" x14ac:dyDescent="0.2">
      <c r="A283" s="125" t="s">
        <v>743</v>
      </c>
      <c r="B283" s="126">
        <v>84122</v>
      </c>
      <c r="C283" s="126" t="s">
        <v>1324</v>
      </c>
      <c r="D283" s="127" t="s">
        <v>1800</v>
      </c>
      <c r="E283" s="128" t="s">
        <v>102</v>
      </c>
      <c r="F283" s="137">
        <v>61.1</v>
      </c>
      <c r="G283" s="130">
        <v>1317.85</v>
      </c>
      <c r="H283" s="128">
        <v>1</v>
      </c>
      <c r="I283" s="116">
        <f t="shared" si="99"/>
        <v>0</v>
      </c>
      <c r="J283" s="374">
        <f t="shared" si="100"/>
        <v>0</v>
      </c>
      <c r="K283" s="137">
        <f t="shared" si="91"/>
        <v>1</v>
      </c>
      <c r="L283" s="131">
        <f t="shared" si="102"/>
        <v>1317.85</v>
      </c>
      <c r="M283" s="131">
        <f t="shared" si="103"/>
        <v>0</v>
      </c>
      <c r="N283" s="131">
        <f t="shared" si="104"/>
        <v>0</v>
      </c>
      <c r="O283" s="131">
        <f t="shared" si="105"/>
        <v>1317.85</v>
      </c>
      <c r="P283" s="136">
        <f t="shared" si="96"/>
        <v>0</v>
      </c>
      <c r="S283" s="189">
        <v>0</v>
      </c>
      <c r="T283" s="189">
        <v>0</v>
      </c>
      <c r="AE283" s="393"/>
      <c r="BU283" s="523"/>
      <c r="BV283" s="523"/>
      <c r="BW283" s="523"/>
      <c r="BX283" s="523"/>
      <c r="BY283" s="523"/>
      <c r="BZ283" s="523"/>
      <c r="CA283" s="523"/>
      <c r="CB283" s="523"/>
      <c r="CC283" s="523"/>
      <c r="CD283" s="523"/>
      <c r="CE283" s="523"/>
      <c r="CF283" s="523"/>
      <c r="CG283" s="523"/>
      <c r="CH283" s="523"/>
      <c r="CI283" s="523">
        <f t="shared" si="98"/>
        <v>0</v>
      </c>
    </row>
    <row r="284" spans="1:87" s="67" customFormat="1" ht="13.5" thickBot="1" x14ac:dyDescent="0.25">
      <c r="A284" s="438"/>
      <c r="B284" s="439"/>
      <c r="C284" s="440"/>
      <c r="D284" s="440"/>
      <c r="E284" s="440"/>
      <c r="F284" s="440"/>
      <c r="G284" s="442" t="s">
        <v>1281</v>
      </c>
      <c r="H284" s="441"/>
      <c r="I284" s="444">
        <f t="shared" si="99"/>
        <v>0</v>
      </c>
      <c r="J284" s="445">
        <f t="shared" si="100"/>
        <v>0</v>
      </c>
      <c r="K284" s="440">
        <f t="shared" si="91"/>
        <v>0</v>
      </c>
      <c r="L284" s="443">
        <f>L14+L26+L32+L45+L69+L77+L92+L95+L98+L109+L120+L129+L168+L190+L194+L208+L214+L259+L268+L278</f>
        <v>664297.17000000004</v>
      </c>
      <c r="M284" s="446">
        <f>SUM(M278,M268,M259,M214,M208,M194,M190,M168,M129,M120,M109,M98,M95,M92,M77,M69,M45,M32,M26,M14)</f>
        <v>26601.059999999998</v>
      </c>
      <c r="N284" s="446">
        <f>SUM(N278,N268,N259,N214,N208,N194,N190,N168,N129,N120,N109,N98,N95,N92,N77,N69,N45,N32,N26,N14)</f>
        <v>26601.059999999998</v>
      </c>
      <c r="O284" s="446">
        <f>SUM(O278,O268,O259,O214,O208,O194,O190,O168,O129,O120,O109,O98,O95,O92,O77,O69,O45,O32,O26,O14)</f>
        <v>637696.09999999986</v>
      </c>
      <c r="P284" s="448">
        <f>N284/O284</f>
        <v>4.1714321288776904E-2</v>
      </c>
      <c r="S284" s="193"/>
      <c r="T284" s="193"/>
      <c r="BU284" s="523"/>
      <c r="BV284" s="523"/>
      <c r="BW284" s="523"/>
      <c r="BX284" s="523"/>
      <c r="BY284" s="523"/>
      <c r="BZ284" s="523"/>
      <c r="CA284" s="523"/>
      <c r="CB284" s="523"/>
      <c r="CC284" s="523"/>
      <c r="CD284" s="523"/>
      <c r="CE284" s="523"/>
      <c r="CF284" s="523"/>
      <c r="CG284" s="523"/>
      <c r="CH284" s="523"/>
      <c r="CI284" s="523">
        <f t="shared" si="98"/>
        <v>0</v>
      </c>
    </row>
    <row r="285" spans="1:87" x14ac:dyDescent="0.2">
      <c r="A285" s="69"/>
      <c r="B285" s="69"/>
      <c r="C285" s="59"/>
      <c r="D285" s="111"/>
      <c r="E285" s="59"/>
      <c r="F285" s="59"/>
      <c r="G285" s="82"/>
      <c r="H285" s="68"/>
      <c r="I285" s="70"/>
      <c r="J285" s="70"/>
      <c r="K285" s="59"/>
      <c r="L285" s="77"/>
      <c r="M285" s="77"/>
      <c r="N285" s="77"/>
      <c r="O285" s="373"/>
      <c r="P285" s="61"/>
    </row>
    <row r="286" spans="1:87" x14ac:dyDescent="0.2">
      <c r="P286" s="72"/>
    </row>
    <row r="287" spans="1:87" x14ac:dyDescent="0.2">
      <c r="B287" s="71"/>
      <c r="C287" s="66"/>
      <c r="P287" s="72"/>
    </row>
    <row r="288" spans="1:87" x14ac:dyDescent="0.2">
      <c r="B288" s="71"/>
      <c r="C288" s="66"/>
    </row>
    <row r="289" spans="1:15" x14ac:dyDescent="0.2">
      <c r="A289" s="66" t="s">
        <v>1802</v>
      </c>
      <c r="B289" s="71"/>
      <c r="C289" s="66"/>
      <c r="E289" s="66" t="s">
        <v>1297</v>
      </c>
      <c r="J289" s="892" t="s">
        <v>1307</v>
      </c>
      <c r="K289" s="892"/>
      <c r="L289" s="892"/>
      <c r="M289" s="78" t="s">
        <v>1308</v>
      </c>
    </row>
    <row r="290" spans="1:15" x14ac:dyDescent="0.2">
      <c r="A290" s="66" t="s">
        <v>1803</v>
      </c>
      <c r="B290" s="71"/>
      <c r="C290" s="66"/>
      <c r="E290" s="66" t="s">
        <v>1298</v>
      </c>
      <c r="J290" s="892" t="s">
        <v>1305</v>
      </c>
      <c r="K290" s="892"/>
      <c r="L290" s="892"/>
      <c r="M290" s="892" t="s">
        <v>2022</v>
      </c>
      <c r="N290" s="892"/>
      <c r="O290" s="892"/>
    </row>
    <row r="291" spans="1:15" x14ac:dyDescent="0.2">
      <c r="A291" s="66" t="s">
        <v>1804</v>
      </c>
      <c r="B291" s="71"/>
      <c r="C291" s="66"/>
      <c r="E291" s="66" t="s">
        <v>1300</v>
      </c>
      <c r="J291" s="892" t="s">
        <v>1306</v>
      </c>
      <c r="K291" s="892"/>
      <c r="L291" s="892"/>
      <c r="M291" s="892"/>
      <c r="N291" s="892"/>
      <c r="O291" s="892"/>
    </row>
    <row r="292" spans="1:15" x14ac:dyDescent="0.2">
      <c r="A292" s="66" t="s">
        <v>1805</v>
      </c>
      <c r="B292" s="71"/>
      <c r="C292" s="66"/>
      <c r="E292" s="66" t="s">
        <v>1315</v>
      </c>
      <c r="J292" s="892" t="s">
        <v>1301</v>
      </c>
      <c r="K292" s="892"/>
      <c r="L292" s="892"/>
      <c r="M292" s="78" t="s">
        <v>1303</v>
      </c>
    </row>
    <row r="293" spans="1:15" x14ac:dyDescent="0.2">
      <c r="M293" s="78" t="s">
        <v>1304</v>
      </c>
    </row>
  </sheetData>
  <mergeCells count="23">
    <mergeCell ref="J292:L292"/>
    <mergeCell ref="L11:O11"/>
    <mergeCell ref="J289:L289"/>
    <mergeCell ref="J290:L290"/>
    <mergeCell ref="M290:O290"/>
    <mergeCell ref="J291:L291"/>
    <mergeCell ref="M291:O291"/>
    <mergeCell ref="A9:D9"/>
    <mergeCell ref="N9:O9"/>
    <mergeCell ref="A11:A12"/>
    <mergeCell ref="B11:B12"/>
    <mergeCell ref="C11:C12"/>
    <mergeCell ref="D11:D12"/>
    <mergeCell ref="E11:E12"/>
    <mergeCell ref="F11:F12"/>
    <mergeCell ref="G11:G12"/>
    <mergeCell ref="H11:K11"/>
    <mergeCell ref="A1:D5"/>
    <mergeCell ref="E1:P5"/>
    <mergeCell ref="A7:D7"/>
    <mergeCell ref="E7:G7"/>
    <mergeCell ref="A8:D8"/>
    <mergeCell ref="E8:G8"/>
  </mergeCells>
  <conditionalFormatting sqref="A14:E14 F46:G46 H89 O95 F51:G51 I51 K132:K151 H226:H246 H216:H224 F225:H225 A89:E89 L95:M95 A16:E16 H14:H16 H27:H31 A27:E31 A26:D26 A33:E44 A32:D32 H34:H44 H46:H56 A46:E56 A45:D45 A71:E71 H71 H79:H82 A79:E82 A93:E94 A92:D92 H93:H94 H96:H97 A96:E97 A95:D95 A99:E108 A98:D98 H99:H108 H111:H115 A111:E115 A121:E128 A120:D120 H121:H128 H131:H151 A131:E151 A169:E180 A168:D168 H170:H180 K170:K180 A191:E193 A190:D190 H191:I193 A195:E207 A194:D194 H195:I207 A209:E213 A208:D208 H209:I213 I216:I246 A215:E258 A214:D214 A260:E267 A259:D259 H260:I267 H270:I274 A269:E277 A268:D268 A279:E283 A278:D278 I279:I283 H279:H285 A58:E61 A57:D57 H58:H61 H63:H66 A63:E66 A62:D62 A68:E68 A67:D67 H68 A69:D70 H73:H74 A73:E74 A72:D72 A76:E76 A75:D75 H76 A77:D78 A84:E86 A83:D83 H84:H86 A87:D87 A91:E91 A90:D90 H91 A109:D110 A117:E119 A116:D116 H117:H119 A129:D130 A153:E167 A152:D152 H153:H167 K153:K167 H182:I189 A182:E189 A181:D181 H22:H25 A22:E25 L45:O45 L51:O51 L57:O57 L62:O62 L67:O67 L70:O70 L72:O72 L75:O75 L77:O78 L83:O83 L92:O92 L98:O98 L109:O110 L116:O116 L120:O120 L129:O130 L152:O152 L168:O169 L181:O181 L190:O190 L194:O194 L208:O208 K225:O225 L214:O215 L259:O259 L268:O269 L278:O278 H248:I251 F247:O247 H276:I277 F275:O275 F269:K269 H253:I258 F252:O252 F215:K215 F169:K169">
    <cfRule type="expression" dxfId="811" priority="153">
      <formula>$D14&lt;&gt;0</formula>
    </cfRule>
    <cfRule type="expression" dxfId="810" priority="154">
      <formula>$O14=1</formula>
    </cfRule>
  </conditionalFormatting>
  <conditionalFormatting sqref="G14 G39 L39:O39 G33:K33">
    <cfRule type="expression" dxfId="809" priority="155">
      <formula>$D14&lt;&gt;0</formula>
    </cfRule>
    <cfRule type="expression" dxfId="808" priority="156">
      <formula>$O14=1</formula>
    </cfRule>
  </conditionalFormatting>
  <conditionalFormatting sqref="E26">
    <cfRule type="expression" dxfId="807" priority="149">
      <formula>$D26&lt;&gt;0</formula>
    </cfRule>
    <cfRule type="expression" dxfId="806" priority="150">
      <formula>$O26=1</formula>
    </cfRule>
  </conditionalFormatting>
  <conditionalFormatting sqref="G26:J26">
    <cfRule type="expression" dxfId="805" priority="151">
      <formula>$D26&lt;&gt;0</formula>
    </cfRule>
    <cfRule type="expression" dxfId="804" priority="152">
      <formula>$O26=1</formula>
    </cfRule>
  </conditionalFormatting>
  <conditionalFormatting sqref="E32">
    <cfRule type="expression" dxfId="803" priority="145">
      <formula>$D32&lt;&gt;0</formula>
    </cfRule>
    <cfRule type="expression" dxfId="802" priority="146">
      <formula>$O32=1</formula>
    </cfRule>
  </conditionalFormatting>
  <conditionalFormatting sqref="G32:K32">
    <cfRule type="expression" dxfId="801" priority="147">
      <formula>$D32&lt;&gt;0</formula>
    </cfRule>
    <cfRule type="expression" dxfId="800" priority="148">
      <formula>$O32=1</formula>
    </cfRule>
  </conditionalFormatting>
  <conditionalFormatting sqref="E45 H45">
    <cfRule type="expression" dxfId="799" priority="141">
      <formula>$D45&lt;&gt;0</formula>
    </cfRule>
    <cfRule type="expression" dxfId="798" priority="142">
      <formula>$O45=1</formula>
    </cfRule>
  </conditionalFormatting>
  <conditionalFormatting sqref="G45">
    <cfRule type="expression" dxfId="797" priority="143">
      <formula>$D45&lt;&gt;0</formula>
    </cfRule>
    <cfRule type="expression" dxfId="796" priority="144">
      <formula>$O45=1</formula>
    </cfRule>
  </conditionalFormatting>
  <conditionalFormatting sqref="E69:K69">
    <cfRule type="expression" dxfId="795" priority="137">
      <formula>$D69&lt;&gt;0</formula>
    </cfRule>
    <cfRule type="expression" dxfId="794" priority="138">
      <formula>$O69=1</formula>
    </cfRule>
  </conditionalFormatting>
  <conditionalFormatting sqref="E77:K77">
    <cfRule type="expression" dxfId="793" priority="133">
      <formula>$D77&lt;&gt;0</formula>
    </cfRule>
    <cfRule type="expression" dxfId="792" priority="134">
      <formula>$O77=1</formula>
    </cfRule>
  </conditionalFormatting>
  <conditionalFormatting sqref="E92:K92">
    <cfRule type="expression" dxfId="791" priority="129">
      <formula>$D92&lt;&gt;0</formula>
    </cfRule>
    <cfRule type="expression" dxfId="790" priority="130">
      <formula>$O92=1</formula>
    </cfRule>
  </conditionalFormatting>
  <conditionalFormatting sqref="E95:K95">
    <cfRule type="expression" dxfId="789" priority="125">
      <formula>$D95&lt;&gt;0</formula>
    </cfRule>
    <cfRule type="expression" dxfId="788" priority="126">
      <formula>$O95=1</formula>
    </cfRule>
  </conditionalFormatting>
  <conditionalFormatting sqref="E98:K98">
    <cfRule type="expression" dxfId="787" priority="121">
      <formula>$D98&lt;&gt;0</formula>
    </cfRule>
    <cfRule type="expression" dxfId="786" priority="122">
      <formula>$O98=1</formula>
    </cfRule>
  </conditionalFormatting>
  <conditionalFormatting sqref="E109:K109">
    <cfRule type="expression" dxfId="785" priority="117">
      <formula>$D109&lt;&gt;0</formula>
    </cfRule>
    <cfRule type="expression" dxfId="784" priority="118">
      <formula>$O109=1</formula>
    </cfRule>
  </conditionalFormatting>
  <conditionalFormatting sqref="E120:K120">
    <cfRule type="expression" dxfId="783" priority="113">
      <formula>$D120&lt;&gt;0</formula>
    </cfRule>
    <cfRule type="expression" dxfId="782" priority="114">
      <formula>$O120=1</formula>
    </cfRule>
  </conditionalFormatting>
  <conditionalFormatting sqref="E129:K129">
    <cfRule type="expression" dxfId="781" priority="109">
      <formula>$D129&lt;&gt;0</formula>
    </cfRule>
    <cfRule type="expression" dxfId="780" priority="110">
      <formula>$O129=1</formula>
    </cfRule>
  </conditionalFormatting>
  <conditionalFormatting sqref="E168:K168">
    <cfRule type="expression" dxfId="779" priority="105">
      <formula>$D168&lt;&gt;0</formula>
    </cfRule>
    <cfRule type="expression" dxfId="778" priority="106">
      <formula>$O168=1</formula>
    </cfRule>
  </conditionalFormatting>
  <conditionalFormatting sqref="E190:K190">
    <cfRule type="expression" dxfId="777" priority="101">
      <formula>$D190&lt;&gt;0</formula>
    </cfRule>
    <cfRule type="expression" dxfId="776" priority="102">
      <formula>$O190=1</formula>
    </cfRule>
  </conditionalFormatting>
  <conditionalFormatting sqref="E194:K194">
    <cfRule type="expression" dxfId="775" priority="97">
      <formula>$D194&lt;&gt;0</formula>
    </cfRule>
    <cfRule type="expression" dxfId="774" priority="98">
      <formula>$O194=1</formula>
    </cfRule>
  </conditionalFormatting>
  <conditionalFormatting sqref="E208:K208">
    <cfRule type="expression" dxfId="773" priority="93">
      <formula>$D208&lt;&gt;0</formula>
    </cfRule>
    <cfRule type="expression" dxfId="772" priority="94">
      <formula>$O208=1</formula>
    </cfRule>
  </conditionalFormatting>
  <conditionalFormatting sqref="E214:K214">
    <cfRule type="expression" dxfId="771" priority="89">
      <formula>$D214&lt;&gt;0</formula>
    </cfRule>
    <cfRule type="expression" dxfId="770" priority="90">
      <formula>$O214=1</formula>
    </cfRule>
  </conditionalFormatting>
  <conditionalFormatting sqref="E259:K259">
    <cfRule type="expression" dxfId="769" priority="85">
      <formula>$D259&lt;&gt;0</formula>
    </cfRule>
    <cfRule type="expression" dxfId="768" priority="86">
      <formula>$O259=1</formula>
    </cfRule>
  </conditionalFormatting>
  <conditionalFormatting sqref="E268:K268">
    <cfRule type="expression" dxfId="767" priority="81">
      <formula>$D268&lt;&gt;0</formula>
    </cfRule>
    <cfRule type="expression" dxfId="766" priority="82">
      <formula>$O268=1</formula>
    </cfRule>
  </conditionalFormatting>
  <conditionalFormatting sqref="E278:K278">
    <cfRule type="expression" dxfId="765" priority="77">
      <formula>$D278&lt;&gt;0</formula>
    </cfRule>
    <cfRule type="expression" dxfId="764" priority="78">
      <formula>$O278=1</formula>
    </cfRule>
  </conditionalFormatting>
  <conditionalFormatting sqref="E57:I57">
    <cfRule type="expression" dxfId="763" priority="75">
      <formula>$D57&lt;&gt;0</formula>
    </cfRule>
    <cfRule type="expression" dxfId="762" priority="76">
      <formula>$O57=1</formula>
    </cfRule>
  </conditionalFormatting>
  <conditionalFormatting sqref="E62:K62">
    <cfRule type="expression" dxfId="761" priority="73">
      <formula>$D62&lt;&gt;0</formula>
    </cfRule>
    <cfRule type="expression" dxfId="760" priority="74">
      <formula>$O62=1</formula>
    </cfRule>
  </conditionalFormatting>
  <conditionalFormatting sqref="E67:K67">
    <cfRule type="expression" dxfId="759" priority="71">
      <formula>$D67&lt;&gt;0</formula>
    </cfRule>
    <cfRule type="expression" dxfId="758" priority="72">
      <formula>$O67=1</formula>
    </cfRule>
  </conditionalFormatting>
  <conditionalFormatting sqref="E70:K70">
    <cfRule type="expression" dxfId="757" priority="69">
      <formula>$D70&lt;&gt;0</formula>
    </cfRule>
    <cfRule type="expression" dxfId="756" priority="70">
      <formula>$O70=1</formula>
    </cfRule>
  </conditionalFormatting>
  <conditionalFormatting sqref="E72:K72">
    <cfRule type="expression" dxfId="755" priority="67">
      <formula>$D72&lt;&gt;0</formula>
    </cfRule>
    <cfRule type="expression" dxfId="754" priority="68">
      <formula>$O72=1</formula>
    </cfRule>
  </conditionalFormatting>
  <conditionalFormatting sqref="E75:K75">
    <cfRule type="expression" dxfId="753" priority="65">
      <formula>$D75&lt;&gt;0</formula>
    </cfRule>
    <cfRule type="expression" dxfId="752" priority="66">
      <formula>$O75=1</formula>
    </cfRule>
  </conditionalFormatting>
  <conditionalFormatting sqref="E78:K78">
    <cfRule type="expression" dxfId="751" priority="63">
      <formula>$D78&lt;&gt;0</formula>
    </cfRule>
    <cfRule type="expression" dxfId="750" priority="64">
      <formula>$O78=1</formula>
    </cfRule>
  </conditionalFormatting>
  <conditionalFormatting sqref="E83:K83">
    <cfRule type="expression" dxfId="749" priority="61">
      <formula>$D83&lt;&gt;0</formula>
    </cfRule>
    <cfRule type="expression" dxfId="748" priority="62">
      <formula>$O83=1</formula>
    </cfRule>
  </conditionalFormatting>
  <conditionalFormatting sqref="E87:K87">
    <cfRule type="expression" dxfId="747" priority="59">
      <formula>$D87&lt;&gt;0</formula>
    </cfRule>
    <cfRule type="expression" dxfId="746" priority="60">
      <formula>$O87=1</formula>
    </cfRule>
  </conditionalFormatting>
  <conditionalFormatting sqref="E90:K90">
    <cfRule type="expression" dxfId="745" priority="57">
      <formula>$D90&lt;&gt;0</formula>
    </cfRule>
    <cfRule type="expression" dxfId="744" priority="58">
      <formula>$O90=1</formula>
    </cfRule>
  </conditionalFormatting>
  <conditionalFormatting sqref="E110:K110">
    <cfRule type="expression" dxfId="743" priority="55">
      <formula>$D110&lt;&gt;0</formula>
    </cfRule>
    <cfRule type="expression" dxfId="742" priority="56">
      <formula>$O110=1</formula>
    </cfRule>
  </conditionalFormatting>
  <conditionalFormatting sqref="E116:K116">
    <cfRule type="expression" dxfId="741" priority="53">
      <formula>$D116&lt;&gt;0</formula>
    </cfRule>
    <cfRule type="expression" dxfId="740" priority="54">
      <formula>$O116=1</formula>
    </cfRule>
  </conditionalFormatting>
  <conditionalFormatting sqref="E130:K130">
    <cfRule type="expression" dxfId="739" priority="51">
      <formula>$D130&lt;&gt;0</formula>
    </cfRule>
    <cfRule type="expression" dxfId="738" priority="52">
      <formula>$O130=1</formula>
    </cfRule>
  </conditionalFormatting>
  <conditionalFormatting sqref="E152:K152">
    <cfRule type="expression" dxfId="737" priority="49">
      <formula>$D152&lt;&gt;0</formula>
    </cfRule>
    <cfRule type="expression" dxfId="736" priority="50">
      <formula>$O152=1</formula>
    </cfRule>
  </conditionalFormatting>
  <conditionalFormatting sqref="E181:K181">
    <cfRule type="expression" dxfId="735" priority="47">
      <formula>$D181&lt;&gt;0</formula>
    </cfRule>
    <cfRule type="expression" dxfId="734" priority="48">
      <formula>$O181=1</formula>
    </cfRule>
  </conditionalFormatting>
  <printOptions horizontalCentered="1"/>
  <pageMargins left="0.31496062992125984" right="0.31496062992125984" top="0.39370078740157483" bottom="1.1417322834645669" header="0.31496062992125984" footer="0.31496062992125984"/>
  <pageSetup paperSize="9" scale="49" fitToHeight="0" orientation="landscape" r:id="rId1"/>
  <headerFooter>
    <oddFooter xml:space="preserve">&amp;LResp.  
CREA:  
ART:
&amp;CResp. Técnico Fiscalização: Nei Frederico
CREA: 101562139-2
ART: 
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I293"/>
  <sheetViews>
    <sheetView showGridLines="0" zoomScale="70" zoomScaleNormal="70" zoomScaleSheetLayoutView="80" workbookViewId="0">
      <pane ySplit="13" topLeftCell="A86" activePane="bottomLeft" state="frozen"/>
      <selection pane="bottomLeft" activeCell="M13" sqref="M13"/>
    </sheetView>
  </sheetViews>
  <sheetFormatPr defaultColWidth="9.33203125" defaultRowHeight="12.75" x14ac:dyDescent="0.2"/>
  <cols>
    <col min="1" max="1" width="12.5" style="66" customWidth="1"/>
    <col min="2" max="2" width="11.33203125" style="66" customWidth="1"/>
    <col min="3" max="3" width="11.5" style="71" customWidth="1"/>
    <col min="4" max="4" width="84.83203125" style="66" customWidth="1"/>
    <col min="5" max="5" width="11.5" style="66" customWidth="1"/>
    <col min="6" max="6" width="14" style="66" hidden="1" customWidth="1"/>
    <col min="7" max="7" width="21.5" style="75" customWidth="1"/>
    <col min="8" max="8" width="19.6640625" style="66" bestFit="1" customWidth="1"/>
    <col min="9" max="9" width="23.5" style="189" customWidth="1"/>
    <col min="10" max="10" width="17.33203125" style="189" customWidth="1"/>
    <col min="11" max="11" width="12.83203125" style="66" customWidth="1"/>
    <col min="12" max="12" width="21.1640625" style="78" customWidth="1"/>
    <col min="13" max="13" width="18.6640625" style="78" customWidth="1"/>
    <col min="14" max="14" width="23.1640625" style="78" bestFit="1" customWidth="1"/>
    <col min="15" max="15" width="20.33203125" style="75" customWidth="1"/>
    <col min="16" max="16" width="12.5" style="66" customWidth="1"/>
    <col min="17" max="17" width="16.6640625" style="66" bestFit="1" customWidth="1"/>
    <col min="18" max="18" width="0" style="66" hidden="1" customWidth="1"/>
    <col min="19" max="19" width="13.83203125" style="189" hidden="1" customWidth="1"/>
    <col min="20" max="20" width="11.1640625" style="189" hidden="1" customWidth="1"/>
    <col min="21" max="25" width="0" style="66" hidden="1" customWidth="1"/>
    <col min="26" max="26" width="12.33203125" style="66" hidden="1" customWidth="1"/>
    <col min="27" max="27" width="0" style="66" hidden="1" customWidth="1"/>
    <col min="28" max="28" width="13.5" style="66" hidden="1" customWidth="1"/>
    <col min="29" max="30" width="0" style="66" hidden="1" customWidth="1"/>
    <col min="31" max="31" width="15.6640625" style="66" hidden="1" customWidth="1"/>
    <col min="32" max="33" width="11.5" style="66" hidden="1" customWidth="1"/>
    <col min="34" max="71" width="0" style="66" hidden="1" customWidth="1"/>
    <col min="72" max="72" width="15" style="66" bestFit="1" customWidth="1"/>
    <col min="73" max="86" width="9.33203125" style="66"/>
    <col min="87" max="87" width="11.1640625" style="66" bestFit="1" customWidth="1"/>
    <col min="88" max="16384" width="9.33203125" style="66"/>
  </cols>
  <sheetData>
    <row r="1" spans="1:87" s="51" customFormat="1" ht="12" customHeight="1" x14ac:dyDescent="0.2">
      <c r="A1" s="876"/>
      <c r="B1" s="877"/>
      <c r="C1" s="877"/>
      <c r="D1" s="877"/>
      <c r="E1" s="886" t="s">
        <v>2025</v>
      </c>
      <c r="F1" s="886"/>
      <c r="G1" s="886"/>
      <c r="H1" s="886"/>
      <c r="I1" s="886"/>
      <c r="J1" s="886"/>
      <c r="K1" s="886"/>
      <c r="L1" s="886"/>
      <c r="M1" s="886"/>
      <c r="N1" s="886"/>
      <c r="O1" s="886"/>
      <c r="P1" s="887"/>
      <c r="S1" s="188"/>
      <c r="T1" s="188"/>
    </row>
    <row r="2" spans="1:87" s="51" customFormat="1" ht="12" customHeight="1" x14ac:dyDescent="0.2">
      <c r="A2" s="878"/>
      <c r="B2" s="879"/>
      <c r="C2" s="879"/>
      <c r="D2" s="879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9"/>
      <c r="S2" s="188"/>
      <c r="T2" s="188"/>
    </row>
    <row r="3" spans="1:87" s="51" customFormat="1" ht="12" customHeight="1" x14ac:dyDescent="0.2">
      <c r="A3" s="878"/>
      <c r="B3" s="879"/>
      <c r="C3" s="879"/>
      <c r="D3" s="879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9"/>
      <c r="S3" s="188"/>
      <c r="T3" s="188"/>
    </row>
    <row r="4" spans="1:87" s="51" customFormat="1" ht="12" customHeight="1" x14ac:dyDescent="0.2">
      <c r="A4" s="878"/>
      <c r="B4" s="879"/>
      <c r="C4" s="879"/>
      <c r="D4" s="879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9"/>
      <c r="S4" s="188"/>
      <c r="T4" s="188"/>
    </row>
    <row r="5" spans="1:87" s="51" customFormat="1" ht="31.5" customHeight="1" thickBot="1" x14ac:dyDescent="0.25">
      <c r="A5" s="880"/>
      <c r="B5" s="881"/>
      <c r="C5" s="881"/>
      <c r="D5" s="881"/>
      <c r="E5" s="890"/>
      <c r="F5" s="890"/>
      <c r="G5" s="890"/>
      <c r="H5" s="890"/>
      <c r="I5" s="890"/>
      <c r="J5" s="890"/>
      <c r="K5" s="890"/>
      <c r="L5" s="890"/>
      <c r="M5" s="890"/>
      <c r="N5" s="890"/>
      <c r="O5" s="890"/>
      <c r="P5" s="891"/>
      <c r="S5" s="188"/>
      <c r="T5" s="188"/>
    </row>
    <row r="6" spans="1:87" s="51" customFormat="1" ht="12.75" customHeight="1" x14ac:dyDescent="0.2">
      <c r="A6" s="518"/>
      <c r="B6" s="518"/>
      <c r="C6" s="518"/>
      <c r="D6" s="518"/>
      <c r="E6" s="519"/>
      <c r="F6" s="519"/>
      <c r="G6" s="519"/>
      <c r="H6" s="519"/>
      <c r="I6" s="519"/>
      <c r="J6" s="519"/>
      <c r="K6" s="519"/>
      <c r="L6" s="519"/>
      <c r="M6" s="519"/>
      <c r="N6" s="519"/>
      <c r="O6" s="519"/>
      <c r="P6" s="519"/>
      <c r="S6" s="188">
        <v>30999.574999999997</v>
      </c>
      <c r="T6" s="188" t="s">
        <v>1288</v>
      </c>
      <c r="Z6" s="64">
        <v>30999.574999999997</v>
      </c>
      <c r="AB6" s="64">
        <v>44898.842499999999</v>
      </c>
      <c r="AE6" s="371">
        <v>38575.583824999994</v>
      </c>
      <c r="AF6" s="372">
        <f>AE6-I7</f>
        <v>38575.583824999994</v>
      </c>
    </row>
    <row r="7" spans="1:87" s="51" customFormat="1" x14ac:dyDescent="0.2">
      <c r="A7" s="874" t="s">
        <v>1320</v>
      </c>
      <c r="B7" s="874"/>
      <c r="C7" s="874"/>
      <c r="D7" s="874"/>
      <c r="E7" s="894" t="s">
        <v>2019</v>
      </c>
      <c r="F7" s="894"/>
      <c r="G7" s="894"/>
      <c r="H7" s="506" t="s">
        <v>1323</v>
      </c>
      <c r="I7" s="485"/>
      <c r="L7" s="484"/>
      <c r="M7" s="483" t="s">
        <v>2021</v>
      </c>
      <c r="N7" s="504">
        <v>43658</v>
      </c>
      <c r="O7" s="491"/>
      <c r="P7" s="491"/>
      <c r="S7" s="188">
        <v>203365.995</v>
      </c>
      <c r="T7" s="188" t="s">
        <v>1309</v>
      </c>
      <c r="AB7" s="64">
        <v>152813.08250000002</v>
      </c>
    </row>
    <row r="8" spans="1:87" s="51" customFormat="1" x14ac:dyDescent="0.2">
      <c r="A8" s="875" t="s">
        <v>2014</v>
      </c>
      <c r="B8" s="875"/>
      <c r="C8" s="875"/>
      <c r="D8" s="875"/>
      <c r="E8" s="893" t="s">
        <v>2020</v>
      </c>
      <c r="F8" s="893"/>
      <c r="G8" s="893"/>
      <c r="H8" s="488">
        <f>664297.16</f>
        <v>664297.16</v>
      </c>
      <c r="I8" s="485"/>
      <c r="J8" s="195"/>
      <c r="K8" s="486"/>
      <c r="L8" s="484"/>
      <c r="M8" s="503" t="s">
        <v>3</v>
      </c>
      <c r="N8" s="505">
        <v>0.27139999999999997</v>
      </c>
      <c r="O8" s="491"/>
      <c r="P8" s="491"/>
      <c r="S8" s="188">
        <v>485968.91500000004</v>
      </c>
      <c r="T8" s="188" t="s">
        <v>1294</v>
      </c>
      <c r="AB8" s="64">
        <v>511484.07750000001</v>
      </c>
      <c r="AE8" s="107" t="e">
        <f>H8/I9</f>
        <v>#DIV/0!</v>
      </c>
    </row>
    <row r="9" spans="1:87" s="51" customFormat="1" ht="27.75" customHeight="1" x14ac:dyDescent="0.2">
      <c r="A9" s="874" t="s">
        <v>2017</v>
      </c>
      <c r="B9" s="874"/>
      <c r="C9" s="874"/>
      <c r="D9" s="874"/>
      <c r="E9" s="194"/>
      <c r="F9" s="482"/>
      <c r="G9" s="489"/>
      <c r="H9" s="484"/>
      <c r="I9" s="485"/>
      <c r="J9" s="195"/>
      <c r="K9" s="516"/>
      <c r="L9" s="490"/>
      <c r="M9" s="516" t="s">
        <v>2016</v>
      </c>
      <c r="N9" s="875"/>
      <c r="O9" s="875"/>
      <c r="P9" s="517"/>
      <c r="S9" s="188"/>
      <c r="T9" s="188"/>
      <c r="AB9" s="485"/>
      <c r="AE9" s="493"/>
    </row>
    <row r="10" spans="1:87" s="51" customFormat="1" ht="24" customHeight="1" thickBot="1" x14ac:dyDescent="0.25">
      <c r="A10" s="514"/>
      <c r="B10" s="514"/>
      <c r="C10" s="514"/>
      <c r="D10" s="514"/>
      <c r="E10" s="517"/>
      <c r="F10" s="482"/>
      <c r="G10" s="483"/>
      <c r="H10" s="511"/>
      <c r="I10" s="485"/>
      <c r="J10" s="195"/>
      <c r="K10" s="492"/>
      <c r="L10" s="490"/>
      <c r="M10" s="492"/>
      <c r="N10" s="492"/>
      <c r="O10" s="492"/>
      <c r="P10" s="492"/>
      <c r="S10" s="188"/>
      <c r="T10" s="188"/>
    </row>
    <row r="11" spans="1:87" ht="23.25" customHeight="1" thickBot="1" x14ac:dyDescent="0.25">
      <c r="A11" s="882" t="s">
        <v>1325</v>
      </c>
      <c r="B11" s="884" t="s">
        <v>1326</v>
      </c>
      <c r="C11" s="882" t="s">
        <v>1327</v>
      </c>
      <c r="D11" s="882" t="s">
        <v>5</v>
      </c>
      <c r="E11" s="882" t="s">
        <v>6</v>
      </c>
      <c r="F11" s="903" t="s">
        <v>1316</v>
      </c>
      <c r="G11" s="895" t="s">
        <v>1317</v>
      </c>
      <c r="H11" s="897" t="s">
        <v>2008</v>
      </c>
      <c r="I11" s="898"/>
      <c r="J11" s="898"/>
      <c r="K11" s="899"/>
      <c r="L11" s="900" t="s">
        <v>2009</v>
      </c>
      <c r="M11" s="901"/>
      <c r="N11" s="901"/>
      <c r="O11" s="902"/>
      <c r="P11" s="515"/>
      <c r="S11" s="189" t="s">
        <v>1282</v>
      </c>
      <c r="T11" s="189" t="s">
        <v>1283</v>
      </c>
    </row>
    <row r="12" spans="1:87" ht="24.75" customHeight="1" thickBot="1" x14ac:dyDescent="0.25">
      <c r="A12" s="883"/>
      <c r="B12" s="885"/>
      <c r="C12" s="883"/>
      <c r="D12" s="883"/>
      <c r="E12" s="883"/>
      <c r="F12" s="904"/>
      <c r="G12" s="896"/>
      <c r="H12" s="499" t="s">
        <v>2018</v>
      </c>
      <c r="I12" s="494" t="s">
        <v>2013</v>
      </c>
      <c r="J12" s="494" t="s">
        <v>1819</v>
      </c>
      <c r="K12" s="495" t="s">
        <v>1295</v>
      </c>
      <c r="L12" s="502" t="s">
        <v>2018</v>
      </c>
      <c r="M12" s="500" t="s">
        <v>2013</v>
      </c>
      <c r="N12" s="500" t="s">
        <v>1819</v>
      </c>
      <c r="O12" s="513" t="s">
        <v>1295</v>
      </c>
      <c r="P12" s="495" t="s">
        <v>1296</v>
      </c>
    </row>
    <row r="13" spans="1:87" s="514" customFormat="1" ht="34.5" customHeight="1" x14ac:dyDescent="0.2">
      <c r="A13" s="475"/>
      <c r="B13" s="476"/>
      <c r="C13" s="477"/>
      <c r="D13" s="478" t="s">
        <v>2010</v>
      </c>
      <c r="E13" s="409"/>
      <c r="F13" s="479"/>
      <c r="G13" s="411"/>
      <c r="H13" s="410"/>
      <c r="I13" s="480"/>
      <c r="J13" s="480"/>
      <c r="K13" s="480"/>
      <c r="L13" s="480">
        <f>L14+L26+L32+L45+L69+L77+L92+L95+L98+L109+L120+L129+L168+L190+L194+L208+L214+L259+L268+L278</f>
        <v>664297.16</v>
      </c>
      <c r="M13" s="480">
        <f>M14+M26+M32+M45+M69+M77+M92+M95+M98+M109+M120+M129+M168+M190+M194+M208+M214+M259+M268+M278</f>
        <v>31571.1</v>
      </c>
      <c r="N13" s="480">
        <f>N14+N26+N32+N45+N69+N77+N92+N95+N98+N109+N120+N129+N168+N190+N194+N208+N214+N259+N268+N278</f>
        <v>58172.159999999996</v>
      </c>
      <c r="O13" s="480">
        <f>O14+O26+O32+O45+O69+O77+O92+O95+O98+O109+O120+O129+O168+O190+O194+O208+O214+O259+O268+O278</f>
        <v>606124.99000000011</v>
      </c>
      <c r="P13" s="510">
        <f>N13/O13</f>
        <v>9.5973868360055545E-2</v>
      </c>
      <c r="Q13" s="525">
        <f>L13-N13</f>
        <v>606125</v>
      </c>
      <c r="S13" s="190">
        <v>0</v>
      </c>
      <c r="T13" s="190">
        <v>2411.4</v>
      </c>
      <c r="BT13" s="525"/>
      <c r="BU13" s="514">
        <v>2</v>
      </c>
      <c r="BV13" s="514">
        <v>1</v>
      </c>
      <c r="BX13"/>
      <c r="CI13" s="514" t="s">
        <v>2023</v>
      </c>
    </row>
    <row r="14" spans="1:87" x14ac:dyDescent="0.2">
      <c r="A14" s="412">
        <v>1</v>
      </c>
      <c r="B14" s="413"/>
      <c r="C14" s="413"/>
      <c r="D14" s="414" t="s">
        <v>9</v>
      </c>
      <c r="E14" s="415"/>
      <c r="F14" s="417"/>
      <c r="G14" s="418"/>
      <c r="H14" s="416"/>
      <c r="I14" s="420">
        <v>0</v>
      </c>
      <c r="J14" s="421"/>
      <c r="K14" s="420"/>
      <c r="L14" s="419">
        <f>SUM(L15:L25)</f>
        <v>32660.889999999992</v>
      </c>
      <c r="M14" s="419">
        <f>SUM(M15:M25)</f>
        <v>16468.809999999998</v>
      </c>
      <c r="N14" s="419">
        <f>SUM(N15:N25)</f>
        <v>32660.889999999992</v>
      </c>
      <c r="O14" s="419">
        <f>SUM(O15:O25)</f>
        <v>0</v>
      </c>
      <c r="P14" s="423">
        <f t="shared" ref="P14:P77" si="0">N14/L14</f>
        <v>1</v>
      </c>
      <c r="Q14" s="525"/>
      <c r="S14" s="189">
        <v>0</v>
      </c>
      <c r="T14" s="189">
        <v>10</v>
      </c>
      <c r="BT14" s="525"/>
      <c r="BU14" s="523"/>
      <c r="BV14" s="523"/>
      <c r="BW14" s="523"/>
      <c r="BX14" s="523"/>
      <c r="BY14" s="523"/>
      <c r="BZ14" s="523"/>
      <c r="CA14" s="523"/>
      <c r="CB14" s="523"/>
      <c r="CC14" s="523"/>
      <c r="CD14" s="523"/>
      <c r="CE14" s="523"/>
      <c r="CF14" s="523"/>
      <c r="CG14" s="523"/>
      <c r="CH14" s="523"/>
      <c r="CI14" s="523">
        <f>SUM(BU14:CH14)</f>
        <v>0</v>
      </c>
    </row>
    <row r="15" spans="1:87" x14ac:dyDescent="0.2">
      <c r="A15" s="125" t="s">
        <v>10</v>
      </c>
      <c r="B15" s="126" t="s">
        <v>1328</v>
      </c>
      <c r="C15" s="126" t="s">
        <v>1324</v>
      </c>
      <c r="D15" s="127" t="s">
        <v>1329</v>
      </c>
      <c r="E15" s="128" t="s">
        <v>14</v>
      </c>
      <c r="F15" s="129"/>
      <c r="G15" s="130">
        <v>232.25</v>
      </c>
      <c r="H15" s="128">
        <v>10</v>
      </c>
      <c r="I15" s="132">
        <f>BU15</f>
        <v>0</v>
      </c>
      <c r="J15" s="374">
        <f>CI15</f>
        <v>10</v>
      </c>
      <c r="K15" s="132">
        <f>H15-J15</f>
        <v>0</v>
      </c>
      <c r="L15" s="131">
        <f>ROUND(H15*$G15,2)</f>
        <v>2322.5</v>
      </c>
      <c r="M15" s="131">
        <f t="shared" ref="M15:O25" si="1">ROUND(I15*$G15,2)</f>
        <v>0</v>
      </c>
      <c r="N15" s="131">
        <f t="shared" si="1"/>
        <v>2322.5</v>
      </c>
      <c r="O15" s="131">
        <f t="shared" si="1"/>
        <v>0</v>
      </c>
      <c r="P15" s="136">
        <f t="shared" si="0"/>
        <v>1</v>
      </c>
      <c r="Q15" s="525"/>
      <c r="S15" s="189">
        <v>0</v>
      </c>
      <c r="T15" s="189">
        <v>312.39999999999998</v>
      </c>
      <c r="BT15" s="525"/>
      <c r="BU15" s="523">
        <v>0</v>
      </c>
      <c r="BV15" s="523">
        <v>10</v>
      </c>
      <c r="BW15" s="523"/>
      <c r="BX15" s="523"/>
      <c r="BY15" s="523"/>
      <c r="BZ15" s="523"/>
      <c r="CA15" s="523"/>
      <c r="CB15" s="523"/>
      <c r="CC15" s="523"/>
      <c r="CD15" s="523"/>
      <c r="CE15" s="523"/>
      <c r="CF15" s="523"/>
      <c r="CG15" s="523"/>
      <c r="CH15" s="523"/>
      <c r="CI15" s="523">
        <f t="shared" ref="CI15:CI78" si="2">SUM(BU15:CH15)</f>
        <v>10</v>
      </c>
    </row>
    <row r="16" spans="1:87" ht="25.5" customHeight="1" x14ac:dyDescent="0.2">
      <c r="A16" s="125" t="s">
        <v>1330</v>
      </c>
      <c r="B16" s="126" t="s">
        <v>1331</v>
      </c>
      <c r="C16" s="126" t="s">
        <v>1324</v>
      </c>
      <c r="D16" s="127" t="s">
        <v>1332</v>
      </c>
      <c r="E16" s="128" t="s">
        <v>14</v>
      </c>
      <c r="F16" s="137">
        <v>595.62</v>
      </c>
      <c r="G16" s="130">
        <v>39.78</v>
      </c>
      <c r="H16" s="128">
        <v>312.39999999999998</v>
      </c>
      <c r="I16" s="132">
        <f t="shared" ref="I16:I79" si="3">BU16</f>
        <v>203.49999999999997</v>
      </c>
      <c r="J16" s="374">
        <f t="shared" ref="J16:J79" si="4">CI16</f>
        <v>312.39999999999998</v>
      </c>
      <c r="K16" s="132">
        <f t="shared" ref="K16:K31" si="5">H16-J16</f>
        <v>0</v>
      </c>
      <c r="L16" s="131">
        <f t="shared" ref="L16:L25" si="6">ROUND(H16*$G16,2)</f>
        <v>12427.27</v>
      </c>
      <c r="M16" s="131">
        <f t="shared" si="1"/>
        <v>8095.23</v>
      </c>
      <c r="N16" s="131">
        <f t="shared" si="1"/>
        <v>12427.27</v>
      </c>
      <c r="O16" s="131">
        <f t="shared" si="1"/>
        <v>0</v>
      </c>
      <c r="P16" s="136">
        <f t="shared" si="0"/>
        <v>1</v>
      </c>
      <c r="Q16" s="525"/>
      <c r="S16" s="189">
        <v>0</v>
      </c>
      <c r="T16" s="189">
        <v>1</v>
      </c>
      <c r="BT16" s="525"/>
      <c r="BU16" s="523">
        <v>203.49999999999997</v>
      </c>
      <c r="BV16" s="523">
        <v>108.9</v>
      </c>
      <c r="BW16" s="523"/>
      <c r="BX16" s="523"/>
      <c r="BY16" s="523"/>
      <c r="BZ16" s="523"/>
      <c r="CA16" s="523"/>
      <c r="CB16" s="523"/>
      <c r="CC16" s="523"/>
      <c r="CD16" s="523"/>
      <c r="CE16" s="523"/>
      <c r="CF16" s="523"/>
      <c r="CG16" s="523"/>
      <c r="CH16" s="523"/>
      <c r="CI16" s="523">
        <f t="shared" si="2"/>
        <v>312.39999999999998</v>
      </c>
    </row>
    <row r="17" spans="1:87" ht="25.5" x14ac:dyDescent="0.2">
      <c r="A17" s="125" t="s">
        <v>1333</v>
      </c>
      <c r="B17" s="126">
        <v>9540</v>
      </c>
      <c r="C17" s="126" t="s">
        <v>1324</v>
      </c>
      <c r="D17" s="127" t="s">
        <v>1334</v>
      </c>
      <c r="E17" s="128" t="s">
        <v>102</v>
      </c>
      <c r="F17" s="137">
        <v>256.73</v>
      </c>
      <c r="G17" s="130">
        <v>783.05</v>
      </c>
      <c r="H17" s="128">
        <v>1</v>
      </c>
      <c r="I17" s="132">
        <f t="shared" si="3"/>
        <v>1</v>
      </c>
      <c r="J17" s="374">
        <f t="shared" si="4"/>
        <v>1</v>
      </c>
      <c r="K17" s="132">
        <f t="shared" si="5"/>
        <v>0</v>
      </c>
      <c r="L17" s="131">
        <f t="shared" si="6"/>
        <v>783.05</v>
      </c>
      <c r="M17" s="131">
        <f t="shared" si="1"/>
        <v>783.05</v>
      </c>
      <c r="N17" s="131">
        <f t="shared" si="1"/>
        <v>783.05</v>
      </c>
      <c r="O17" s="131">
        <f t="shared" si="1"/>
        <v>0</v>
      </c>
      <c r="P17" s="136">
        <f t="shared" si="0"/>
        <v>1</v>
      </c>
      <c r="Q17" s="525"/>
      <c r="S17" s="189">
        <v>0</v>
      </c>
      <c r="T17" s="189">
        <v>1</v>
      </c>
      <c r="BT17" s="525"/>
      <c r="BU17" s="523">
        <v>1</v>
      </c>
      <c r="BV17" s="523">
        <v>0</v>
      </c>
      <c r="BW17" s="523"/>
      <c r="BX17" s="523"/>
      <c r="BY17" s="523"/>
      <c r="BZ17" s="523"/>
      <c r="CA17" s="523"/>
      <c r="CB17" s="523"/>
      <c r="CC17" s="523"/>
      <c r="CD17" s="523"/>
      <c r="CE17" s="523"/>
      <c r="CF17" s="523"/>
      <c r="CG17" s="523"/>
      <c r="CH17" s="523"/>
      <c r="CI17" s="523">
        <f t="shared" si="2"/>
        <v>1</v>
      </c>
    </row>
    <row r="18" spans="1:87" x14ac:dyDescent="0.2">
      <c r="A18" s="125" t="s">
        <v>1335</v>
      </c>
      <c r="B18" s="126" t="s">
        <v>1336</v>
      </c>
      <c r="C18" s="126" t="s">
        <v>1324</v>
      </c>
      <c r="D18" s="127" t="s">
        <v>1337</v>
      </c>
      <c r="E18" s="128" t="s">
        <v>102</v>
      </c>
      <c r="F18" s="137">
        <v>49.62</v>
      </c>
      <c r="G18" s="130">
        <v>1344.39</v>
      </c>
      <c r="H18" s="128">
        <v>1</v>
      </c>
      <c r="I18" s="132">
        <f t="shared" si="3"/>
        <v>1</v>
      </c>
      <c r="J18" s="374">
        <f t="shared" si="4"/>
        <v>1</v>
      </c>
      <c r="K18" s="132">
        <f t="shared" si="5"/>
        <v>0</v>
      </c>
      <c r="L18" s="131">
        <f t="shared" si="6"/>
        <v>1344.39</v>
      </c>
      <c r="M18" s="131">
        <f t="shared" si="1"/>
        <v>1344.39</v>
      </c>
      <c r="N18" s="131">
        <f t="shared" si="1"/>
        <v>1344.39</v>
      </c>
      <c r="O18" s="131">
        <f t="shared" si="1"/>
        <v>0</v>
      </c>
      <c r="P18" s="136">
        <f t="shared" si="0"/>
        <v>1</v>
      </c>
      <c r="Q18" s="525"/>
      <c r="S18" s="189">
        <v>0</v>
      </c>
      <c r="T18" s="189">
        <v>1</v>
      </c>
      <c r="BT18" s="525"/>
      <c r="BU18" s="523">
        <v>1</v>
      </c>
      <c r="BV18" s="523">
        <v>0</v>
      </c>
      <c r="BW18" s="523"/>
      <c r="BX18" s="523"/>
      <c r="BY18" s="523"/>
      <c r="BZ18" s="523"/>
      <c r="CA18" s="523"/>
      <c r="CB18" s="523"/>
      <c r="CC18" s="523"/>
      <c r="CD18" s="523"/>
      <c r="CE18" s="523"/>
      <c r="CF18" s="523"/>
      <c r="CG18" s="523"/>
      <c r="CH18" s="523"/>
      <c r="CI18" s="523">
        <f t="shared" si="2"/>
        <v>1</v>
      </c>
    </row>
    <row r="19" spans="1:87" x14ac:dyDescent="0.2">
      <c r="A19" s="125" t="s">
        <v>1338</v>
      </c>
      <c r="B19" s="126" t="s">
        <v>2007</v>
      </c>
      <c r="C19" s="126" t="s">
        <v>1339</v>
      </c>
      <c r="D19" s="127" t="s">
        <v>1340</v>
      </c>
      <c r="E19" s="128" t="s">
        <v>102</v>
      </c>
      <c r="F19" s="137">
        <v>5.2</v>
      </c>
      <c r="G19" s="130">
        <v>823.61</v>
      </c>
      <c r="H19" s="128">
        <v>1</v>
      </c>
      <c r="I19" s="132">
        <f t="shared" si="3"/>
        <v>1</v>
      </c>
      <c r="J19" s="374">
        <f t="shared" si="4"/>
        <v>1</v>
      </c>
      <c r="K19" s="132">
        <f t="shared" si="5"/>
        <v>0</v>
      </c>
      <c r="L19" s="131">
        <f t="shared" si="6"/>
        <v>823.61</v>
      </c>
      <c r="M19" s="131">
        <f t="shared" si="1"/>
        <v>823.61</v>
      </c>
      <c r="N19" s="131">
        <f t="shared" si="1"/>
        <v>823.61</v>
      </c>
      <c r="O19" s="131">
        <f t="shared" si="1"/>
        <v>0</v>
      </c>
      <c r="P19" s="136">
        <f t="shared" si="0"/>
        <v>1</v>
      </c>
      <c r="Q19" s="525"/>
      <c r="S19" s="189">
        <v>0</v>
      </c>
      <c r="T19" s="189">
        <v>1</v>
      </c>
      <c r="BT19" s="525"/>
      <c r="BU19" s="523">
        <v>1</v>
      </c>
      <c r="BV19" s="523">
        <v>0</v>
      </c>
      <c r="BW19" s="523"/>
      <c r="BX19" s="523"/>
      <c r="BY19" s="523"/>
      <c r="BZ19" s="523"/>
      <c r="CA19" s="523"/>
      <c r="CB19" s="523"/>
      <c r="CC19" s="523"/>
      <c r="CD19" s="523"/>
      <c r="CE19" s="523"/>
      <c r="CF19" s="523"/>
      <c r="CG19" s="523"/>
      <c r="CH19" s="523"/>
      <c r="CI19" s="523">
        <f t="shared" si="2"/>
        <v>1</v>
      </c>
    </row>
    <row r="20" spans="1:87" ht="25.5" customHeight="1" x14ac:dyDescent="0.2">
      <c r="A20" s="125" t="s">
        <v>1341</v>
      </c>
      <c r="B20" s="126" t="s">
        <v>1342</v>
      </c>
      <c r="C20" s="126" t="s">
        <v>1343</v>
      </c>
      <c r="D20" s="127" t="s">
        <v>1344</v>
      </c>
      <c r="E20" s="128" t="s">
        <v>102</v>
      </c>
      <c r="F20" s="138"/>
      <c r="G20" s="130">
        <v>174.71</v>
      </c>
      <c r="H20" s="128">
        <v>1</v>
      </c>
      <c r="I20" s="132">
        <f t="shared" si="3"/>
        <v>1</v>
      </c>
      <c r="J20" s="374">
        <f t="shared" si="4"/>
        <v>1</v>
      </c>
      <c r="K20" s="132">
        <f t="shared" si="5"/>
        <v>0</v>
      </c>
      <c r="L20" s="131">
        <f t="shared" si="6"/>
        <v>174.71</v>
      </c>
      <c r="M20" s="131">
        <f t="shared" si="1"/>
        <v>174.71</v>
      </c>
      <c r="N20" s="131">
        <f t="shared" si="1"/>
        <v>174.71</v>
      </c>
      <c r="O20" s="131">
        <f t="shared" si="1"/>
        <v>0</v>
      </c>
      <c r="P20" s="136">
        <f t="shared" si="0"/>
        <v>1</v>
      </c>
      <c r="Q20" s="525"/>
      <c r="S20" s="189">
        <v>0</v>
      </c>
      <c r="T20" s="189">
        <v>1</v>
      </c>
      <c r="BT20" s="525"/>
      <c r="BU20" s="523">
        <v>1</v>
      </c>
      <c r="BV20" s="523">
        <v>0</v>
      </c>
      <c r="BW20" s="523"/>
      <c r="BX20" s="523"/>
      <c r="BY20" s="523"/>
      <c r="BZ20" s="523"/>
      <c r="CA20" s="523"/>
      <c r="CB20" s="523"/>
      <c r="CC20" s="523"/>
      <c r="CD20" s="523"/>
      <c r="CE20" s="523"/>
      <c r="CF20" s="523"/>
      <c r="CG20" s="523"/>
      <c r="CH20" s="523"/>
      <c r="CI20" s="523">
        <f t="shared" si="2"/>
        <v>1</v>
      </c>
    </row>
    <row r="21" spans="1:87" ht="25.5" x14ac:dyDescent="0.2">
      <c r="A21" s="125" t="s">
        <v>1345</v>
      </c>
      <c r="B21" s="126" t="s">
        <v>1346</v>
      </c>
      <c r="C21" s="126" t="s">
        <v>1324</v>
      </c>
      <c r="D21" s="127" t="s">
        <v>1347</v>
      </c>
      <c r="E21" s="128" t="s">
        <v>102</v>
      </c>
      <c r="F21" s="129"/>
      <c r="G21" s="130">
        <v>1343.12</v>
      </c>
      <c r="H21" s="128">
        <v>1</v>
      </c>
      <c r="I21" s="132">
        <f t="shared" si="3"/>
        <v>1</v>
      </c>
      <c r="J21" s="374">
        <f t="shared" si="4"/>
        <v>1</v>
      </c>
      <c r="K21" s="132">
        <f t="shared" si="5"/>
        <v>0</v>
      </c>
      <c r="L21" s="131">
        <f t="shared" si="6"/>
        <v>1343.12</v>
      </c>
      <c r="M21" s="131">
        <f t="shared" si="1"/>
        <v>1343.12</v>
      </c>
      <c r="N21" s="131">
        <f t="shared" si="1"/>
        <v>1343.12</v>
      </c>
      <c r="O21" s="131">
        <f t="shared" si="1"/>
        <v>0</v>
      </c>
      <c r="P21" s="136">
        <f t="shared" si="0"/>
        <v>1</v>
      </c>
      <c r="Q21" s="525"/>
      <c r="S21" s="189">
        <v>0</v>
      </c>
      <c r="T21" s="189">
        <v>20</v>
      </c>
      <c r="BT21" s="525"/>
      <c r="BU21" s="523">
        <v>1</v>
      </c>
      <c r="BV21" s="523">
        <v>0</v>
      </c>
      <c r="BW21" s="523"/>
      <c r="BX21" s="523"/>
      <c r="BY21" s="523"/>
      <c r="BZ21" s="523"/>
      <c r="CA21" s="523"/>
      <c r="CB21" s="523"/>
      <c r="CC21" s="523"/>
      <c r="CD21" s="523"/>
      <c r="CE21" s="523"/>
      <c r="CF21" s="523"/>
      <c r="CG21" s="523"/>
      <c r="CH21" s="523"/>
      <c r="CI21" s="523">
        <f t="shared" si="2"/>
        <v>1</v>
      </c>
    </row>
    <row r="22" spans="1:87" x14ac:dyDescent="0.2">
      <c r="A22" s="125" t="s">
        <v>1348</v>
      </c>
      <c r="B22" s="126" t="s">
        <v>1349</v>
      </c>
      <c r="C22" s="126" t="s">
        <v>1324</v>
      </c>
      <c r="D22" s="127" t="s">
        <v>1350</v>
      </c>
      <c r="E22" s="128" t="s">
        <v>14</v>
      </c>
      <c r="F22" s="129"/>
      <c r="G22" s="130">
        <v>390.47</v>
      </c>
      <c r="H22" s="128">
        <v>20</v>
      </c>
      <c r="I22" s="132">
        <f t="shared" si="3"/>
        <v>10</v>
      </c>
      <c r="J22" s="374">
        <f t="shared" si="4"/>
        <v>20</v>
      </c>
      <c r="K22" s="132">
        <f t="shared" si="5"/>
        <v>0</v>
      </c>
      <c r="L22" s="131">
        <f t="shared" si="6"/>
        <v>7809.4</v>
      </c>
      <c r="M22" s="131">
        <f t="shared" si="1"/>
        <v>3904.7</v>
      </c>
      <c r="N22" s="131">
        <f>ROUND(J22*$G22,2)</f>
        <v>7809.4</v>
      </c>
      <c r="O22" s="131">
        <f t="shared" si="1"/>
        <v>0</v>
      </c>
      <c r="P22" s="136">
        <f t="shared" si="0"/>
        <v>1</v>
      </c>
      <c r="Q22" s="525"/>
      <c r="S22" s="189">
        <v>0</v>
      </c>
      <c r="T22" s="189">
        <v>785</v>
      </c>
      <c r="BT22" s="525"/>
      <c r="BU22" s="523">
        <v>10</v>
      </c>
      <c r="BV22" s="523">
        <v>10</v>
      </c>
      <c r="BW22" s="523"/>
      <c r="BX22" s="523"/>
      <c r="BY22" s="523"/>
      <c r="BZ22" s="523"/>
      <c r="CA22" s="523"/>
      <c r="CB22" s="523"/>
      <c r="CC22" s="523"/>
      <c r="CD22" s="523"/>
      <c r="CE22" s="523"/>
      <c r="CF22" s="523"/>
      <c r="CG22" s="523"/>
      <c r="CH22" s="523"/>
      <c r="CI22" s="523">
        <f t="shared" si="2"/>
        <v>20</v>
      </c>
    </row>
    <row r="23" spans="1:87" x14ac:dyDescent="0.2">
      <c r="A23" s="125" t="s">
        <v>1351</v>
      </c>
      <c r="B23" s="126" t="s">
        <v>1352</v>
      </c>
      <c r="C23" s="126" t="s">
        <v>1324</v>
      </c>
      <c r="D23" s="127" t="s">
        <v>1353</v>
      </c>
      <c r="E23" s="128" t="s">
        <v>14</v>
      </c>
      <c r="F23" s="137">
        <v>302.64</v>
      </c>
      <c r="G23" s="130">
        <v>4.0999999999999996</v>
      </c>
      <c r="H23" s="128">
        <v>785</v>
      </c>
      <c r="I23" s="132">
        <f t="shared" si="3"/>
        <v>0</v>
      </c>
      <c r="J23" s="374">
        <f t="shared" si="4"/>
        <v>785</v>
      </c>
      <c r="K23" s="132">
        <f t="shared" si="5"/>
        <v>0</v>
      </c>
      <c r="L23" s="131">
        <f t="shared" si="6"/>
        <v>3218.5</v>
      </c>
      <c r="M23" s="131">
        <f t="shared" si="1"/>
        <v>0</v>
      </c>
      <c r="N23" s="131">
        <f t="shared" si="1"/>
        <v>3218.5</v>
      </c>
      <c r="O23" s="131">
        <f t="shared" si="1"/>
        <v>0</v>
      </c>
      <c r="P23" s="136">
        <f t="shared" si="0"/>
        <v>1</v>
      </c>
      <c r="Q23" s="525"/>
      <c r="S23" s="189">
        <v>0</v>
      </c>
      <c r="T23" s="189">
        <v>49</v>
      </c>
      <c r="BT23" s="525"/>
      <c r="BU23" s="523">
        <v>0</v>
      </c>
      <c r="BV23" s="523">
        <v>785</v>
      </c>
      <c r="BW23" s="523"/>
      <c r="BX23" s="523"/>
      <c r="BY23" s="523"/>
      <c r="BZ23" s="523"/>
      <c r="CA23" s="523"/>
      <c r="CB23" s="523"/>
      <c r="CC23" s="523"/>
      <c r="CD23" s="523"/>
      <c r="CE23" s="523"/>
      <c r="CF23" s="523"/>
      <c r="CG23" s="523"/>
      <c r="CH23" s="523"/>
      <c r="CI23" s="523">
        <f t="shared" si="2"/>
        <v>785</v>
      </c>
    </row>
    <row r="24" spans="1:87" x14ac:dyDescent="0.2">
      <c r="A24" s="125" t="s">
        <v>1354</v>
      </c>
      <c r="B24" s="126" t="s">
        <v>1355</v>
      </c>
      <c r="C24" s="126" t="s">
        <v>1343</v>
      </c>
      <c r="D24" s="127" t="s">
        <v>1356</v>
      </c>
      <c r="E24" s="128" t="s">
        <v>81</v>
      </c>
      <c r="F24" s="137">
        <v>135.94</v>
      </c>
      <c r="G24" s="130">
        <v>46.26</v>
      </c>
      <c r="H24" s="128">
        <v>49</v>
      </c>
      <c r="I24" s="132">
        <f t="shared" si="3"/>
        <v>0</v>
      </c>
      <c r="J24" s="374">
        <f t="shared" si="4"/>
        <v>49</v>
      </c>
      <c r="K24" s="132">
        <f t="shared" si="5"/>
        <v>0</v>
      </c>
      <c r="L24" s="131">
        <f t="shared" si="6"/>
        <v>2266.7399999999998</v>
      </c>
      <c r="M24" s="131">
        <f t="shared" si="1"/>
        <v>0</v>
      </c>
      <c r="N24" s="131">
        <f t="shared" si="1"/>
        <v>2266.7399999999998</v>
      </c>
      <c r="O24" s="131">
        <f t="shared" si="1"/>
        <v>0</v>
      </c>
      <c r="P24" s="136">
        <f t="shared" si="0"/>
        <v>1</v>
      </c>
      <c r="Q24" s="525"/>
      <c r="S24" s="189">
        <v>0</v>
      </c>
      <c r="T24" s="189">
        <v>1230</v>
      </c>
      <c r="BT24" s="525"/>
      <c r="BU24" s="523">
        <v>0</v>
      </c>
      <c r="BV24" s="523">
        <v>49</v>
      </c>
      <c r="BW24" s="523"/>
      <c r="BX24" s="523"/>
      <c r="BY24" s="523"/>
      <c r="BZ24" s="523"/>
      <c r="CA24" s="523"/>
      <c r="CB24" s="523"/>
      <c r="CC24" s="523"/>
      <c r="CD24" s="523"/>
      <c r="CE24" s="523"/>
      <c r="CF24" s="523"/>
      <c r="CG24" s="523"/>
      <c r="CH24" s="523"/>
      <c r="CI24" s="523">
        <f t="shared" si="2"/>
        <v>49</v>
      </c>
    </row>
    <row r="25" spans="1:87" s="514" customFormat="1" x14ac:dyDescent="0.2">
      <c r="A25" s="125" t="s">
        <v>1357</v>
      </c>
      <c r="B25" s="126">
        <v>72213</v>
      </c>
      <c r="C25" s="126" t="s">
        <v>1324</v>
      </c>
      <c r="D25" s="127" t="s">
        <v>1358</v>
      </c>
      <c r="E25" s="128" t="s">
        <v>14</v>
      </c>
      <c r="F25" s="137">
        <v>5.86</v>
      </c>
      <c r="G25" s="130">
        <v>0.12</v>
      </c>
      <c r="H25" s="128">
        <v>1230</v>
      </c>
      <c r="I25" s="132">
        <f t="shared" si="3"/>
        <v>0</v>
      </c>
      <c r="J25" s="374">
        <f t="shared" si="4"/>
        <v>1230</v>
      </c>
      <c r="K25" s="132">
        <f t="shared" si="5"/>
        <v>0</v>
      </c>
      <c r="L25" s="131">
        <f t="shared" si="6"/>
        <v>147.6</v>
      </c>
      <c r="M25" s="131">
        <f t="shared" si="1"/>
        <v>0</v>
      </c>
      <c r="N25" s="131">
        <f t="shared" si="1"/>
        <v>147.6</v>
      </c>
      <c r="O25" s="131">
        <f t="shared" si="1"/>
        <v>0</v>
      </c>
      <c r="P25" s="136">
        <f t="shared" si="0"/>
        <v>1</v>
      </c>
      <c r="Q25" s="525"/>
      <c r="S25" s="190">
        <v>0</v>
      </c>
      <c r="T25" s="190">
        <v>415.90999999999997</v>
      </c>
      <c r="BT25" s="525"/>
      <c r="BU25" s="523">
        <v>0</v>
      </c>
      <c r="BV25" s="523">
        <v>1230</v>
      </c>
      <c r="BW25" s="523"/>
      <c r="BX25" s="523"/>
      <c r="BY25" s="523"/>
      <c r="BZ25" s="523"/>
      <c r="CA25" s="523"/>
      <c r="CB25" s="523"/>
      <c r="CC25" s="523"/>
      <c r="CD25" s="523"/>
      <c r="CE25" s="523"/>
      <c r="CF25" s="523"/>
      <c r="CG25" s="523"/>
      <c r="CH25" s="523"/>
      <c r="CI25" s="523">
        <f t="shared" si="2"/>
        <v>1230</v>
      </c>
    </row>
    <row r="26" spans="1:87" ht="25.5" customHeight="1" x14ac:dyDescent="0.2">
      <c r="A26" s="412">
        <v>2</v>
      </c>
      <c r="B26" s="413"/>
      <c r="C26" s="413"/>
      <c r="D26" s="414" t="s">
        <v>1359</v>
      </c>
      <c r="E26" s="415"/>
      <c r="F26" s="417"/>
      <c r="G26" s="418"/>
      <c r="H26" s="418"/>
      <c r="I26" s="418"/>
      <c r="J26" s="418"/>
      <c r="K26" s="420"/>
      <c r="L26" s="424">
        <f>SUM(L27:L31)</f>
        <v>11015.16</v>
      </c>
      <c r="M26" s="424">
        <f>SUM(M27:M31)</f>
        <v>5440.68</v>
      </c>
      <c r="N26" s="424">
        <f>SUM(N27:N31)</f>
        <v>9062.9500000000007</v>
      </c>
      <c r="O26" s="424">
        <f>SUM(O27:O31)</f>
        <v>1952.21</v>
      </c>
      <c r="P26" s="423">
        <f t="shared" si="0"/>
        <v>0.82277061794835493</v>
      </c>
      <c r="Q26" s="525"/>
      <c r="S26" s="189">
        <v>0</v>
      </c>
      <c r="T26" s="189">
        <v>154.94</v>
      </c>
      <c r="BT26" s="525"/>
      <c r="BU26" s="523">
        <v>194.56</v>
      </c>
      <c r="BV26" s="523">
        <v>158.464</v>
      </c>
      <c r="BW26" s="523"/>
      <c r="BX26" s="523"/>
      <c r="BY26" s="523"/>
      <c r="BZ26" s="523"/>
      <c r="CA26" s="523"/>
      <c r="CB26" s="523"/>
      <c r="CC26" s="523"/>
      <c r="CD26" s="523"/>
      <c r="CE26" s="523"/>
      <c r="CF26" s="523"/>
      <c r="CG26" s="523"/>
      <c r="CH26" s="523"/>
      <c r="CI26" s="523">
        <f t="shared" si="2"/>
        <v>353.024</v>
      </c>
    </row>
    <row r="27" spans="1:87" ht="25.5" x14ac:dyDescent="0.2">
      <c r="A27" s="125" t="s">
        <v>27</v>
      </c>
      <c r="B27" s="126">
        <v>55835</v>
      </c>
      <c r="C27" s="126" t="s">
        <v>1324</v>
      </c>
      <c r="D27" s="127" t="s">
        <v>1360</v>
      </c>
      <c r="E27" s="128" t="s">
        <v>48</v>
      </c>
      <c r="F27" s="129"/>
      <c r="G27" s="130">
        <v>29.27</v>
      </c>
      <c r="H27" s="128">
        <v>154.94</v>
      </c>
      <c r="I27" s="132">
        <f t="shared" si="3"/>
        <v>154.94</v>
      </c>
      <c r="J27" s="374">
        <f t="shared" si="4"/>
        <v>154.94</v>
      </c>
      <c r="K27" s="132">
        <f t="shared" si="5"/>
        <v>0</v>
      </c>
      <c r="L27" s="131">
        <f t="shared" ref="L27:O31" si="7">ROUND(H27*$G27,2)</f>
        <v>4535.09</v>
      </c>
      <c r="M27" s="131">
        <f t="shared" si="7"/>
        <v>4535.09</v>
      </c>
      <c r="N27" s="131">
        <f t="shared" si="7"/>
        <v>4535.09</v>
      </c>
      <c r="O27" s="131">
        <f t="shared" si="7"/>
        <v>0</v>
      </c>
      <c r="P27" s="136">
        <f t="shared" si="0"/>
        <v>1</v>
      </c>
      <c r="Q27" s="525"/>
      <c r="S27" s="189">
        <v>0</v>
      </c>
      <c r="T27" s="189">
        <v>83.25</v>
      </c>
      <c r="BT27" s="525"/>
      <c r="BU27" s="523">
        <v>154.94</v>
      </c>
      <c r="BV27" s="523">
        <v>0</v>
      </c>
      <c r="BW27" s="523"/>
      <c r="BX27" s="523"/>
      <c r="BY27" s="523"/>
      <c r="BZ27" s="523"/>
      <c r="CA27" s="523"/>
      <c r="CB27" s="523"/>
      <c r="CC27" s="523"/>
      <c r="CD27" s="523"/>
      <c r="CE27" s="523"/>
      <c r="CF27" s="523"/>
      <c r="CG27" s="523"/>
      <c r="CH27" s="523"/>
      <c r="CI27" s="523">
        <f t="shared" si="2"/>
        <v>154.94</v>
      </c>
    </row>
    <row r="28" spans="1:87" x14ac:dyDescent="0.2">
      <c r="A28" s="125" t="s">
        <v>1263</v>
      </c>
      <c r="B28" s="126">
        <v>79478</v>
      </c>
      <c r="C28" s="126" t="s">
        <v>1324</v>
      </c>
      <c r="D28" s="127" t="s">
        <v>1361</v>
      </c>
      <c r="E28" s="128" t="s">
        <v>48</v>
      </c>
      <c r="F28" s="137">
        <v>302.64</v>
      </c>
      <c r="G28" s="130">
        <v>46.94</v>
      </c>
      <c r="H28" s="128">
        <v>83.25</v>
      </c>
      <c r="I28" s="132">
        <f t="shared" si="3"/>
        <v>16.650000000000006</v>
      </c>
      <c r="J28" s="374">
        <f t="shared" si="4"/>
        <v>83.250000000000014</v>
      </c>
      <c r="K28" s="132">
        <f t="shared" si="5"/>
        <v>0</v>
      </c>
      <c r="L28" s="131">
        <f t="shared" si="7"/>
        <v>3907.76</v>
      </c>
      <c r="M28" s="131">
        <f t="shared" si="7"/>
        <v>781.55</v>
      </c>
      <c r="N28" s="131">
        <f t="shared" si="7"/>
        <v>3907.76</v>
      </c>
      <c r="O28" s="131">
        <f t="shared" si="7"/>
        <v>0</v>
      </c>
      <c r="P28" s="136">
        <f t="shared" si="0"/>
        <v>1</v>
      </c>
      <c r="Q28" s="525"/>
      <c r="S28" s="189">
        <v>0</v>
      </c>
      <c r="T28" s="189">
        <v>114.83</v>
      </c>
      <c r="BT28" s="525"/>
      <c r="BU28" s="523">
        <v>16.650000000000006</v>
      </c>
      <c r="BV28" s="523">
        <v>66.600000000000009</v>
      </c>
      <c r="BW28" s="523"/>
      <c r="BX28" s="523"/>
      <c r="BY28" s="523"/>
      <c r="BZ28" s="523"/>
      <c r="CA28" s="523"/>
      <c r="CB28" s="523"/>
      <c r="CC28" s="523"/>
      <c r="CD28" s="523"/>
      <c r="CE28" s="523"/>
      <c r="CF28" s="523"/>
      <c r="CG28" s="523"/>
      <c r="CH28" s="523"/>
      <c r="CI28" s="523">
        <f t="shared" si="2"/>
        <v>83.250000000000014</v>
      </c>
    </row>
    <row r="29" spans="1:87" x14ac:dyDescent="0.2">
      <c r="A29" s="125" t="s">
        <v>1362</v>
      </c>
      <c r="B29" s="126">
        <v>79483</v>
      </c>
      <c r="C29" s="126" t="s">
        <v>1324</v>
      </c>
      <c r="D29" s="127" t="s">
        <v>1363</v>
      </c>
      <c r="E29" s="128" t="s">
        <v>14</v>
      </c>
      <c r="F29" s="137">
        <v>135.94</v>
      </c>
      <c r="G29" s="130">
        <v>5.4</v>
      </c>
      <c r="H29" s="128">
        <v>114.83</v>
      </c>
      <c r="I29" s="132">
        <f t="shared" si="3"/>
        <v>22.97</v>
      </c>
      <c r="J29" s="374">
        <f t="shared" si="4"/>
        <v>114.834</v>
      </c>
      <c r="K29" s="132">
        <f t="shared" si="5"/>
        <v>-4.0000000000048885E-3</v>
      </c>
      <c r="L29" s="131">
        <f t="shared" si="7"/>
        <v>620.08000000000004</v>
      </c>
      <c r="M29" s="131">
        <f t="shared" si="7"/>
        <v>124.04</v>
      </c>
      <c r="N29" s="131">
        <f t="shared" si="7"/>
        <v>620.1</v>
      </c>
      <c r="O29" s="131">
        <f t="shared" si="7"/>
        <v>-0.02</v>
      </c>
      <c r="P29" s="136">
        <f t="shared" si="0"/>
        <v>1.0000322539027222</v>
      </c>
      <c r="Q29" s="525"/>
      <c r="S29" s="189">
        <v>0</v>
      </c>
      <c r="T29" s="189">
        <v>62.89</v>
      </c>
      <c r="BT29" s="525"/>
      <c r="BU29" s="523">
        <v>22.97</v>
      </c>
      <c r="BV29" s="523">
        <v>91.864000000000004</v>
      </c>
      <c r="BW29" s="523"/>
      <c r="BX29" s="523"/>
      <c r="BY29" s="523"/>
      <c r="BZ29" s="523"/>
      <c r="CA29" s="523"/>
      <c r="CB29" s="523"/>
      <c r="CC29" s="523"/>
      <c r="CD29" s="523"/>
      <c r="CE29" s="523"/>
      <c r="CF29" s="523"/>
      <c r="CG29" s="523"/>
      <c r="CH29" s="523"/>
      <c r="CI29" s="523">
        <f t="shared" si="2"/>
        <v>114.834</v>
      </c>
    </row>
    <row r="30" spans="1:87" x14ac:dyDescent="0.2">
      <c r="A30" s="125" t="s">
        <v>1364</v>
      </c>
      <c r="B30" s="126">
        <v>53527</v>
      </c>
      <c r="C30" s="126" t="s">
        <v>1324</v>
      </c>
      <c r="D30" s="127" t="s">
        <v>1365</v>
      </c>
      <c r="E30" s="128" t="s">
        <v>48</v>
      </c>
      <c r="F30" s="137">
        <v>5.86</v>
      </c>
      <c r="G30" s="130">
        <v>20.57</v>
      </c>
      <c r="H30" s="128">
        <v>62.89</v>
      </c>
      <c r="I30" s="132">
        <f t="shared" si="3"/>
        <v>0</v>
      </c>
      <c r="J30" s="374">
        <f t="shared" si="4"/>
        <v>0</v>
      </c>
      <c r="K30" s="132">
        <f t="shared" si="5"/>
        <v>62.89</v>
      </c>
      <c r="L30" s="131">
        <f t="shared" si="7"/>
        <v>1293.6500000000001</v>
      </c>
      <c r="M30" s="131">
        <f t="shared" si="7"/>
        <v>0</v>
      </c>
      <c r="N30" s="131">
        <f t="shared" si="7"/>
        <v>0</v>
      </c>
      <c r="O30" s="131">
        <f t="shared" si="7"/>
        <v>1293.6500000000001</v>
      </c>
      <c r="P30" s="136">
        <f t="shared" si="0"/>
        <v>0</v>
      </c>
      <c r="Q30" s="525"/>
      <c r="S30" s="189">
        <v>0</v>
      </c>
      <c r="T30" s="189">
        <v>0</v>
      </c>
      <c r="BT30" s="525"/>
      <c r="BU30" s="523"/>
      <c r="BV30" s="523">
        <v>0</v>
      </c>
      <c r="BW30" s="523"/>
      <c r="BX30" s="523"/>
      <c r="BY30" s="523"/>
      <c r="BZ30" s="523"/>
      <c r="CA30" s="523"/>
      <c r="CB30" s="523"/>
      <c r="CC30" s="523"/>
      <c r="CD30" s="523"/>
      <c r="CE30" s="523"/>
      <c r="CF30" s="523"/>
      <c r="CG30" s="523"/>
      <c r="CH30" s="523"/>
      <c r="CI30" s="523">
        <f t="shared" si="2"/>
        <v>0</v>
      </c>
    </row>
    <row r="31" spans="1:87" s="514" customFormat="1" x14ac:dyDescent="0.2">
      <c r="A31" s="125" t="s">
        <v>1366</v>
      </c>
      <c r="B31" s="126">
        <v>55835</v>
      </c>
      <c r="C31" s="126" t="s">
        <v>1324</v>
      </c>
      <c r="D31" s="127" t="s">
        <v>1367</v>
      </c>
      <c r="E31" s="128" t="s">
        <v>48</v>
      </c>
      <c r="F31" s="137">
        <v>59.37</v>
      </c>
      <c r="G31" s="130">
        <v>29.27</v>
      </c>
      <c r="H31" s="128">
        <v>22.5</v>
      </c>
      <c r="I31" s="132">
        <f t="shared" si="3"/>
        <v>0</v>
      </c>
      <c r="J31" s="374">
        <f t="shared" si="4"/>
        <v>0</v>
      </c>
      <c r="K31" s="132">
        <f t="shared" si="5"/>
        <v>22.5</v>
      </c>
      <c r="L31" s="131">
        <f t="shared" si="7"/>
        <v>658.58</v>
      </c>
      <c r="M31" s="131">
        <f t="shared" si="7"/>
        <v>0</v>
      </c>
      <c r="N31" s="131">
        <f t="shared" si="7"/>
        <v>0</v>
      </c>
      <c r="O31" s="131">
        <f t="shared" si="7"/>
        <v>658.58</v>
      </c>
      <c r="P31" s="136">
        <f t="shared" si="0"/>
        <v>0</v>
      </c>
      <c r="Q31" s="525"/>
      <c r="S31" s="190">
        <v>0</v>
      </c>
      <c r="T31" s="190">
        <v>1922.15</v>
      </c>
      <c r="BT31" s="525"/>
      <c r="BU31" s="523">
        <v>0</v>
      </c>
      <c r="BV31" s="523">
        <v>0</v>
      </c>
      <c r="BW31" s="523"/>
      <c r="BX31" s="523"/>
      <c r="BY31" s="523"/>
      <c r="BZ31" s="523"/>
      <c r="CA31" s="523"/>
      <c r="CB31" s="523"/>
      <c r="CC31" s="523"/>
      <c r="CD31" s="523"/>
      <c r="CE31" s="523"/>
      <c r="CF31" s="523"/>
      <c r="CG31" s="523"/>
      <c r="CH31" s="523"/>
      <c r="CI31" s="523">
        <f t="shared" si="2"/>
        <v>0</v>
      </c>
    </row>
    <row r="32" spans="1:87" s="514" customFormat="1" x14ac:dyDescent="0.2">
      <c r="A32" s="412">
        <v>3</v>
      </c>
      <c r="B32" s="413"/>
      <c r="C32" s="413"/>
      <c r="D32" s="414" t="s">
        <v>1368</v>
      </c>
      <c r="E32" s="415"/>
      <c r="F32" s="417"/>
      <c r="G32" s="418"/>
      <c r="H32" s="418"/>
      <c r="I32" s="418"/>
      <c r="J32" s="418"/>
      <c r="K32" s="418"/>
      <c r="L32" s="424">
        <f>SUM(L33,L39)</f>
        <v>35418.720000000001</v>
      </c>
      <c r="M32" s="424">
        <f>SUM(M33,M39)</f>
        <v>9661.61</v>
      </c>
      <c r="N32" s="424">
        <f>SUM(N33,N39)</f>
        <v>16448.32</v>
      </c>
      <c r="O32" s="424">
        <f>SUM(O33,O39)</f>
        <v>18970.39</v>
      </c>
      <c r="P32" s="423">
        <f t="shared" si="0"/>
        <v>0.4643962288868711</v>
      </c>
      <c r="Q32" s="525"/>
      <c r="S32" s="190">
        <v>0</v>
      </c>
      <c r="T32" s="190">
        <v>1242.5800000000002</v>
      </c>
      <c r="BT32" s="525"/>
      <c r="BU32" s="523">
        <v>504.28000000000003</v>
      </c>
      <c r="BV32" s="523">
        <v>727.32</v>
      </c>
      <c r="BW32" s="523"/>
      <c r="BX32" s="523"/>
      <c r="BY32" s="523"/>
      <c r="BZ32" s="523"/>
      <c r="CA32" s="523"/>
      <c r="CB32" s="523"/>
      <c r="CC32" s="523"/>
      <c r="CD32" s="523"/>
      <c r="CE32" s="523"/>
      <c r="CF32" s="523"/>
      <c r="CG32" s="523"/>
      <c r="CH32" s="523"/>
      <c r="CI32" s="523">
        <f t="shared" si="2"/>
        <v>1231.6000000000001</v>
      </c>
    </row>
    <row r="33" spans="1:87" x14ac:dyDescent="0.2">
      <c r="A33" s="449" t="s">
        <v>41</v>
      </c>
      <c r="B33" s="450"/>
      <c r="C33" s="450"/>
      <c r="D33" s="451" t="s">
        <v>1369</v>
      </c>
      <c r="E33" s="452"/>
      <c r="F33" s="453"/>
      <c r="G33" s="454"/>
      <c r="H33" s="454"/>
      <c r="I33" s="454"/>
      <c r="J33" s="454"/>
      <c r="K33" s="454"/>
      <c r="L33" s="455">
        <f>SUM(L34:L38)</f>
        <v>16448.150000000001</v>
      </c>
      <c r="M33" s="455">
        <f>SUM(M34:M38)</f>
        <v>9661.61</v>
      </c>
      <c r="N33" s="455">
        <f>SUM(N34:N38)</f>
        <v>16448.32</v>
      </c>
      <c r="O33" s="455">
        <f>SUM(O34:O38)</f>
        <v>-0.18000000000000002</v>
      </c>
      <c r="P33" s="459">
        <f t="shared" si="0"/>
        <v>1.0000103355088565</v>
      </c>
      <c r="Q33" s="525"/>
      <c r="S33" s="189">
        <v>0</v>
      </c>
      <c r="T33" s="189">
        <v>3.7699999999999996</v>
      </c>
      <c r="BT33" s="525"/>
      <c r="BU33" s="523">
        <v>504.28000000000003</v>
      </c>
      <c r="BV33" s="523">
        <v>727.32</v>
      </c>
      <c r="BW33" s="523"/>
      <c r="BX33" s="523"/>
      <c r="BY33" s="523"/>
      <c r="BZ33" s="523"/>
      <c r="CA33" s="523"/>
      <c r="CB33" s="523"/>
      <c r="CC33" s="523"/>
      <c r="CD33" s="523"/>
      <c r="CE33" s="523"/>
      <c r="CF33" s="523"/>
      <c r="CG33" s="523"/>
      <c r="CH33" s="523"/>
      <c r="CI33" s="523">
        <f t="shared" si="2"/>
        <v>1231.6000000000001</v>
      </c>
    </row>
    <row r="34" spans="1:87" x14ac:dyDescent="0.2">
      <c r="A34" s="146" t="s">
        <v>43</v>
      </c>
      <c r="B34" s="126">
        <v>83532</v>
      </c>
      <c r="C34" s="126" t="s">
        <v>1324</v>
      </c>
      <c r="D34" s="127" t="s">
        <v>1370</v>
      </c>
      <c r="E34" s="128" t="s">
        <v>48</v>
      </c>
      <c r="F34" s="129"/>
      <c r="G34" s="130">
        <v>19.86</v>
      </c>
      <c r="H34" s="147">
        <v>3.77</v>
      </c>
      <c r="I34" s="132">
        <f t="shared" si="3"/>
        <v>3.77</v>
      </c>
      <c r="J34" s="374">
        <f t="shared" si="4"/>
        <v>3.77</v>
      </c>
      <c r="K34" s="132">
        <f t="shared" ref="K34:K44" si="8">H34-J34</f>
        <v>0</v>
      </c>
      <c r="L34" s="131">
        <f t="shared" ref="L34:O38" si="9">ROUND(H34*$G34,2)</f>
        <v>74.87</v>
      </c>
      <c r="M34" s="131">
        <f t="shared" si="9"/>
        <v>74.87</v>
      </c>
      <c r="N34" s="131">
        <f t="shared" si="9"/>
        <v>74.87</v>
      </c>
      <c r="O34" s="131">
        <f t="shared" si="9"/>
        <v>0</v>
      </c>
      <c r="P34" s="136">
        <f t="shared" si="0"/>
        <v>1</v>
      </c>
      <c r="Q34" s="525"/>
      <c r="S34" s="189">
        <v>0</v>
      </c>
      <c r="T34" s="189">
        <v>63.02</v>
      </c>
      <c r="BT34" s="525"/>
      <c r="BU34" s="523">
        <v>3.77</v>
      </c>
      <c r="BV34" s="523">
        <v>0</v>
      </c>
      <c r="BW34" s="523"/>
      <c r="BX34" s="523"/>
      <c r="BY34" s="523"/>
      <c r="BZ34" s="523"/>
      <c r="CA34" s="523"/>
      <c r="CB34" s="523"/>
      <c r="CC34" s="523"/>
      <c r="CD34" s="523"/>
      <c r="CE34" s="523"/>
      <c r="CF34" s="523"/>
      <c r="CG34" s="523"/>
      <c r="CH34" s="523"/>
      <c r="CI34" s="523">
        <f t="shared" si="2"/>
        <v>3.77</v>
      </c>
    </row>
    <row r="35" spans="1:87" ht="25.5" customHeight="1" x14ac:dyDescent="0.2">
      <c r="A35" s="146" t="s">
        <v>45</v>
      </c>
      <c r="B35" s="126">
        <v>5970</v>
      </c>
      <c r="C35" s="126" t="s">
        <v>1324</v>
      </c>
      <c r="D35" s="127" t="s">
        <v>1371</v>
      </c>
      <c r="E35" s="128" t="s">
        <v>14</v>
      </c>
      <c r="F35" s="137">
        <v>60.66</v>
      </c>
      <c r="G35" s="130">
        <v>93.42</v>
      </c>
      <c r="H35" s="147">
        <v>63.02</v>
      </c>
      <c r="I35" s="132">
        <f t="shared" si="3"/>
        <v>25.21</v>
      </c>
      <c r="J35" s="374">
        <f t="shared" si="4"/>
        <v>63.021999999999998</v>
      </c>
      <c r="K35" s="132">
        <f t="shared" si="8"/>
        <v>-1.9999999999953388E-3</v>
      </c>
      <c r="L35" s="131">
        <f t="shared" si="9"/>
        <v>5887.33</v>
      </c>
      <c r="M35" s="131">
        <f t="shared" si="9"/>
        <v>2355.12</v>
      </c>
      <c r="N35" s="131">
        <f t="shared" si="9"/>
        <v>5887.52</v>
      </c>
      <c r="O35" s="131">
        <f t="shared" si="9"/>
        <v>-0.19</v>
      </c>
      <c r="P35" s="136">
        <f t="shared" si="0"/>
        <v>1.0000322726940736</v>
      </c>
      <c r="Q35" s="525"/>
      <c r="S35" s="189">
        <v>0</v>
      </c>
      <c r="T35" s="189">
        <v>1094.27</v>
      </c>
      <c r="BT35" s="525"/>
      <c r="BU35" s="523">
        <v>25.21</v>
      </c>
      <c r="BV35" s="523">
        <v>37.811999999999998</v>
      </c>
      <c r="BW35" s="523"/>
      <c r="BX35" s="523"/>
      <c r="BY35" s="523"/>
      <c r="BZ35" s="523"/>
      <c r="CA35" s="523"/>
      <c r="CB35" s="523"/>
      <c r="CC35" s="523"/>
      <c r="CD35" s="523"/>
      <c r="CE35" s="523"/>
      <c r="CF35" s="523"/>
      <c r="CG35" s="523"/>
      <c r="CH35" s="523"/>
      <c r="CI35" s="523">
        <f t="shared" si="2"/>
        <v>63.021999999999998</v>
      </c>
    </row>
    <row r="36" spans="1:87" ht="25.5" customHeight="1" x14ac:dyDescent="0.2">
      <c r="A36" s="146" t="s">
        <v>47</v>
      </c>
      <c r="B36" s="126">
        <v>92793</v>
      </c>
      <c r="C36" s="126" t="s">
        <v>1324</v>
      </c>
      <c r="D36" s="127" t="s">
        <v>1372</v>
      </c>
      <c r="E36" s="128" t="s">
        <v>35</v>
      </c>
      <c r="F36" s="137">
        <v>5.86</v>
      </c>
      <c r="G36" s="130">
        <v>4.6500000000000004</v>
      </c>
      <c r="H36" s="147">
        <v>1094.27</v>
      </c>
      <c r="I36" s="132">
        <f t="shared" si="3"/>
        <v>437.71000000000004</v>
      </c>
      <c r="J36" s="374">
        <f t="shared" si="4"/>
        <v>1094.2719999999999</v>
      </c>
      <c r="K36" s="132">
        <f t="shared" si="8"/>
        <v>-1.9999999999527063E-3</v>
      </c>
      <c r="L36" s="131">
        <f t="shared" si="9"/>
        <v>5088.3599999999997</v>
      </c>
      <c r="M36" s="131">
        <f t="shared" si="9"/>
        <v>2035.35</v>
      </c>
      <c r="N36" s="131">
        <f t="shared" si="9"/>
        <v>5088.3599999999997</v>
      </c>
      <c r="O36" s="131">
        <f t="shared" si="9"/>
        <v>-0.01</v>
      </c>
      <c r="P36" s="136">
        <f t="shared" si="0"/>
        <v>1</v>
      </c>
      <c r="Q36" s="525"/>
      <c r="S36" s="189">
        <v>0</v>
      </c>
      <c r="T36" s="189">
        <v>65.89</v>
      </c>
      <c r="BT36" s="525"/>
      <c r="BU36" s="523">
        <v>437.71000000000004</v>
      </c>
      <c r="BV36" s="523">
        <v>656.56200000000001</v>
      </c>
      <c r="BW36" s="523"/>
      <c r="BX36" s="523"/>
      <c r="BY36" s="523"/>
      <c r="BZ36" s="523"/>
      <c r="CA36" s="523"/>
      <c r="CB36" s="523"/>
      <c r="CC36" s="523"/>
      <c r="CD36" s="523"/>
      <c r="CE36" s="523"/>
      <c r="CF36" s="523"/>
      <c r="CG36" s="523"/>
      <c r="CH36" s="523"/>
      <c r="CI36" s="523">
        <f t="shared" si="2"/>
        <v>1094.2719999999999</v>
      </c>
    </row>
    <row r="37" spans="1:87" ht="25.5" x14ac:dyDescent="0.2">
      <c r="A37" s="146" t="s">
        <v>49</v>
      </c>
      <c r="B37" s="126">
        <v>92791</v>
      </c>
      <c r="C37" s="126" t="s">
        <v>1324</v>
      </c>
      <c r="D37" s="127" t="s">
        <v>1373</v>
      </c>
      <c r="E37" s="128" t="s">
        <v>35</v>
      </c>
      <c r="F37" s="137">
        <v>302.64</v>
      </c>
      <c r="G37" s="130">
        <v>6.11</v>
      </c>
      <c r="H37" s="147">
        <v>54.91</v>
      </c>
      <c r="I37" s="132">
        <f t="shared" si="3"/>
        <v>21.959999999999994</v>
      </c>
      <c r="J37" s="374">
        <f t="shared" si="4"/>
        <v>54.905999999999992</v>
      </c>
      <c r="K37" s="132">
        <f t="shared" si="8"/>
        <v>4.0000000000048885E-3</v>
      </c>
      <c r="L37" s="131">
        <f t="shared" si="9"/>
        <v>335.5</v>
      </c>
      <c r="M37" s="131">
        <f t="shared" si="9"/>
        <v>134.18</v>
      </c>
      <c r="N37" s="131">
        <f t="shared" si="9"/>
        <v>335.48</v>
      </c>
      <c r="O37" s="131">
        <f t="shared" si="9"/>
        <v>0.02</v>
      </c>
      <c r="P37" s="136">
        <f t="shared" si="0"/>
        <v>0.99994038748137115</v>
      </c>
      <c r="Q37" s="525"/>
      <c r="S37" s="189">
        <v>0</v>
      </c>
      <c r="T37" s="189">
        <v>15.630000000000003</v>
      </c>
      <c r="BT37" s="525"/>
      <c r="BU37" s="523">
        <v>21.959999999999994</v>
      </c>
      <c r="BV37" s="523">
        <v>32.945999999999998</v>
      </c>
      <c r="BW37" s="523"/>
      <c r="BX37" s="523"/>
      <c r="BY37" s="523"/>
      <c r="BZ37" s="523"/>
      <c r="CA37" s="523"/>
      <c r="CB37" s="523"/>
      <c r="CC37" s="523"/>
      <c r="CD37" s="523"/>
      <c r="CE37" s="523"/>
      <c r="CF37" s="523"/>
      <c r="CG37" s="523"/>
      <c r="CH37" s="523"/>
      <c r="CI37" s="523">
        <f t="shared" si="2"/>
        <v>54.905999999999992</v>
      </c>
    </row>
    <row r="38" spans="1:87" s="514" customFormat="1" x14ac:dyDescent="0.2">
      <c r="A38" s="146" t="s">
        <v>1374</v>
      </c>
      <c r="B38" s="126">
        <v>92720</v>
      </c>
      <c r="C38" s="126" t="s">
        <v>1324</v>
      </c>
      <c r="D38" s="127" t="s">
        <v>1375</v>
      </c>
      <c r="E38" s="128" t="s">
        <v>48</v>
      </c>
      <c r="F38" s="137">
        <v>135.94</v>
      </c>
      <c r="G38" s="130">
        <v>323.87</v>
      </c>
      <c r="H38" s="147">
        <v>15.63</v>
      </c>
      <c r="I38" s="132">
        <f t="shared" si="3"/>
        <v>15.63</v>
      </c>
      <c r="J38" s="374">
        <f t="shared" si="4"/>
        <v>15.63</v>
      </c>
      <c r="K38" s="132">
        <f t="shared" si="8"/>
        <v>0</v>
      </c>
      <c r="L38" s="131">
        <f t="shared" si="9"/>
        <v>5062.09</v>
      </c>
      <c r="M38" s="131">
        <f t="shared" si="9"/>
        <v>5062.09</v>
      </c>
      <c r="N38" s="131">
        <f t="shared" si="9"/>
        <v>5062.09</v>
      </c>
      <c r="O38" s="131">
        <f t="shared" si="9"/>
        <v>0</v>
      </c>
      <c r="P38" s="136">
        <f t="shared" si="0"/>
        <v>1</v>
      </c>
      <c r="Q38" s="525"/>
      <c r="S38" s="190">
        <v>0</v>
      </c>
      <c r="T38" s="190">
        <v>679.56999999999994</v>
      </c>
      <c r="BT38" s="525"/>
      <c r="BU38" s="523">
        <v>15.63</v>
      </c>
      <c r="BV38" s="523">
        <v>0</v>
      </c>
      <c r="BW38" s="523"/>
      <c r="BX38" s="523"/>
      <c r="BY38" s="523"/>
      <c r="BZ38" s="523"/>
      <c r="CA38" s="523"/>
      <c r="CB38" s="523"/>
      <c r="CC38" s="523"/>
      <c r="CD38" s="523"/>
      <c r="CE38" s="523"/>
      <c r="CF38" s="523"/>
      <c r="CG38" s="523"/>
      <c r="CH38" s="523"/>
      <c r="CI38" s="523">
        <f t="shared" si="2"/>
        <v>15.63</v>
      </c>
    </row>
    <row r="39" spans="1:87" x14ac:dyDescent="0.2">
      <c r="A39" s="449" t="s">
        <v>50</v>
      </c>
      <c r="B39" s="450"/>
      <c r="C39" s="450"/>
      <c r="D39" s="451" t="s">
        <v>1376</v>
      </c>
      <c r="E39" s="452"/>
      <c r="F39" s="453"/>
      <c r="G39" s="454"/>
      <c r="H39" s="472"/>
      <c r="I39" s="456">
        <f t="shared" si="3"/>
        <v>0</v>
      </c>
      <c r="J39" s="457"/>
      <c r="K39" s="456">
        <v>0</v>
      </c>
      <c r="L39" s="454">
        <f>SUM(L40:L44)</f>
        <v>18970.57</v>
      </c>
      <c r="M39" s="454">
        <f>SUM(M40:M44)</f>
        <v>0</v>
      </c>
      <c r="N39" s="454">
        <f>SUM(N40:N44)</f>
        <v>0</v>
      </c>
      <c r="O39" s="454">
        <f>SUM(O40:O44)</f>
        <v>18970.57</v>
      </c>
      <c r="P39" s="459">
        <f t="shared" si="0"/>
        <v>0</v>
      </c>
      <c r="Q39" s="525"/>
      <c r="S39" s="189">
        <v>0</v>
      </c>
      <c r="T39" s="189">
        <v>2.58</v>
      </c>
      <c r="BT39" s="525"/>
      <c r="BU39" s="523">
        <v>0</v>
      </c>
      <c r="BV39" s="523">
        <v>0</v>
      </c>
      <c r="BW39" s="523"/>
      <c r="BX39" s="523"/>
      <c r="BY39" s="523"/>
      <c r="BZ39" s="523"/>
      <c r="CA39" s="523"/>
      <c r="CB39" s="523"/>
      <c r="CC39" s="523"/>
      <c r="CD39" s="523"/>
      <c r="CE39" s="523"/>
      <c r="CF39" s="523"/>
      <c r="CG39" s="523"/>
      <c r="CH39" s="523"/>
      <c r="CI39" s="523">
        <f t="shared" si="2"/>
        <v>0</v>
      </c>
    </row>
    <row r="40" spans="1:87" x14ac:dyDescent="0.2">
      <c r="A40" s="125" t="s">
        <v>52</v>
      </c>
      <c r="B40" s="126">
        <v>83532</v>
      </c>
      <c r="C40" s="126" t="s">
        <v>1324</v>
      </c>
      <c r="D40" s="127" t="s">
        <v>1370</v>
      </c>
      <c r="E40" s="128" t="s">
        <v>48</v>
      </c>
      <c r="F40" s="137">
        <v>60.66</v>
      </c>
      <c r="G40" s="130">
        <v>19.86</v>
      </c>
      <c r="H40" s="147">
        <v>2.58</v>
      </c>
      <c r="I40" s="132">
        <f t="shared" si="3"/>
        <v>0</v>
      </c>
      <c r="J40" s="374">
        <f t="shared" si="4"/>
        <v>0</v>
      </c>
      <c r="K40" s="132">
        <f t="shared" si="8"/>
        <v>2.58</v>
      </c>
      <c r="L40" s="131">
        <f t="shared" ref="L40:O44" si="10">ROUND(H40*$G40,2)</f>
        <v>51.24</v>
      </c>
      <c r="M40" s="131">
        <f t="shared" si="10"/>
        <v>0</v>
      </c>
      <c r="N40" s="131">
        <f t="shared" si="10"/>
        <v>0</v>
      </c>
      <c r="O40" s="131">
        <f t="shared" si="10"/>
        <v>51.24</v>
      </c>
      <c r="P40" s="136">
        <f t="shared" si="0"/>
        <v>0</v>
      </c>
      <c r="Q40" s="525"/>
      <c r="S40" s="189">
        <v>0</v>
      </c>
      <c r="T40" s="189">
        <v>139.57</v>
      </c>
      <c r="BT40" s="525"/>
      <c r="BU40" s="523">
        <v>0</v>
      </c>
      <c r="BV40" s="523">
        <v>0</v>
      </c>
      <c r="BW40" s="523"/>
      <c r="BX40" s="523"/>
      <c r="BY40" s="523"/>
      <c r="BZ40" s="523"/>
      <c r="CA40" s="523"/>
      <c r="CB40" s="523"/>
      <c r="CC40" s="523"/>
      <c r="CD40" s="523"/>
      <c r="CE40" s="523"/>
      <c r="CF40" s="523"/>
      <c r="CG40" s="523"/>
      <c r="CH40" s="523"/>
      <c r="CI40" s="523">
        <f t="shared" si="2"/>
        <v>0</v>
      </c>
    </row>
    <row r="41" spans="1:87" ht="25.5" customHeight="1" x14ac:dyDescent="0.2">
      <c r="A41" s="125" t="s">
        <v>53</v>
      </c>
      <c r="B41" s="126">
        <v>5970</v>
      </c>
      <c r="C41" s="126" t="s">
        <v>1324</v>
      </c>
      <c r="D41" s="127" t="s">
        <v>1371</v>
      </c>
      <c r="E41" s="128" t="s">
        <v>14</v>
      </c>
      <c r="F41" s="137">
        <v>5.86</v>
      </c>
      <c r="G41" s="130">
        <v>93.42</v>
      </c>
      <c r="H41" s="147">
        <v>139.57</v>
      </c>
      <c r="I41" s="132">
        <f t="shared" si="3"/>
        <v>0</v>
      </c>
      <c r="J41" s="374">
        <f t="shared" si="4"/>
        <v>0</v>
      </c>
      <c r="K41" s="132">
        <f t="shared" si="8"/>
        <v>139.57</v>
      </c>
      <c r="L41" s="131">
        <f t="shared" si="10"/>
        <v>13038.63</v>
      </c>
      <c r="M41" s="131">
        <f t="shared" si="10"/>
        <v>0</v>
      </c>
      <c r="N41" s="131">
        <f t="shared" si="10"/>
        <v>0</v>
      </c>
      <c r="O41" s="131">
        <f t="shared" si="10"/>
        <v>13038.63</v>
      </c>
      <c r="P41" s="136">
        <f t="shared" si="0"/>
        <v>0</v>
      </c>
      <c r="Q41" s="525"/>
      <c r="S41" s="189">
        <v>0</v>
      </c>
      <c r="T41" s="189">
        <v>389.64</v>
      </c>
      <c r="BT41" s="525"/>
      <c r="BU41" s="523">
        <v>0</v>
      </c>
      <c r="BV41" s="523">
        <v>0</v>
      </c>
      <c r="BW41" s="523"/>
      <c r="BX41" s="523"/>
      <c r="BY41" s="523"/>
      <c r="BZ41" s="523"/>
      <c r="CA41" s="523"/>
      <c r="CB41" s="523"/>
      <c r="CC41" s="523"/>
      <c r="CD41" s="523"/>
      <c r="CE41" s="523"/>
      <c r="CF41" s="523"/>
      <c r="CG41" s="523"/>
      <c r="CH41" s="523"/>
      <c r="CI41" s="523">
        <f t="shared" si="2"/>
        <v>0</v>
      </c>
    </row>
    <row r="42" spans="1:87" ht="25.5" customHeight="1" x14ac:dyDescent="0.2">
      <c r="A42" s="125" t="s">
        <v>54</v>
      </c>
      <c r="B42" s="126">
        <v>92793</v>
      </c>
      <c r="C42" s="126" t="s">
        <v>1324</v>
      </c>
      <c r="D42" s="127" t="s">
        <v>1372</v>
      </c>
      <c r="E42" s="128" t="s">
        <v>35</v>
      </c>
      <c r="F42" s="137">
        <v>302.64</v>
      </c>
      <c r="G42" s="130">
        <v>4.6500000000000004</v>
      </c>
      <c r="H42" s="147">
        <v>389.64</v>
      </c>
      <c r="I42" s="132">
        <f t="shared" si="3"/>
        <v>0</v>
      </c>
      <c r="J42" s="374">
        <f t="shared" si="4"/>
        <v>0</v>
      </c>
      <c r="K42" s="132">
        <f t="shared" si="8"/>
        <v>389.64</v>
      </c>
      <c r="L42" s="131">
        <f t="shared" si="10"/>
        <v>1811.83</v>
      </c>
      <c r="M42" s="131">
        <f t="shared" si="10"/>
        <v>0</v>
      </c>
      <c r="N42" s="131">
        <f t="shared" si="10"/>
        <v>0</v>
      </c>
      <c r="O42" s="131">
        <f t="shared" si="10"/>
        <v>1811.83</v>
      </c>
      <c r="P42" s="136">
        <f t="shared" si="0"/>
        <v>0</v>
      </c>
      <c r="Q42" s="525"/>
      <c r="S42" s="189">
        <v>0</v>
      </c>
      <c r="T42" s="189">
        <v>137.72999999999999</v>
      </c>
      <c r="BT42" s="525"/>
      <c r="BU42" s="523">
        <v>0</v>
      </c>
      <c r="BV42" s="523">
        <v>0</v>
      </c>
      <c r="BW42" s="523"/>
      <c r="BX42" s="523"/>
      <c r="BY42" s="523"/>
      <c r="BZ42" s="523"/>
      <c r="CA42" s="523"/>
      <c r="CB42" s="523"/>
      <c r="CC42" s="523"/>
      <c r="CD42" s="523"/>
      <c r="CE42" s="523"/>
      <c r="CF42" s="523"/>
      <c r="CG42" s="523"/>
      <c r="CH42" s="523"/>
      <c r="CI42" s="523">
        <f t="shared" si="2"/>
        <v>0</v>
      </c>
    </row>
    <row r="43" spans="1:87" ht="25.5" x14ac:dyDescent="0.2">
      <c r="A43" s="125" t="s">
        <v>55</v>
      </c>
      <c r="B43" s="126">
        <v>92791</v>
      </c>
      <c r="C43" s="126" t="s">
        <v>1324</v>
      </c>
      <c r="D43" s="127" t="s">
        <v>1373</v>
      </c>
      <c r="E43" s="128" t="s">
        <v>35</v>
      </c>
      <c r="F43" s="137">
        <v>135.94</v>
      </c>
      <c r="G43" s="130">
        <v>5.91</v>
      </c>
      <c r="H43" s="147">
        <v>137.72999999999999</v>
      </c>
      <c r="I43" s="132">
        <f t="shared" si="3"/>
        <v>0</v>
      </c>
      <c r="J43" s="374">
        <f t="shared" si="4"/>
        <v>0</v>
      </c>
      <c r="K43" s="132">
        <f t="shared" si="8"/>
        <v>137.72999999999999</v>
      </c>
      <c r="L43" s="131">
        <f t="shared" si="10"/>
        <v>813.98</v>
      </c>
      <c r="M43" s="131">
        <f t="shared" si="10"/>
        <v>0</v>
      </c>
      <c r="N43" s="131">
        <f t="shared" si="10"/>
        <v>0</v>
      </c>
      <c r="O43" s="131">
        <f t="shared" si="10"/>
        <v>813.98</v>
      </c>
      <c r="P43" s="136">
        <f t="shared" si="0"/>
        <v>0</v>
      </c>
      <c r="Q43" s="525"/>
      <c r="S43" s="189">
        <v>0</v>
      </c>
      <c r="T43" s="189">
        <v>10.050000000000001</v>
      </c>
      <c r="BT43" s="525"/>
      <c r="BU43" s="523">
        <v>0</v>
      </c>
      <c r="BV43" s="523">
        <v>0</v>
      </c>
      <c r="BW43" s="523"/>
      <c r="BX43" s="523"/>
      <c r="BY43" s="523"/>
      <c r="BZ43" s="523"/>
      <c r="CA43" s="523"/>
      <c r="CB43" s="523"/>
      <c r="CC43" s="523"/>
      <c r="CD43" s="523"/>
      <c r="CE43" s="523"/>
      <c r="CF43" s="523"/>
      <c r="CG43" s="523"/>
      <c r="CH43" s="523"/>
      <c r="CI43" s="523">
        <f t="shared" si="2"/>
        <v>0</v>
      </c>
    </row>
    <row r="44" spans="1:87" s="517" customFormat="1" x14ac:dyDescent="0.2">
      <c r="A44" s="125" t="s">
        <v>1377</v>
      </c>
      <c r="B44" s="126">
        <v>92720</v>
      </c>
      <c r="C44" s="126" t="s">
        <v>1324</v>
      </c>
      <c r="D44" s="127" t="s">
        <v>1375</v>
      </c>
      <c r="E44" s="128" t="s">
        <v>48</v>
      </c>
      <c r="F44" s="129"/>
      <c r="G44" s="130">
        <v>323.87</v>
      </c>
      <c r="H44" s="147">
        <v>10.050000000000001</v>
      </c>
      <c r="I44" s="132">
        <f t="shared" si="3"/>
        <v>0</v>
      </c>
      <c r="J44" s="374">
        <f t="shared" si="4"/>
        <v>0</v>
      </c>
      <c r="K44" s="132">
        <f t="shared" si="8"/>
        <v>10.050000000000001</v>
      </c>
      <c r="L44" s="131">
        <f t="shared" si="10"/>
        <v>3254.89</v>
      </c>
      <c r="M44" s="131">
        <f t="shared" si="10"/>
        <v>0</v>
      </c>
      <c r="N44" s="131">
        <f t="shared" si="10"/>
        <v>0</v>
      </c>
      <c r="O44" s="131">
        <f t="shared" si="10"/>
        <v>3254.89</v>
      </c>
      <c r="P44" s="136">
        <f t="shared" si="0"/>
        <v>0</v>
      </c>
      <c r="Q44" s="525"/>
      <c r="S44" s="191">
        <v>0</v>
      </c>
      <c r="T44" s="191">
        <v>0</v>
      </c>
      <c r="BT44" s="525"/>
      <c r="BU44" s="523">
        <v>0</v>
      </c>
      <c r="BV44" s="523">
        <v>0</v>
      </c>
      <c r="BW44" s="523"/>
      <c r="BX44" s="523"/>
      <c r="BY44" s="523"/>
      <c r="BZ44" s="523"/>
      <c r="CA44" s="523"/>
      <c r="CB44" s="523"/>
      <c r="CC44" s="523"/>
      <c r="CD44" s="523"/>
      <c r="CE44" s="523"/>
      <c r="CF44" s="523"/>
      <c r="CG44" s="523"/>
      <c r="CH44" s="523"/>
      <c r="CI44" s="523">
        <f t="shared" si="2"/>
        <v>0</v>
      </c>
    </row>
    <row r="45" spans="1:87" s="517" customFormat="1" x14ac:dyDescent="0.2">
      <c r="A45" s="425">
        <v>4</v>
      </c>
      <c r="B45" s="426"/>
      <c r="C45" s="426"/>
      <c r="D45" s="427" t="s">
        <v>1378</v>
      </c>
      <c r="E45" s="415"/>
      <c r="F45" s="417"/>
      <c r="G45" s="418"/>
      <c r="H45" s="416"/>
      <c r="I45" s="420">
        <f t="shared" si="3"/>
        <v>0</v>
      </c>
      <c r="J45" s="421"/>
      <c r="K45" s="420"/>
      <c r="L45" s="429">
        <f>SUM(L46,L51,L57,L62,L67)</f>
        <v>88897.260000000009</v>
      </c>
      <c r="M45" s="429">
        <f>SUM(M46,M51,M57,M62,M67)</f>
        <v>0</v>
      </c>
      <c r="N45" s="429">
        <f>SUM(N46,N51,N57,N62,N67)</f>
        <v>0</v>
      </c>
      <c r="O45" s="429">
        <f>SUM(O46,O51,O57,O62,O67)</f>
        <v>88897.260000000009</v>
      </c>
      <c r="P45" s="431">
        <f t="shared" si="0"/>
        <v>0</v>
      </c>
      <c r="Q45" s="525"/>
      <c r="S45" s="191">
        <v>0</v>
      </c>
      <c r="T45" s="191">
        <v>0</v>
      </c>
      <c r="BT45" s="525"/>
      <c r="BU45" s="523"/>
      <c r="BV45" s="523"/>
      <c r="BW45" s="523"/>
      <c r="BX45" s="523"/>
      <c r="BY45" s="523"/>
      <c r="BZ45" s="523"/>
      <c r="CA45" s="523"/>
      <c r="CB45" s="523"/>
      <c r="CC45" s="523"/>
      <c r="CD45" s="523"/>
      <c r="CE45" s="523"/>
      <c r="CF45" s="523"/>
      <c r="CG45" s="523"/>
      <c r="CH45" s="523"/>
      <c r="CI45" s="523">
        <f t="shared" si="2"/>
        <v>0</v>
      </c>
    </row>
    <row r="46" spans="1:87" s="110" customFormat="1" x14ac:dyDescent="0.2">
      <c r="A46" s="461" t="s">
        <v>74</v>
      </c>
      <c r="B46" s="462"/>
      <c r="C46" s="462"/>
      <c r="D46" s="463" t="s">
        <v>1379</v>
      </c>
      <c r="E46" s="464"/>
      <c r="F46" s="452">
        <f>SUM(F47:F50)</f>
        <v>499.24</v>
      </c>
      <c r="G46" s="465"/>
      <c r="H46" s="464"/>
      <c r="I46" s="457">
        <f t="shared" si="3"/>
        <v>0</v>
      </c>
      <c r="J46" s="457"/>
      <c r="K46" s="457">
        <v>0</v>
      </c>
      <c r="L46" s="474">
        <f>SUM(L47:L50)</f>
        <v>17368.48</v>
      </c>
      <c r="M46" s="474">
        <f>SUM(M47:M50)</f>
        <v>0</v>
      </c>
      <c r="N46" s="474">
        <f>SUM(N47:N50)</f>
        <v>0</v>
      </c>
      <c r="O46" s="474">
        <f>SUM(O47:O50)</f>
        <v>17368.48</v>
      </c>
      <c r="P46" s="466">
        <f t="shared" si="0"/>
        <v>0</v>
      </c>
      <c r="Q46" s="525"/>
      <c r="S46" s="192">
        <v>22.81</v>
      </c>
      <c r="T46" s="192">
        <v>126.72</v>
      </c>
      <c r="BT46" s="525"/>
      <c r="BU46" s="523"/>
      <c r="BV46" s="523"/>
      <c r="BW46" s="523"/>
      <c r="BX46" s="523"/>
      <c r="BY46" s="523"/>
      <c r="BZ46" s="523"/>
      <c r="CA46" s="523"/>
      <c r="CB46" s="523"/>
      <c r="CC46" s="523"/>
      <c r="CD46" s="523"/>
      <c r="CE46" s="523"/>
      <c r="CF46" s="523"/>
      <c r="CG46" s="523"/>
      <c r="CH46" s="523"/>
      <c r="CI46" s="523">
        <f t="shared" si="2"/>
        <v>0</v>
      </c>
    </row>
    <row r="47" spans="1:87" s="110" customFormat="1" ht="25.5" x14ac:dyDescent="0.2">
      <c r="A47" s="379" t="s">
        <v>76</v>
      </c>
      <c r="B47" s="380">
        <v>92448</v>
      </c>
      <c r="C47" s="380" t="s">
        <v>1324</v>
      </c>
      <c r="D47" s="381" t="s">
        <v>1380</v>
      </c>
      <c r="E47" s="382" t="s">
        <v>14</v>
      </c>
      <c r="F47" s="137">
        <v>302.64</v>
      </c>
      <c r="G47" s="383">
        <v>93.42</v>
      </c>
      <c r="H47" s="382">
        <v>126.72</v>
      </c>
      <c r="I47" s="132">
        <f t="shared" si="3"/>
        <v>0</v>
      </c>
      <c r="J47" s="374">
        <f t="shared" si="4"/>
        <v>0</v>
      </c>
      <c r="K47" s="132">
        <f t="shared" ref="K47:K56" si="11">H47-J47</f>
        <v>126.72</v>
      </c>
      <c r="L47" s="131">
        <f t="shared" ref="L47:O50" si="12">ROUND(H47*$G47,2)</f>
        <v>11838.18</v>
      </c>
      <c r="M47" s="131">
        <f t="shared" si="12"/>
        <v>0</v>
      </c>
      <c r="N47" s="131">
        <f t="shared" si="12"/>
        <v>0</v>
      </c>
      <c r="O47" s="131">
        <f t="shared" si="12"/>
        <v>11838.18</v>
      </c>
      <c r="P47" s="388">
        <f t="shared" si="0"/>
        <v>0</v>
      </c>
      <c r="Q47" s="525"/>
      <c r="S47" s="192">
        <v>78.55</v>
      </c>
      <c r="T47" s="192">
        <v>428.55</v>
      </c>
      <c r="BT47" s="525"/>
      <c r="BU47" s="523">
        <v>0</v>
      </c>
      <c r="BV47" s="523"/>
      <c r="BW47" s="523"/>
      <c r="BX47" s="523"/>
      <c r="BY47" s="523"/>
      <c r="BZ47" s="523"/>
      <c r="CA47" s="523"/>
      <c r="CB47" s="523"/>
      <c r="CC47" s="523"/>
      <c r="CD47" s="523"/>
      <c r="CE47" s="523"/>
      <c r="CF47" s="523"/>
      <c r="CG47" s="523"/>
      <c r="CH47" s="523"/>
      <c r="CI47" s="523">
        <f t="shared" si="2"/>
        <v>0</v>
      </c>
    </row>
    <row r="48" spans="1:87" s="110" customFormat="1" ht="25.5" x14ac:dyDescent="0.2">
      <c r="A48" s="379" t="s">
        <v>79</v>
      </c>
      <c r="B48" s="380">
        <v>92793</v>
      </c>
      <c r="C48" s="380" t="s">
        <v>1324</v>
      </c>
      <c r="D48" s="381" t="s">
        <v>1372</v>
      </c>
      <c r="E48" s="382" t="s">
        <v>35</v>
      </c>
      <c r="F48" s="137">
        <v>135.94</v>
      </c>
      <c r="G48" s="383">
        <v>4.6500000000000004</v>
      </c>
      <c r="H48" s="382">
        <v>428.55</v>
      </c>
      <c r="I48" s="132">
        <f t="shared" si="3"/>
        <v>0</v>
      </c>
      <c r="J48" s="374">
        <f t="shared" si="4"/>
        <v>0</v>
      </c>
      <c r="K48" s="132">
        <f t="shared" si="11"/>
        <v>428.55</v>
      </c>
      <c r="L48" s="131">
        <f t="shared" si="12"/>
        <v>1992.76</v>
      </c>
      <c r="M48" s="131">
        <f t="shared" si="12"/>
        <v>0</v>
      </c>
      <c r="N48" s="131">
        <f t="shared" si="12"/>
        <v>0</v>
      </c>
      <c r="O48" s="131">
        <f t="shared" si="12"/>
        <v>1992.76</v>
      </c>
      <c r="P48" s="388">
        <f t="shared" si="0"/>
        <v>0</v>
      </c>
      <c r="Q48" s="525"/>
      <c r="S48" s="192">
        <v>23.16</v>
      </c>
      <c r="T48" s="192">
        <v>127.36</v>
      </c>
      <c r="BT48" s="525"/>
      <c r="BU48" s="523">
        <v>0</v>
      </c>
      <c r="BV48" s="523"/>
      <c r="BW48" s="523"/>
      <c r="BX48" s="523"/>
      <c r="BY48" s="523"/>
      <c r="BZ48" s="523"/>
      <c r="CA48" s="523"/>
      <c r="CB48" s="523"/>
      <c r="CC48" s="523"/>
      <c r="CD48" s="523"/>
      <c r="CE48" s="523"/>
      <c r="CF48" s="523"/>
      <c r="CG48" s="523"/>
      <c r="CH48" s="523"/>
      <c r="CI48" s="523">
        <f t="shared" si="2"/>
        <v>0</v>
      </c>
    </row>
    <row r="49" spans="1:87" s="110" customFormat="1" ht="25.5" x14ac:dyDescent="0.2">
      <c r="A49" s="379" t="s">
        <v>83</v>
      </c>
      <c r="B49" s="380">
        <v>92791</v>
      </c>
      <c r="C49" s="380" t="s">
        <v>1324</v>
      </c>
      <c r="D49" s="381" t="s">
        <v>1373</v>
      </c>
      <c r="E49" s="382" t="s">
        <v>35</v>
      </c>
      <c r="F49" s="129"/>
      <c r="G49" s="383">
        <v>6.11</v>
      </c>
      <c r="H49" s="382">
        <v>127.36</v>
      </c>
      <c r="I49" s="132">
        <f t="shared" si="3"/>
        <v>0</v>
      </c>
      <c r="J49" s="374">
        <f t="shared" si="4"/>
        <v>0</v>
      </c>
      <c r="K49" s="132">
        <f t="shared" si="11"/>
        <v>127.36</v>
      </c>
      <c r="L49" s="131">
        <f t="shared" si="12"/>
        <v>778.17</v>
      </c>
      <c r="M49" s="131">
        <f t="shared" si="12"/>
        <v>0</v>
      </c>
      <c r="N49" s="131">
        <f t="shared" si="12"/>
        <v>0</v>
      </c>
      <c r="O49" s="131">
        <f t="shared" si="12"/>
        <v>778.17</v>
      </c>
      <c r="P49" s="388">
        <f t="shared" si="0"/>
        <v>0</v>
      </c>
      <c r="Q49" s="525"/>
      <c r="S49" s="192">
        <v>4.5199999999999996</v>
      </c>
      <c r="T49" s="192">
        <v>8.52</v>
      </c>
      <c r="BT49" s="525"/>
      <c r="BU49" s="523">
        <v>0</v>
      </c>
      <c r="BV49" s="523"/>
      <c r="BW49" s="523"/>
      <c r="BX49" s="523"/>
      <c r="BY49" s="523"/>
      <c r="BZ49" s="523"/>
      <c r="CA49" s="523"/>
      <c r="CB49" s="523"/>
      <c r="CC49" s="523"/>
      <c r="CD49" s="523"/>
      <c r="CE49" s="523"/>
      <c r="CF49" s="523"/>
      <c r="CG49" s="523"/>
      <c r="CH49" s="523"/>
      <c r="CI49" s="523">
        <f t="shared" si="2"/>
        <v>0</v>
      </c>
    </row>
    <row r="50" spans="1:87" s="517" customFormat="1" x14ac:dyDescent="0.2">
      <c r="A50" s="379" t="s">
        <v>86</v>
      </c>
      <c r="B50" s="380">
        <v>92720</v>
      </c>
      <c r="C50" s="380" t="s">
        <v>1324</v>
      </c>
      <c r="D50" s="381" t="s">
        <v>1375</v>
      </c>
      <c r="E50" s="382" t="s">
        <v>48</v>
      </c>
      <c r="F50" s="137">
        <v>60.66</v>
      </c>
      <c r="G50" s="383">
        <v>323.87</v>
      </c>
      <c r="H50" s="382">
        <v>8.52</v>
      </c>
      <c r="I50" s="132">
        <f t="shared" si="3"/>
        <v>0</v>
      </c>
      <c r="J50" s="374">
        <f t="shared" si="4"/>
        <v>0</v>
      </c>
      <c r="K50" s="132">
        <f t="shared" si="11"/>
        <v>8.52</v>
      </c>
      <c r="L50" s="131">
        <f t="shared" si="12"/>
        <v>2759.37</v>
      </c>
      <c r="M50" s="131">
        <f t="shared" si="12"/>
        <v>0</v>
      </c>
      <c r="N50" s="131">
        <f t="shared" si="12"/>
        <v>0</v>
      </c>
      <c r="O50" s="131">
        <f t="shared" si="12"/>
        <v>2759.37</v>
      </c>
      <c r="P50" s="388">
        <f t="shared" si="0"/>
        <v>0</v>
      </c>
      <c r="Q50" s="525"/>
      <c r="S50" s="191">
        <v>0</v>
      </c>
      <c r="T50" s="191">
        <v>0</v>
      </c>
      <c r="BT50" s="525"/>
      <c r="BU50" s="523">
        <v>0</v>
      </c>
      <c r="BV50" s="523"/>
      <c r="BW50" s="523"/>
      <c r="BX50" s="523"/>
      <c r="BY50" s="523"/>
      <c r="BZ50" s="523"/>
      <c r="CA50" s="523"/>
      <c r="CB50" s="523"/>
      <c r="CC50" s="523"/>
      <c r="CD50" s="523"/>
      <c r="CE50" s="523"/>
      <c r="CF50" s="523"/>
      <c r="CG50" s="523"/>
      <c r="CH50" s="523"/>
      <c r="CI50" s="523">
        <f t="shared" si="2"/>
        <v>0</v>
      </c>
    </row>
    <row r="51" spans="1:87" s="110" customFormat="1" x14ac:dyDescent="0.2">
      <c r="A51" s="461" t="s">
        <v>1381</v>
      </c>
      <c r="B51" s="462"/>
      <c r="C51" s="462"/>
      <c r="D51" s="463" t="s">
        <v>1382</v>
      </c>
      <c r="E51" s="465"/>
      <c r="F51" s="468"/>
      <c r="G51" s="465"/>
      <c r="H51" s="465"/>
      <c r="I51" s="465"/>
      <c r="J51" s="474"/>
      <c r="K51" s="474"/>
      <c r="L51" s="465">
        <f>SUM(L52:L56)</f>
        <v>33356.590000000004</v>
      </c>
      <c r="M51" s="465">
        <f>SUM(M52:M56)</f>
        <v>0</v>
      </c>
      <c r="N51" s="465">
        <f>SUM(N52:N56)</f>
        <v>0</v>
      </c>
      <c r="O51" s="465">
        <f>SUM(O52:O56)</f>
        <v>33356.590000000004</v>
      </c>
      <c r="P51" s="524">
        <f t="shared" si="0"/>
        <v>0</v>
      </c>
      <c r="Q51" s="525"/>
      <c r="S51" s="192">
        <v>30.35</v>
      </c>
      <c r="T51" s="192">
        <v>0</v>
      </c>
      <c r="BT51" s="525"/>
      <c r="BU51" s="523"/>
      <c r="BV51" s="523"/>
      <c r="BW51" s="523"/>
      <c r="BX51" s="523"/>
      <c r="BY51" s="523"/>
      <c r="BZ51" s="523"/>
      <c r="CA51" s="523"/>
      <c r="CB51" s="523"/>
      <c r="CC51" s="523"/>
      <c r="CD51" s="523"/>
      <c r="CE51" s="523"/>
      <c r="CF51" s="523"/>
      <c r="CG51" s="523"/>
      <c r="CH51" s="523"/>
      <c r="CI51" s="523">
        <f t="shared" si="2"/>
        <v>0</v>
      </c>
    </row>
    <row r="52" spans="1:87" s="110" customFormat="1" x14ac:dyDescent="0.2">
      <c r="A52" s="379" t="s">
        <v>1383</v>
      </c>
      <c r="B52" s="380">
        <v>92510</v>
      </c>
      <c r="C52" s="380" t="s">
        <v>1324</v>
      </c>
      <c r="D52" s="381" t="s">
        <v>1384</v>
      </c>
      <c r="E52" s="382" t="s">
        <v>14</v>
      </c>
      <c r="F52" s="137">
        <v>302.64</v>
      </c>
      <c r="G52" s="383">
        <v>93.42</v>
      </c>
      <c r="H52" s="382">
        <v>155.72999999999999</v>
      </c>
      <c r="I52" s="132">
        <f t="shared" si="3"/>
        <v>0</v>
      </c>
      <c r="J52" s="374">
        <f t="shared" si="4"/>
        <v>0</v>
      </c>
      <c r="K52" s="132">
        <f t="shared" si="11"/>
        <v>155.72999999999999</v>
      </c>
      <c r="L52" s="131">
        <f t="shared" ref="L52:O56" si="13">ROUND(H52*$G52,2)</f>
        <v>14548.3</v>
      </c>
      <c r="M52" s="131">
        <f t="shared" si="13"/>
        <v>0</v>
      </c>
      <c r="N52" s="131">
        <f t="shared" si="13"/>
        <v>0</v>
      </c>
      <c r="O52" s="131">
        <f t="shared" si="13"/>
        <v>14548.3</v>
      </c>
      <c r="P52" s="388">
        <f t="shared" si="0"/>
        <v>0</v>
      </c>
      <c r="Q52" s="525"/>
      <c r="S52" s="192">
        <v>95.84</v>
      </c>
      <c r="T52" s="192">
        <v>0</v>
      </c>
      <c r="BT52" s="525"/>
      <c r="BU52" s="523">
        <v>0</v>
      </c>
      <c r="BV52" s="523"/>
      <c r="BW52" s="523"/>
      <c r="BX52" s="523"/>
      <c r="BY52" s="523"/>
      <c r="BZ52" s="523"/>
      <c r="CA52" s="523"/>
      <c r="CB52" s="523"/>
      <c r="CC52" s="523"/>
      <c r="CD52" s="523"/>
      <c r="CE52" s="523"/>
      <c r="CF52" s="523"/>
      <c r="CG52" s="523"/>
      <c r="CH52" s="523"/>
      <c r="CI52" s="523">
        <f t="shared" si="2"/>
        <v>0</v>
      </c>
    </row>
    <row r="53" spans="1:87" s="110" customFormat="1" ht="25.5" x14ac:dyDescent="0.2">
      <c r="A53" s="379" t="s">
        <v>1385</v>
      </c>
      <c r="B53" s="380">
        <v>92793</v>
      </c>
      <c r="C53" s="380" t="s">
        <v>1324</v>
      </c>
      <c r="D53" s="381" t="s">
        <v>1372</v>
      </c>
      <c r="E53" s="382" t="s">
        <v>35</v>
      </c>
      <c r="F53" s="137">
        <v>135.94</v>
      </c>
      <c r="G53" s="383">
        <v>4.6500000000000004</v>
      </c>
      <c r="H53" s="382">
        <v>1946.45</v>
      </c>
      <c r="I53" s="132">
        <f t="shared" si="3"/>
        <v>0</v>
      </c>
      <c r="J53" s="374">
        <f t="shared" si="4"/>
        <v>0</v>
      </c>
      <c r="K53" s="132">
        <f t="shared" si="11"/>
        <v>1946.45</v>
      </c>
      <c r="L53" s="131">
        <f t="shared" si="13"/>
        <v>9050.99</v>
      </c>
      <c r="M53" s="131">
        <f t="shared" si="13"/>
        <v>0</v>
      </c>
      <c r="N53" s="131">
        <f t="shared" si="13"/>
        <v>0</v>
      </c>
      <c r="O53" s="131">
        <f t="shared" si="13"/>
        <v>9050.99</v>
      </c>
      <c r="P53" s="388">
        <f t="shared" si="0"/>
        <v>0</v>
      </c>
      <c r="Q53" s="525"/>
      <c r="S53" s="192">
        <v>11.599999999999994</v>
      </c>
      <c r="T53" s="192">
        <v>0</v>
      </c>
      <c r="BT53" s="525"/>
      <c r="BU53" s="523">
        <v>0</v>
      </c>
      <c r="BV53" s="523"/>
      <c r="BW53" s="523"/>
      <c r="BX53" s="523"/>
      <c r="BY53" s="523"/>
      <c r="BZ53" s="523"/>
      <c r="CA53" s="523"/>
      <c r="CB53" s="523"/>
      <c r="CC53" s="523"/>
      <c r="CD53" s="523"/>
      <c r="CE53" s="523"/>
      <c r="CF53" s="523"/>
      <c r="CG53" s="523"/>
      <c r="CH53" s="523"/>
      <c r="CI53" s="523">
        <f t="shared" si="2"/>
        <v>0</v>
      </c>
    </row>
    <row r="54" spans="1:87" s="110" customFormat="1" ht="25.5" x14ac:dyDescent="0.2">
      <c r="A54" s="379" t="s">
        <v>1386</v>
      </c>
      <c r="B54" s="380">
        <v>92791</v>
      </c>
      <c r="C54" s="380" t="s">
        <v>1324</v>
      </c>
      <c r="D54" s="381" t="s">
        <v>1373</v>
      </c>
      <c r="E54" s="382" t="s">
        <v>35</v>
      </c>
      <c r="F54" s="138"/>
      <c r="G54" s="383">
        <v>6.11</v>
      </c>
      <c r="H54" s="382">
        <v>240.18</v>
      </c>
      <c r="I54" s="132">
        <f t="shared" si="3"/>
        <v>0</v>
      </c>
      <c r="J54" s="374">
        <f t="shared" si="4"/>
        <v>0</v>
      </c>
      <c r="K54" s="132">
        <f t="shared" si="11"/>
        <v>240.18</v>
      </c>
      <c r="L54" s="131">
        <f t="shared" si="13"/>
        <v>1467.5</v>
      </c>
      <c r="M54" s="131">
        <f t="shared" si="13"/>
        <v>0</v>
      </c>
      <c r="N54" s="131">
        <f t="shared" si="13"/>
        <v>0</v>
      </c>
      <c r="O54" s="131">
        <f t="shared" si="13"/>
        <v>1467.5</v>
      </c>
      <c r="P54" s="388">
        <f t="shared" si="0"/>
        <v>0</v>
      </c>
      <c r="Q54" s="525"/>
      <c r="S54" s="192">
        <v>2.6700000000000017</v>
      </c>
      <c r="T54" s="192">
        <v>10.71</v>
      </c>
      <c r="BT54" s="525"/>
      <c r="BU54" s="523">
        <v>0</v>
      </c>
      <c r="BV54" s="523"/>
      <c r="BW54" s="523"/>
      <c r="BX54" s="523"/>
      <c r="BY54" s="523"/>
      <c r="BZ54" s="523"/>
      <c r="CA54" s="523"/>
      <c r="CB54" s="523"/>
      <c r="CC54" s="523"/>
      <c r="CD54" s="523"/>
      <c r="CE54" s="523"/>
      <c r="CF54" s="523"/>
      <c r="CG54" s="523"/>
      <c r="CH54" s="523"/>
      <c r="CI54" s="523">
        <f t="shared" si="2"/>
        <v>0</v>
      </c>
    </row>
    <row r="55" spans="1:87" x14ac:dyDescent="0.2">
      <c r="A55" s="379" t="s">
        <v>1387</v>
      </c>
      <c r="B55" s="380">
        <v>92720</v>
      </c>
      <c r="C55" s="380" t="s">
        <v>1324</v>
      </c>
      <c r="D55" s="381" t="s">
        <v>1375</v>
      </c>
      <c r="E55" s="382" t="s">
        <v>48</v>
      </c>
      <c r="F55" s="129"/>
      <c r="G55" s="383">
        <v>323.87</v>
      </c>
      <c r="H55" s="382">
        <v>10.71</v>
      </c>
      <c r="I55" s="132">
        <f t="shared" si="3"/>
        <v>0</v>
      </c>
      <c r="J55" s="374">
        <f t="shared" si="4"/>
        <v>0</v>
      </c>
      <c r="K55" s="132">
        <f t="shared" si="11"/>
        <v>10.71</v>
      </c>
      <c r="L55" s="131">
        <f t="shared" si="13"/>
        <v>3468.65</v>
      </c>
      <c r="M55" s="131">
        <f t="shared" si="13"/>
        <v>0</v>
      </c>
      <c r="N55" s="131">
        <f t="shared" si="13"/>
        <v>0</v>
      </c>
      <c r="O55" s="131">
        <f t="shared" si="13"/>
        <v>3468.65</v>
      </c>
      <c r="P55" s="388">
        <f t="shared" si="0"/>
        <v>0</v>
      </c>
      <c r="Q55" s="525"/>
      <c r="S55" s="189">
        <v>0</v>
      </c>
      <c r="T55" s="189">
        <v>84.33</v>
      </c>
      <c r="BT55" s="525"/>
      <c r="BU55" s="523">
        <v>0</v>
      </c>
      <c r="BV55" s="523"/>
      <c r="BW55" s="523"/>
      <c r="BX55" s="523"/>
      <c r="BY55" s="523"/>
      <c r="BZ55" s="523"/>
      <c r="CA55" s="523"/>
      <c r="CB55" s="523"/>
      <c r="CC55" s="523"/>
      <c r="CD55" s="523"/>
      <c r="CE55" s="523"/>
      <c r="CF55" s="523"/>
      <c r="CG55" s="523"/>
      <c r="CH55" s="523"/>
      <c r="CI55" s="523">
        <f t="shared" si="2"/>
        <v>0</v>
      </c>
    </row>
    <row r="56" spans="1:87" s="514" customFormat="1" x14ac:dyDescent="0.2">
      <c r="A56" s="125" t="s">
        <v>1388</v>
      </c>
      <c r="B56" s="126" t="s">
        <v>1389</v>
      </c>
      <c r="C56" s="126" t="s">
        <v>1324</v>
      </c>
      <c r="D56" s="127" t="s">
        <v>1390</v>
      </c>
      <c r="E56" s="128" t="s">
        <v>14</v>
      </c>
      <c r="F56" s="129"/>
      <c r="G56" s="130">
        <v>57.17</v>
      </c>
      <c r="H56" s="128">
        <v>84.33</v>
      </c>
      <c r="I56" s="132">
        <f t="shared" si="3"/>
        <v>0</v>
      </c>
      <c r="J56" s="374">
        <f t="shared" si="4"/>
        <v>0</v>
      </c>
      <c r="K56" s="132">
        <f t="shared" si="11"/>
        <v>84.33</v>
      </c>
      <c r="L56" s="131">
        <f t="shared" si="13"/>
        <v>4821.1499999999996</v>
      </c>
      <c r="M56" s="131">
        <f t="shared" si="13"/>
        <v>0</v>
      </c>
      <c r="N56" s="131">
        <f t="shared" si="13"/>
        <v>0</v>
      </c>
      <c r="O56" s="131">
        <f t="shared" si="13"/>
        <v>4821.1499999999996</v>
      </c>
      <c r="P56" s="136">
        <f t="shared" si="0"/>
        <v>0</v>
      </c>
      <c r="Q56" s="525"/>
      <c r="S56" s="190">
        <v>0</v>
      </c>
      <c r="T56" s="190">
        <v>0</v>
      </c>
      <c r="BT56" s="525"/>
      <c r="BU56" s="523">
        <v>0</v>
      </c>
      <c r="BV56" s="523"/>
      <c r="BW56" s="523"/>
      <c r="BX56" s="523"/>
      <c r="BY56" s="523"/>
      <c r="BZ56" s="523"/>
      <c r="CA56" s="523"/>
      <c r="CB56" s="523"/>
      <c r="CC56" s="523"/>
      <c r="CD56" s="523"/>
      <c r="CE56" s="523"/>
      <c r="CF56" s="523"/>
      <c r="CG56" s="523"/>
      <c r="CH56" s="523"/>
      <c r="CI56" s="523">
        <f t="shared" si="2"/>
        <v>0</v>
      </c>
    </row>
    <row r="57" spans="1:87" x14ac:dyDescent="0.2">
      <c r="A57" s="449" t="s">
        <v>1391</v>
      </c>
      <c r="B57" s="450"/>
      <c r="C57" s="450"/>
      <c r="D57" s="451" t="s">
        <v>1392</v>
      </c>
      <c r="E57" s="465"/>
      <c r="F57" s="468"/>
      <c r="G57" s="465"/>
      <c r="H57" s="465"/>
      <c r="I57" s="465"/>
      <c r="J57" s="474"/>
      <c r="K57" s="526"/>
      <c r="L57" s="468">
        <f>SUM(L58:L61)</f>
        <v>13794.349999999999</v>
      </c>
      <c r="M57" s="468">
        <f>SUM(M58:M61)</f>
        <v>0</v>
      </c>
      <c r="N57" s="468">
        <f>SUM(N58:N61)</f>
        <v>0</v>
      </c>
      <c r="O57" s="468">
        <f>SUM(O58:O61)</f>
        <v>13794.349999999999</v>
      </c>
      <c r="P57" s="459">
        <f t="shared" si="0"/>
        <v>0</v>
      </c>
      <c r="Q57" s="525"/>
      <c r="S57" s="189">
        <v>0</v>
      </c>
      <c r="T57" s="189">
        <v>0</v>
      </c>
      <c r="BT57" s="525"/>
      <c r="BU57" s="523"/>
      <c r="BV57" s="523"/>
      <c r="BW57" s="523"/>
      <c r="BX57" s="523"/>
      <c r="BY57" s="523"/>
      <c r="BZ57" s="523"/>
      <c r="CA57" s="523"/>
      <c r="CB57" s="523"/>
      <c r="CC57" s="523"/>
      <c r="CD57" s="523"/>
      <c r="CE57" s="523"/>
      <c r="CF57" s="523"/>
      <c r="CG57" s="523"/>
      <c r="CH57" s="523"/>
      <c r="CI57" s="523">
        <f t="shared" si="2"/>
        <v>0</v>
      </c>
    </row>
    <row r="58" spans="1:87" x14ac:dyDescent="0.2">
      <c r="A58" s="125" t="s">
        <v>1393</v>
      </c>
      <c r="B58" s="126">
        <v>92510</v>
      </c>
      <c r="C58" s="126" t="s">
        <v>1324</v>
      </c>
      <c r="D58" s="127" t="s">
        <v>1384</v>
      </c>
      <c r="E58" s="128" t="s">
        <v>14</v>
      </c>
      <c r="F58" s="137">
        <v>41.64</v>
      </c>
      <c r="G58" s="130">
        <v>93.42</v>
      </c>
      <c r="H58" s="128">
        <v>111.8</v>
      </c>
      <c r="I58" s="132">
        <f t="shared" si="3"/>
        <v>0</v>
      </c>
      <c r="J58" s="374">
        <f t="shared" si="4"/>
        <v>0</v>
      </c>
      <c r="K58" s="137">
        <f t="shared" ref="K58:K68" si="14">H58-J58</f>
        <v>111.8</v>
      </c>
      <c r="L58" s="131">
        <f t="shared" ref="L58:O61" si="15">ROUND(H58*$G58,2)</f>
        <v>10444.36</v>
      </c>
      <c r="M58" s="131">
        <f t="shared" si="15"/>
        <v>0</v>
      </c>
      <c r="N58" s="131">
        <f t="shared" si="15"/>
        <v>0</v>
      </c>
      <c r="O58" s="131">
        <f t="shared" si="15"/>
        <v>10444.36</v>
      </c>
      <c r="P58" s="136">
        <f t="shared" si="0"/>
        <v>0</v>
      </c>
      <c r="Q58" s="525"/>
      <c r="S58" s="189">
        <v>0</v>
      </c>
      <c r="T58" s="189">
        <v>0</v>
      </c>
      <c r="BT58" s="525"/>
      <c r="BU58" s="523">
        <v>0</v>
      </c>
      <c r="BV58" s="523"/>
      <c r="BW58" s="523"/>
      <c r="BX58" s="523"/>
      <c r="BY58" s="523"/>
      <c r="BZ58" s="523"/>
      <c r="CA58" s="523"/>
      <c r="CB58" s="523"/>
      <c r="CC58" s="523"/>
      <c r="CD58" s="523"/>
      <c r="CE58" s="523"/>
      <c r="CF58" s="523"/>
      <c r="CG58" s="523"/>
      <c r="CH58" s="523"/>
      <c r="CI58" s="523">
        <f t="shared" si="2"/>
        <v>0</v>
      </c>
    </row>
    <row r="59" spans="1:87" ht="25.5" x14ac:dyDescent="0.2">
      <c r="A59" s="125" t="s">
        <v>1394</v>
      </c>
      <c r="B59" s="126">
        <v>92793</v>
      </c>
      <c r="C59" s="126" t="s">
        <v>1324</v>
      </c>
      <c r="D59" s="127" t="s">
        <v>1372</v>
      </c>
      <c r="E59" s="128" t="s">
        <v>35</v>
      </c>
      <c r="F59" s="137">
        <v>7.91</v>
      </c>
      <c r="G59" s="130">
        <v>4.6500000000000004</v>
      </c>
      <c r="H59" s="128">
        <v>135.38999999999999</v>
      </c>
      <c r="I59" s="132">
        <f t="shared" si="3"/>
        <v>0</v>
      </c>
      <c r="J59" s="374">
        <f t="shared" si="4"/>
        <v>0</v>
      </c>
      <c r="K59" s="137">
        <f t="shared" si="14"/>
        <v>135.38999999999999</v>
      </c>
      <c r="L59" s="131">
        <f t="shared" si="15"/>
        <v>629.55999999999995</v>
      </c>
      <c r="M59" s="131">
        <f t="shared" si="15"/>
        <v>0</v>
      </c>
      <c r="N59" s="131">
        <f t="shared" si="15"/>
        <v>0</v>
      </c>
      <c r="O59" s="131">
        <f t="shared" si="15"/>
        <v>629.55999999999995</v>
      </c>
      <c r="P59" s="136">
        <f t="shared" si="0"/>
        <v>0</v>
      </c>
      <c r="Q59" s="525"/>
      <c r="S59" s="189">
        <v>0</v>
      </c>
      <c r="T59" s="189">
        <v>0</v>
      </c>
      <c r="BT59" s="525"/>
      <c r="BU59" s="523">
        <v>0</v>
      </c>
      <c r="BV59" s="523"/>
      <c r="BW59" s="523"/>
      <c r="BX59" s="523"/>
      <c r="BY59" s="523"/>
      <c r="BZ59" s="523"/>
      <c r="CA59" s="523"/>
      <c r="CB59" s="523"/>
      <c r="CC59" s="523"/>
      <c r="CD59" s="523"/>
      <c r="CE59" s="523"/>
      <c r="CF59" s="523"/>
      <c r="CG59" s="523"/>
      <c r="CH59" s="523"/>
      <c r="CI59" s="523">
        <f t="shared" si="2"/>
        <v>0</v>
      </c>
    </row>
    <row r="60" spans="1:87" ht="25.5" x14ac:dyDescent="0.2">
      <c r="A60" s="125" t="s">
        <v>1395</v>
      </c>
      <c r="B60" s="126">
        <v>92791</v>
      </c>
      <c r="C60" s="126" t="s">
        <v>1324</v>
      </c>
      <c r="D60" s="127" t="s">
        <v>1373</v>
      </c>
      <c r="E60" s="128" t="s">
        <v>35</v>
      </c>
      <c r="F60" s="137">
        <v>53.52</v>
      </c>
      <c r="G60" s="130">
        <v>6.11</v>
      </c>
      <c r="H60" s="128">
        <v>95.93</v>
      </c>
      <c r="I60" s="132">
        <f t="shared" si="3"/>
        <v>0</v>
      </c>
      <c r="J60" s="374">
        <f t="shared" si="4"/>
        <v>0</v>
      </c>
      <c r="K60" s="137">
        <f t="shared" si="14"/>
        <v>95.93</v>
      </c>
      <c r="L60" s="131">
        <f t="shared" si="15"/>
        <v>586.13</v>
      </c>
      <c r="M60" s="131">
        <f t="shared" si="15"/>
        <v>0</v>
      </c>
      <c r="N60" s="131">
        <f t="shared" si="15"/>
        <v>0</v>
      </c>
      <c r="O60" s="131">
        <f t="shared" si="15"/>
        <v>586.13</v>
      </c>
      <c r="P60" s="136">
        <f t="shared" si="0"/>
        <v>0</v>
      </c>
      <c r="Q60" s="525"/>
      <c r="S60" s="189">
        <v>0</v>
      </c>
      <c r="T60" s="189">
        <v>0</v>
      </c>
      <c r="BT60" s="525"/>
      <c r="BU60" s="523">
        <v>0</v>
      </c>
      <c r="BV60" s="523"/>
      <c r="BW60" s="523"/>
      <c r="BX60" s="523"/>
      <c r="BY60" s="523"/>
      <c r="BZ60" s="523"/>
      <c r="CA60" s="523"/>
      <c r="CB60" s="523"/>
      <c r="CC60" s="523"/>
      <c r="CD60" s="523"/>
      <c r="CE60" s="523"/>
      <c r="CF60" s="523"/>
      <c r="CG60" s="523"/>
      <c r="CH60" s="523"/>
      <c r="CI60" s="523">
        <f t="shared" si="2"/>
        <v>0</v>
      </c>
    </row>
    <row r="61" spans="1:87" s="514" customFormat="1" x14ac:dyDescent="0.2">
      <c r="A61" s="125" t="s">
        <v>1396</v>
      </c>
      <c r="B61" s="126">
        <v>92720</v>
      </c>
      <c r="C61" s="126" t="s">
        <v>1324</v>
      </c>
      <c r="D61" s="127" t="s">
        <v>1375</v>
      </c>
      <c r="E61" s="128" t="s">
        <v>48</v>
      </c>
      <c r="F61" s="137">
        <v>203.72</v>
      </c>
      <c r="G61" s="130">
        <v>323.87</v>
      </c>
      <c r="H61" s="128">
        <v>6.59</v>
      </c>
      <c r="I61" s="132">
        <f t="shared" si="3"/>
        <v>0</v>
      </c>
      <c r="J61" s="374">
        <f t="shared" si="4"/>
        <v>0</v>
      </c>
      <c r="K61" s="137">
        <f t="shared" si="14"/>
        <v>6.59</v>
      </c>
      <c r="L61" s="131">
        <f t="shared" si="15"/>
        <v>2134.3000000000002</v>
      </c>
      <c r="M61" s="131">
        <f t="shared" si="15"/>
        <v>0</v>
      </c>
      <c r="N61" s="131">
        <f t="shared" si="15"/>
        <v>0</v>
      </c>
      <c r="O61" s="131">
        <f t="shared" si="15"/>
        <v>2134.3000000000002</v>
      </c>
      <c r="P61" s="136">
        <f t="shared" si="0"/>
        <v>0</v>
      </c>
      <c r="Q61" s="525"/>
      <c r="S61" s="190">
        <v>0</v>
      </c>
      <c r="T61" s="190">
        <v>0</v>
      </c>
      <c r="BT61" s="525"/>
      <c r="BU61" s="523">
        <v>0</v>
      </c>
      <c r="BV61" s="523"/>
      <c r="BW61" s="523"/>
      <c r="BX61" s="523"/>
      <c r="BY61" s="523"/>
      <c r="BZ61" s="523"/>
      <c r="CA61" s="523"/>
      <c r="CB61" s="523"/>
      <c r="CC61" s="523"/>
      <c r="CD61" s="523"/>
      <c r="CE61" s="523"/>
      <c r="CF61" s="523"/>
      <c r="CG61" s="523"/>
      <c r="CH61" s="523"/>
      <c r="CI61" s="523">
        <f t="shared" si="2"/>
        <v>0</v>
      </c>
    </row>
    <row r="62" spans="1:87" x14ac:dyDescent="0.2">
      <c r="A62" s="449" t="s">
        <v>1397</v>
      </c>
      <c r="B62" s="450"/>
      <c r="C62" s="450"/>
      <c r="D62" s="451" t="s">
        <v>1398</v>
      </c>
      <c r="E62" s="465"/>
      <c r="F62" s="465"/>
      <c r="G62" s="465"/>
      <c r="H62" s="465"/>
      <c r="I62" s="465"/>
      <c r="J62" s="465"/>
      <c r="K62" s="465"/>
      <c r="L62" s="452">
        <f>SUM(L63:L66)</f>
        <v>23465.25</v>
      </c>
      <c r="M62" s="452">
        <f>SUM(M63:M66)</f>
        <v>0</v>
      </c>
      <c r="N62" s="452">
        <f>SUM(N63:N66)</f>
        <v>0</v>
      </c>
      <c r="O62" s="452">
        <f>SUM(O63:O66)</f>
        <v>23465.25</v>
      </c>
      <c r="P62" s="459">
        <f t="shared" si="0"/>
        <v>0</v>
      </c>
      <c r="Q62" s="525"/>
      <c r="S62" s="189">
        <v>0</v>
      </c>
      <c r="T62" s="189">
        <v>0</v>
      </c>
      <c r="BT62" s="525"/>
      <c r="BU62" s="523"/>
      <c r="BV62" s="523"/>
      <c r="BW62" s="523"/>
      <c r="BX62" s="523"/>
      <c r="BY62" s="523"/>
      <c r="BZ62" s="523"/>
      <c r="CA62" s="523"/>
      <c r="CB62" s="523"/>
      <c r="CC62" s="523"/>
      <c r="CD62" s="523"/>
      <c r="CE62" s="523"/>
      <c r="CF62" s="523"/>
      <c r="CG62" s="523"/>
      <c r="CH62" s="523"/>
      <c r="CI62" s="523">
        <f t="shared" si="2"/>
        <v>0</v>
      </c>
    </row>
    <row r="63" spans="1:87" x14ac:dyDescent="0.2">
      <c r="A63" s="125" t="s">
        <v>1399</v>
      </c>
      <c r="B63" s="126">
        <v>92422</v>
      </c>
      <c r="C63" s="126" t="s">
        <v>1324</v>
      </c>
      <c r="D63" s="127" t="s">
        <v>1384</v>
      </c>
      <c r="E63" s="128" t="s">
        <v>14</v>
      </c>
      <c r="F63" s="137">
        <v>52.6</v>
      </c>
      <c r="G63" s="130">
        <v>93.42</v>
      </c>
      <c r="H63" s="128">
        <v>10.8</v>
      </c>
      <c r="I63" s="132">
        <f t="shared" si="3"/>
        <v>0</v>
      </c>
      <c r="J63" s="374">
        <f t="shared" si="4"/>
        <v>0</v>
      </c>
      <c r="K63" s="137">
        <f t="shared" si="14"/>
        <v>10.8</v>
      </c>
      <c r="L63" s="131">
        <f t="shared" ref="L63:O66" si="16">ROUND(H63*$G63,2)</f>
        <v>1008.94</v>
      </c>
      <c r="M63" s="131">
        <f t="shared" si="16"/>
        <v>0</v>
      </c>
      <c r="N63" s="131">
        <f t="shared" si="16"/>
        <v>0</v>
      </c>
      <c r="O63" s="131">
        <f t="shared" si="16"/>
        <v>1008.94</v>
      </c>
      <c r="P63" s="136">
        <f t="shared" si="0"/>
        <v>0</v>
      </c>
      <c r="Q63" s="525"/>
      <c r="S63" s="189">
        <v>0</v>
      </c>
      <c r="T63" s="189">
        <v>0</v>
      </c>
      <c r="BT63" s="525"/>
      <c r="BU63" s="523">
        <v>0</v>
      </c>
      <c r="BV63" s="523"/>
      <c r="BW63" s="523"/>
      <c r="BX63" s="523"/>
      <c r="BY63" s="523"/>
      <c r="BZ63" s="523"/>
      <c r="CA63" s="523"/>
      <c r="CB63" s="523"/>
      <c r="CC63" s="523"/>
      <c r="CD63" s="523"/>
      <c r="CE63" s="523"/>
      <c r="CF63" s="523"/>
      <c r="CG63" s="523"/>
      <c r="CH63" s="523"/>
      <c r="CI63" s="523">
        <f t="shared" si="2"/>
        <v>0</v>
      </c>
    </row>
    <row r="64" spans="1:87" x14ac:dyDescent="0.2">
      <c r="A64" s="125" t="s">
        <v>1400</v>
      </c>
      <c r="B64" s="126" t="s">
        <v>1401</v>
      </c>
      <c r="C64" s="126" t="s">
        <v>1324</v>
      </c>
      <c r="D64" s="127" t="s">
        <v>1402</v>
      </c>
      <c r="E64" s="128" t="s">
        <v>48</v>
      </c>
      <c r="F64" s="137">
        <v>49.48</v>
      </c>
      <c r="G64" s="130">
        <v>98.55</v>
      </c>
      <c r="H64" s="128">
        <v>33.83</v>
      </c>
      <c r="I64" s="132">
        <f t="shared" si="3"/>
        <v>0</v>
      </c>
      <c r="J64" s="374">
        <f t="shared" si="4"/>
        <v>0</v>
      </c>
      <c r="K64" s="137">
        <f t="shared" si="14"/>
        <v>33.83</v>
      </c>
      <c r="L64" s="131">
        <f t="shared" si="16"/>
        <v>3333.95</v>
      </c>
      <c r="M64" s="131">
        <f t="shared" si="16"/>
        <v>0</v>
      </c>
      <c r="N64" s="131">
        <f t="shared" si="16"/>
        <v>0</v>
      </c>
      <c r="O64" s="131">
        <f t="shared" si="16"/>
        <v>3333.95</v>
      </c>
      <c r="P64" s="136">
        <f t="shared" si="0"/>
        <v>0</v>
      </c>
      <c r="Q64" s="525"/>
      <c r="S64" s="189">
        <v>0</v>
      </c>
      <c r="T64" s="189">
        <v>0</v>
      </c>
      <c r="BT64" s="525"/>
      <c r="BU64" s="523">
        <v>0</v>
      </c>
      <c r="BV64" s="523"/>
      <c r="BW64" s="523"/>
      <c r="BX64" s="523"/>
      <c r="BY64" s="523"/>
      <c r="BZ64" s="523"/>
      <c r="CA64" s="523"/>
      <c r="CB64" s="523"/>
      <c r="CC64" s="523"/>
      <c r="CD64" s="523"/>
      <c r="CE64" s="523"/>
      <c r="CF64" s="523"/>
      <c r="CG64" s="523"/>
      <c r="CH64" s="523"/>
      <c r="CI64" s="523">
        <f t="shared" si="2"/>
        <v>0</v>
      </c>
    </row>
    <row r="65" spans="1:87" x14ac:dyDescent="0.2">
      <c r="A65" s="125" t="s">
        <v>1403</v>
      </c>
      <c r="B65" s="126">
        <v>85662</v>
      </c>
      <c r="C65" s="126" t="s">
        <v>1324</v>
      </c>
      <c r="D65" s="127" t="s">
        <v>1404</v>
      </c>
      <c r="E65" s="128" t="s">
        <v>14</v>
      </c>
      <c r="F65" s="138"/>
      <c r="G65" s="130">
        <v>10.34</v>
      </c>
      <c r="H65" s="128">
        <v>1001.47</v>
      </c>
      <c r="I65" s="132">
        <f t="shared" si="3"/>
        <v>0</v>
      </c>
      <c r="J65" s="374">
        <f t="shared" si="4"/>
        <v>0</v>
      </c>
      <c r="K65" s="137">
        <f t="shared" si="14"/>
        <v>1001.47</v>
      </c>
      <c r="L65" s="131">
        <f t="shared" si="16"/>
        <v>10355.200000000001</v>
      </c>
      <c r="M65" s="131">
        <f t="shared" si="16"/>
        <v>0</v>
      </c>
      <c r="N65" s="131">
        <f t="shared" si="16"/>
        <v>0</v>
      </c>
      <c r="O65" s="131">
        <f t="shared" si="16"/>
        <v>10355.200000000001</v>
      </c>
      <c r="P65" s="136">
        <f t="shared" si="0"/>
        <v>0</v>
      </c>
      <c r="Q65" s="525"/>
      <c r="S65" s="189">
        <v>0</v>
      </c>
      <c r="T65" s="189">
        <v>0</v>
      </c>
      <c r="BT65" s="525"/>
      <c r="BU65" s="523">
        <v>0</v>
      </c>
      <c r="BV65" s="523"/>
      <c r="BW65" s="523"/>
      <c r="BX65" s="523"/>
      <c r="BY65" s="523"/>
      <c r="BZ65" s="523"/>
      <c r="CA65" s="523"/>
      <c r="CB65" s="523"/>
      <c r="CC65" s="523"/>
      <c r="CD65" s="523"/>
      <c r="CE65" s="523"/>
      <c r="CF65" s="523"/>
      <c r="CG65" s="523"/>
      <c r="CH65" s="523"/>
      <c r="CI65" s="523">
        <f t="shared" si="2"/>
        <v>0</v>
      </c>
    </row>
    <row r="66" spans="1:87" s="514" customFormat="1" x14ac:dyDescent="0.2">
      <c r="A66" s="125" t="s">
        <v>1405</v>
      </c>
      <c r="B66" s="126">
        <v>92720</v>
      </c>
      <c r="C66" s="126" t="s">
        <v>1324</v>
      </c>
      <c r="D66" s="127" t="s">
        <v>1375</v>
      </c>
      <c r="E66" s="128" t="s">
        <v>48</v>
      </c>
      <c r="F66" s="129"/>
      <c r="G66" s="130">
        <v>323.87</v>
      </c>
      <c r="H66" s="128">
        <v>27.07</v>
      </c>
      <c r="I66" s="132">
        <f t="shared" si="3"/>
        <v>0</v>
      </c>
      <c r="J66" s="374">
        <f t="shared" si="4"/>
        <v>0</v>
      </c>
      <c r="K66" s="137">
        <f t="shared" si="14"/>
        <v>27.07</v>
      </c>
      <c r="L66" s="131">
        <f t="shared" si="16"/>
        <v>8767.16</v>
      </c>
      <c r="M66" s="131">
        <f t="shared" si="16"/>
        <v>0</v>
      </c>
      <c r="N66" s="131">
        <f t="shared" si="16"/>
        <v>0</v>
      </c>
      <c r="O66" s="131">
        <f t="shared" si="16"/>
        <v>8767.16</v>
      </c>
      <c r="P66" s="136">
        <f t="shared" si="0"/>
        <v>0</v>
      </c>
      <c r="Q66" s="525"/>
      <c r="S66" s="190">
        <v>0</v>
      </c>
      <c r="T66" s="190">
        <v>33.9</v>
      </c>
      <c r="BT66" s="525"/>
      <c r="BU66" s="523">
        <v>0</v>
      </c>
      <c r="BV66" s="523"/>
      <c r="BW66" s="523"/>
      <c r="BX66" s="523"/>
      <c r="BY66" s="523"/>
      <c r="BZ66" s="523"/>
      <c r="CA66" s="523"/>
      <c r="CB66" s="523"/>
      <c r="CC66" s="523"/>
      <c r="CD66" s="523"/>
      <c r="CE66" s="523"/>
      <c r="CF66" s="523"/>
      <c r="CG66" s="523"/>
      <c r="CH66" s="523"/>
      <c r="CI66" s="523">
        <f t="shared" si="2"/>
        <v>0</v>
      </c>
    </row>
    <row r="67" spans="1:87" x14ac:dyDescent="0.2">
      <c r="A67" s="449" t="s">
        <v>1406</v>
      </c>
      <c r="B67" s="450"/>
      <c r="C67" s="450"/>
      <c r="D67" s="451" t="s">
        <v>1407</v>
      </c>
      <c r="E67" s="465"/>
      <c r="F67" s="465"/>
      <c r="G67" s="465"/>
      <c r="H67" s="465"/>
      <c r="I67" s="465"/>
      <c r="J67" s="465"/>
      <c r="K67" s="465"/>
      <c r="L67" s="452">
        <f>L68</f>
        <v>912.59</v>
      </c>
      <c r="M67" s="452">
        <f>M68</f>
        <v>0</v>
      </c>
      <c r="N67" s="452">
        <f>N68</f>
        <v>0</v>
      </c>
      <c r="O67" s="452">
        <f>O68</f>
        <v>912.59</v>
      </c>
      <c r="P67" s="459">
        <f t="shared" si="0"/>
        <v>0</v>
      </c>
      <c r="Q67" s="525"/>
      <c r="S67" s="189">
        <v>0</v>
      </c>
      <c r="T67" s="189">
        <v>33.9</v>
      </c>
      <c r="BT67" s="525"/>
      <c r="BU67" s="523"/>
      <c r="BV67" s="523"/>
      <c r="BW67" s="523"/>
      <c r="BX67" s="523"/>
      <c r="BY67" s="523"/>
      <c r="BZ67" s="523"/>
      <c r="CA67" s="523"/>
      <c r="CB67" s="523"/>
      <c r="CC67" s="523"/>
      <c r="CD67" s="523"/>
      <c r="CE67" s="523"/>
      <c r="CF67" s="523"/>
      <c r="CG67" s="523"/>
      <c r="CH67" s="523"/>
      <c r="CI67" s="523">
        <f t="shared" si="2"/>
        <v>0</v>
      </c>
    </row>
    <row r="68" spans="1:87" s="514" customFormat="1" x14ac:dyDescent="0.2">
      <c r="A68" s="125" t="s">
        <v>1408</v>
      </c>
      <c r="B68" s="126" t="s">
        <v>1409</v>
      </c>
      <c r="C68" s="126" t="s">
        <v>1324</v>
      </c>
      <c r="D68" s="127" t="s">
        <v>1410</v>
      </c>
      <c r="E68" s="128" t="s">
        <v>81</v>
      </c>
      <c r="F68" s="137">
        <v>329.55</v>
      </c>
      <c r="G68" s="130">
        <v>26.92</v>
      </c>
      <c r="H68" s="128">
        <v>33.9</v>
      </c>
      <c r="I68" s="132">
        <f t="shared" si="3"/>
        <v>0</v>
      </c>
      <c r="J68" s="374">
        <f t="shared" si="4"/>
        <v>0</v>
      </c>
      <c r="K68" s="137">
        <f t="shared" si="14"/>
        <v>33.9</v>
      </c>
      <c r="L68" s="131">
        <f>ROUND(H68*$G68,2)</f>
        <v>912.59</v>
      </c>
      <c r="M68" s="131">
        <f>ROUND(I68*$G68,2)</f>
        <v>0</v>
      </c>
      <c r="N68" s="131">
        <f>ROUND(J68*$G68,2)</f>
        <v>0</v>
      </c>
      <c r="O68" s="131">
        <f>ROUND(K68*$G68,2)</f>
        <v>912.59</v>
      </c>
      <c r="P68" s="136">
        <f t="shared" si="0"/>
        <v>0</v>
      </c>
      <c r="Q68" s="525"/>
      <c r="S68" s="190">
        <v>0</v>
      </c>
      <c r="T68" s="190">
        <v>0</v>
      </c>
      <c r="BT68" s="525"/>
      <c r="BU68" s="523">
        <v>0</v>
      </c>
      <c r="BV68" s="523"/>
      <c r="BW68" s="523"/>
      <c r="BX68" s="523"/>
      <c r="BY68" s="523"/>
      <c r="BZ68" s="523"/>
      <c r="CA68" s="523"/>
      <c r="CB68" s="523"/>
      <c r="CC68" s="523"/>
      <c r="CD68" s="523"/>
      <c r="CE68" s="523"/>
      <c r="CF68" s="523"/>
      <c r="CG68" s="523"/>
      <c r="CH68" s="523"/>
      <c r="CI68" s="523">
        <f t="shared" si="2"/>
        <v>0</v>
      </c>
    </row>
    <row r="69" spans="1:87" s="514" customFormat="1" x14ac:dyDescent="0.2">
      <c r="A69" s="412">
        <v>5</v>
      </c>
      <c r="B69" s="413"/>
      <c r="C69" s="413"/>
      <c r="D69" s="414" t="s">
        <v>1411</v>
      </c>
      <c r="E69" s="415"/>
      <c r="F69" s="415"/>
      <c r="G69" s="415"/>
      <c r="H69" s="415"/>
      <c r="I69" s="415"/>
      <c r="J69" s="415"/>
      <c r="K69" s="415"/>
      <c r="L69" s="424">
        <f>SUM(L70,L72,L75)</f>
        <v>31428.92</v>
      </c>
      <c r="M69" s="424">
        <f>SUM(M70,M72,M75)</f>
        <v>0</v>
      </c>
      <c r="N69" s="424">
        <f>SUM(N70,N72,N75)</f>
        <v>0</v>
      </c>
      <c r="O69" s="424">
        <f>SUM(O70,O72,O75)</f>
        <v>31428.92</v>
      </c>
      <c r="P69" s="423">
        <f t="shared" si="0"/>
        <v>0</v>
      </c>
      <c r="Q69" s="525"/>
      <c r="S69" s="190">
        <v>0</v>
      </c>
      <c r="T69" s="190">
        <v>0</v>
      </c>
      <c r="BT69" s="525"/>
      <c r="BU69" s="523"/>
      <c r="BV69" s="523"/>
      <c r="BW69" s="523"/>
      <c r="BX69" s="523"/>
      <c r="BY69" s="523"/>
      <c r="BZ69" s="523"/>
      <c r="CA69" s="523"/>
      <c r="CB69" s="523"/>
      <c r="CC69" s="523"/>
      <c r="CD69" s="523"/>
      <c r="CE69" s="523"/>
      <c r="CF69" s="523"/>
      <c r="CG69" s="523"/>
      <c r="CH69" s="523"/>
      <c r="CI69" s="523">
        <f t="shared" si="2"/>
        <v>0</v>
      </c>
    </row>
    <row r="70" spans="1:87" x14ac:dyDescent="0.2">
      <c r="A70" s="449" t="s">
        <v>98</v>
      </c>
      <c r="B70" s="450"/>
      <c r="C70" s="450"/>
      <c r="D70" s="451" t="s">
        <v>1412</v>
      </c>
      <c r="E70" s="465"/>
      <c r="F70" s="465"/>
      <c r="G70" s="465"/>
      <c r="H70" s="465"/>
      <c r="I70" s="465"/>
      <c r="J70" s="465"/>
      <c r="K70" s="465"/>
      <c r="L70" s="452">
        <f>L71</f>
        <v>7200.78</v>
      </c>
      <c r="M70" s="452">
        <f>M71</f>
        <v>0</v>
      </c>
      <c r="N70" s="452">
        <f>N71</f>
        <v>0</v>
      </c>
      <c r="O70" s="452">
        <f>O71</f>
        <v>7200.78</v>
      </c>
      <c r="P70" s="459">
        <f t="shared" si="0"/>
        <v>0</v>
      </c>
      <c r="Q70" s="525"/>
      <c r="S70" s="189">
        <v>0</v>
      </c>
      <c r="T70" s="189">
        <v>0</v>
      </c>
      <c r="BT70" s="525"/>
      <c r="BU70" s="523"/>
      <c r="BV70" s="523"/>
      <c r="BW70" s="523"/>
      <c r="BX70" s="523"/>
      <c r="BY70" s="523"/>
      <c r="BZ70" s="523"/>
      <c r="CA70" s="523"/>
      <c r="CB70" s="523"/>
      <c r="CC70" s="523"/>
      <c r="CD70" s="523"/>
      <c r="CE70" s="523"/>
      <c r="CF70" s="523"/>
      <c r="CG70" s="523"/>
      <c r="CH70" s="523"/>
      <c r="CI70" s="523">
        <f t="shared" si="2"/>
        <v>0</v>
      </c>
    </row>
    <row r="71" spans="1:87" s="514" customFormat="1" ht="25.5" x14ac:dyDescent="0.2">
      <c r="A71" s="125" t="s">
        <v>100</v>
      </c>
      <c r="B71" s="126" t="s">
        <v>1413</v>
      </c>
      <c r="C71" s="126" t="s">
        <v>1324</v>
      </c>
      <c r="D71" s="127" t="s">
        <v>1414</v>
      </c>
      <c r="E71" s="128" t="s">
        <v>14</v>
      </c>
      <c r="F71" s="137">
        <v>222.6</v>
      </c>
      <c r="G71" s="130">
        <v>53.45</v>
      </c>
      <c r="H71" s="128">
        <v>134.72</v>
      </c>
      <c r="I71" s="132">
        <f t="shared" si="3"/>
        <v>0</v>
      </c>
      <c r="J71" s="374">
        <f t="shared" si="4"/>
        <v>0</v>
      </c>
      <c r="K71" s="137">
        <f>H71-J71</f>
        <v>134.72</v>
      </c>
      <c r="L71" s="131">
        <f>ROUND(H71*$G71,2)</f>
        <v>7200.78</v>
      </c>
      <c r="M71" s="131">
        <f>ROUND(I71*$G71,2)</f>
        <v>0</v>
      </c>
      <c r="N71" s="131">
        <f>ROUND(J71*$G71,2)</f>
        <v>0</v>
      </c>
      <c r="O71" s="131">
        <f>ROUND(K71*$G71,2)</f>
        <v>7200.78</v>
      </c>
      <c r="P71" s="136">
        <f t="shared" si="0"/>
        <v>0</v>
      </c>
      <c r="Q71" s="525"/>
      <c r="S71" s="190">
        <v>0</v>
      </c>
      <c r="T71" s="190">
        <v>328.62</v>
      </c>
      <c r="BT71" s="525"/>
      <c r="BU71" s="523">
        <v>0</v>
      </c>
      <c r="BV71" s="523"/>
      <c r="BW71" s="523"/>
      <c r="BX71" s="523"/>
      <c r="BY71" s="523"/>
      <c r="BZ71" s="523"/>
      <c r="CA71" s="523"/>
      <c r="CB71" s="523"/>
      <c r="CC71" s="523"/>
      <c r="CD71" s="523"/>
      <c r="CE71" s="523"/>
      <c r="CF71" s="523"/>
      <c r="CG71" s="523"/>
      <c r="CH71" s="523"/>
      <c r="CI71" s="523">
        <f t="shared" si="2"/>
        <v>0</v>
      </c>
    </row>
    <row r="72" spans="1:87" x14ac:dyDescent="0.2">
      <c r="A72" s="449" t="s">
        <v>116</v>
      </c>
      <c r="B72" s="450"/>
      <c r="C72" s="450"/>
      <c r="D72" s="451" t="s">
        <v>1415</v>
      </c>
      <c r="E72" s="465"/>
      <c r="F72" s="465"/>
      <c r="G72" s="465"/>
      <c r="H72" s="465"/>
      <c r="I72" s="465"/>
      <c r="J72" s="465"/>
      <c r="K72" s="465"/>
      <c r="L72" s="468">
        <f>SUM(L73:L74)</f>
        <v>15726.869999999999</v>
      </c>
      <c r="M72" s="468">
        <f>SUM(M73:M74)</f>
        <v>0</v>
      </c>
      <c r="N72" s="468">
        <f>SUM(N73:N74)</f>
        <v>0</v>
      </c>
      <c r="O72" s="468">
        <f>SUM(O73:O74)</f>
        <v>15726.869999999999</v>
      </c>
      <c r="P72" s="459">
        <f t="shared" si="0"/>
        <v>0</v>
      </c>
      <c r="Q72" s="525"/>
      <c r="S72" s="189">
        <v>0</v>
      </c>
      <c r="T72" s="189">
        <v>259.22000000000003</v>
      </c>
      <c r="BT72" s="525"/>
      <c r="BU72" s="523"/>
      <c r="BV72" s="523"/>
      <c r="BW72" s="523"/>
      <c r="BX72" s="523"/>
      <c r="BY72" s="523"/>
      <c r="BZ72" s="523"/>
      <c r="CA72" s="523"/>
      <c r="CB72" s="523"/>
      <c r="CC72" s="523"/>
      <c r="CD72" s="523"/>
      <c r="CE72" s="523"/>
      <c r="CF72" s="523"/>
      <c r="CG72" s="523"/>
      <c r="CH72" s="523"/>
      <c r="CI72" s="523">
        <f t="shared" si="2"/>
        <v>0</v>
      </c>
    </row>
    <row r="73" spans="1:87" ht="25.5" x14ac:dyDescent="0.2">
      <c r="A73" s="125" t="s">
        <v>118</v>
      </c>
      <c r="B73" s="126">
        <v>87519</v>
      </c>
      <c r="C73" s="126" t="s">
        <v>1324</v>
      </c>
      <c r="D73" s="127" t="s">
        <v>1416</v>
      </c>
      <c r="E73" s="128" t="s">
        <v>14</v>
      </c>
      <c r="F73" s="137">
        <v>378.98</v>
      </c>
      <c r="G73" s="130">
        <v>56.29</v>
      </c>
      <c r="H73" s="128">
        <v>259.22000000000003</v>
      </c>
      <c r="I73" s="132">
        <f t="shared" si="3"/>
        <v>0</v>
      </c>
      <c r="J73" s="374">
        <f t="shared" si="4"/>
        <v>0</v>
      </c>
      <c r="K73" s="137">
        <f>H73-J73</f>
        <v>259.22000000000003</v>
      </c>
      <c r="L73" s="131">
        <f t="shared" ref="L73:O74" si="17">ROUND(H73*$G73,2)</f>
        <v>14591.49</v>
      </c>
      <c r="M73" s="131">
        <f t="shared" si="17"/>
        <v>0</v>
      </c>
      <c r="N73" s="131">
        <f t="shared" si="17"/>
        <v>0</v>
      </c>
      <c r="O73" s="131">
        <f t="shared" si="17"/>
        <v>14591.49</v>
      </c>
      <c r="P73" s="136">
        <f t="shared" si="0"/>
        <v>0</v>
      </c>
      <c r="Q73" s="525"/>
      <c r="S73" s="189">
        <v>0</v>
      </c>
      <c r="T73" s="189">
        <v>69.400000000000006</v>
      </c>
      <c r="BT73" s="525"/>
      <c r="BU73" s="523">
        <v>0</v>
      </c>
      <c r="BV73" s="523"/>
      <c r="BW73" s="523"/>
      <c r="BX73" s="523"/>
      <c r="BY73" s="523"/>
      <c r="BZ73" s="523"/>
      <c r="CA73" s="523"/>
      <c r="CB73" s="523"/>
      <c r="CC73" s="523"/>
      <c r="CD73" s="523"/>
      <c r="CE73" s="523"/>
      <c r="CF73" s="523"/>
      <c r="CG73" s="523"/>
      <c r="CH73" s="523"/>
      <c r="CI73" s="523">
        <f t="shared" si="2"/>
        <v>0</v>
      </c>
    </row>
    <row r="74" spans="1:87" s="514" customFormat="1" ht="38.25" x14ac:dyDescent="0.2">
      <c r="A74" s="125" t="s">
        <v>123</v>
      </c>
      <c r="B74" s="126" t="s">
        <v>1417</v>
      </c>
      <c r="C74" s="126" t="s">
        <v>1324</v>
      </c>
      <c r="D74" s="127" t="s">
        <v>1418</v>
      </c>
      <c r="E74" s="128" t="s">
        <v>81</v>
      </c>
      <c r="F74" s="137">
        <v>421.82</v>
      </c>
      <c r="G74" s="130">
        <v>16.36</v>
      </c>
      <c r="H74" s="128">
        <v>69.400000000000006</v>
      </c>
      <c r="I74" s="132">
        <f t="shared" si="3"/>
        <v>0</v>
      </c>
      <c r="J74" s="374">
        <f t="shared" si="4"/>
        <v>0</v>
      </c>
      <c r="K74" s="137">
        <f>H74-J74</f>
        <v>69.400000000000006</v>
      </c>
      <c r="L74" s="131">
        <f t="shared" si="17"/>
        <v>1135.3800000000001</v>
      </c>
      <c r="M74" s="131">
        <f t="shared" si="17"/>
        <v>0</v>
      </c>
      <c r="N74" s="131">
        <f t="shared" si="17"/>
        <v>0</v>
      </c>
      <c r="O74" s="131">
        <f t="shared" si="17"/>
        <v>1135.3800000000001</v>
      </c>
      <c r="P74" s="136">
        <f t="shared" si="0"/>
        <v>0</v>
      </c>
      <c r="Q74" s="525"/>
      <c r="S74" s="190">
        <v>0</v>
      </c>
      <c r="T74" s="190">
        <v>0</v>
      </c>
      <c r="BT74" s="525"/>
      <c r="BU74" s="523">
        <v>0</v>
      </c>
      <c r="BV74" s="523"/>
      <c r="BW74" s="523"/>
      <c r="BX74" s="523"/>
      <c r="BY74" s="523"/>
      <c r="BZ74" s="523"/>
      <c r="CA74" s="523"/>
      <c r="CB74" s="523"/>
      <c r="CC74" s="523"/>
      <c r="CD74" s="523"/>
      <c r="CE74" s="523"/>
      <c r="CF74" s="523"/>
      <c r="CG74" s="523"/>
      <c r="CH74" s="523"/>
      <c r="CI74" s="523">
        <f t="shared" si="2"/>
        <v>0</v>
      </c>
    </row>
    <row r="75" spans="1:87" x14ac:dyDescent="0.2">
      <c r="A75" s="449" t="s">
        <v>1419</v>
      </c>
      <c r="B75" s="450"/>
      <c r="C75" s="450"/>
      <c r="D75" s="451" t="s">
        <v>1420</v>
      </c>
      <c r="E75" s="465"/>
      <c r="F75" s="465"/>
      <c r="G75" s="465"/>
      <c r="H75" s="465"/>
      <c r="I75" s="465"/>
      <c r="J75" s="465"/>
      <c r="K75" s="465"/>
      <c r="L75" s="468">
        <f>L76</f>
        <v>8501.27</v>
      </c>
      <c r="M75" s="468">
        <f>M76</f>
        <v>0</v>
      </c>
      <c r="N75" s="468">
        <f>N76</f>
        <v>0</v>
      </c>
      <c r="O75" s="468">
        <f>O76</f>
        <v>8501.27</v>
      </c>
      <c r="P75" s="459">
        <f t="shared" si="0"/>
        <v>0</v>
      </c>
      <c r="Q75" s="525"/>
      <c r="S75" s="189">
        <v>0</v>
      </c>
      <c r="T75" s="189">
        <v>0</v>
      </c>
      <c r="BT75" s="525"/>
      <c r="BU75" s="523"/>
      <c r="BV75" s="523"/>
      <c r="BW75" s="523"/>
      <c r="BX75" s="523"/>
      <c r="BY75" s="523"/>
      <c r="BZ75" s="523"/>
      <c r="CA75" s="523"/>
      <c r="CB75" s="523"/>
      <c r="CC75" s="523"/>
      <c r="CD75" s="523"/>
      <c r="CE75" s="523"/>
      <c r="CF75" s="523"/>
      <c r="CG75" s="523"/>
      <c r="CH75" s="523"/>
      <c r="CI75" s="523">
        <f t="shared" si="2"/>
        <v>0</v>
      </c>
    </row>
    <row r="76" spans="1:87" ht="25.5" x14ac:dyDescent="0.2">
      <c r="A76" s="125" t="s">
        <v>1421</v>
      </c>
      <c r="B76" s="126" t="s">
        <v>1422</v>
      </c>
      <c r="C76" s="126" t="s">
        <v>1324</v>
      </c>
      <c r="D76" s="127" t="s">
        <v>1423</v>
      </c>
      <c r="E76" s="128" t="s">
        <v>14</v>
      </c>
      <c r="F76" s="138"/>
      <c r="G76" s="130">
        <v>57.41</v>
      </c>
      <c r="H76" s="128">
        <v>148.08000000000001</v>
      </c>
      <c r="I76" s="132">
        <f t="shared" si="3"/>
        <v>0</v>
      </c>
      <c r="J76" s="374">
        <f t="shared" si="4"/>
        <v>0</v>
      </c>
      <c r="K76" s="137">
        <f>H76-J76</f>
        <v>148.08000000000001</v>
      </c>
      <c r="L76" s="131">
        <f>ROUND(H76*$G76,2)</f>
        <v>8501.27</v>
      </c>
      <c r="M76" s="131">
        <f>ROUND(I76*$G76,2)</f>
        <v>0</v>
      </c>
      <c r="N76" s="131">
        <f>ROUND(J76*$G76,2)</f>
        <v>0</v>
      </c>
      <c r="O76" s="131">
        <f>ROUND(K76*$G76,2)</f>
        <v>8501.27</v>
      </c>
      <c r="P76" s="136">
        <f t="shared" si="0"/>
        <v>0</v>
      </c>
      <c r="Q76" s="525"/>
      <c r="S76" s="189">
        <v>0</v>
      </c>
      <c r="T76" s="189">
        <v>0</v>
      </c>
      <c r="BT76" s="525"/>
      <c r="BU76" s="523">
        <v>0</v>
      </c>
      <c r="BV76" s="523"/>
      <c r="BW76" s="523"/>
      <c r="BX76" s="523"/>
      <c r="BY76" s="523"/>
      <c r="BZ76" s="523"/>
      <c r="CA76" s="523"/>
      <c r="CB76" s="523"/>
      <c r="CC76" s="523"/>
      <c r="CD76" s="523"/>
      <c r="CE76" s="523"/>
      <c r="CF76" s="523"/>
      <c r="CG76" s="523"/>
      <c r="CH76" s="523"/>
      <c r="CI76" s="523">
        <f t="shared" si="2"/>
        <v>0</v>
      </c>
    </row>
    <row r="77" spans="1:87" s="514" customFormat="1" x14ac:dyDescent="0.2">
      <c r="A77" s="412">
        <v>6</v>
      </c>
      <c r="B77" s="413"/>
      <c r="C77" s="413"/>
      <c r="D77" s="414" t="s">
        <v>97</v>
      </c>
      <c r="E77" s="415"/>
      <c r="F77" s="415"/>
      <c r="G77" s="415"/>
      <c r="H77" s="415"/>
      <c r="I77" s="415"/>
      <c r="J77" s="415"/>
      <c r="K77" s="415"/>
      <c r="L77" s="433">
        <f>SUM(L78,L83,L87,L90)</f>
        <v>10373.979999999998</v>
      </c>
      <c r="M77" s="433">
        <f>SUM(M78,M83,M87,M90)</f>
        <v>0</v>
      </c>
      <c r="N77" s="433">
        <f>SUM(N78,N83,N87,N90)</f>
        <v>0</v>
      </c>
      <c r="O77" s="433">
        <f>SUM(O78,O83,O87,O90)</f>
        <v>10373.979999999998</v>
      </c>
      <c r="P77" s="423">
        <f t="shared" si="0"/>
        <v>0</v>
      </c>
      <c r="Q77" s="525"/>
      <c r="S77" s="190">
        <v>0</v>
      </c>
      <c r="T77" s="190">
        <v>0</v>
      </c>
      <c r="BT77" s="525"/>
      <c r="BU77" s="523"/>
      <c r="BV77" s="523"/>
      <c r="BW77" s="523"/>
      <c r="BX77" s="523"/>
      <c r="BY77" s="523"/>
      <c r="BZ77" s="523"/>
      <c r="CA77" s="523"/>
      <c r="CB77" s="523"/>
      <c r="CC77" s="523"/>
      <c r="CD77" s="523"/>
      <c r="CE77" s="523"/>
      <c r="CF77" s="523"/>
      <c r="CG77" s="523"/>
      <c r="CH77" s="523"/>
      <c r="CI77" s="523">
        <f t="shared" si="2"/>
        <v>0</v>
      </c>
    </row>
    <row r="78" spans="1:87" x14ac:dyDescent="0.2">
      <c r="A78" s="449" t="s">
        <v>186</v>
      </c>
      <c r="B78" s="450"/>
      <c r="C78" s="450"/>
      <c r="D78" s="451" t="s">
        <v>1424</v>
      </c>
      <c r="E78" s="465"/>
      <c r="F78" s="465"/>
      <c r="G78" s="465"/>
      <c r="H78" s="465"/>
      <c r="I78" s="465"/>
      <c r="J78" s="465"/>
      <c r="K78" s="465"/>
      <c r="L78" s="468">
        <f>SUM(L79:L82)</f>
        <v>7440.7899999999991</v>
      </c>
      <c r="M78" s="468">
        <f>SUM(M79:M82)</f>
        <v>0</v>
      </c>
      <c r="N78" s="468">
        <f>SUM(N79:N82)</f>
        <v>0</v>
      </c>
      <c r="O78" s="468">
        <f>SUM(O79:O82)</f>
        <v>7440.7899999999991</v>
      </c>
      <c r="P78" s="459">
        <f t="shared" ref="P78:P87" si="18">N78/L78</f>
        <v>0</v>
      </c>
      <c r="Q78" s="525"/>
      <c r="S78" s="189">
        <v>0</v>
      </c>
      <c r="T78" s="189">
        <v>0</v>
      </c>
      <c r="BT78" s="525"/>
      <c r="BU78" s="523"/>
      <c r="BV78" s="523"/>
      <c r="BW78" s="523"/>
      <c r="BX78" s="523"/>
      <c r="BY78" s="523"/>
      <c r="BZ78" s="523"/>
      <c r="CA78" s="523"/>
      <c r="CB78" s="523"/>
      <c r="CC78" s="523"/>
      <c r="CD78" s="523"/>
      <c r="CE78" s="523"/>
      <c r="CF78" s="523"/>
      <c r="CG78" s="523"/>
      <c r="CH78" s="523"/>
      <c r="CI78" s="523">
        <f t="shared" si="2"/>
        <v>0</v>
      </c>
    </row>
    <row r="79" spans="1:87" ht="25.5" x14ac:dyDescent="0.2">
      <c r="A79" s="125" t="s">
        <v>1425</v>
      </c>
      <c r="B79" s="126">
        <v>90843</v>
      </c>
      <c r="C79" s="126" t="s">
        <v>1324</v>
      </c>
      <c r="D79" s="127" t="s">
        <v>1426</v>
      </c>
      <c r="E79" s="128" t="s">
        <v>102</v>
      </c>
      <c r="F79" s="129"/>
      <c r="G79" s="130">
        <v>688.65</v>
      </c>
      <c r="H79" s="128">
        <v>2</v>
      </c>
      <c r="I79" s="132">
        <f t="shared" si="3"/>
        <v>0</v>
      </c>
      <c r="J79" s="374">
        <f t="shared" si="4"/>
        <v>0</v>
      </c>
      <c r="K79" s="137">
        <f>H79-J79</f>
        <v>2</v>
      </c>
      <c r="L79" s="131">
        <f t="shared" ref="L79:O82" si="19">ROUND(H79*$G79,2)</f>
        <v>1377.3</v>
      </c>
      <c r="M79" s="131">
        <f t="shared" si="19"/>
        <v>0</v>
      </c>
      <c r="N79" s="131">
        <f t="shared" si="19"/>
        <v>0</v>
      </c>
      <c r="O79" s="131">
        <f t="shared" si="19"/>
        <v>1377.3</v>
      </c>
      <c r="P79" s="136">
        <f t="shared" si="18"/>
        <v>0</v>
      </c>
      <c r="Q79" s="525"/>
      <c r="S79" s="189">
        <v>0</v>
      </c>
      <c r="T79" s="189">
        <v>0</v>
      </c>
      <c r="BT79" s="525"/>
      <c r="BU79" s="523">
        <v>0</v>
      </c>
      <c r="BV79" s="523"/>
      <c r="BW79" s="523"/>
      <c r="BX79" s="523"/>
      <c r="BY79" s="523"/>
      <c r="BZ79" s="523"/>
      <c r="CA79" s="523"/>
      <c r="CB79" s="523"/>
      <c r="CC79" s="523"/>
      <c r="CD79" s="523"/>
      <c r="CE79" s="523"/>
      <c r="CF79" s="523"/>
      <c r="CG79" s="523"/>
      <c r="CH79" s="523"/>
      <c r="CI79" s="523">
        <f t="shared" ref="CI79:CI142" si="20">SUM(BU79:CH79)</f>
        <v>0</v>
      </c>
    </row>
    <row r="80" spans="1:87" ht="25.5" x14ac:dyDescent="0.2">
      <c r="A80" s="125" t="s">
        <v>1427</v>
      </c>
      <c r="B80" s="126">
        <v>90844</v>
      </c>
      <c r="C80" s="126" t="s">
        <v>1324</v>
      </c>
      <c r="D80" s="127" t="s">
        <v>1428</v>
      </c>
      <c r="E80" s="128" t="s">
        <v>102</v>
      </c>
      <c r="F80" s="137">
        <v>179.33</v>
      </c>
      <c r="G80" s="130">
        <v>926.13</v>
      </c>
      <c r="H80" s="128">
        <v>1</v>
      </c>
      <c r="I80" s="133">
        <f t="shared" ref="I80:I143" si="21">BU80</f>
        <v>0</v>
      </c>
      <c r="J80" s="374">
        <f t="shared" ref="J80:J143" si="22">CI80</f>
        <v>0</v>
      </c>
      <c r="K80" s="137">
        <f>H80-J80</f>
        <v>1</v>
      </c>
      <c r="L80" s="131">
        <f t="shared" si="19"/>
        <v>926.13</v>
      </c>
      <c r="M80" s="131">
        <f t="shared" si="19"/>
        <v>0</v>
      </c>
      <c r="N80" s="131">
        <f t="shared" si="19"/>
        <v>0</v>
      </c>
      <c r="O80" s="131">
        <f t="shared" si="19"/>
        <v>926.13</v>
      </c>
      <c r="P80" s="136">
        <f t="shared" si="18"/>
        <v>0</v>
      </c>
      <c r="Q80" s="525"/>
      <c r="S80" s="189">
        <v>0</v>
      </c>
      <c r="T80" s="189">
        <v>0</v>
      </c>
      <c r="BT80" s="525"/>
      <c r="BU80" s="523">
        <v>0</v>
      </c>
      <c r="BV80" s="523"/>
      <c r="BW80" s="523"/>
      <c r="BX80" s="523"/>
      <c r="BY80" s="523"/>
      <c r="BZ80" s="523"/>
      <c r="CA80" s="523"/>
      <c r="CB80" s="523"/>
      <c r="CC80" s="523"/>
      <c r="CD80" s="523"/>
      <c r="CE80" s="523"/>
      <c r="CF80" s="523"/>
      <c r="CG80" s="523"/>
      <c r="CH80" s="523"/>
      <c r="CI80" s="523">
        <f t="shared" si="20"/>
        <v>0</v>
      </c>
    </row>
    <row r="81" spans="1:87" ht="25.5" x14ac:dyDescent="0.2">
      <c r="A81" s="125" t="s">
        <v>1429</v>
      </c>
      <c r="B81" s="126" t="s">
        <v>1430</v>
      </c>
      <c r="C81" s="126" t="s">
        <v>1324</v>
      </c>
      <c r="D81" s="127" t="s">
        <v>1431</v>
      </c>
      <c r="E81" s="128" t="s">
        <v>102</v>
      </c>
      <c r="F81" s="137">
        <v>268.98</v>
      </c>
      <c r="G81" s="130">
        <v>825.22</v>
      </c>
      <c r="H81" s="128">
        <v>4</v>
      </c>
      <c r="I81" s="133">
        <f t="shared" si="21"/>
        <v>0</v>
      </c>
      <c r="J81" s="374">
        <f t="shared" si="22"/>
        <v>0</v>
      </c>
      <c r="K81" s="137">
        <f>H81-J81</f>
        <v>4</v>
      </c>
      <c r="L81" s="131">
        <f t="shared" si="19"/>
        <v>3300.88</v>
      </c>
      <c r="M81" s="131">
        <f t="shared" si="19"/>
        <v>0</v>
      </c>
      <c r="N81" s="131">
        <f t="shared" si="19"/>
        <v>0</v>
      </c>
      <c r="O81" s="131">
        <f t="shared" si="19"/>
        <v>3300.88</v>
      </c>
      <c r="P81" s="136">
        <f t="shared" si="18"/>
        <v>0</v>
      </c>
      <c r="Q81" s="525"/>
      <c r="S81" s="189">
        <v>0</v>
      </c>
      <c r="T81" s="189">
        <v>0</v>
      </c>
      <c r="BT81" s="525"/>
      <c r="BU81" s="523">
        <v>0</v>
      </c>
      <c r="BV81" s="523"/>
      <c r="BW81" s="523"/>
      <c r="BX81" s="523"/>
      <c r="BY81" s="523"/>
      <c r="BZ81" s="523"/>
      <c r="CA81" s="523"/>
      <c r="CB81" s="523"/>
      <c r="CC81" s="523"/>
      <c r="CD81" s="523"/>
      <c r="CE81" s="523"/>
      <c r="CF81" s="523"/>
      <c r="CG81" s="523"/>
      <c r="CH81" s="523"/>
      <c r="CI81" s="523">
        <f t="shared" si="20"/>
        <v>0</v>
      </c>
    </row>
    <row r="82" spans="1:87" s="514" customFormat="1" ht="25.5" x14ac:dyDescent="0.2">
      <c r="A82" s="125" t="s">
        <v>1432</v>
      </c>
      <c r="B82" s="126" t="s">
        <v>1433</v>
      </c>
      <c r="C82" s="126" t="s">
        <v>1324</v>
      </c>
      <c r="D82" s="127" t="s">
        <v>1434</v>
      </c>
      <c r="E82" s="128" t="s">
        <v>102</v>
      </c>
      <c r="F82" s="137">
        <v>134.49</v>
      </c>
      <c r="G82" s="130">
        <v>918.24</v>
      </c>
      <c r="H82" s="128">
        <v>2</v>
      </c>
      <c r="I82" s="133">
        <f t="shared" si="21"/>
        <v>0</v>
      </c>
      <c r="J82" s="374">
        <f t="shared" si="22"/>
        <v>0</v>
      </c>
      <c r="K82" s="137">
        <f>H82-J82</f>
        <v>2</v>
      </c>
      <c r="L82" s="131">
        <f t="shared" si="19"/>
        <v>1836.48</v>
      </c>
      <c r="M82" s="131">
        <f t="shared" si="19"/>
        <v>0</v>
      </c>
      <c r="N82" s="131">
        <f t="shared" si="19"/>
        <v>0</v>
      </c>
      <c r="O82" s="131">
        <f t="shared" si="19"/>
        <v>1836.48</v>
      </c>
      <c r="P82" s="136">
        <f t="shared" si="18"/>
        <v>0</v>
      </c>
      <c r="Q82" s="525"/>
      <c r="S82" s="190">
        <v>0</v>
      </c>
      <c r="T82" s="190">
        <v>0</v>
      </c>
      <c r="BT82" s="525"/>
      <c r="BU82" s="523">
        <v>0</v>
      </c>
      <c r="BV82" s="523"/>
      <c r="BW82" s="523"/>
      <c r="BX82" s="523"/>
      <c r="BY82" s="523"/>
      <c r="BZ82" s="523"/>
      <c r="CA82" s="523"/>
      <c r="CB82" s="523"/>
      <c r="CC82" s="523"/>
      <c r="CD82" s="523"/>
      <c r="CE82" s="523"/>
      <c r="CF82" s="523"/>
      <c r="CG82" s="523"/>
      <c r="CH82" s="523"/>
      <c r="CI82" s="523">
        <f t="shared" si="20"/>
        <v>0</v>
      </c>
    </row>
    <row r="83" spans="1:87" x14ac:dyDescent="0.2">
      <c r="A83" s="449" t="s">
        <v>188</v>
      </c>
      <c r="B83" s="450"/>
      <c r="C83" s="450"/>
      <c r="D83" s="451" t="s">
        <v>1435</v>
      </c>
      <c r="E83" s="465"/>
      <c r="F83" s="465"/>
      <c r="G83" s="465"/>
      <c r="H83" s="465"/>
      <c r="I83" s="465"/>
      <c r="J83" s="465"/>
      <c r="K83" s="465"/>
      <c r="L83" s="452">
        <f>SUM(L84:L86)</f>
        <v>773.29</v>
      </c>
      <c r="M83" s="452">
        <f>SUM(M84:M86)</f>
        <v>0</v>
      </c>
      <c r="N83" s="452">
        <f>SUM(N84:N86)</f>
        <v>0</v>
      </c>
      <c r="O83" s="452">
        <f>SUM(O84:O86)</f>
        <v>773.29</v>
      </c>
      <c r="P83" s="459">
        <f t="shared" si="18"/>
        <v>0</v>
      </c>
      <c r="Q83" s="525"/>
      <c r="S83" s="189">
        <v>0</v>
      </c>
      <c r="T83" s="189">
        <v>0</v>
      </c>
      <c r="BT83" s="525"/>
      <c r="BU83" s="523"/>
      <c r="BV83" s="523"/>
      <c r="BW83" s="523"/>
      <c r="BX83" s="523"/>
      <c r="BY83" s="523"/>
      <c r="BZ83" s="523"/>
      <c r="CA83" s="523"/>
      <c r="CB83" s="523"/>
      <c r="CC83" s="523"/>
      <c r="CD83" s="523"/>
      <c r="CE83" s="523"/>
      <c r="CF83" s="523"/>
      <c r="CG83" s="523"/>
      <c r="CH83" s="523"/>
      <c r="CI83" s="523">
        <f t="shared" si="20"/>
        <v>0</v>
      </c>
    </row>
    <row r="84" spans="1:87" ht="25.5" x14ac:dyDescent="0.2">
      <c r="A84" s="125" t="s">
        <v>1436</v>
      </c>
      <c r="B84" s="126" t="s">
        <v>2007</v>
      </c>
      <c r="C84" s="126" t="s">
        <v>1339</v>
      </c>
      <c r="D84" s="127" t="s">
        <v>1437</v>
      </c>
      <c r="E84" s="128" t="s">
        <v>81</v>
      </c>
      <c r="F84" s="137">
        <v>627.62</v>
      </c>
      <c r="G84" s="130">
        <v>48.24</v>
      </c>
      <c r="H84" s="128">
        <v>11.6</v>
      </c>
      <c r="I84" s="133">
        <f t="shared" si="21"/>
        <v>0</v>
      </c>
      <c r="J84" s="374">
        <f t="shared" si="22"/>
        <v>0</v>
      </c>
      <c r="K84" s="137">
        <f t="shared" ref="K84:K91" si="23">H84-J84</f>
        <v>11.6</v>
      </c>
      <c r="L84" s="131">
        <f t="shared" ref="L84:O86" si="24">ROUND(H84*$G84,2)</f>
        <v>559.58000000000004</v>
      </c>
      <c r="M84" s="131">
        <f t="shared" si="24"/>
        <v>0</v>
      </c>
      <c r="N84" s="131">
        <f t="shared" si="24"/>
        <v>0</v>
      </c>
      <c r="O84" s="131">
        <f t="shared" si="24"/>
        <v>559.58000000000004</v>
      </c>
      <c r="P84" s="136">
        <f t="shared" si="18"/>
        <v>0</v>
      </c>
      <c r="Q84" s="525"/>
      <c r="S84" s="189">
        <v>0</v>
      </c>
      <c r="T84" s="189">
        <v>0</v>
      </c>
      <c r="BT84" s="525"/>
      <c r="BU84" s="523">
        <v>0</v>
      </c>
      <c r="BV84" s="523"/>
      <c r="BW84" s="523"/>
      <c r="BX84" s="523"/>
      <c r="BY84" s="523"/>
      <c r="BZ84" s="523"/>
      <c r="CA84" s="523"/>
      <c r="CB84" s="523"/>
      <c r="CC84" s="523"/>
      <c r="CD84" s="523"/>
      <c r="CE84" s="523"/>
      <c r="CF84" s="523"/>
      <c r="CG84" s="523"/>
      <c r="CH84" s="523"/>
      <c r="CI84" s="523">
        <f t="shared" si="20"/>
        <v>0</v>
      </c>
    </row>
    <row r="85" spans="1:87" ht="25.5" x14ac:dyDescent="0.2">
      <c r="A85" s="125" t="s">
        <v>1438</v>
      </c>
      <c r="B85" s="126" t="s">
        <v>2007</v>
      </c>
      <c r="C85" s="126" t="s">
        <v>1339</v>
      </c>
      <c r="D85" s="127" t="s">
        <v>1439</v>
      </c>
      <c r="E85" s="128" t="s">
        <v>14</v>
      </c>
      <c r="F85" s="137">
        <v>358.64</v>
      </c>
      <c r="G85" s="130">
        <v>5.44</v>
      </c>
      <c r="H85" s="128">
        <v>4.3</v>
      </c>
      <c r="I85" s="133">
        <f t="shared" si="21"/>
        <v>0</v>
      </c>
      <c r="J85" s="374">
        <f t="shared" si="22"/>
        <v>0</v>
      </c>
      <c r="K85" s="137">
        <f t="shared" si="23"/>
        <v>4.3</v>
      </c>
      <c r="L85" s="131">
        <f t="shared" si="24"/>
        <v>23.39</v>
      </c>
      <c r="M85" s="131">
        <f t="shared" si="24"/>
        <v>0</v>
      </c>
      <c r="N85" s="131">
        <f t="shared" si="24"/>
        <v>0</v>
      </c>
      <c r="O85" s="131">
        <f t="shared" si="24"/>
        <v>23.39</v>
      </c>
      <c r="P85" s="136">
        <f t="shared" si="18"/>
        <v>0</v>
      </c>
      <c r="Q85" s="525"/>
      <c r="S85" s="189">
        <v>0</v>
      </c>
      <c r="T85" s="189">
        <v>0</v>
      </c>
      <c r="BT85" s="525"/>
      <c r="BU85" s="523">
        <v>0</v>
      </c>
      <c r="BV85" s="523"/>
      <c r="BW85" s="523"/>
      <c r="BX85" s="523"/>
      <c r="BY85" s="523"/>
      <c r="BZ85" s="523"/>
      <c r="CA85" s="523"/>
      <c r="CB85" s="523"/>
      <c r="CC85" s="523"/>
      <c r="CD85" s="523"/>
      <c r="CE85" s="523"/>
      <c r="CF85" s="523"/>
      <c r="CG85" s="523"/>
      <c r="CH85" s="523"/>
      <c r="CI85" s="523">
        <f t="shared" si="20"/>
        <v>0</v>
      </c>
    </row>
    <row r="86" spans="1:87" s="514" customFormat="1" x14ac:dyDescent="0.2">
      <c r="A86" s="125" t="s">
        <v>1440</v>
      </c>
      <c r="B86" s="126" t="s">
        <v>1441</v>
      </c>
      <c r="C86" s="126" t="s">
        <v>1324</v>
      </c>
      <c r="D86" s="127" t="s">
        <v>1442</v>
      </c>
      <c r="E86" s="128" t="s">
        <v>102</v>
      </c>
      <c r="F86" s="137">
        <v>448.3</v>
      </c>
      <c r="G86" s="130">
        <v>31.72</v>
      </c>
      <c r="H86" s="128">
        <v>6</v>
      </c>
      <c r="I86" s="133">
        <f t="shared" si="21"/>
        <v>0</v>
      </c>
      <c r="J86" s="374">
        <f t="shared" si="22"/>
        <v>0</v>
      </c>
      <c r="K86" s="137">
        <f t="shared" si="23"/>
        <v>6</v>
      </c>
      <c r="L86" s="131">
        <f t="shared" si="24"/>
        <v>190.32</v>
      </c>
      <c r="M86" s="131">
        <f t="shared" si="24"/>
        <v>0</v>
      </c>
      <c r="N86" s="131">
        <f t="shared" si="24"/>
        <v>0</v>
      </c>
      <c r="O86" s="131">
        <f t="shared" si="24"/>
        <v>190.32</v>
      </c>
      <c r="P86" s="136">
        <f t="shared" si="18"/>
        <v>0</v>
      </c>
      <c r="Q86" s="525"/>
      <c r="S86" s="190">
        <v>0</v>
      </c>
      <c r="T86" s="190">
        <v>0</v>
      </c>
      <c r="BT86" s="525"/>
      <c r="BU86" s="523">
        <v>0</v>
      </c>
      <c r="BV86" s="523"/>
      <c r="BW86" s="523"/>
      <c r="BX86" s="523"/>
      <c r="BY86" s="523"/>
      <c r="BZ86" s="523"/>
      <c r="CA86" s="523"/>
      <c r="CB86" s="523"/>
      <c r="CC86" s="523"/>
      <c r="CD86" s="523"/>
      <c r="CE86" s="523"/>
      <c r="CF86" s="523"/>
      <c r="CG86" s="523"/>
      <c r="CH86" s="523"/>
      <c r="CI86" s="523">
        <f t="shared" si="20"/>
        <v>0</v>
      </c>
    </row>
    <row r="87" spans="1:87" x14ac:dyDescent="0.2">
      <c r="A87" s="449" t="s">
        <v>1443</v>
      </c>
      <c r="B87" s="450"/>
      <c r="C87" s="450"/>
      <c r="D87" s="451" t="s">
        <v>1444</v>
      </c>
      <c r="E87" s="465"/>
      <c r="F87" s="465"/>
      <c r="G87" s="465"/>
      <c r="H87" s="465"/>
      <c r="I87" s="465"/>
      <c r="J87" s="465"/>
      <c r="K87" s="465"/>
      <c r="L87" s="460">
        <f>L89</f>
        <v>331.68</v>
      </c>
      <c r="M87" s="460">
        <f>M89</f>
        <v>0</v>
      </c>
      <c r="N87" s="460">
        <f>N89</f>
        <v>0</v>
      </c>
      <c r="O87" s="460">
        <f>O89</f>
        <v>331.68</v>
      </c>
      <c r="P87" s="459">
        <f t="shared" si="18"/>
        <v>0</v>
      </c>
      <c r="Q87" s="525"/>
      <c r="S87" s="189">
        <v>0</v>
      </c>
      <c r="T87" s="189">
        <v>0</v>
      </c>
      <c r="BT87" s="525"/>
      <c r="BU87" s="523"/>
      <c r="BV87" s="523"/>
      <c r="BW87" s="523"/>
      <c r="BX87" s="523"/>
      <c r="BY87" s="523"/>
      <c r="BZ87" s="523"/>
      <c r="CA87" s="523"/>
      <c r="CB87" s="523"/>
      <c r="CC87" s="523"/>
      <c r="CD87" s="523"/>
      <c r="CE87" s="523"/>
      <c r="CF87" s="523"/>
      <c r="CG87" s="523"/>
      <c r="CH87" s="523"/>
      <c r="CI87" s="523">
        <f t="shared" si="20"/>
        <v>0</v>
      </c>
    </row>
    <row r="88" spans="1:87" x14ac:dyDescent="0.2">
      <c r="A88" s="125" t="s">
        <v>1445</v>
      </c>
      <c r="B88" s="126">
        <v>68052</v>
      </c>
      <c r="C88" s="126" t="s">
        <v>1324</v>
      </c>
      <c r="D88" s="397" t="s">
        <v>1446</v>
      </c>
      <c r="E88" s="128" t="s">
        <v>14</v>
      </c>
      <c r="F88" s="137">
        <v>390.13</v>
      </c>
      <c r="G88" s="130">
        <v>0</v>
      </c>
      <c r="H88" s="128">
        <v>10.8</v>
      </c>
      <c r="I88" s="133">
        <f t="shared" si="21"/>
        <v>0</v>
      </c>
      <c r="J88" s="374">
        <f t="shared" si="22"/>
        <v>0</v>
      </c>
      <c r="K88" s="137">
        <f t="shared" si="23"/>
        <v>10.8</v>
      </c>
      <c r="L88" s="131">
        <f t="shared" ref="L88:O89" si="25">ROUND(H88*$G88,2)</f>
        <v>0</v>
      </c>
      <c r="M88" s="131">
        <f t="shared" si="25"/>
        <v>0</v>
      </c>
      <c r="N88" s="131">
        <f t="shared" si="25"/>
        <v>0</v>
      </c>
      <c r="O88" s="131">
        <f t="shared" si="25"/>
        <v>0</v>
      </c>
      <c r="P88" s="136">
        <v>1</v>
      </c>
      <c r="Q88" s="525"/>
      <c r="S88" s="189">
        <v>0</v>
      </c>
      <c r="T88" s="189">
        <v>0</v>
      </c>
      <c r="BT88" s="525"/>
      <c r="BU88" s="523">
        <v>0</v>
      </c>
      <c r="BV88" s="523"/>
      <c r="BW88" s="523"/>
      <c r="BX88" s="523"/>
      <c r="BY88" s="523"/>
      <c r="BZ88" s="523"/>
      <c r="CA88" s="523"/>
      <c r="CB88" s="523"/>
      <c r="CC88" s="523"/>
      <c r="CD88" s="523"/>
      <c r="CE88" s="523"/>
      <c r="CF88" s="523"/>
      <c r="CG88" s="523"/>
      <c r="CH88" s="523"/>
      <c r="CI88" s="523">
        <f t="shared" si="20"/>
        <v>0</v>
      </c>
    </row>
    <row r="89" spans="1:87" s="514" customFormat="1" ht="25.5" x14ac:dyDescent="0.2">
      <c r="A89" s="125" t="s">
        <v>1447</v>
      </c>
      <c r="B89" s="126">
        <v>85010</v>
      </c>
      <c r="C89" s="126" t="s">
        <v>1324</v>
      </c>
      <c r="D89" s="127" t="s">
        <v>1448</v>
      </c>
      <c r="E89" s="128" t="s">
        <v>14</v>
      </c>
      <c r="F89" s="137">
        <v>975.33</v>
      </c>
      <c r="G89" s="130">
        <v>159.46</v>
      </c>
      <c r="H89" s="128">
        <v>2.08</v>
      </c>
      <c r="I89" s="133">
        <f t="shared" si="21"/>
        <v>0</v>
      </c>
      <c r="J89" s="374">
        <f t="shared" si="22"/>
        <v>0</v>
      </c>
      <c r="K89" s="137">
        <f t="shared" si="23"/>
        <v>2.08</v>
      </c>
      <c r="L89" s="131">
        <f t="shared" si="25"/>
        <v>331.68</v>
      </c>
      <c r="M89" s="131">
        <f t="shared" si="25"/>
        <v>0</v>
      </c>
      <c r="N89" s="131">
        <f t="shared" si="25"/>
        <v>0</v>
      </c>
      <c r="O89" s="131">
        <f t="shared" si="25"/>
        <v>331.68</v>
      </c>
      <c r="P89" s="136">
        <f t="shared" ref="P89:P139" si="26">N89/L89</f>
        <v>0</v>
      </c>
      <c r="Q89" s="525"/>
      <c r="S89" s="190">
        <v>0</v>
      </c>
      <c r="T89" s="190">
        <v>0</v>
      </c>
      <c r="BT89" s="525"/>
      <c r="BU89" s="523">
        <v>0</v>
      </c>
      <c r="BV89" s="523"/>
      <c r="BW89" s="523"/>
      <c r="BX89" s="523"/>
      <c r="BY89" s="523"/>
      <c r="BZ89" s="523"/>
      <c r="CA89" s="523"/>
      <c r="CB89" s="523"/>
      <c r="CC89" s="523"/>
      <c r="CD89" s="523"/>
      <c r="CE89" s="523"/>
      <c r="CF89" s="523"/>
      <c r="CG89" s="523"/>
      <c r="CH89" s="523"/>
      <c r="CI89" s="523">
        <f t="shared" si="20"/>
        <v>0</v>
      </c>
    </row>
    <row r="90" spans="1:87" x14ac:dyDescent="0.2">
      <c r="A90" s="449" t="s">
        <v>1449</v>
      </c>
      <c r="B90" s="450"/>
      <c r="C90" s="450"/>
      <c r="D90" s="451" t="s">
        <v>184</v>
      </c>
      <c r="E90" s="465"/>
      <c r="F90" s="465"/>
      <c r="G90" s="465"/>
      <c r="H90" s="465"/>
      <c r="I90" s="465"/>
      <c r="J90" s="465"/>
      <c r="K90" s="465"/>
      <c r="L90" s="460">
        <f>L91</f>
        <v>1828.22</v>
      </c>
      <c r="M90" s="460">
        <f>M91</f>
        <v>0</v>
      </c>
      <c r="N90" s="460">
        <f>N91</f>
        <v>0</v>
      </c>
      <c r="O90" s="460">
        <f>O91</f>
        <v>1828.22</v>
      </c>
      <c r="P90" s="459">
        <f t="shared" si="26"/>
        <v>0</v>
      </c>
      <c r="Q90" s="525"/>
      <c r="S90" s="189">
        <v>0</v>
      </c>
      <c r="T90" s="189">
        <v>0</v>
      </c>
      <c r="BT90" s="525"/>
      <c r="BU90" s="523"/>
      <c r="BV90" s="523"/>
      <c r="BW90" s="523"/>
      <c r="BX90" s="523"/>
      <c r="BY90" s="523"/>
      <c r="BZ90" s="523"/>
      <c r="CA90" s="523"/>
      <c r="CB90" s="523"/>
      <c r="CC90" s="523"/>
      <c r="CD90" s="523"/>
      <c r="CE90" s="523"/>
      <c r="CF90" s="523"/>
      <c r="CG90" s="523"/>
      <c r="CH90" s="523"/>
      <c r="CI90" s="523">
        <f t="shared" si="20"/>
        <v>0</v>
      </c>
    </row>
    <row r="91" spans="1:87" ht="25.5" x14ac:dyDescent="0.2">
      <c r="A91" s="125" t="s">
        <v>1450</v>
      </c>
      <c r="B91" s="126" t="s">
        <v>1451</v>
      </c>
      <c r="C91" s="126" t="s">
        <v>1324</v>
      </c>
      <c r="D91" s="127" t="s">
        <v>1452</v>
      </c>
      <c r="E91" s="128" t="s">
        <v>14</v>
      </c>
      <c r="F91" s="137">
        <v>877.8</v>
      </c>
      <c r="G91" s="130">
        <v>423.2</v>
      </c>
      <c r="H91" s="128">
        <v>4.32</v>
      </c>
      <c r="I91" s="133">
        <f t="shared" si="21"/>
        <v>0</v>
      </c>
      <c r="J91" s="374">
        <f t="shared" si="22"/>
        <v>0</v>
      </c>
      <c r="K91" s="137">
        <f t="shared" si="23"/>
        <v>4.32</v>
      </c>
      <c r="L91" s="131">
        <f>ROUND(H91*$G91,2)</f>
        <v>1828.22</v>
      </c>
      <c r="M91" s="131">
        <f>ROUND(I91*$G91,2)</f>
        <v>0</v>
      </c>
      <c r="N91" s="131">
        <f>ROUND(J91*$G91,2)</f>
        <v>0</v>
      </c>
      <c r="O91" s="131">
        <f>ROUND(K91*$G91,2)</f>
        <v>1828.22</v>
      </c>
      <c r="P91" s="136">
        <f t="shared" si="26"/>
        <v>0</v>
      </c>
      <c r="Q91" s="525"/>
      <c r="S91" s="189">
        <v>0</v>
      </c>
      <c r="T91" s="189">
        <v>0</v>
      </c>
      <c r="BT91" s="525"/>
      <c r="BU91" s="523">
        <v>0</v>
      </c>
      <c r="BV91" s="523"/>
      <c r="BW91" s="523"/>
      <c r="BX91" s="523"/>
      <c r="BY91" s="523"/>
      <c r="BZ91" s="523"/>
      <c r="CA91" s="523"/>
      <c r="CB91" s="523"/>
      <c r="CC91" s="523"/>
      <c r="CD91" s="523"/>
      <c r="CE91" s="523"/>
      <c r="CF91" s="523"/>
      <c r="CG91" s="523"/>
      <c r="CH91" s="523"/>
      <c r="CI91" s="523">
        <f t="shared" si="20"/>
        <v>0</v>
      </c>
    </row>
    <row r="92" spans="1:87" x14ac:dyDescent="0.2">
      <c r="A92" s="412">
        <v>7</v>
      </c>
      <c r="B92" s="413"/>
      <c r="C92" s="413"/>
      <c r="D92" s="414" t="s">
        <v>1453</v>
      </c>
      <c r="E92" s="415"/>
      <c r="F92" s="415"/>
      <c r="G92" s="415"/>
      <c r="H92" s="415"/>
      <c r="I92" s="415"/>
      <c r="J92" s="415"/>
      <c r="K92" s="415"/>
      <c r="L92" s="433">
        <f>SUM(L93:L94)</f>
        <v>173274.06</v>
      </c>
      <c r="M92" s="433">
        <f>SUM(M93:M94)</f>
        <v>0</v>
      </c>
      <c r="N92" s="433">
        <f>SUM(N93:N94)</f>
        <v>0</v>
      </c>
      <c r="O92" s="433">
        <f>SUM(O93:O94)</f>
        <v>173274.06</v>
      </c>
      <c r="P92" s="423">
        <f t="shared" si="26"/>
        <v>0</v>
      </c>
      <c r="Q92" s="525"/>
      <c r="S92" s="189">
        <v>0</v>
      </c>
      <c r="T92" s="189">
        <v>0</v>
      </c>
      <c r="BT92" s="525"/>
      <c r="BU92" s="523"/>
      <c r="BV92" s="523"/>
      <c r="BW92" s="523"/>
      <c r="BX92" s="523"/>
      <c r="BY92" s="523"/>
      <c r="BZ92" s="523"/>
      <c r="CA92" s="523"/>
      <c r="CB92" s="523"/>
      <c r="CC92" s="523"/>
      <c r="CD92" s="523"/>
      <c r="CE92" s="523"/>
      <c r="CF92" s="523"/>
      <c r="CG92" s="523"/>
      <c r="CH92" s="523"/>
      <c r="CI92" s="523">
        <f t="shared" si="20"/>
        <v>0</v>
      </c>
    </row>
    <row r="93" spans="1:87" ht="25.5" x14ac:dyDescent="0.2">
      <c r="A93" s="125" t="s">
        <v>193</v>
      </c>
      <c r="B93" s="126" t="s">
        <v>1454</v>
      </c>
      <c r="C93" s="126" t="s">
        <v>1324</v>
      </c>
      <c r="D93" s="127" t="s">
        <v>1455</v>
      </c>
      <c r="E93" s="128" t="s">
        <v>14</v>
      </c>
      <c r="F93" s="144">
        <v>1560.54</v>
      </c>
      <c r="G93" s="130">
        <v>51.14</v>
      </c>
      <c r="H93" s="128">
        <v>1030.4000000000001</v>
      </c>
      <c r="I93" s="133">
        <f t="shared" si="21"/>
        <v>0</v>
      </c>
      <c r="J93" s="374">
        <f t="shared" si="22"/>
        <v>0</v>
      </c>
      <c r="K93" s="137">
        <f>H93-J93</f>
        <v>1030.4000000000001</v>
      </c>
      <c r="L93" s="131">
        <f t="shared" ref="L93:O94" si="27">ROUND(H93*$G93,2)</f>
        <v>52694.66</v>
      </c>
      <c r="M93" s="131">
        <f t="shared" si="27"/>
        <v>0</v>
      </c>
      <c r="N93" s="131">
        <f t="shared" si="27"/>
        <v>0</v>
      </c>
      <c r="O93" s="131">
        <f t="shared" si="27"/>
        <v>52694.66</v>
      </c>
      <c r="P93" s="136">
        <f t="shared" si="26"/>
        <v>0</v>
      </c>
      <c r="Q93" s="525"/>
      <c r="S93" s="189">
        <v>0</v>
      </c>
      <c r="T93" s="189">
        <v>0</v>
      </c>
      <c r="BT93" s="525"/>
      <c r="BU93" s="523">
        <v>0</v>
      </c>
      <c r="BV93" s="523"/>
      <c r="BW93" s="523"/>
      <c r="BX93" s="523"/>
      <c r="BY93" s="523"/>
      <c r="BZ93" s="523"/>
      <c r="CA93" s="523"/>
      <c r="CB93" s="523"/>
      <c r="CC93" s="523"/>
      <c r="CD93" s="523"/>
      <c r="CE93" s="523"/>
      <c r="CF93" s="523"/>
      <c r="CG93" s="523"/>
      <c r="CH93" s="523"/>
      <c r="CI93" s="523">
        <f t="shared" si="20"/>
        <v>0</v>
      </c>
    </row>
    <row r="94" spans="1:87" s="110" customFormat="1" x14ac:dyDescent="0.2">
      <c r="A94" s="125" t="s">
        <v>195</v>
      </c>
      <c r="B94" s="126">
        <v>72112</v>
      </c>
      <c r="C94" s="126" t="s">
        <v>1324</v>
      </c>
      <c r="D94" s="127" t="s">
        <v>1456</v>
      </c>
      <c r="E94" s="128" t="s">
        <v>14</v>
      </c>
      <c r="F94" s="144">
        <v>1950.67</v>
      </c>
      <c r="G94" s="130">
        <v>122.99</v>
      </c>
      <c r="H94" s="128">
        <v>980.4</v>
      </c>
      <c r="I94" s="133">
        <f t="shared" si="21"/>
        <v>0</v>
      </c>
      <c r="J94" s="374">
        <f t="shared" si="22"/>
        <v>0</v>
      </c>
      <c r="K94" s="137">
        <f>H94-J94</f>
        <v>980.4</v>
      </c>
      <c r="L94" s="131">
        <f t="shared" si="27"/>
        <v>120579.4</v>
      </c>
      <c r="M94" s="131">
        <f t="shared" si="27"/>
        <v>0</v>
      </c>
      <c r="N94" s="131">
        <f t="shared" si="27"/>
        <v>0</v>
      </c>
      <c r="O94" s="131">
        <f t="shared" si="27"/>
        <v>120579.4</v>
      </c>
      <c r="P94" s="136">
        <f t="shared" si="26"/>
        <v>0</v>
      </c>
      <c r="Q94" s="525"/>
      <c r="S94" s="192">
        <v>0</v>
      </c>
      <c r="T94" s="192">
        <v>0</v>
      </c>
      <c r="BT94" s="525"/>
      <c r="BU94" s="523">
        <v>0</v>
      </c>
      <c r="BV94" s="523"/>
      <c r="BW94" s="523"/>
      <c r="BX94" s="523"/>
      <c r="BY94" s="523"/>
      <c r="BZ94" s="523"/>
      <c r="CA94" s="523"/>
      <c r="CB94" s="523"/>
      <c r="CC94" s="523"/>
      <c r="CD94" s="523"/>
      <c r="CE94" s="523"/>
      <c r="CF94" s="523"/>
      <c r="CG94" s="523"/>
      <c r="CH94" s="523"/>
      <c r="CI94" s="523">
        <f t="shared" si="20"/>
        <v>0</v>
      </c>
    </row>
    <row r="95" spans="1:87" s="110" customFormat="1" x14ac:dyDescent="0.2">
      <c r="A95" s="425">
        <v>8</v>
      </c>
      <c r="B95" s="426"/>
      <c r="C95" s="426"/>
      <c r="D95" s="427" t="s">
        <v>208</v>
      </c>
      <c r="E95" s="415"/>
      <c r="F95" s="415"/>
      <c r="G95" s="415"/>
      <c r="H95" s="415"/>
      <c r="I95" s="415"/>
      <c r="J95" s="415"/>
      <c r="K95" s="415"/>
      <c r="L95" s="428">
        <f>SUM(L96:L97)</f>
        <v>5634.27</v>
      </c>
      <c r="M95" s="429">
        <f>SUM(M96:M97)</f>
        <v>0</v>
      </c>
      <c r="N95" s="432">
        <f>SUM(N96:N97)</f>
        <v>0</v>
      </c>
      <c r="O95" s="430">
        <f>SUM(O96:O97)</f>
        <v>5634.27</v>
      </c>
      <c r="P95" s="431">
        <f t="shared" si="26"/>
        <v>0</v>
      </c>
      <c r="Q95" s="525"/>
      <c r="S95" s="192">
        <v>265.61</v>
      </c>
      <c r="T95" s="192">
        <v>265.61</v>
      </c>
      <c r="BT95" s="525"/>
      <c r="BU95" s="523"/>
      <c r="BV95" s="523"/>
      <c r="BW95" s="523"/>
      <c r="BX95" s="523"/>
      <c r="BY95" s="523"/>
      <c r="BZ95" s="523"/>
      <c r="CA95" s="523"/>
      <c r="CB95" s="523"/>
      <c r="CC95" s="523"/>
      <c r="CD95" s="523"/>
      <c r="CE95" s="523"/>
      <c r="CF95" s="523"/>
      <c r="CG95" s="523"/>
      <c r="CH95" s="523"/>
      <c r="CI95" s="523">
        <f t="shared" si="20"/>
        <v>0</v>
      </c>
    </row>
    <row r="96" spans="1:87" x14ac:dyDescent="0.2">
      <c r="A96" s="379" t="s">
        <v>210</v>
      </c>
      <c r="B96" s="380" t="s">
        <v>1457</v>
      </c>
      <c r="C96" s="380" t="s">
        <v>1324</v>
      </c>
      <c r="D96" s="381" t="s">
        <v>1458</v>
      </c>
      <c r="E96" s="382" t="s">
        <v>14</v>
      </c>
      <c r="F96" s="144">
        <v>3121.08</v>
      </c>
      <c r="G96" s="383">
        <v>8.5</v>
      </c>
      <c r="H96" s="382">
        <v>265.61</v>
      </c>
      <c r="I96" s="385">
        <f t="shared" si="21"/>
        <v>0</v>
      </c>
      <c r="J96" s="374">
        <f t="shared" si="22"/>
        <v>0</v>
      </c>
      <c r="K96" s="137">
        <f>H96-J96</f>
        <v>265.61</v>
      </c>
      <c r="L96" s="131">
        <f t="shared" ref="L96:O97" si="28">ROUND(H96*$G96,2)</f>
        <v>2257.69</v>
      </c>
      <c r="M96" s="131">
        <f t="shared" si="28"/>
        <v>0</v>
      </c>
      <c r="N96" s="131">
        <f t="shared" si="28"/>
        <v>0</v>
      </c>
      <c r="O96" s="131">
        <f t="shared" si="28"/>
        <v>2257.69</v>
      </c>
      <c r="P96" s="388">
        <f t="shared" si="26"/>
        <v>0</v>
      </c>
      <c r="Q96" s="525"/>
      <c r="S96" s="189">
        <v>0</v>
      </c>
      <c r="T96" s="189">
        <v>0</v>
      </c>
      <c r="BT96" s="525"/>
      <c r="BU96" s="523">
        <v>0</v>
      </c>
      <c r="BV96" s="523"/>
      <c r="BW96" s="523"/>
      <c r="BX96" s="523"/>
      <c r="BY96" s="523"/>
      <c r="BZ96" s="523"/>
      <c r="CA96" s="523"/>
      <c r="CB96" s="523"/>
      <c r="CC96" s="523"/>
      <c r="CD96" s="523"/>
      <c r="CE96" s="523"/>
      <c r="CF96" s="523"/>
      <c r="CG96" s="523"/>
      <c r="CH96" s="523"/>
      <c r="CI96" s="523">
        <f t="shared" si="20"/>
        <v>0</v>
      </c>
    </row>
    <row r="97" spans="1:87" s="517" customFormat="1" ht="25.5" x14ac:dyDescent="0.2">
      <c r="A97" s="125" t="s">
        <v>213</v>
      </c>
      <c r="B97" s="126">
        <v>68053</v>
      </c>
      <c r="C97" s="126" t="s">
        <v>1324</v>
      </c>
      <c r="D97" s="127" t="s">
        <v>1459</v>
      </c>
      <c r="E97" s="128" t="s">
        <v>14</v>
      </c>
      <c r="F97" s="144">
        <v>1137.9000000000001</v>
      </c>
      <c r="G97" s="130">
        <v>4.99</v>
      </c>
      <c r="H97" s="128">
        <v>676.67</v>
      </c>
      <c r="I97" s="133">
        <f t="shared" si="21"/>
        <v>0</v>
      </c>
      <c r="J97" s="374">
        <f t="shared" si="22"/>
        <v>0</v>
      </c>
      <c r="K97" s="137">
        <f>H97-J97</f>
        <v>676.67</v>
      </c>
      <c r="L97" s="131">
        <f t="shared" si="28"/>
        <v>3376.58</v>
      </c>
      <c r="M97" s="131">
        <f t="shared" si="28"/>
        <v>0</v>
      </c>
      <c r="N97" s="131">
        <f t="shared" si="28"/>
        <v>0</v>
      </c>
      <c r="O97" s="131">
        <f t="shared" si="28"/>
        <v>3376.58</v>
      </c>
      <c r="P97" s="136">
        <f t="shared" si="26"/>
        <v>0</v>
      </c>
      <c r="Q97" s="525"/>
      <c r="S97" s="191">
        <v>0</v>
      </c>
      <c r="T97" s="191">
        <v>0</v>
      </c>
      <c r="BT97" s="525"/>
      <c r="BU97" s="523">
        <v>0</v>
      </c>
      <c r="BV97" s="523"/>
      <c r="BW97" s="523"/>
      <c r="BX97" s="523"/>
      <c r="BY97" s="523"/>
      <c r="BZ97" s="523"/>
      <c r="CA97" s="523"/>
      <c r="CB97" s="523"/>
      <c r="CC97" s="523"/>
      <c r="CD97" s="523"/>
      <c r="CE97" s="523"/>
      <c r="CF97" s="523"/>
      <c r="CG97" s="523"/>
      <c r="CH97" s="523"/>
      <c r="CI97" s="523">
        <f t="shared" si="20"/>
        <v>0</v>
      </c>
    </row>
    <row r="98" spans="1:87" x14ac:dyDescent="0.2">
      <c r="A98" s="425">
        <v>9</v>
      </c>
      <c r="B98" s="426"/>
      <c r="C98" s="426"/>
      <c r="D98" s="427" t="s">
        <v>1460</v>
      </c>
      <c r="E98" s="415"/>
      <c r="F98" s="415"/>
      <c r="G98" s="415"/>
      <c r="H98" s="415"/>
      <c r="I98" s="415"/>
      <c r="J98" s="415"/>
      <c r="K98" s="415"/>
      <c r="L98" s="428">
        <f>SUM(L99:L108)</f>
        <v>51794.2</v>
      </c>
      <c r="M98" s="428">
        <f>SUM(M99:M108)</f>
        <v>0</v>
      </c>
      <c r="N98" s="428">
        <f>SUM(N99:N108)</f>
        <v>0</v>
      </c>
      <c r="O98" s="428">
        <f>SUM(O99:O108)</f>
        <v>51794.2</v>
      </c>
      <c r="P98" s="431">
        <f t="shared" si="26"/>
        <v>0</v>
      </c>
      <c r="Q98" s="525"/>
      <c r="S98" s="189">
        <v>0</v>
      </c>
      <c r="T98" s="189">
        <v>803.09</v>
      </c>
      <c r="BT98" s="525"/>
      <c r="BU98" s="523"/>
      <c r="BV98" s="523"/>
      <c r="BW98" s="523"/>
      <c r="BX98" s="523"/>
      <c r="BY98" s="523"/>
      <c r="BZ98" s="523"/>
      <c r="CA98" s="523"/>
      <c r="CB98" s="523"/>
      <c r="CC98" s="523"/>
      <c r="CD98" s="523"/>
      <c r="CE98" s="523"/>
      <c r="CF98" s="523"/>
      <c r="CG98" s="523"/>
      <c r="CH98" s="523"/>
      <c r="CI98" s="523">
        <f t="shared" si="20"/>
        <v>0</v>
      </c>
    </row>
    <row r="99" spans="1:87" x14ac:dyDescent="0.2">
      <c r="A99" s="125" t="s">
        <v>223</v>
      </c>
      <c r="B99" s="126">
        <v>87905</v>
      </c>
      <c r="C99" s="126" t="s">
        <v>1324</v>
      </c>
      <c r="D99" s="127" t="s">
        <v>1461</v>
      </c>
      <c r="E99" s="128" t="s">
        <v>14</v>
      </c>
      <c r="F99" s="137">
        <v>582.46</v>
      </c>
      <c r="G99" s="130">
        <v>6.11</v>
      </c>
      <c r="H99" s="128">
        <v>803.09</v>
      </c>
      <c r="I99" s="133">
        <f t="shared" si="21"/>
        <v>0</v>
      </c>
      <c r="J99" s="374">
        <f t="shared" si="22"/>
        <v>0</v>
      </c>
      <c r="K99" s="137">
        <f>H99-J99</f>
        <v>803.09</v>
      </c>
      <c r="L99" s="131">
        <f t="shared" ref="L99:O108" si="29">ROUND(H99*$G99,2)</f>
        <v>4906.88</v>
      </c>
      <c r="M99" s="131">
        <f t="shared" si="29"/>
        <v>0</v>
      </c>
      <c r="N99" s="131">
        <f t="shared" si="29"/>
        <v>0</v>
      </c>
      <c r="O99" s="131">
        <f t="shared" si="29"/>
        <v>4906.88</v>
      </c>
      <c r="P99" s="136">
        <f t="shared" si="26"/>
        <v>0</v>
      </c>
      <c r="Q99" s="525"/>
      <c r="S99" s="189">
        <v>0</v>
      </c>
      <c r="T99" s="189">
        <v>0</v>
      </c>
      <c r="BT99" s="525"/>
      <c r="BU99" s="523">
        <v>0</v>
      </c>
      <c r="BV99" s="523"/>
      <c r="BW99" s="523"/>
      <c r="BX99" s="523"/>
      <c r="BY99" s="523"/>
      <c r="BZ99" s="523"/>
      <c r="CA99" s="523"/>
      <c r="CB99" s="523"/>
      <c r="CC99" s="523"/>
      <c r="CD99" s="523"/>
      <c r="CE99" s="523"/>
      <c r="CF99" s="523"/>
      <c r="CG99" s="523"/>
      <c r="CH99" s="523"/>
      <c r="CI99" s="523">
        <f t="shared" si="20"/>
        <v>0</v>
      </c>
    </row>
    <row r="100" spans="1:87" s="110" customFormat="1" x14ac:dyDescent="0.2">
      <c r="A100" s="125" t="s">
        <v>239</v>
      </c>
      <c r="B100" s="126">
        <v>87882</v>
      </c>
      <c r="C100" s="126" t="s">
        <v>1324</v>
      </c>
      <c r="D100" s="127" t="s">
        <v>1462</v>
      </c>
      <c r="E100" s="128" t="s">
        <v>14</v>
      </c>
      <c r="F100" s="129"/>
      <c r="G100" s="130">
        <v>4.03</v>
      </c>
      <c r="H100" s="128">
        <v>84.33</v>
      </c>
      <c r="I100" s="133">
        <f t="shared" si="21"/>
        <v>0</v>
      </c>
      <c r="J100" s="374">
        <f t="shared" si="22"/>
        <v>0</v>
      </c>
      <c r="K100" s="137">
        <f t="shared" ref="K100:K108" si="30">H100-J100</f>
        <v>84.33</v>
      </c>
      <c r="L100" s="131">
        <f t="shared" si="29"/>
        <v>339.85</v>
      </c>
      <c r="M100" s="131">
        <f t="shared" si="29"/>
        <v>0</v>
      </c>
      <c r="N100" s="131">
        <f t="shared" si="29"/>
        <v>0</v>
      </c>
      <c r="O100" s="131">
        <f t="shared" si="29"/>
        <v>339.85</v>
      </c>
      <c r="P100" s="136">
        <f t="shared" si="26"/>
        <v>0</v>
      </c>
      <c r="Q100" s="525"/>
      <c r="S100" s="192">
        <v>600</v>
      </c>
      <c r="T100" s="192">
        <v>600</v>
      </c>
      <c r="BT100" s="525"/>
      <c r="BU100" s="523">
        <v>0</v>
      </c>
      <c r="BV100" s="523"/>
      <c r="BW100" s="523"/>
      <c r="BX100" s="523"/>
      <c r="BY100" s="523"/>
      <c r="BZ100" s="523"/>
      <c r="CA100" s="523"/>
      <c r="CB100" s="523"/>
      <c r="CC100" s="523"/>
      <c r="CD100" s="523"/>
      <c r="CE100" s="523"/>
      <c r="CF100" s="523"/>
      <c r="CG100" s="523"/>
      <c r="CH100" s="523"/>
      <c r="CI100" s="523">
        <f t="shared" si="20"/>
        <v>0</v>
      </c>
    </row>
    <row r="101" spans="1:87" s="110" customFormat="1" ht="25.5" x14ac:dyDescent="0.2">
      <c r="A101" s="379" t="s">
        <v>1463</v>
      </c>
      <c r="B101" s="380">
        <v>87531</v>
      </c>
      <c r="C101" s="380" t="s">
        <v>1324</v>
      </c>
      <c r="D101" s="381" t="s">
        <v>1464</v>
      </c>
      <c r="E101" s="382" t="s">
        <v>14</v>
      </c>
      <c r="F101" s="137">
        <v>180.11</v>
      </c>
      <c r="G101" s="383">
        <v>26.27</v>
      </c>
      <c r="H101" s="382">
        <v>743.93</v>
      </c>
      <c r="I101" s="385">
        <f t="shared" si="21"/>
        <v>0</v>
      </c>
      <c r="J101" s="374">
        <f t="shared" si="22"/>
        <v>0</v>
      </c>
      <c r="K101" s="137">
        <f t="shared" si="30"/>
        <v>743.93</v>
      </c>
      <c r="L101" s="131">
        <f t="shared" si="29"/>
        <v>19543.04</v>
      </c>
      <c r="M101" s="131">
        <f t="shared" si="29"/>
        <v>0</v>
      </c>
      <c r="N101" s="131">
        <f t="shared" si="29"/>
        <v>0</v>
      </c>
      <c r="O101" s="131">
        <f t="shared" si="29"/>
        <v>19543.04</v>
      </c>
      <c r="P101" s="388">
        <f t="shared" si="26"/>
        <v>0</v>
      </c>
      <c r="Q101" s="525"/>
      <c r="S101" s="192">
        <v>358.92</v>
      </c>
      <c r="T101" s="192">
        <v>358.92</v>
      </c>
      <c r="BT101" s="525"/>
      <c r="BU101" s="523">
        <v>0</v>
      </c>
      <c r="BV101" s="523"/>
      <c r="BW101" s="523"/>
      <c r="BX101" s="523"/>
      <c r="BY101" s="523"/>
      <c r="BZ101" s="523"/>
      <c r="CA101" s="523"/>
      <c r="CB101" s="523"/>
      <c r="CC101" s="523"/>
      <c r="CD101" s="523"/>
      <c r="CE101" s="523"/>
      <c r="CF101" s="523"/>
      <c r="CG101" s="523"/>
      <c r="CH101" s="523"/>
      <c r="CI101" s="523">
        <f t="shared" si="20"/>
        <v>0</v>
      </c>
    </row>
    <row r="102" spans="1:87" x14ac:dyDescent="0.2">
      <c r="A102" s="379" t="s">
        <v>1465</v>
      </c>
      <c r="B102" s="380" t="s">
        <v>1466</v>
      </c>
      <c r="C102" s="380" t="s">
        <v>1324</v>
      </c>
      <c r="D102" s="381" t="s">
        <v>1467</v>
      </c>
      <c r="E102" s="382" t="s">
        <v>14</v>
      </c>
      <c r="F102" s="137">
        <v>327.47000000000003</v>
      </c>
      <c r="G102" s="383">
        <v>12.12</v>
      </c>
      <c r="H102" s="382">
        <v>445.04</v>
      </c>
      <c r="I102" s="385">
        <f t="shared" si="21"/>
        <v>0</v>
      </c>
      <c r="J102" s="374">
        <f t="shared" si="22"/>
        <v>0</v>
      </c>
      <c r="K102" s="137">
        <f t="shared" si="30"/>
        <v>445.04</v>
      </c>
      <c r="L102" s="131">
        <f t="shared" si="29"/>
        <v>5393.88</v>
      </c>
      <c r="M102" s="131">
        <f t="shared" si="29"/>
        <v>0</v>
      </c>
      <c r="N102" s="131">
        <f t="shared" si="29"/>
        <v>0</v>
      </c>
      <c r="O102" s="131">
        <f t="shared" si="29"/>
        <v>5393.88</v>
      </c>
      <c r="P102" s="388">
        <f t="shared" si="26"/>
        <v>0</v>
      </c>
      <c r="Q102" s="525"/>
      <c r="S102" s="189">
        <v>0</v>
      </c>
      <c r="T102" s="189">
        <v>0</v>
      </c>
      <c r="BT102" s="525"/>
      <c r="BU102" s="523">
        <v>0</v>
      </c>
      <c r="BV102" s="523"/>
      <c r="BW102" s="523"/>
      <c r="BX102" s="523"/>
      <c r="BY102" s="523"/>
      <c r="BZ102" s="523"/>
      <c r="CA102" s="523"/>
      <c r="CB102" s="523"/>
      <c r="CC102" s="523"/>
      <c r="CD102" s="523"/>
      <c r="CE102" s="523"/>
      <c r="CF102" s="523"/>
      <c r="CG102" s="523"/>
      <c r="CH102" s="523"/>
      <c r="CI102" s="523">
        <f t="shared" si="20"/>
        <v>0</v>
      </c>
    </row>
    <row r="103" spans="1:87" x14ac:dyDescent="0.2">
      <c r="A103" s="125" t="s">
        <v>1468</v>
      </c>
      <c r="B103" s="126" t="s">
        <v>1466</v>
      </c>
      <c r="C103" s="126" t="s">
        <v>1324</v>
      </c>
      <c r="D103" s="127" t="s">
        <v>1469</v>
      </c>
      <c r="E103" s="128" t="s">
        <v>14</v>
      </c>
      <c r="F103" s="137">
        <v>381.87</v>
      </c>
      <c r="G103" s="130">
        <v>14.08</v>
      </c>
      <c r="H103" s="128">
        <v>84.33</v>
      </c>
      <c r="I103" s="133">
        <f t="shared" si="21"/>
        <v>0</v>
      </c>
      <c r="J103" s="374">
        <f t="shared" si="22"/>
        <v>0</v>
      </c>
      <c r="K103" s="137">
        <f t="shared" si="30"/>
        <v>84.33</v>
      </c>
      <c r="L103" s="131">
        <f t="shared" si="29"/>
        <v>1187.3699999999999</v>
      </c>
      <c r="M103" s="131">
        <f t="shared" si="29"/>
        <v>0</v>
      </c>
      <c r="N103" s="131">
        <f t="shared" si="29"/>
        <v>0</v>
      </c>
      <c r="O103" s="131">
        <f t="shared" si="29"/>
        <v>1187.3699999999999</v>
      </c>
      <c r="P103" s="136">
        <f t="shared" si="26"/>
        <v>0</v>
      </c>
      <c r="Q103" s="525"/>
      <c r="S103" s="189">
        <v>0</v>
      </c>
      <c r="T103" s="189">
        <v>0</v>
      </c>
      <c r="BT103" s="525"/>
      <c r="BU103" s="523">
        <v>0</v>
      </c>
      <c r="BV103" s="523"/>
      <c r="BW103" s="523"/>
      <c r="BX103" s="523"/>
      <c r="BY103" s="523"/>
      <c r="BZ103" s="523"/>
      <c r="CA103" s="523"/>
      <c r="CB103" s="523"/>
      <c r="CC103" s="523"/>
      <c r="CD103" s="523"/>
      <c r="CE103" s="523"/>
      <c r="CF103" s="523"/>
      <c r="CG103" s="523"/>
      <c r="CH103" s="523"/>
      <c r="CI103" s="523">
        <f t="shared" si="20"/>
        <v>0</v>
      </c>
    </row>
    <row r="104" spans="1:87" x14ac:dyDescent="0.2">
      <c r="A104" s="125" t="s">
        <v>1470</v>
      </c>
      <c r="B104" s="126">
        <v>87905</v>
      </c>
      <c r="C104" s="126" t="s">
        <v>1324</v>
      </c>
      <c r="D104" s="127" t="s">
        <v>1471</v>
      </c>
      <c r="E104" s="128" t="s">
        <v>14</v>
      </c>
      <c r="F104" s="138"/>
      <c r="G104" s="130">
        <v>6.11</v>
      </c>
      <c r="H104" s="128">
        <v>140.33000000000001</v>
      </c>
      <c r="I104" s="133">
        <f t="shared" si="21"/>
        <v>0</v>
      </c>
      <c r="J104" s="374">
        <f t="shared" si="22"/>
        <v>0</v>
      </c>
      <c r="K104" s="137">
        <f t="shared" si="30"/>
        <v>140.33000000000001</v>
      </c>
      <c r="L104" s="131">
        <f t="shared" si="29"/>
        <v>857.42</v>
      </c>
      <c r="M104" s="131">
        <f t="shared" si="29"/>
        <v>0</v>
      </c>
      <c r="N104" s="131">
        <f t="shared" si="29"/>
        <v>0</v>
      </c>
      <c r="O104" s="131">
        <f t="shared" si="29"/>
        <v>857.42</v>
      </c>
      <c r="P104" s="136">
        <f t="shared" si="26"/>
        <v>0</v>
      </c>
      <c r="Q104" s="525"/>
      <c r="S104" s="189">
        <v>0</v>
      </c>
      <c r="T104" s="189">
        <v>0</v>
      </c>
      <c r="BT104" s="525"/>
      <c r="BU104" s="523">
        <v>0</v>
      </c>
      <c r="BV104" s="523"/>
      <c r="BW104" s="523"/>
      <c r="BX104" s="523"/>
      <c r="BY104" s="523"/>
      <c r="BZ104" s="523"/>
      <c r="CA104" s="523"/>
      <c r="CB104" s="523"/>
      <c r="CC104" s="523"/>
      <c r="CD104" s="523"/>
      <c r="CE104" s="523"/>
      <c r="CF104" s="523"/>
      <c r="CG104" s="523"/>
      <c r="CH104" s="523"/>
      <c r="CI104" s="523">
        <f t="shared" si="20"/>
        <v>0</v>
      </c>
    </row>
    <row r="105" spans="1:87" x14ac:dyDescent="0.2">
      <c r="A105" s="125" t="s">
        <v>1472</v>
      </c>
      <c r="B105" s="126">
        <v>87531</v>
      </c>
      <c r="C105" s="126" t="s">
        <v>1324</v>
      </c>
      <c r="D105" s="127" t="s">
        <v>1473</v>
      </c>
      <c r="E105" s="128" t="s">
        <v>14</v>
      </c>
      <c r="F105" s="138"/>
      <c r="G105" s="130">
        <v>26.27</v>
      </c>
      <c r="H105" s="128">
        <v>140.33000000000001</v>
      </c>
      <c r="I105" s="133">
        <f t="shared" si="21"/>
        <v>0</v>
      </c>
      <c r="J105" s="374">
        <f t="shared" si="22"/>
        <v>0</v>
      </c>
      <c r="K105" s="137">
        <f t="shared" si="30"/>
        <v>140.33000000000001</v>
      </c>
      <c r="L105" s="131">
        <f t="shared" si="29"/>
        <v>3686.47</v>
      </c>
      <c r="M105" s="131">
        <f t="shared" si="29"/>
        <v>0</v>
      </c>
      <c r="N105" s="131">
        <f t="shared" si="29"/>
        <v>0</v>
      </c>
      <c r="O105" s="131">
        <f t="shared" si="29"/>
        <v>3686.47</v>
      </c>
      <c r="P105" s="136">
        <f t="shared" si="26"/>
        <v>0</v>
      </c>
      <c r="Q105" s="525"/>
      <c r="S105" s="189">
        <v>0</v>
      </c>
      <c r="T105" s="189">
        <v>0</v>
      </c>
      <c r="BT105" s="525"/>
      <c r="BU105" s="523">
        <v>0</v>
      </c>
      <c r="BV105" s="523"/>
      <c r="BW105" s="523"/>
      <c r="BX105" s="523"/>
      <c r="BY105" s="523"/>
      <c r="BZ105" s="523"/>
      <c r="CA105" s="523"/>
      <c r="CB105" s="523"/>
      <c r="CC105" s="523"/>
      <c r="CD105" s="523"/>
      <c r="CE105" s="523"/>
      <c r="CF105" s="523"/>
      <c r="CG105" s="523"/>
      <c r="CH105" s="523"/>
      <c r="CI105" s="523">
        <f t="shared" si="20"/>
        <v>0</v>
      </c>
    </row>
    <row r="106" spans="1:87" ht="25.5" x14ac:dyDescent="0.2">
      <c r="A106" s="125" t="s">
        <v>1474</v>
      </c>
      <c r="B106" s="126" t="s">
        <v>1466</v>
      </c>
      <c r="C106" s="126" t="s">
        <v>1324</v>
      </c>
      <c r="D106" s="127" t="s">
        <v>1475</v>
      </c>
      <c r="E106" s="128" t="s">
        <v>14</v>
      </c>
      <c r="F106" s="138"/>
      <c r="G106" s="130">
        <v>16.23</v>
      </c>
      <c r="H106" s="128">
        <v>140.33000000000001</v>
      </c>
      <c r="I106" s="133">
        <f t="shared" si="21"/>
        <v>0</v>
      </c>
      <c r="J106" s="374">
        <f t="shared" si="22"/>
        <v>0</v>
      </c>
      <c r="K106" s="137">
        <f t="shared" si="30"/>
        <v>140.33000000000001</v>
      </c>
      <c r="L106" s="131">
        <f t="shared" si="29"/>
        <v>2277.56</v>
      </c>
      <c r="M106" s="131">
        <f t="shared" si="29"/>
        <v>0</v>
      </c>
      <c r="N106" s="131">
        <f t="shared" si="29"/>
        <v>0</v>
      </c>
      <c r="O106" s="131">
        <f t="shared" si="29"/>
        <v>2277.56</v>
      </c>
      <c r="P106" s="136">
        <f t="shared" si="26"/>
        <v>0</v>
      </c>
      <c r="Q106" s="525"/>
      <c r="S106" s="189">
        <v>0</v>
      </c>
      <c r="T106" s="189">
        <v>0</v>
      </c>
      <c r="BT106" s="525"/>
      <c r="BU106" s="523">
        <v>0</v>
      </c>
      <c r="BV106" s="523"/>
      <c r="BW106" s="523"/>
      <c r="BX106" s="523"/>
      <c r="BY106" s="523"/>
      <c r="BZ106" s="523"/>
      <c r="CA106" s="523"/>
      <c r="CB106" s="523"/>
      <c r="CC106" s="523"/>
      <c r="CD106" s="523"/>
      <c r="CE106" s="523"/>
      <c r="CF106" s="523"/>
      <c r="CG106" s="523"/>
      <c r="CH106" s="523"/>
      <c r="CI106" s="523">
        <f t="shared" si="20"/>
        <v>0</v>
      </c>
    </row>
    <row r="107" spans="1:87" ht="25.5" x14ac:dyDescent="0.2">
      <c r="A107" s="125" t="s">
        <v>1476</v>
      </c>
      <c r="B107" s="126">
        <v>87272</v>
      </c>
      <c r="C107" s="126" t="s">
        <v>1324</v>
      </c>
      <c r="D107" s="127" t="s">
        <v>1477</v>
      </c>
      <c r="E107" s="128" t="s">
        <v>14</v>
      </c>
      <c r="F107" s="137">
        <v>319.5</v>
      </c>
      <c r="G107" s="130">
        <v>45.67</v>
      </c>
      <c r="H107" s="128">
        <v>210.5</v>
      </c>
      <c r="I107" s="133">
        <f t="shared" si="21"/>
        <v>0</v>
      </c>
      <c r="J107" s="374">
        <f t="shared" si="22"/>
        <v>0</v>
      </c>
      <c r="K107" s="137">
        <f t="shared" si="30"/>
        <v>210.5</v>
      </c>
      <c r="L107" s="131">
        <f t="shared" si="29"/>
        <v>9613.5400000000009</v>
      </c>
      <c r="M107" s="131">
        <f t="shared" si="29"/>
        <v>0</v>
      </c>
      <c r="N107" s="131">
        <f t="shared" si="29"/>
        <v>0</v>
      </c>
      <c r="O107" s="131">
        <f t="shared" si="29"/>
        <v>9613.5400000000009</v>
      </c>
      <c r="P107" s="136">
        <f t="shared" si="26"/>
        <v>0</v>
      </c>
      <c r="Q107" s="525"/>
      <c r="S107" s="189">
        <v>0</v>
      </c>
      <c r="T107" s="189">
        <v>0</v>
      </c>
      <c r="BT107" s="525"/>
      <c r="BU107" s="523">
        <v>0</v>
      </c>
      <c r="BV107" s="523"/>
      <c r="BW107" s="523"/>
      <c r="BX107" s="523"/>
      <c r="BY107" s="523"/>
      <c r="BZ107" s="523"/>
      <c r="CA107" s="523"/>
      <c r="CB107" s="523"/>
      <c r="CC107" s="523"/>
      <c r="CD107" s="523"/>
      <c r="CE107" s="523"/>
      <c r="CF107" s="523"/>
      <c r="CG107" s="523"/>
      <c r="CH107" s="523"/>
      <c r="CI107" s="523">
        <f t="shared" si="20"/>
        <v>0</v>
      </c>
    </row>
    <row r="108" spans="1:87" ht="25.5" x14ac:dyDescent="0.2">
      <c r="A108" s="125" t="s">
        <v>1478</v>
      </c>
      <c r="B108" s="126">
        <v>87267</v>
      </c>
      <c r="C108" s="126" t="s">
        <v>1324</v>
      </c>
      <c r="D108" s="127" t="s">
        <v>1479</v>
      </c>
      <c r="E108" s="128" t="s">
        <v>14</v>
      </c>
      <c r="F108" s="137">
        <v>347.14</v>
      </c>
      <c r="G108" s="130">
        <v>46.64</v>
      </c>
      <c r="H108" s="128">
        <v>85.51</v>
      </c>
      <c r="I108" s="133">
        <f t="shared" si="21"/>
        <v>0</v>
      </c>
      <c r="J108" s="374">
        <f t="shared" si="22"/>
        <v>0</v>
      </c>
      <c r="K108" s="137">
        <f t="shared" si="30"/>
        <v>85.51</v>
      </c>
      <c r="L108" s="131">
        <f t="shared" si="29"/>
        <v>3988.19</v>
      </c>
      <c r="M108" s="131">
        <f t="shared" si="29"/>
        <v>0</v>
      </c>
      <c r="N108" s="131">
        <f t="shared" si="29"/>
        <v>0</v>
      </c>
      <c r="O108" s="131">
        <f t="shared" si="29"/>
        <v>3988.19</v>
      </c>
      <c r="P108" s="136">
        <f t="shared" si="26"/>
        <v>0</v>
      </c>
      <c r="Q108" s="525"/>
      <c r="S108" s="189">
        <v>0</v>
      </c>
      <c r="T108" s="189">
        <v>0</v>
      </c>
      <c r="BT108" s="525"/>
      <c r="BU108" s="523">
        <v>0</v>
      </c>
      <c r="BV108" s="523"/>
      <c r="BW108" s="523"/>
      <c r="BX108" s="523"/>
      <c r="BY108" s="523"/>
      <c r="BZ108" s="523"/>
      <c r="CA108" s="523"/>
      <c r="CB108" s="523"/>
      <c r="CC108" s="523"/>
      <c r="CD108" s="523"/>
      <c r="CE108" s="523"/>
      <c r="CF108" s="523"/>
      <c r="CG108" s="523"/>
      <c r="CH108" s="523"/>
      <c r="CI108" s="523">
        <f t="shared" si="20"/>
        <v>0</v>
      </c>
    </row>
    <row r="109" spans="1:87" s="514" customFormat="1" x14ac:dyDescent="0.2">
      <c r="A109" s="412">
        <v>10</v>
      </c>
      <c r="B109" s="413"/>
      <c r="C109" s="413"/>
      <c r="D109" s="414" t="s">
        <v>1480</v>
      </c>
      <c r="E109" s="415"/>
      <c r="F109" s="415"/>
      <c r="G109" s="415"/>
      <c r="H109" s="415"/>
      <c r="I109" s="415"/>
      <c r="J109" s="415"/>
      <c r="K109" s="415"/>
      <c r="L109" s="416">
        <f>SUM(L110,L116)</f>
        <v>60566.09</v>
      </c>
      <c r="M109" s="416">
        <f>SUM(M110,M116)</f>
        <v>0</v>
      </c>
      <c r="N109" s="416">
        <f>SUM(N110,N116)</f>
        <v>0</v>
      </c>
      <c r="O109" s="416">
        <f>SUM(O110,O116)</f>
        <v>60566.09</v>
      </c>
      <c r="P109" s="423">
        <f t="shared" si="26"/>
        <v>0</v>
      </c>
      <c r="Q109" s="525"/>
      <c r="S109" s="190">
        <v>0</v>
      </c>
      <c r="T109" s="190">
        <v>0</v>
      </c>
      <c r="BT109" s="525"/>
      <c r="BU109" s="523"/>
      <c r="BV109" s="523"/>
      <c r="BW109" s="523"/>
      <c r="BX109" s="523"/>
      <c r="BY109" s="523"/>
      <c r="BZ109" s="523"/>
      <c r="CA109" s="523"/>
      <c r="CB109" s="523"/>
      <c r="CC109" s="523"/>
      <c r="CD109" s="523"/>
      <c r="CE109" s="523"/>
      <c r="CF109" s="523"/>
      <c r="CG109" s="523"/>
      <c r="CH109" s="523"/>
      <c r="CI109" s="523">
        <f t="shared" si="20"/>
        <v>0</v>
      </c>
    </row>
    <row r="110" spans="1:87" x14ac:dyDescent="0.2">
      <c r="A110" s="449" t="s">
        <v>254</v>
      </c>
      <c r="B110" s="450"/>
      <c r="C110" s="450"/>
      <c r="D110" s="451" t="s">
        <v>1481</v>
      </c>
      <c r="E110" s="465"/>
      <c r="F110" s="465"/>
      <c r="G110" s="465"/>
      <c r="H110" s="465"/>
      <c r="I110" s="465"/>
      <c r="J110" s="465"/>
      <c r="K110" s="465"/>
      <c r="L110" s="452">
        <f>SUM(L111:L115)</f>
        <v>54520.32</v>
      </c>
      <c r="M110" s="452">
        <f t="shared" ref="M110:O110" si="31">SUM(M111:M115)</f>
        <v>0</v>
      </c>
      <c r="N110" s="452">
        <f t="shared" si="31"/>
        <v>0</v>
      </c>
      <c r="O110" s="452">
        <f t="shared" si="31"/>
        <v>54520.32</v>
      </c>
      <c r="P110" s="459">
        <f t="shared" si="26"/>
        <v>0</v>
      </c>
      <c r="Q110" s="525"/>
      <c r="S110" s="189">
        <v>0</v>
      </c>
      <c r="T110" s="189">
        <v>0</v>
      </c>
      <c r="BT110" s="525"/>
      <c r="BU110" s="523"/>
      <c r="BV110" s="523"/>
      <c r="BW110" s="523"/>
      <c r="BX110" s="523"/>
      <c r="BY110" s="523"/>
      <c r="BZ110" s="523"/>
      <c r="CA110" s="523"/>
      <c r="CB110" s="523"/>
      <c r="CC110" s="523"/>
      <c r="CD110" s="523"/>
      <c r="CE110" s="523"/>
      <c r="CF110" s="523"/>
      <c r="CG110" s="523"/>
      <c r="CH110" s="523"/>
      <c r="CI110" s="523">
        <f t="shared" si="20"/>
        <v>0</v>
      </c>
    </row>
    <row r="111" spans="1:87" x14ac:dyDescent="0.2">
      <c r="A111" s="125" t="s">
        <v>1482</v>
      </c>
      <c r="B111" s="126" t="s">
        <v>2007</v>
      </c>
      <c r="C111" s="126" t="s">
        <v>1339</v>
      </c>
      <c r="D111" s="127" t="s">
        <v>1483</v>
      </c>
      <c r="E111" s="128" t="s">
        <v>14</v>
      </c>
      <c r="F111" s="137">
        <v>52.1</v>
      </c>
      <c r="G111" s="130">
        <v>30.94</v>
      </c>
      <c r="H111" s="128">
        <v>64.91</v>
      </c>
      <c r="I111" s="133">
        <f t="shared" si="21"/>
        <v>0</v>
      </c>
      <c r="J111" s="374">
        <f t="shared" si="22"/>
        <v>0</v>
      </c>
      <c r="K111" s="137">
        <f>H111-J111</f>
        <v>64.91</v>
      </c>
      <c r="L111" s="131">
        <f t="shared" ref="L111:O115" si="32">ROUND(H111*$G111,2)</f>
        <v>2008.32</v>
      </c>
      <c r="M111" s="131">
        <f t="shared" si="32"/>
        <v>0</v>
      </c>
      <c r="N111" s="131">
        <f t="shared" si="32"/>
        <v>0</v>
      </c>
      <c r="O111" s="131">
        <f t="shared" si="32"/>
        <v>2008.32</v>
      </c>
      <c r="P111" s="136">
        <f t="shared" si="26"/>
        <v>0</v>
      </c>
      <c r="Q111" s="525"/>
      <c r="S111" s="189">
        <v>0</v>
      </c>
      <c r="T111" s="189">
        <v>0</v>
      </c>
      <c r="BT111" s="525"/>
      <c r="BU111" s="523">
        <v>0</v>
      </c>
      <c r="BV111" s="523"/>
      <c r="BW111" s="523"/>
      <c r="BX111" s="523"/>
      <c r="BY111" s="523"/>
      <c r="BZ111" s="523"/>
      <c r="CA111" s="523"/>
      <c r="CB111" s="523"/>
      <c r="CC111" s="523"/>
      <c r="CD111" s="523"/>
      <c r="CE111" s="523"/>
      <c r="CF111" s="523"/>
      <c r="CG111" s="523"/>
      <c r="CH111" s="523"/>
      <c r="CI111" s="523">
        <f t="shared" si="20"/>
        <v>0</v>
      </c>
    </row>
    <row r="112" spans="1:87" x14ac:dyDescent="0.2">
      <c r="A112" s="125" t="s">
        <v>1484</v>
      </c>
      <c r="B112" s="126">
        <v>87630</v>
      </c>
      <c r="C112" s="126" t="s">
        <v>1324</v>
      </c>
      <c r="D112" s="127" t="s">
        <v>1485</v>
      </c>
      <c r="E112" s="128" t="s">
        <v>14</v>
      </c>
      <c r="F112" s="137">
        <v>15.24</v>
      </c>
      <c r="G112" s="130">
        <v>30.71</v>
      </c>
      <c r="H112" s="128">
        <v>64.91</v>
      </c>
      <c r="I112" s="133">
        <f t="shared" si="21"/>
        <v>0</v>
      </c>
      <c r="J112" s="374">
        <f t="shared" si="22"/>
        <v>0</v>
      </c>
      <c r="K112" s="137">
        <f>H112-J112</f>
        <v>64.91</v>
      </c>
      <c r="L112" s="131">
        <f t="shared" si="32"/>
        <v>1993.39</v>
      </c>
      <c r="M112" s="131">
        <f t="shared" si="32"/>
        <v>0</v>
      </c>
      <c r="N112" s="131">
        <f t="shared" si="32"/>
        <v>0</v>
      </c>
      <c r="O112" s="131">
        <f t="shared" si="32"/>
        <v>1993.39</v>
      </c>
      <c r="P112" s="136">
        <f t="shared" si="26"/>
        <v>0</v>
      </c>
      <c r="Q112" s="525"/>
      <c r="S112" s="189">
        <v>0</v>
      </c>
      <c r="T112" s="189">
        <v>0</v>
      </c>
      <c r="BT112" s="525"/>
      <c r="BU112" s="523">
        <v>0</v>
      </c>
      <c r="BV112" s="523"/>
      <c r="BW112" s="523"/>
      <c r="BX112" s="523"/>
      <c r="BY112" s="523"/>
      <c r="BZ112" s="523"/>
      <c r="CA112" s="523"/>
      <c r="CB112" s="523"/>
      <c r="CC112" s="523"/>
      <c r="CD112" s="523"/>
      <c r="CE112" s="523"/>
      <c r="CF112" s="523"/>
      <c r="CG112" s="523"/>
      <c r="CH112" s="523"/>
      <c r="CI112" s="523">
        <f t="shared" si="20"/>
        <v>0</v>
      </c>
    </row>
    <row r="113" spans="1:87" ht="25.5" x14ac:dyDescent="0.2">
      <c r="A113" s="125" t="s">
        <v>1486</v>
      </c>
      <c r="B113" s="126">
        <v>72136</v>
      </c>
      <c r="C113" s="126" t="s">
        <v>1324</v>
      </c>
      <c r="D113" s="127" t="s">
        <v>1487</v>
      </c>
      <c r="E113" s="128" t="s">
        <v>14</v>
      </c>
      <c r="F113" s="137">
        <v>584.54999999999995</v>
      </c>
      <c r="G113" s="130">
        <v>71.489999999999995</v>
      </c>
      <c r="H113" s="128">
        <v>676.67</v>
      </c>
      <c r="I113" s="133">
        <f t="shared" si="21"/>
        <v>0</v>
      </c>
      <c r="J113" s="374">
        <f t="shared" si="22"/>
        <v>0</v>
      </c>
      <c r="K113" s="137">
        <f>H113-J113</f>
        <v>676.67</v>
      </c>
      <c r="L113" s="131">
        <f t="shared" si="32"/>
        <v>48375.14</v>
      </c>
      <c r="M113" s="131">
        <f t="shared" si="32"/>
        <v>0</v>
      </c>
      <c r="N113" s="131">
        <f t="shared" si="32"/>
        <v>0</v>
      </c>
      <c r="O113" s="131">
        <f t="shared" si="32"/>
        <v>48375.14</v>
      </c>
      <c r="P113" s="136">
        <f t="shared" si="26"/>
        <v>0</v>
      </c>
      <c r="Q113" s="525"/>
      <c r="S113" s="189">
        <v>0</v>
      </c>
      <c r="T113" s="189">
        <v>0</v>
      </c>
      <c r="BT113" s="525"/>
      <c r="BU113" s="523">
        <v>0</v>
      </c>
      <c r="BV113" s="523"/>
      <c r="BW113" s="523"/>
      <c r="BX113" s="523"/>
      <c r="BY113" s="523"/>
      <c r="BZ113" s="523"/>
      <c r="CA113" s="523"/>
      <c r="CB113" s="523"/>
      <c r="CC113" s="523"/>
      <c r="CD113" s="523"/>
      <c r="CE113" s="523"/>
      <c r="CF113" s="523"/>
      <c r="CG113" s="523"/>
      <c r="CH113" s="523"/>
      <c r="CI113" s="523">
        <f t="shared" si="20"/>
        <v>0</v>
      </c>
    </row>
    <row r="114" spans="1:87" ht="25.5" x14ac:dyDescent="0.2">
      <c r="A114" s="125" t="s">
        <v>1488</v>
      </c>
      <c r="B114" s="126">
        <v>87251</v>
      </c>
      <c r="C114" s="126" t="s">
        <v>1324</v>
      </c>
      <c r="D114" s="127" t="s">
        <v>1489</v>
      </c>
      <c r="E114" s="128" t="s">
        <v>14</v>
      </c>
      <c r="F114" s="137">
        <v>18.86</v>
      </c>
      <c r="G114" s="130">
        <v>31.13</v>
      </c>
      <c r="H114" s="128">
        <v>64.91</v>
      </c>
      <c r="I114" s="133">
        <f t="shared" si="21"/>
        <v>0</v>
      </c>
      <c r="J114" s="374">
        <f t="shared" si="22"/>
        <v>0</v>
      </c>
      <c r="K114" s="137">
        <f>H114-J114</f>
        <v>64.91</v>
      </c>
      <c r="L114" s="131">
        <f t="shared" si="32"/>
        <v>2020.65</v>
      </c>
      <c r="M114" s="131">
        <f t="shared" si="32"/>
        <v>0</v>
      </c>
      <c r="N114" s="131">
        <f t="shared" si="32"/>
        <v>0</v>
      </c>
      <c r="O114" s="131">
        <f t="shared" si="32"/>
        <v>2020.65</v>
      </c>
      <c r="P114" s="136">
        <f t="shared" si="26"/>
        <v>0</v>
      </c>
      <c r="Q114" s="525"/>
      <c r="S114" s="189">
        <v>0</v>
      </c>
      <c r="T114" s="189">
        <v>0</v>
      </c>
      <c r="BT114" s="525"/>
      <c r="BU114" s="523">
        <v>0</v>
      </c>
      <c r="BV114" s="523"/>
      <c r="BW114" s="523"/>
      <c r="BX114" s="523"/>
      <c r="BY114" s="523"/>
      <c r="BZ114" s="523"/>
      <c r="CA114" s="523"/>
      <c r="CB114" s="523"/>
      <c r="CC114" s="523"/>
      <c r="CD114" s="523"/>
      <c r="CE114" s="523"/>
      <c r="CF114" s="523"/>
      <c r="CG114" s="523"/>
      <c r="CH114" s="523"/>
      <c r="CI114" s="523">
        <f t="shared" si="20"/>
        <v>0</v>
      </c>
    </row>
    <row r="115" spans="1:87" s="514" customFormat="1" x14ac:dyDescent="0.2">
      <c r="A115" s="125" t="s">
        <v>1490</v>
      </c>
      <c r="B115" s="126" t="s">
        <v>2007</v>
      </c>
      <c r="C115" s="126" t="s">
        <v>1339</v>
      </c>
      <c r="D115" s="127" t="s">
        <v>1491</v>
      </c>
      <c r="E115" s="128" t="s">
        <v>81</v>
      </c>
      <c r="F115" s="137">
        <v>42.78</v>
      </c>
      <c r="G115" s="130">
        <v>45.49</v>
      </c>
      <c r="H115" s="128">
        <v>2.7</v>
      </c>
      <c r="I115" s="133">
        <f t="shared" si="21"/>
        <v>0</v>
      </c>
      <c r="J115" s="374">
        <f t="shared" si="22"/>
        <v>0</v>
      </c>
      <c r="K115" s="137">
        <f>H115-J115</f>
        <v>2.7</v>
      </c>
      <c r="L115" s="131">
        <f t="shared" si="32"/>
        <v>122.82</v>
      </c>
      <c r="M115" s="131">
        <f t="shared" si="32"/>
        <v>0</v>
      </c>
      <c r="N115" s="131">
        <f t="shared" si="32"/>
        <v>0</v>
      </c>
      <c r="O115" s="131">
        <f t="shared" si="32"/>
        <v>122.82</v>
      </c>
      <c r="P115" s="136">
        <f t="shared" si="26"/>
        <v>0</v>
      </c>
      <c r="Q115" s="525"/>
      <c r="S115" s="190">
        <v>0</v>
      </c>
      <c r="T115" s="190">
        <v>0</v>
      </c>
      <c r="BT115" s="525"/>
      <c r="BU115" s="523">
        <v>0</v>
      </c>
      <c r="BV115" s="523"/>
      <c r="BW115" s="523"/>
      <c r="BX115" s="523"/>
      <c r="BY115" s="523"/>
      <c r="BZ115" s="523"/>
      <c r="CA115" s="523"/>
      <c r="CB115" s="523"/>
      <c r="CC115" s="523"/>
      <c r="CD115" s="523"/>
      <c r="CE115" s="523"/>
      <c r="CF115" s="523"/>
      <c r="CG115" s="523"/>
      <c r="CH115" s="523"/>
      <c r="CI115" s="523">
        <f t="shared" si="20"/>
        <v>0</v>
      </c>
    </row>
    <row r="116" spans="1:87" x14ac:dyDescent="0.2">
      <c r="A116" s="449" t="s">
        <v>256</v>
      </c>
      <c r="B116" s="450"/>
      <c r="C116" s="450"/>
      <c r="D116" s="451" t="s">
        <v>1256</v>
      </c>
      <c r="E116" s="465"/>
      <c r="F116" s="465"/>
      <c r="G116" s="465"/>
      <c r="H116" s="465"/>
      <c r="I116" s="465"/>
      <c r="J116" s="465"/>
      <c r="K116" s="465"/>
      <c r="L116" s="452">
        <f>SUM(L117:L119)</f>
        <v>6045.77</v>
      </c>
      <c r="M116" s="452">
        <f>SUM(M117:M119)</f>
        <v>0</v>
      </c>
      <c r="N116" s="452">
        <f>SUM(N117:N119)</f>
        <v>0</v>
      </c>
      <c r="O116" s="452">
        <f>SUM(O117:O119)</f>
        <v>6045.77</v>
      </c>
      <c r="P116" s="459">
        <f t="shared" si="26"/>
        <v>0</v>
      </c>
      <c r="Q116" s="525"/>
      <c r="S116" s="189">
        <v>0</v>
      </c>
      <c r="T116" s="189">
        <v>0</v>
      </c>
      <c r="BT116" s="525"/>
      <c r="BU116" s="523"/>
      <c r="BV116" s="523"/>
      <c r="BW116" s="523"/>
      <c r="BX116" s="523"/>
      <c r="BY116" s="523"/>
      <c r="BZ116" s="523"/>
      <c r="CA116" s="523"/>
      <c r="CB116" s="523"/>
      <c r="CC116" s="523"/>
      <c r="CD116" s="523"/>
      <c r="CE116" s="523"/>
      <c r="CF116" s="523"/>
      <c r="CG116" s="523"/>
      <c r="CH116" s="523"/>
      <c r="CI116" s="523">
        <f t="shared" si="20"/>
        <v>0</v>
      </c>
    </row>
    <row r="117" spans="1:87" x14ac:dyDescent="0.2">
      <c r="A117" s="125" t="s">
        <v>1492</v>
      </c>
      <c r="B117" s="126">
        <v>85181</v>
      </c>
      <c r="C117" s="126" t="s">
        <v>1324</v>
      </c>
      <c r="D117" s="127" t="s">
        <v>1493</v>
      </c>
      <c r="E117" s="128" t="s">
        <v>14</v>
      </c>
      <c r="F117" s="172"/>
      <c r="G117" s="130">
        <v>523.70000000000005</v>
      </c>
      <c r="H117" s="128">
        <v>9.7899999999999991</v>
      </c>
      <c r="I117" s="133">
        <f t="shared" si="21"/>
        <v>0</v>
      </c>
      <c r="J117" s="374">
        <f t="shared" si="22"/>
        <v>0</v>
      </c>
      <c r="K117" s="137">
        <f>H117-J117</f>
        <v>9.7899999999999991</v>
      </c>
      <c r="L117" s="131">
        <f t="shared" ref="L117:O119" si="33">ROUND(H117*$G117,2)</f>
        <v>5127.0200000000004</v>
      </c>
      <c r="M117" s="131">
        <f t="shared" si="33"/>
        <v>0</v>
      </c>
      <c r="N117" s="131">
        <f t="shared" si="33"/>
        <v>0</v>
      </c>
      <c r="O117" s="131">
        <f t="shared" si="33"/>
        <v>5127.0200000000004</v>
      </c>
      <c r="P117" s="136">
        <f t="shared" si="26"/>
        <v>0</v>
      </c>
      <c r="Q117" s="525"/>
      <c r="S117" s="189">
        <v>0</v>
      </c>
      <c r="T117" s="189">
        <v>0</v>
      </c>
      <c r="BT117" s="525"/>
      <c r="BU117" s="523">
        <v>0</v>
      </c>
      <c r="BV117" s="523"/>
      <c r="BW117" s="523"/>
      <c r="BX117" s="523"/>
      <c r="BY117" s="523"/>
      <c r="BZ117" s="523"/>
      <c r="CA117" s="523"/>
      <c r="CB117" s="523"/>
      <c r="CC117" s="523"/>
      <c r="CD117" s="523"/>
      <c r="CE117" s="523"/>
      <c r="CF117" s="523"/>
      <c r="CG117" s="523"/>
      <c r="CH117" s="523"/>
      <c r="CI117" s="523">
        <f t="shared" si="20"/>
        <v>0</v>
      </c>
    </row>
    <row r="118" spans="1:87" x14ac:dyDescent="0.2">
      <c r="A118" s="125" t="s">
        <v>1494</v>
      </c>
      <c r="B118" s="126">
        <v>5652</v>
      </c>
      <c r="C118" s="126" t="s">
        <v>1324</v>
      </c>
      <c r="D118" s="127" t="s">
        <v>1495</v>
      </c>
      <c r="E118" s="128" t="s">
        <v>48</v>
      </c>
      <c r="F118" s="172"/>
      <c r="G118" s="130">
        <v>276.27</v>
      </c>
      <c r="H118" s="128">
        <v>1.82</v>
      </c>
      <c r="I118" s="133">
        <f t="shared" si="21"/>
        <v>0</v>
      </c>
      <c r="J118" s="374">
        <f t="shared" si="22"/>
        <v>0</v>
      </c>
      <c r="K118" s="137">
        <f>H118-J118</f>
        <v>1.82</v>
      </c>
      <c r="L118" s="131">
        <f t="shared" si="33"/>
        <v>502.81</v>
      </c>
      <c r="M118" s="131">
        <f t="shared" si="33"/>
        <v>0</v>
      </c>
      <c r="N118" s="131">
        <f t="shared" si="33"/>
        <v>0</v>
      </c>
      <c r="O118" s="131">
        <f t="shared" si="33"/>
        <v>502.81</v>
      </c>
      <c r="P118" s="136">
        <f t="shared" si="26"/>
        <v>0</v>
      </c>
      <c r="Q118" s="525"/>
      <c r="S118" s="189">
        <v>0</v>
      </c>
      <c r="T118" s="189">
        <v>0</v>
      </c>
      <c r="BT118" s="525"/>
      <c r="BU118" s="523">
        <v>0</v>
      </c>
      <c r="BV118" s="523"/>
      <c r="BW118" s="523"/>
      <c r="BX118" s="523"/>
      <c r="BY118" s="523"/>
      <c r="BZ118" s="523"/>
      <c r="CA118" s="523"/>
      <c r="CB118" s="523"/>
      <c r="CC118" s="523"/>
      <c r="CD118" s="523"/>
      <c r="CE118" s="523"/>
      <c r="CF118" s="523"/>
      <c r="CG118" s="523"/>
      <c r="CH118" s="523"/>
      <c r="CI118" s="523">
        <f t="shared" si="20"/>
        <v>0</v>
      </c>
    </row>
    <row r="119" spans="1:87" s="514" customFormat="1" ht="25.5" x14ac:dyDescent="0.2">
      <c r="A119" s="125" t="s">
        <v>1496</v>
      </c>
      <c r="B119" s="126" t="s">
        <v>2007</v>
      </c>
      <c r="C119" s="126" t="s">
        <v>1339</v>
      </c>
      <c r="D119" s="127" t="s">
        <v>1497</v>
      </c>
      <c r="E119" s="128" t="s">
        <v>14</v>
      </c>
      <c r="F119" s="137">
        <v>7.73</v>
      </c>
      <c r="G119" s="130">
        <v>71.099999999999994</v>
      </c>
      <c r="H119" s="128">
        <v>5.85</v>
      </c>
      <c r="I119" s="133">
        <f t="shared" si="21"/>
        <v>0</v>
      </c>
      <c r="J119" s="374">
        <f t="shared" si="22"/>
        <v>0</v>
      </c>
      <c r="K119" s="137">
        <f>H119-J119</f>
        <v>5.85</v>
      </c>
      <c r="L119" s="131">
        <f t="shared" si="33"/>
        <v>415.94</v>
      </c>
      <c r="M119" s="131">
        <f t="shared" si="33"/>
        <v>0</v>
      </c>
      <c r="N119" s="131">
        <f t="shared" si="33"/>
        <v>0</v>
      </c>
      <c r="O119" s="131">
        <f t="shared" si="33"/>
        <v>415.94</v>
      </c>
      <c r="P119" s="136">
        <f t="shared" si="26"/>
        <v>0</v>
      </c>
      <c r="Q119" s="525"/>
      <c r="S119" s="190">
        <v>0</v>
      </c>
      <c r="T119" s="190">
        <v>0</v>
      </c>
      <c r="BT119" s="525"/>
      <c r="BU119" s="523">
        <v>0</v>
      </c>
      <c r="BV119" s="523"/>
      <c r="BW119" s="523"/>
      <c r="BX119" s="523"/>
      <c r="BY119" s="523"/>
      <c r="BZ119" s="523"/>
      <c r="CA119" s="523"/>
      <c r="CB119" s="523"/>
      <c r="CC119" s="523"/>
      <c r="CD119" s="523"/>
      <c r="CE119" s="523"/>
      <c r="CF119" s="523"/>
      <c r="CG119" s="523"/>
      <c r="CH119" s="523"/>
      <c r="CI119" s="523">
        <f t="shared" si="20"/>
        <v>0</v>
      </c>
    </row>
    <row r="120" spans="1:87" x14ac:dyDescent="0.2">
      <c r="A120" s="412">
        <v>11</v>
      </c>
      <c r="B120" s="413"/>
      <c r="C120" s="413"/>
      <c r="D120" s="414" t="s">
        <v>1498</v>
      </c>
      <c r="E120" s="415"/>
      <c r="F120" s="415"/>
      <c r="G120" s="415"/>
      <c r="H120" s="415"/>
      <c r="I120" s="415"/>
      <c r="J120" s="415"/>
      <c r="K120" s="415"/>
      <c r="L120" s="433">
        <f>SUM(L121:L128)</f>
        <v>62088.5</v>
      </c>
      <c r="M120" s="433">
        <f>SUM(M121:M128)</f>
        <v>0</v>
      </c>
      <c r="N120" s="433">
        <f>SUM(N121:N128)</f>
        <v>0</v>
      </c>
      <c r="O120" s="433">
        <f>SUM(O121:O128)</f>
        <v>62088.5</v>
      </c>
      <c r="P120" s="423">
        <f t="shared" si="26"/>
        <v>0</v>
      </c>
      <c r="Q120" s="525"/>
      <c r="S120" s="189">
        <v>0</v>
      </c>
      <c r="T120" s="189">
        <v>0</v>
      </c>
      <c r="BT120" s="525"/>
      <c r="BU120" s="523"/>
      <c r="BV120" s="523"/>
      <c r="BW120" s="523"/>
      <c r="BX120" s="523"/>
      <c r="BY120" s="523"/>
      <c r="BZ120" s="523"/>
      <c r="CA120" s="523"/>
      <c r="CB120" s="523"/>
      <c r="CC120" s="523"/>
      <c r="CD120" s="523"/>
      <c r="CE120" s="523"/>
      <c r="CF120" s="523"/>
      <c r="CG120" s="523"/>
      <c r="CH120" s="523"/>
      <c r="CI120" s="523">
        <f t="shared" si="20"/>
        <v>0</v>
      </c>
    </row>
    <row r="121" spans="1:87" x14ac:dyDescent="0.2">
      <c r="A121" s="125" t="s">
        <v>274</v>
      </c>
      <c r="B121" s="126" t="s">
        <v>2007</v>
      </c>
      <c r="C121" s="126" t="s">
        <v>1339</v>
      </c>
      <c r="D121" s="127" t="s">
        <v>1499</v>
      </c>
      <c r="E121" s="128" t="s">
        <v>14</v>
      </c>
      <c r="F121" s="137">
        <v>14.07</v>
      </c>
      <c r="G121" s="130">
        <v>7.03</v>
      </c>
      <c r="H121" s="128">
        <v>529.37</v>
      </c>
      <c r="I121" s="133">
        <f t="shared" si="21"/>
        <v>0</v>
      </c>
      <c r="J121" s="374">
        <f t="shared" si="22"/>
        <v>0</v>
      </c>
      <c r="K121" s="137">
        <f t="shared" ref="K121:K128" si="34">H121-J121</f>
        <v>529.37</v>
      </c>
      <c r="L121" s="131">
        <f t="shared" ref="L121:O128" si="35">ROUND(H121*$G121,2)</f>
        <v>3721.47</v>
      </c>
      <c r="M121" s="131">
        <f t="shared" si="35"/>
        <v>0</v>
      </c>
      <c r="N121" s="131">
        <f t="shared" si="35"/>
        <v>0</v>
      </c>
      <c r="O121" s="131">
        <f t="shared" si="35"/>
        <v>3721.47</v>
      </c>
      <c r="P121" s="136">
        <f t="shared" si="26"/>
        <v>0</v>
      </c>
      <c r="Q121" s="525"/>
      <c r="S121" s="189">
        <v>0</v>
      </c>
      <c r="T121" s="189">
        <v>0</v>
      </c>
      <c r="BT121" s="525"/>
      <c r="BU121" s="523">
        <v>0</v>
      </c>
      <c r="BV121" s="523"/>
      <c r="BW121" s="523"/>
      <c r="BX121" s="523"/>
      <c r="BY121" s="523"/>
      <c r="BZ121" s="523"/>
      <c r="CA121" s="523"/>
      <c r="CB121" s="523"/>
      <c r="CC121" s="523"/>
      <c r="CD121" s="523"/>
      <c r="CE121" s="523"/>
      <c r="CF121" s="523"/>
      <c r="CG121" s="523"/>
      <c r="CH121" s="523"/>
      <c r="CI121" s="523">
        <f t="shared" si="20"/>
        <v>0</v>
      </c>
    </row>
    <row r="122" spans="1:87" x14ac:dyDescent="0.2">
      <c r="A122" s="125" t="s">
        <v>276</v>
      </c>
      <c r="B122" s="126">
        <v>88489</v>
      </c>
      <c r="C122" s="126" t="s">
        <v>1324</v>
      </c>
      <c r="D122" s="127" t="s">
        <v>1500</v>
      </c>
      <c r="E122" s="128" t="s">
        <v>14</v>
      </c>
      <c r="F122" s="137">
        <v>14.07</v>
      </c>
      <c r="G122" s="130">
        <v>9.48</v>
      </c>
      <c r="H122" s="128">
        <v>445.04</v>
      </c>
      <c r="I122" s="133">
        <f t="shared" si="21"/>
        <v>0</v>
      </c>
      <c r="J122" s="374">
        <f t="shared" si="22"/>
        <v>0</v>
      </c>
      <c r="K122" s="137">
        <f t="shared" si="34"/>
        <v>445.04</v>
      </c>
      <c r="L122" s="131">
        <f t="shared" si="35"/>
        <v>4218.9799999999996</v>
      </c>
      <c r="M122" s="131">
        <f t="shared" si="35"/>
        <v>0</v>
      </c>
      <c r="N122" s="131">
        <f t="shared" si="35"/>
        <v>0</v>
      </c>
      <c r="O122" s="131">
        <f t="shared" si="35"/>
        <v>4218.9799999999996</v>
      </c>
      <c r="P122" s="136">
        <f t="shared" si="26"/>
        <v>0</v>
      </c>
      <c r="Q122" s="525"/>
      <c r="S122" s="189">
        <v>0</v>
      </c>
      <c r="T122" s="189">
        <v>0</v>
      </c>
      <c r="BT122" s="525"/>
      <c r="BU122" s="523">
        <v>0</v>
      </c>
      <c r="BV122" s="523"/>
      <c r="BW122" s="523"/>
      <c r="BX122" s="523"/>
      <c r="BY122" s="523"/>
      <c r="BZ122" s="523"/>
      <c r="CA122" s="523"/>
      <c r="CB122" s="523"/>
      <c r="CC122" s="523"/>
      <c r="CD122" s="523"/>
      <c r="CE122" s="523"/>
      <c r="CF122" s="523"/>
      <c r="CG122" s="523"/>
      <c r="CH122" s="523"/>
      <c r="CI122" s="523">
        <f t="shared" si="20"/>
        <v>0</v>
      </c>
    </row>
    <row r="123" spans="1:87" x14ac:dyDescent="0.2">
      <c r="A123" s="125" t="s">
        <v>278</v>
      </c>
      <c r="B123" s="126">
        <v>88486</v>
      </c>
      <c r="C123" s="126" t="s">
        <v>1324</v>
      </c>
      <c r="D123" s="127" t="s">
        <v>1501</v>
      </c>
      <c r="E123" s="128" t="s">
        <v>14</v>
      </c>
      <c r="F123" s="138"/>
      <c r="G123" s="130">
        <v>8.2899999999999991</v>
      </c>
      <c r="H123" s="128">
        <v>84.33</v>
      </c>
      <c r="I123" s="133">
        <f t="shared" si="21"/>
        <v>0</v>
      </c>
      <c r="J123" s="374">
        <f t="shared" si="22"/>
        <v>0</v>
      </c>
      <c r="K123" s="137">
        <f t="shared" si="34"/>
        <v>84.33</v>
      </c>
      <c r="L123" s="131">
        <f t="shared" si="35"/>
        <v>699.1</v>
      </c>
      <c r="M123" s="131">
        <f t="shared" si="35"/>
        <v>0</v>
      </c>
      <c r="N123" s="131">
        <f t="shared" si="35"/>
        <v>0</v>
      </c>
      <c r="O123" s="131">
        <f t="shared" si="35"/>
        <v>699.1</v>
      </c>
      <c r="P123" s="136">
        <f t="shared" si="26"/>
        <v>0</v>
      </c>
      <c r="Q123" s="525"/>
      <c r="S123" s="189">
        <v>0</v>
      </c>
      <c r="T123" s="189">
        <v>0</v>
      </c>
      <c r="BT123" s="525"/>
      <c r="BU123" s="523">
        <v>0</v>
      </c>
      <c r="BV123" s="523"/>
      <c r="BW123" s="523"/>
      <c r="BX123" s="523"/>
      <c r="BY123" s="523"/>
      <c r="BZ123" s="523"/>
      <c r="CA123" s="523"/>
      <c r="CB123" s="523"/>
      <c r="CC123" s="523"/>
      <c r="CD123" s="523"/>
      <c r="CE123" s="523"/>
      <c r="CF123" s="523"/>
      <c r="CG123" s="523"/>
      <c r="CH123" s="523"/>
      <c r="CI123" s="523">
        <f t="shared" si="20"/>
        <v>0</v>
      </c>
    </row>
    <row r="124" spans="1:87" x14ac:dyDescent="0.2">
      <c r="A124" s="125" t="s">
        <v>281</v>
      </c>
      <c r="B124" s="126">
        <v>72815</v>
      </c>
      <c r="C124" s="126" t="s">
        <v>1324</v>
      </c>
      <c r="D124" s="127" t="s">
        <v>1502</v>
      </c>
      <c r="E124" s="128" t="s">
        <v>14</v>
      </c>
      <c r="F124" s="138"/>
      <c r="G124" s="130">
        <v>43.08</v>
      </c>
      <c r="H124" s="128">
        <v>483.8</v>
      </c>
      <c r="I124" s="133">
        <f t="shared" si="21"/>
        <v>0</v>
      </c>
      <c r="J124" s="374">
        <f t="shared" si="22"/>
        <v>0</v>
      </c>
      <c r="K124" s="137">
        <f t="shared" si="34"/>
        <v>483.8</v>
      </c>
      <c r="L124" s="131">
        <f t="shared" si="35"/>
        <v>20842.099999999999</v>
      </c>
      <c r="M124" s="131">
        <f t="shared" si="35"/>
        <v>0</v>
      </c>
      <c r="N124" s="131">
        <f t="shared" si="35"/>
        <v>0</v>
      </c>
      <c r="O124" s="131">
        <f t="shared" si="35"/>
        <v>20842.099999999999</v>
      </c>
      <c r="P124" s="136">
        <f t="shared" si="26"/>
        <v>0</v>
      </c>
      <c r="Q124" s="525"/>
      <c r="S124" s="189">
        <v>0</v>
      </c>
      <c r="T124" s="189">
        <v>0</v>
      </c>
      <c r="BT124" s="525"/>
      <c r="BU124" s="523">
        <v>0</v>
      </c>
      <c r="BV124" s="523"/>
      <c r="BW124" s="523"/>
      <c r="BX124" s="523"/>
      <c r="BY124" s="523"/>
      <c r="BZ124" s="523"/>
      <c r="CA124" s="523"/>
      <c r="CB124" s="523"/>
      <c r="CC124" s="523"/>
      <c r="CD124" s="523"/>
      <c r="CE124" s="523"/>
      <c r="CF124" s="523"/>
      <c r="CG124" s="523"/>
      <c r="CH124" s="523"/>
      <c r="CI124" s="523">
        <f t="shared" si="20"/>
        <v>0</v>
      </c>
    </row>
    <row r="125" spans="1:87" x14ac:dyDescent="0.2">
      <c r="A125" s="125" t="s">
        <v>1503</v>
      </c>
      <c r="B125" s="126">
        <v>41595</v>
      </c>
      <c r="C125" s="126" t="s">
        <v>1324</v>
      </c>
      <c r="D125" s="127" t="s">
        <v>1504</v>
      </c>
      <c r="E125" s="128" t="s">
        <v>81</v>
      </c>
      <c r="F125" s="138"/>
      <c r="G125" s="130">
        <v>8.86</v>
      </c>
      <c r="H125" s="128">
        <v>275.60000000000002</v>
      </c>
      <c r="I125" s="133">
        <f t="shared" si="21"/>
        <v>0</v>
      </c>
      <c r="J125" s="374">
        <f t="shared" si="22"/>
        <v>0</v>
      </c>
      <c r="K125" s="137">
        <f t="shared" si="34"/>
        <v>275.60000000000002</v>
      </c>
      <c r="L125" s="131">
        <f t="shared" si="35"/>
        <v>2441.8200000000002</v>
      </c>
      <c r="M125" s="131">
        <f t="shared" si="35"/>
        <v>0</v>
      </c>
      <c r="N125" s="131">
        <f t="shared" si="35"/>
        <v>0</v>
      </c>
      <c r="O125" s="131">
        <f t="shared" si="35"/>
        <v>2441.8200000000002</v>
      </c>
      <c r="P125" s="136">
        <f t="shared" si="26"/>
        <v>0</v>
      </c>
      <c r="Q125" s="525"/>
      <c r="S125" s="189">
        <v>0</v>
      </c>
      <c r="T125" s="189">
        <v>0</v>
      </c>
      <c r="BT125" s="525"/>
      <c r="BU125" s="523">
        <v>0</v>
      </c>
      <c r="BV125" s="523"/>
      <c r="BW125" s="523"/>
      <c r="BX125" s="523"/>
      <c r="BY125" s="523"/>
      <c r="BZ125" s="523"/>
      <c r="CA125" s="523"/>
      <c r="CB125" s="523"/>
      <c r="CC125" s="523"/>
      <c r="CD125" s="523"/>
      <c r="CE125" s="523"/>
      <c r="CF125" s="523"/>
      <c r="CG125" s="523"/>
      <c r="CH125" s="523"/>
      <c r="CI125" s="523">
        <f t="shared" si="20"/>
        <v>0</v>
      </c>
    </row>
    <row r="126" spans="1:87" x14ac:dyDescent="0.2">
      <c r="A126" s="125" t="s">
        <v>1505</v>
      </c>
      <c r="B126" s="126" t="s">
        <v>1506</v>
      </c>
      <c r="C126" s="126" t="s">
        <v>1324</v>
      </c>
      <c r="D126" s="127" t="s">
        <v>1507</v>
      </c>
      <c r="E126" s="128" t="s">
        <v>14</v>
      </c>
      <c r="F126" s="129"/>
      <c r="G126" s="130">
        <v>7.25</v>
      </c>
      <c r="H126" s="128">
        <v>366.82</v>
      </c>
      <c r="I126" s="133">
        <f t="shared" si="21"/>
        <v>0</v>
      </c>
      <c r="J126" s="374">
        <f t="shared" si="22"/>
        <v>0</v>
      </c>
      <c r="K126" s="137">
        <f t="shared" si="34"/>
        <v>366.82</v>
      </c>
      <c r="L126" s="131">
        <f t="shared" si="35"/>
        <v>2659.45</v>
      </c>
      <c r="M126" s="131">
        <f t="shared" si="35"/>
        <v>0</v>
      </c>
      <c r="N126" s="131">
        <f t="shared" si="35"/>
        <v>0</v>
      </c>
      <c r="O126" s="131">
        <f t="shared" si="35"/>
        <v>2659.45</v>
      </c>
      <c r="P126" s="136">
        <f t="shared" si="26"/>
        <v>0</v>
      </c>
      <c r="Q126" s="525"/>
      <c r="S126" s="189">
        <v>0</v>
      </c>
      <c r="T126" s="189">
        <v>0</v>
      </c>
      <c r="BT126" s="525"/>
      <c r="BU126" s="523">
        <v>0</v>
      </c>
      <c r="BV126" s="523"/>
      <c r="BW126" s="523"/>
      <c r="BX126" s="523"/>
      <c r="BY126" s="523"/>
      <c r="BZ126" s="523"/>
      <c r="CA126" s="523"/>
      <c r="CB126" s="523"/>
      <c r="CC126" s="523"/>
      <c r="CD126" s="523"/>
      <c r="CE126" s="523"/>
      <c r="CF126" s="523"/>
      <c r="CG126" s="523"/>
      <c r="CH126" s="523"/>
      <c r="CI126" s="523">
        <f t="shared" si="20"/>
        <v>0</v>
      </c>
    </row>
    <row r="127" spans="1:87" x14ac:dyDescent="0.2">
      <c r="A127" s="125" t="s">
        <v>1508</v>
      </c>
      <c r="B127" s="126" t="s">
        <v>1509</v>
      </c>
      <c r="C127" s="126" t="s">
        <v>1324</v>
      </c>
      <c r="D127" s="127" t="s">
        <v>1510</v>
      </c>
      <c r="E127" s="128" t="s">
        <v>14</v>
      </c>
      <c r="F127" s="137">
        <v>37.78</v>
      </c>
      <c r="G127" s="130">
        <v>21.62</v>
      </c>
      <c r="H127" s="128">
        <v>567.82000000000005</v>
      </c>
      <c r="I127" s="133">
        <f t="shared" si="21"/>
        <v>0</v>
      </c>
      <c r="J127" s="374">
        <f t="shared" si="22"/>
        <v>0</v>
      </c>
      <c r="K127" s="137">
        <f t="shared" si="34"/>
        <v>567.82000000000005</v>
      </c>
      <c r="L127" s="131">
        <f t="shared" si="35"/>
        <v>12276.27</v>
      </c>
      <c r="M127" s="131">
        <f t="shared" si="35"/>
        <v>0</v>
      </c>
      <c r="N127" s="131">
        <f t="shared" si="35"/>
        <v>0</v>
      </c>
      <c r="O127" s="131">
        <f t="shared" si="35"/>
        <v>12276.27</v>
      </c>
      <c r="P127" s="136">
        <f t="shared" si="26"/>
        <v>0</v>
      </c>
      <c r="Q127" s="525"/>
      <c r="S127" s="189">
        <v>0</v>
      </c>
      <c r="T127" s="189">
        <v>0</v>
      </c>
      <c r="BT127" s="525"/>
      <c r="BU127" s="523">
        <v>0</v>
      </c>
      <c r="BV127" s="523"/>
      <c r="BW127" s="523"/>
      <c r="BX127" s="523"/>
      <c r="BY127" s="523"/>
      <c r="BZ127" s="523"/>
      <c r="CA127" s="523"/>
      <c r="CB127" s="523"/>
      <c r="CC127" s="523"/>
      <c r="CD127" s="523"/>
      <c r="CE127" s="523"/>
      <c r="CF127" s="523"/>
      <c r="CG127" s="523"/>
      <c r="CH127" s="523"/>
      <c r="CI127" s="523">
        <f t="shared" si="20"/>
        <v>0</v>
      </c>
    </row>
    <row r="128" spans="1:87" x14ac:dyDescent="0.2">
      <c r="A128" s="125" t="s">
        <v>1511</v>
      </c>
      <c r="B128" s="126" t="s">
        <v>1512</v>
      </c>
      <c r="C128" s="126" t="s">
        <v>1324</v>
      </c>
      <c r="D128" s="127" t="s">
        <v>1513</v>
      </c>
      <c r="E128" s="128" t="s">
        <v>14</v>
      </c>
      <c r="F128" s="137">
        <v>21.63</v>
      </c>
      <c r="G128" s="130">
        <v>14.78</v>
      </c>
      <c r="H128" s="128">
        <v>1030.4000000000001</v>
      </c>
      <c r="I128" s="133">
        <f t="shared" si="21"/>
        <v>0</v>
      </c>
      <c r="J128" s="374">
        <f t="shared" si="22"/>
        <v>0</v>
      </c>
      <c r="K128" s="137">
        <f t="shared" si="34"/>
        <v>1030.4000000000001</v>
      </c>
      <c r="L128" s="131">
        <f t="shared" si="35"/>
        <v>15229.31</v>
      </c>
      <c r="M128" s="131">
        <f t="shared" si="35"/>
        <v>0</v>
      </c>
      <c r="N128" s="131">
        <f t="shared" si="35"/>
        <v>0</v>
      </c>
      <c r="O128" s="131">
        <f t="shared" si="35"/>
        <v>15229.31</v>
      </c>
      <c r="P128" s="136">
        <f t="shared" si="26"/>
        <v>0</v>
      </c>
      <c r="Q128" s="525"/>
      <c r="S128" s="189">
        <v>0</v>
      </c>
      <c r="T128" s="189">
        <v>271</v>
      </c>
      <c r="BT128" s="525"/>
      <c r="BU128" s="523">
        <v>0</v>
      </c>
      <c r="BV128" s="523"/>
      <c r="BW128" s="523"/>
      <c r="BX128" s="523"/>
      <c r="BY128" s="523"/>
      <c r="BZ128" s="523"/>
      <c r="CA128" s="523"/>
      <c r="CB128" s="523"/>
      <c r="CC128" s="523"/>
      <c r="CD128" s="523"/>
      <c r="CE128" s="523"/>
      <c r="CF128" s="523"/>
      <c r="CG128" s="523"/>
      <c r="CH128" s="523"/>
      <c r="CI128" s="523">
        <f t="shared" si="20"/>
        <v>0</v>
      </c>
    </row>
    <row r="129" spans="1:87" s="514" customFormat="1" x14ac:dyDescent="0.2">
      <c r="A129" s="412">
        <v>12</v>
      </c>
      <c r="B129" s="413"/>
      <c r="C129" s="413"/>
      <c r="D129" s="414" t="s">
        <v>1514</v>
      </c>
      <c r="E129" s="415"/>
      <c r="F129" s="415"/>
      <c r="G129" s="415"/>
      <c r="H129" s="415"/>
      <c r="I129" s="415"/>
      <c r="J129" s="415"/>
      <c r="K129" s="415"/>
      <c r="L129" s="416">
        <f>SUM(L130,L152)</f>
        <v>4556.04</v>
      </c>
      <c r="M129" s="416">
        <f>SUM(M130,M152)</f>
        <v>0</v>
      </c>
      <c r="N129" s="416">
        <f>SUM(N130,N152)</f>
        <v>0</v>
      </c>
      <c r="O129" s="416">
        <f>SUM(O130,O152)</f>
        <v>4556.04</v>
      </c>
      <c r="P129" s="423">
        <f t="shared" si="26"/>
        <v>0</v>
      </c>
      <c r="Q129" s="525"/>
      <c r="S129" s="190">
        <v>0</v>
      </c>
      <c r="T129" s="190">
        <v>237</v>
      </c>
      <c r="BT129" s="525"/>
      <c r="BU129" s="523"/>
      <c r="BV129" s="523"/>
      <c r="BW129" s="523"/>
      <c r="BX129" s="523"/>
      <c r="BY129" s="523"/>
      <c r="BZ129" s="523"/>
      <c r="CA129" s="523"/>
      <c r="CB129" s="523"/>
      <c r="CC129" s="523"/>
      <c r="CD129" s="523"/>
      <c r="CE129" s="523"/>
      <c r="CF129" s="523"/>
      <c r="CG129" s="523"/>
      <c r="CH129" s="523"/>
      <c r="CI129" s="523">
        <f t="shared" si="20"/>
        <v>0</v>
      </c>
    </row>
    <row r="130" spans="1:87" x14ac:dyDescent="0.2">
      <c r="A130" s="449" t="s">
        <v>1515</v>
      </c>
      <c r="B130" s="450"/>
      <c r="C130" s="450"/>
      <c r="D130" s="451" t="s">
        <v>1516</v>
      </c>
      <c r="E130" s="465"/>
      <c r="F130" s="465"/>
      <c r="G130" s="465"/>
      <c r="H130" s="465"/>
      <c r="I130" s="465"/>
      <c r="J130" s="465"/>
      <c r="K130" s="465"/>
      <c r="L130" s="452">
        <f>SUM(L131:L151)</f>
        <v>1719.64</v>
      </c>
      <c r="M130" s="452">
        <f>SUM(M131:M151)</f>
        <v>0</v>
      </c>
      <c r="N130" s="452">
        <f>SUM(N131:N151)</f>
        <v>0</v>
      </c>
      <c r="O130" s="452">
        <f>SUM(O131:O151)</f>
        <v>1719.64</v>
      </c>
      <c r="P130" s="459">
        <f t="shared" si="26"/>
        <v>0</v>
      </c>
      <c r="Q130" s="525"/>
      <c r="S130" s="189">
        <v>0</v>
      </c>
      <c r="T130" s="189">
        <v>12</v>
      </c>
      <c r="BT130" s="525"/>
      <c r="BU130" s="523"/>
      <c r="BV130" s="523"/>
      <c r="BW130" s="523"/>
      <c r="BX130" s="523"/>
      <c r="BY130" s="523"/>
      <c r="BZ130" s="523"/>
      <c r="CA130" s="523"/>
      <c r="CB130" s="523"/>
      <c r="CC130" s="523"/>
      <c r="CD130" s="523"/>
      <c r="CE130" s="523"/>
      <c r="CF130" s="523"/>
      <c r="CG130" s="523"/>
      <c r="CH130" s="523"/>
      <c r="CI130" s="523">
        <f t="shared" si="20"/>
        <v>0</v>
      </c>
    </row>
    <row r="131" spans="1:87" x14ac:dyDescent="0.2">
      <c r="A131" s="125" t="s">
        <v>1517</v>
      </c>
      <c r="B131" s="126">
        <v>89401</v>
      </c>
      <c r="C131" s="126" t="s">
        <v>1324</v>
      </c>
      <c r="D131" s="127" t="s">
        <v>1518</v>
      </c>
      <c r="E131" s="128" t="s">
        <v>81</v>
      </c>
      <c r="F131" s="137">
        <v>22.03</v>
      </c>
      <c r="G131" s="130">
        <v>5.29</v>
      </c>
      <c r="H131" s="128">
        <v>12</v>
      </c>
      <c r="I131" s="133">
        <f t="shared" si="21"/>
        <v>0</v>
      </c>
      <c r="J131" s="374">
        <f t="shared" si="22"/>
        <v>0</v>
      </c>
      <c r="K131" s="137">
        <f t="shared" ref="K131:K193" si="36">H131-J131</f>
        <v>12</v>
      </c>
      <c r="L131" s="131">
        <f t="shared" ref="L131:O151" si="37">ROUND(H131*$G131,2)</f>
        <v>63.48</v>
      </c>
      <c r="M131" s="131">
        <f t="shared" si="37"/>
        <v>0</v>
      </c>
      <c r="N131" s="131">
        <f t="shared" si="37"/>
        <v>0</v>
      </c>
      <c r="O131" s="131">
        <f t="shared" si="37"/>
        <v>63.48</v>
      </c>
      <c r="P131" s="136">
        <f t="shared" si="26"/>
        <v>0</v>
      </c>
      <c r="Q131" s="525"/>
      <c r="S131" s="189">
        <v>0</v>
      </c>
      <c r="T131" s="189">
        <v>42</v>
      </c>
      <c r="BT131" s="525"/>
      <c r="BU131" s="523">
        <v>0</v>
      </c>
      <c r="BV131" s="523"/>
      <c r="BW131" s="523"/>
      <c r="BX131" s="523"/>
      <c r="BY131" s="523"/>
      <c r="BZ131" s="523"/>
      <c r="CA131" s="523"/>
      <c r="CB131" s="523"/>
      <c r="CC131" s="523"/>
      <c r="CD131" s="523"/>
      <c r="CE131" s="523"/>
      <c r="CF131" s="523"/>
      <c r="CG131" s="523"/>
      <c r="CH131" s="523"/>
      <c r="CI131" s="523">
        <f t="shared" si="20"/>
        <v>0</v>
      </c>
    </row>
    <row r="132" spans="1:87" x14ac:dyDescent="0.2">
      <c r="A132" s="125" t="s">
        <v>1519</v>
      </c>
      <c r="B132" s="126">
        <v>89446</v>
      </c>
      <c r="C132" s="126" t="s">
        <v>1324</v>
      </c>
      <c r="D132" s="127" t="s">
        <v>1520</v>
      </c>
      <c r="E132" s="128" t="s">
        <v>81</v>
      </c>
      <c r="F132" s="138"/>
      <c r="G132" s="130">
        <v>3.19</v>
      </c>
      <c r="H132" s="128">
        <v>42</v>
      </c>
      <c r="I132" s="133">
        <f t="shared" si="21"/>
        <v>0</v>
      </c>
      <c r="J132" s="374">
        <f t="shared" si="22"/>
        <v>0</v>
      </c>
      <c r="K132" s="128">
        <f t="shared" si="36"/>
        <v>42</v>
      </c>
      <c r="L132" s="131">
        <f t="shared" si="37"/>
        <v>133.97999999999999</v>
      </c>
      <c r="M132" s="131">
        <f t="shared" si="37"/>
        <v>0</v>
      </c>
      <c r="N132" s="131">
        <f t="shared" si="37"/>
        <v>0</v>
      </c>
      <c r="O132" s="131">
        <f t="shared" si="37"/>
        <v>133.97999999999999</v>
      </c>
      <c r="P132" s="136">
        <f t="shared" si="26"/>
        <v>0</v>
      </c>
      <c r="Q132" s="525"/>
      <c r="S132" s="189">
        <v>0</v>
      </c>
      <c r="T132" s="189">
        <v>28</v>
      </c>
      <c r="BT132" s="525"/>
      <c r="BU132" s="523">
        <v>0</v>
      </c>
      <c r="BV132" s="523"/>
      <c r="BW132" s="523"/>
      <c r="BX132" s="523"/>
      <c r="BY132" s="523"/>
      <c r="BZ132" s="523"/>
      <c r="CA132" s="523"/>
      <c r="CB132" s="523"/>
      <c r="CC132" s="523"/>
      <c r="CD132" s="523"/>
      <c r="CE132" s="523"/>
      <c r="CF132" s="523"/>
      <c r="CG132" s="523"/>
      <c r="CH132" s="523"/>
      <c r="CI132" s="523">
        <f t="shared" si="20"/>
        <v>0</v>
      </c>
    </row>
    <row r="133" spans="1:87" x14ac:dyDescent="0.2">
      <c r="A133" s="125" t="s">
        <v>1521</v>
      </c>
      <c r="B133" s="126">
        <v>89447</v>
      </c>
      <c r="C133" s="126" t="s">
        <v>1324</v>
      </c>
      <c r="D133" s="127" t="s">
        <v>1522</v>
      </c>
      <c r="E133" s="128" t="s">
        <v>81</v>
      </c>
      <c r="F133" s="138"/>
      <c r="G133" s="130">
        <v>6.33</v>
      </c>
      <c r="H133" s="128">
        <v>28</v>
      </c>
      <c r="I133" s="133">
        <f t="shared" si="21"/>
        <v>0</v>
      </c>
      <c r="J133" s="374">
        <f t="shared" si="22"/>
        <v>0</v>
      </c>
      <c r="K133" s="128">
        <f t="shared" si="36"/>
        <v>28</v>
      </c>
      <c r="L133" s="131">
        <f t="shared" si="37"/>
        <v>177.24</v>
      </c>
      <c r="M133" s="131">
        <f t="shared" si="37"/>
        <v>0</v>
      </c>
      <c r="N133" s="131">
        <f t="shared" si="37"/>
        <v>0</v>
      </c>
      <c r="O133" s="131">
        <f t="shared" si="37"/>
        <v>177.24</v>
      </c>
      <c r="P133" s="136">
        <f t="shared" si="26"/>
        <v>0</v>
      </c>
      <c r="Q133" s="525"/>
      <c r="S133" s="189">
        <v>0</v>
      </c>
      <c r="T133" s="189">
        <v>30</v>
      </c>
      <c r="BT133" s="525"/>
      <c r="BU133" s="523">
        <v>0</v>
      </c>
      <c r="BV133" s="523"/>
      <c r="BW133" s="523"/>
      <c r="BX133" s="523"/>
      <c r="BY133" s="523"/>
      <c r="BZ133" s="523"/>
      <c r="CA133" s="523"/>
      <c r="CB133" s="523"/>
      <c r="CC133" s="523"/>
      <c r="CD133" s="523"/>
      <c r="CE133" s="523"/>
      <c r="CF133" s="523"/>
      <c r="CG133" s="523"/>
      <c r="CH133" s="523"/>
      <c r="CI133" s="523">
        <f t="shared" si="20"/>
        <v>0</v>
      </c>
    </row>
    <row r="134" spans="1:87" x14ac:dyDescent="0.2">
      <c r="A134" s="125" t="s">
        <v>1523</v>
      </c>
      <c r="B134" s="126">
        <v>89448</v>
      </c>
      <c r="C134" s="126" t="s">
        <v>1324</v>
      </c>
      <c r="D134" s="127" t="s">
        <v>1524</v>
      </c>
      <c r="E134" s="128" t="s">
        <v>81</v>
      </c>
      <c r="F134" s="129"/>
      <c r="G134" s="130">
        <v>10.15</v>
      </c>
      <c r="H134" s="128">
        <v>30</v>
      </c>
      <c r="I134" s="133">
        <f t="shared" si="21"/>
        <v>0</v>
      </c>
      <c r="J134" s="374">
        <f t="shared" si="22"/>
        <v>0</v>
      </c>
      <c r="K134" s="128">
        <f t="shared" si="36"/>
        <v>30</v>
      </c>
      <c r="L134" s="131">
        <f t="shared" si="37"/>
        <v>304.5</v>
      </c>
      <c r="M134" s="131">
        <f t="shared" si="37"/>
        <v>0</v>
      </c>
      <c r="N134" s="131">
        <f t="shared" si="37"/>
        <v>0</v>
      </c>
      <c r="O134" s="131">
        <f t="shared" si="37"/>
        <v>304.5</v>
      </c>
      <c r="P134" s="136">
        <f t="shared" si="26"/>
        <v>0</v>
      </c>
      <c r="Q134" s="525"/>
      <c r="S134" s="189">
        <v>0</v>
      </c>
      <c r="T134" s="189">
        <v>36</v>
      </c>
      <c r="BT134" s="525"/>
      <c r="BU134" s="523">
        <v>0</v>
      </c>
      <c r="BV134" s="523"/>
      <c r="BW134" s="523"/>
      <c r="BX134" s="523"/>
      <c r="BY134" s="523"/>
      <c r="BZ134" s="523"/>
      <c r="CA134" s="523"/>
      <c r="CB134" s="523"/>
      <c r="CC134" s="523"/>
      <c r="CD134" s="523"/>
      <c r="CE134" s="523"/>
      <c r="CF134" s="523"/>
      <c r="CG134" s="523"/>
      <c r="CH134" s="523"/>
      <c r="CI134" s="523">
        <f t="shared" si="20"/>
        <v>0</v>
      </c>
    </row>
    <row r="135" spans="1:87" x14ac:dyDescent="0.2">
      <c r="A135" s="125" t="s">
        <v>1525</v>
      </c>
      <c r="B135" s="126">
        <v>89449</v>
      </c>
      <c r="C135" s="126" t="s">
        <v>1324</v>
      </c>
      <c r="D135" s="127" t="s">
        <v>1526</v>
      </c>
      <c r="E135" s="128" t="s">
        <v>81</v>
      </c>
      <c r="F135" s="137">
        <v>5.81</v>
      </c>
      <c r="G135" s="130">
        <v>11.27</v>
      </c>
      <c r="H135" s="128">
        <v>36</v>
      </c>
      <c r="I135" s="133">
        <f t="shared" si="21"/>
        <v>0</v>
      </c>
      <c r="J135" s="374">
        <f t="shared" si="22"/>
        <v>0</v>
      </c>
      <c r="K135" s="128">
        <f t="shared" si="36"/>
        <v>36</v>
      </c>
      <c r="L135" s="131">
        <f t="shared" si="37"/>
        <v>405.72</v>
      </c>
      <c r="M135" s="131">
        <f t="shared" si="37"/>
        <v>0</v>
      </c>
      <c r="N135" s="131">
        <f t="shared" si="37"/>
        <v>0</v>
      </c>
      <c r="O135" s="131">
        <f t="shared" si="37"/>
        <v>405.72</v>
      </c>
      <c r="P135" s="136">
        <f t="shared" si="26"/>
        <v>0</v>
      </c>
      <c r="Q135" s="525"/>
      <c r="S135" s="189">
        <v>0</v>
      </c>
      <c r="T135" s="189">
        <v>15</v>
      </c>
      <c r="BT135" s="525"/>
      <c r="BU135" s="523">
        <v>0</v>
      </c>
      <c r="BV135" s="523"/>
      <c r="BW135" s="523"/>
      <c r="BX135" s="523"/>
      <c r="BY135" s="523"/>
      <c r="BZ135" s="523"/>
      <c r="CA135" s="523"/>
      <c r="CB135" s="523"/>
      <c r="CC135" s="523"/>
      <c r="CD135" s="523"/>
      <c r="CE135" s="523"/>
      <c r="CF135" s="523"/>
      <c r="CG135" s="523"/>
      <c r="CH135" s="523"/>
      <c r="CI135" s="523">
        <f t="shared" si="20"/>
        <v>0</v>
      </c>
    </row>
    <row r="136" spans="1:87" x14ac:dyDescent="0.2">
      <c r="A136" s="125" t="s">
        <v>1527</v>
      </c>
      <c r="B136" s="126">
        <v>89408</v>
      </c>
      <c r="C136" s="126" t="s">
        <v>1324</v>
      </c>
      <c r="D136" s="127" t="s">
        <v>1528</v>
      </c>
      <c r="E136" s="128" t="s">
        <v>102</v>
      </c>
      <c r="F136" s="137">
        <v>37.78</v>
      </c>
      <c r="G136" s="130">
        <v>4.28</v>
      </c>
      <c r="H136" s="128">
        <v>15</v>
      </c>
      <c r="I136" s="133">
        <f t="shared" si="21"/>
        <v>0</v>
      </c>
      <c r="J136" s="374">
        <f t="shared" si="22"/>
        <v>0</v>
      </c>
      <c r="K136" s="128">
        <f t="shared" si="36"/>
        <v>15</v>
      </c>
      <c r="L136" s="131">
        <f t="shared" si="37"/>
        <v>64.2</v>
      </c>
      <c r="M136" s="131">
        <f t="shared" si="37"/>
        <v>0</v>
      </c>
      <c r="N136" s="131">
        <f t="shared" si="37"/>
        <v>0</v>
      </c>
      <c r="O136" s="131">
        <f t="shared" si="37"/>
        <v>64.2</v>
      </c>
      <c r="P136" s="136">
        <f t="shared" si="26"/>
        <v>0</v>
      </c>
      <c r="Q136" s="525"/>
      <c r="S136" s="189">
        <v>0</v>
      </c>
      <c r="T136" s="189">
        <v>8</v>
      </c>
      <c r="BT136" s="525"/>
      <c r="BU136" s="523">
        <v>0</v>
      </c>
      <c r="BV136" s="523"/>
      <c r="BW136" s="523"/>
      <c r="BX136" s="523"/>
      <c r="BY136" s="523"/>
      <c r="BZ136" s="523"/>
      <c r="CA136" s="523"/>
      <c r="CB136" s="523"/>
      <c r="CC136" s="523"/>
      <c r="CD136" s="523"/>
      <c r="CE136" s="523"/>
      <c r="CF136" s="523"/>
      <c r="CG136" s="523"/>
      <c r="CH136" s="523"/>
      <c r="CI136" s="523">
        <f t="shared" si="20"/>
        <v>0</v>
      </c>
    </row>
    <row r="137" spans="1:87" x14ac:dyDescent="0.2">
      <c r="A137" s="395" t="s">
        <v>1529</v>
      </c>
      <c r="B137" s="396">
        <v>89492</v>
      </c>
      <c r="C137" s="396" t="s">
        <v>1324</v>
      </c>
      <c r="D137" s="397" t="s">
        <v>1530</v>
      </c>
      <c r="E137" s="398" t="s">
        <v>102</v>
      </c>
      <c r="F137" s="399">
        <v>21.63</v>
      </c>
      <c r="G137" s="400">
        <v>4.79</v>
      </c>
      <c r="H137" s="398">
        <v>8</v>
      </c>
      <c r="I137" s="402">
        <f t="shared" si="21"/>
        <v>0</v>
      </c>
      <c r="J137" s="403">
        <f t="shared" si="22"/>
        <v>0</v>
      </c>
      <c r="K137" s="398">
        <f t="shared" si="36"/>
        <v>8</v>
      </c>
      <c r="L137" s="131">
        <f t="shared" si="37"/>
        <v>38.32</v>
      </c>
      <c r="M137" s="131">
        <f t="shared" si="37"/>
        <v>0</v>
      </c>
      <c r="N137" s="131">
        <f t="shared" si="37"/>
        <v>0</v>
      </c>
      <c r="O137" s="131">
        <f t="shared" si="37"/>
        <v>38.32</v>
      </c>
      <c r="P137" s="407">
        <f t="shared" si="26"/>
        <v>0</v>
      </c>
      <c r="Q137" s="525"/>
      <c r="S137" s="189">
        <v>0</v>
      </c>
      <c r="T137" s="189">
        <v>6</v>
      </c>
      <c r="BT137" s="525"/>
      <c r="BU137" s="523">
        <v>0</v>
      </c>
      <c r="BV137" s="523"/>
      <c r="BW137" s="523"/>
      <c r="BX137" s="523"/>
      <c r="BY137" s="523"/>
      <c r="BZ137" s="523"/>
      <c r="CA137" s="523"/>
      <c r="CB137" s="523"/>
      <c r="CC137" s="523"/>
      <c r="CD137" s="523"/>
      <c r="CE137" s="523"/>
      <c r="CF137" s="523"/>
      <c r="CG137" s="523"/>
      <c r="CH137" s="523"/>
      <c r="CI137" s="523">
        <f t="shared" si="20"/>
        <v>0</v>
      </c>
    </row>
    <row r="138" spans="1:87" x14ac:dyDescent="0.2">
      <c r="A138" s="395" t="s">
        <v>1531</v>
      </c>
      <c r="B138" s="396">
        <v>89501</v>
      </c>
      <c r="C138" s="396" t="s">
        <v>1324</v>
      </c>
      <c r="D138" s="397" t="s">
        <v>1532</v>
      </c>
      <c r="E138" s="398" t="s">
        <v>102</v>
      </c>
      <c r="F138" s="399">
        <v>38.770000000000003</v>
      </c>
      <c r="G138" s="400">
        <v>9.3800000000000008</v>
      </c>
      <c r="H138" s="398">
        <v>6</v>
      </c>
      <c r="I138" s="402">
        <f t="shared" si="21"/>
        <v>0</v>
      </c>
      <c r="J138" s="403">
        <f t="shared" si="22"/>
        <v>0</v>
      </c>
      <c r="K138" s="398">
        <f t="shared" si="36"/>
        <v>6</v>
      </c>
      <c r="L138" s="131">
        <f t="shared" si="37"/>
        <v>56.28</v>
      </c>
      <c r="M138" s="131">
        <f t="shared" si="37"/>
        <v>0</v>
      </c>
      <c r="N138" s="131">
        <f t="shared" si="37"/>
        <v>0</v>
      </c>
      <c r="O138" s="131">
        <f t="shared" si="37"/>
        <v>56.28</v>
      </c>
      <c r="P138" s="407">
        <f t="shared" si="26"/>
        <v>0</v>
      </c>
      <c r="Q138" s="525"/>
      <c r="S138" s="189">
        <v>0</v>
      </c>
      <c r="T138" s="189">
        <v>2</v>
      </c>
      <c r="BT138" s="525"/>
      <c r="BU138" s="523">
        <v>0</v>
      </c>
      <c r="BV138" s="523"/>
      <c r="BW138" s="523"/>
      <c r="BX138" s="523"/>
      <c r="BY138" s="523"/>
      <c r="BZ138" s="523"/>
      <c r="CA138" s="523"/>
      <c r="CB138" s="523"/>
      <c r="CC138" s="523"/>
      <c r="CD138" s="523"/>
      <c r="CE138" s="523"/>
      <c r="CF138" s="523"/>
      <c r="CG138" s="523"/>
      <c r="CH138" s="523"/>
      <c r="CI138" s="523">
        <f t="shared" si="20"/>
        <v>0</v>
      </c>
    </row>
    <row r="139" spans="1:87" ht="25.5" x14ac:dyDescent="0.2">
      <c r="A139" s="395" t="s">
        <v>1533</v>
      </c>
      <c r="B139" s="396">
        <v>90373</v>
      </c>
      <c r="C139" s="396" t="s">
        <v>1324</v>
      </c>
      <c r="D139" s="397" t="s">
        <v>1534</v>
      </c>
      <c r="E139" s="398" t="s">
        <v>102</v>
      </c>
      <c r="F139" s="138"/>
      <c r="G139" s="400">
        <v>10.06</v>
      </c>
      <c r="H139" s="398">
        <v>2</v>
      </c>
      <c r="I139" s="402">
        <f t="shared" si="21"/>
        <v>0</v>
      </c>
      <c r="J139" s="403">
        <f t="shared" si="22"/>
        <v>0</v>
      </c>
      <c r="K139" s="398">
        <f t="shared" si="36"/>
        <v>2</v>
      </c>
      <c r="L139" s="131">
        <f t="shared" si="37"/>
        <v>20.12</v>
      </c>
      <c r="M139" s="131">
        <f t="shared" si="37"/>
        <v>0</v>
      </c>
      <c r="N139" s="131">
        <f t="shared" si="37"/>
        <v>0</v>
      </c>
      <c r="O139" s="131">
        <f t="shared" si="37"/>
        <v>20.12</v>
      </c>
      <c r="P139" s="407">
        <f t="shared" si="26"/>
        <v>0</v>
      </c>
      <c r="Q139" s="525"/>
      <c r="S139" s="189">
        <v>0</v>
      </c>
      <c r="T139" s="189">
        <v>4</v>
      </c>
      <c r="BT139" s="525"/>
      <c r="BU139" s="523">
        <v>0</v>
      </c>
      <c r="BV139" s="523"/>
      <c r="BW139" s="523"/>
      <c r="BX139" s="523"/>
      <c r="BY139" s="523"/>
      <c r="BZ139" s="523"/>
      <c r="CA139" s="523"/>
      <c r="CB139" s="523"/>
      <c r="CC139" s="523"/>
      <c r="CD139" s="523"/>
      <c r="CE139" s="523"/>
      <c r="CF139" s="523"/>
      <c r="CG139" s="523"/>
      <c r="CH139" s="523"/>
      <c r="CI139" s="523">
        <f t="shared" si="20"/>
        <v>0</v>
      </c>
    </row>
    <row r="140" spans="1:87" x14ac:dyDescent="0.2">
      <c r="A140" s="395" t="s">
        <v>1535</v>
      </c>
      <c r="B140" s="396" t="s">
        <v>2007</v>
      </c>
      <c r="C140" s="396" t="s">
        <v>1339</v>
      </c>
      <c r="D140" s="397" t="s">
        <v>1536</v>
      </c>
      <c r="E140" s="398" t="s">
        <v>102</v>
      </c>
      <c r="F140" s="138"/>
      <c r="G140" s="400">
        <v>0</v>
      </c>
      <c r="H140" s="398">
        <v>4</v>
      </c>
      <c r="I140" s="402">
        <f t="shared" si="21"/>
        <v>0</v>
      </c>
      <c r="J140" s="403">
        <f t="shared" si="22"/>
        <v>0</v>
      </c>
      <c r="K140" s="398">
        <f t="shared" si="36"/>
        <v>4</v>
      </c>
      <c r="L140" s="131">
        <f t="shared" si="37"/>
        <v>0</v>
      </c>
      <c r="M140" s="131">
        <f t="shared" si="37"/>
        <v>0</v>
      </c>
      <c r="N140" s="131">
        <f t="shared" si="37"/>
        <v>0</v>
      </c>
      <c r="O140" s="131">
        <f t="shared" si="37"/>
        <v>0</v>
      </c>
      <c r="P140" s="407">
        <v>0</v>
      </c>
      <c r="Q140" s="525"/>
      <c r="S140" s="189">
        <v>0</v>
      </c>
      <c r="T140" s="189">
        <v>16</v>
      </c>
      <c r="BT140" s="525"/>
      <c r="BU140" s="523">
        <v>0</v>
      </c>
      <c r="BV140" s="523"/>
      <c r="BW140" s="523"/>
      <c r="BX140" s="523"/>
      <c r="BY140" s="523"/>
      <c r="BZ140" s="523"/>
      <c r="CA140" s="523"/>
      <c r="CB140" s="523"/>
      <c r="CC140" s="523"/>
      <c r="CD140" s="523"/>
      <c r="CE140" s="523"/>
      <c r="CF140" s="523"/>
      <c r="CG140" s="523"/>
      <c r="CH140" s="523"/>
      <c r="CI140" s="523">
        <f t="shared" si="20"/>
        <v>0</v>
      </c>
    </row>
    <row r="141" spans="1:87" ht="25.5" x14ac:dyDescent="0.2">
      <c r="A141" s="395" t="s">
        <v>1537</v>
      </c>
      <c r="B141" s="396">
        <v>90373</v>
      </c>
      <c r="C141" s="396" t="s">
        <v>1324</v>
      </c>
      <c r="D141" s="397" t="s">
        <v>1538</v>
      </c>
      <c r="E141" s="398" t="s">
        <v>102</v>
      </c>
      <c r="F141" s="138"/>
      <c r="G141" s="400">
        <v>10.06</v>
      </c>
      <c r="H141" s="398">
        <v>16</v>
      </c>
      <c r="I141" s="402">
        <f t="shared" si="21"/>
        <v>0</v>
      </c>
      <c r="J141" s="403">
        <f t="shared" si="22"/>
        <v>0</v>
      </c>
      <c r="K141" s="398">
        <f t="shared" si="36"/>
        <v>16</v>
      </c>
      <c r="L141" s="131">
        <f t="shared" si="37"/>
        <v>160.96</v>
      </c>
      <c r="M141" s="131">
        <f t="shared" si="37"/>
        <v>0</v>
      </c>
      <c r="N141" s="131">
        <f t="shared" si="37"/>
        <v>0</v>
      </c>
      <c r="O141" s="131">
        <f t="shared" si="37"/>
        <v>160.96</v>
      </c>
      <c r="P141" s="407">
        <f t="shared" ref="P141:P204" si="38">N141/L141</f>
        <v>0</v>
      </c>
      <c r="Q141" s="525"/>
      <c r="S141" s="189">
        <v>0</v>
      </c>
      <c r="T141" s="189">
        <v>4</v>
      </c>
      <c r="BT141" s="525"/>
      <c r="BU141" s="523">
        <v>0</v>
      </c>
      <c r="BV141" s="523"/>
      <c r="BW141" s="523"/>
      <c r="BX141" s="523"/>
      <c r="BY141" s="523"/>
      <c r="BZ141" s="523"/>
      <c r="CA141" s="523"/>
      <c r="CB141" s="523"/>
      <c r="CC141" s="523"/>
      <c r="CD141" s="523"/>
      <c r="CE141" s="523"/>
      <c r="CF141" s="523"/>
      <c r="CG141" s="523"/>
      <c r="CH141" s="523"/>
      <c r="CI141" s="523">
        <f t="shared" si="20"/>
        <v>0</v>
      </c>
    </row>
    <row r="142" spans="1:87" x14ac:dyDescent="0.2">
      <c r="A142" s="395" t="s">
        <v>1539</v>
      </c>
      <c r="B142" s="396">
        <v>89622</v>
      </c>
      <c r="C142" s="396" t="s">
        <v>1324</v>
      </c>
      <c r="D142" s="397" t="s">
        <v>1540</v>
      </c>
      <c r="E142" s="398" t="s">
        <v>102</v>
      </c>
      <c r="F142" s="399">
        <v>29.86</v>
      </c>
      <c r="G142" s="400">
        <v>9.23</v>
      </c>
      <c r="H142" s="398">
        <v>4</v>
      </c>
      <c r="I142" s="402">
        <f t="shared" si="21"/>
        <v>0</v>
      </c>
      <c r="J142" s="403">
        <f t="shared" si="22"/>
        <v>0</v>
      </c>
      <c r="K142" s="398">
        <f t="shared" si="36"/>
        <v>4</v>
      </c>
      <c r="L142" s="131">
        <f t="shared" si="37"/>
        <v>36.92</v>
      </c>
      <c r="M142" s="131">
        <f t="shared" si="37"/>
        <v>0</v>
      </c>
      <c r="N142" s="131">
        <f t="shared" si="37"/>
        <v>0</v>
      </c>
      <c r="O142" s="131">
        <f t="shared" si="37"/>
        <v>36.92</v>
      </c>
      <c r="P142" s="407">
        <f t="shared" si="38"/>
        <v>0</v>
      </c>
      <c r="Q142" s="525"/>
      <c r="S142" s="189">
        <v>0</v>
      </c>
      <c r="T142" s="189">
        <v>2</v>
      </c>
      <c r="BT142" s="525"/>
      <c r="BU142" s="523">
        <v>0</v>
      </c>
      <c r="BV142" s="523"/>
      <c r="BW142" s="523"/>
      <c r="BX142" s="523"/>
      <c r="BY142" s="523"/>
      <c r="BZ142" s="523"/>
      <c r="CA142" s="523"/>
      <c r="CB142" s="523"/>
      <c r="CC142" s="523"/>
      <c r="CD142" s="523"/>
      <c r="CE142" s="523"/>
      <c r="CF142" s="523"/>
      <c r="CG142" s="523"/>
      <c r="CH142" s="523"/>
      <c r="CI142" s="523">
        <f t="shared" si="20"/>
        <v>0</v>
      </c>
    </row>
    <row r="143" spans="1:87" x14ac:dyDescent="0.2">
      <c r="A143" s="395" t="s">
        <v>1541</v>
      </c>
      <c r="B143" s="396">
        <v>89626</v>
      </c>
      <c r="C143" s="396" t="s">
        <v>1324</v>
      </c>
      <c r="D143" s="397" t="s">
        <v>1542</v>
      </c>
      <c r="E143" s="398" t="s">
        <v>102</v>
      </c>
      <c r="F143" s="399">
        <v>32.090000000000003</v>
      </c>
      <c r="G143" s="400">
        <v>17.79</v>
      </c>
      <c r="H143" s="398">
        <v>2</v>
      </c>
      <c r="I143" s="402">
        <f t="shared" si="21"/>
        <v>0</v>
      </c>
      <c r="J143" s="403">
        <f t="shared" si="22"/>
        <v>0</v>
      </c>
      <c r="K143" s="398">
        <f t="shared" si="36"/>
        <v>2</v>
      </c>
      <c r="L143" s="131">
        <f t="shared" si="37"/>
        <v>35.58</v>
      </c>
      <c r="M143" s="131">
        <f t="shared" si="37"/>
        <v>0</v>
      </c>
      <c r="N143" s="131">
        <f t="shared" si="37"/>
        <v>0</v>
      </c>
      <c r="O143" s="131">
        <f t="shared" si="37"/>
        <v>35.58</v>
      </c>
      <c r="P143" s="407">
        <f t="shared" si="38"/>
        <v>0</v>
      </c>
      <c r="Q143" s="525"/>
      <c r="S143" s="189">
        <v>0</v>
      </c>
      <c r="T143" s="189">
        <v>8</v>
      </c>
      <c r="BT143" s="525"/>
      <c r="BU143" s="523">
        <v>0</v>
      </c>
      <c r="BV143" s="523"/>
      <c r="BW143" s="523"/>
      <c r="BX143" s="523"/>
      <c r="BY143" s="523"/>
      <c r="BZ143" s="523"/>
      <c r="CA143" s="523"/>
      <c r="CB143" s="523"/>
      <c r="CC143" s="523"/>
      <c r="CD143" s="523"/>
      <c r="CE143" s="523"/>
      <c r="CF143" s="523"/>
      <c r="CG143" s="523"/>
      <c r="CH143" s="523"/>
      <c r="CI143" s="523">
        <f t="shared" ref="CI143:CI206" si="39">SUM(BU143:CH143)</f>
        <v>0</v>
      </c>
    </row>
    <row r="144" spans="1:87" x14ac:dyDescent="0.2">
      <c r="A144" s="395" t="s">
        <v>1543</v>
      </c>
      <c r="B144" s="396">
        <v>89534</v>
      </c>
      <c r="C144" s="396" t="s">
        <v>1324</v>
      </c>
      <c r="D144" s="397" t="s">
        <v>1544</v>
      </c>
      <c r="E144" s="398" t="s">
        <v>102</v>
      </c>
      <c r="F144" s="399">
        <v>46.88</v>
      </c>
      <c r="G144" s="400">
        <v>2.9</v>
      </c>
      <c r="H144" s="398">
        <v>8</v>
      </c>
      <c r="I144" s="402">
        <f t="shared" ref="I144:I207" si="40">BU144</f>
        <v>0</v>
      </c>
      <c r="J144" s="403">
        <f t="shared" ref="J144:J207" si="41">CI144</f>
        <v>0</v>
      </c>
      <c r="K144" s="398">
        <f t="shared" si="36"/>
        <v>8</v>
      </c>
      <c r="L144" s="131">
        <f t="shared" si="37"/>
        <v>23.2</v>
      </c>
      <c r="M144" s="131">
        <f t="shared" si="37"/>
        <v>0</v>
      </c>
      <c r="N144" s="131">
        <f t="shared" si="37"/>
        <v>0</v>
      </c>
      <c r="O144" s="131">
        <f t="shared" si="37"/>
        <v>23.2</v>
      </c>
      <c r="P144" s="407">
        <f t="shared" si="38"/>
        <v>0</v>
      </c>
      <c r="Q144" s="525"/>
      <c r="S144" s="189">
        <v>0</v>
      </c>
      <c r="T144" s="189">
        <v>4</v>
      </c>
      <c r="BT144" s="525"/>
      <c r="BU144" s="523">
        <v>0</v>
      </c>
      <c r="BV144" s="523"/>
      <c r="BW144" s="523"/>
      <c r="BX144" s="523"/>
      <c r="BY144" s="523"/>
      <c r="BZ144" s="523"/>
      <c r="CA144" s="523"/>
      <c r="CB144" s="523"/>
      <c r="CC144" s="523"/>
      <c r="CD144" s="523"/>
      <c r="CE144" s="523"/>
      <c r="CF144" s="523"/>
      <c r="CG144" s="523"/>
      <c r="CH144" s="523"/>
      <c r="CI144" s="523">
        <f t="shared" si="39"/>
        <v>0</v>
      </c>
    </row>
    <row r="145" spans="1:87" x14ac:dyDescent="0.2">
      <c r="A145" s="395" t="s">
        <v>1545</v>
      </c>
      <c r="B145" s="396">
        <v>89386</v>
      </c>
      <c r="C145" s="396" t="s">
        <v>1324</v>
      </c>
      <c r="D145" s="397" t="s">
        <v>1546</v>
      </c>
      <c r="E145" s="398" t="s">
        <v>102</v>
      </c>
      <c r="F145" s="399">
        <v>31.2</v>
      </c>
      <c r="G145" s="400">
        <v>6</v>
      </c>
      <c r="H145" s="398">
        <v>4</v>
      </c>
      <c r="I145" s="402">
        <f t="shared" si="40"/>
        <v>0</v>
      </c>
      <c r="J145" s="403">
        <f t="shared" si="41"/>
        <v>0</v>
      </c>
      <c r="K145" s="398">
        <f t="shared" si="36"/>
        <v>4</v>
      </c>
      <c r="L145" s="131">
        <f t="shared" si="37"/>
        <v>24</v>
      </c>
      <c r="M145" s="131">
        <f t="shared" si="37"/>
        <v>0</v>
      </c>
      <c r="N145" s="131">
        <f t="shared" si="37"/>
        <v>0</v>
      </c>
      <c r="O145" s="131">
        <f t="shared" si="37"/>
        <v>24</v>
      </c>
      <c r="P145" s="407">
        <f t="shared" si="38"/>
        <v>0</v>
      </c>
      <c r="Q145" s="525"/>
      <c r="S145" s="189">
        <v>0</v>
      </c>
      <c r="T145" s="189">
        <v>4</v>
      </c>
      <c r="BT145" s="525"/>
      <c r="BU145" s="523">
        <v>0</v>
      </c>
      <c r="BV145" s="523"/>
      <c r="BW145" s="523"/>
      <c r="BX145" s="523"/>
      <c r="BY145" s="523"/>
      <c r="BZ145" s="523"/>
      <c r="CA145" s="523"/>
      <c r="CB145" s="523"/>
      <c r="CC145" s="523"/>
      <c r="CD145" s="523"/>
      <c r="CE145" s="523"/>
      <c r="CF145" s="523"/>
      <c r="CG145" s="523"/>
      <c r="CH145" s="523"/>
      <c r="CI145" s="523">
        <f t="shared" si="39"/>
        <v>0</v>
      </c>
    </row>
    <row r="146" spans="1:87" x14ac:dyDescent="0.2">
      <c r="A146" s="395" t="s">
        <v>1547</v>
      </c>
      <c r="B146" s="396">
        <v>89433</v>
      </c>
      <c r="C146" s="396" t="s">
        <v>1324</v>
      </c>
      <c r="D146" s="397" t="s">
        <v>1548</v>
      </c>
      <c r="E146" s="398" t="s">
        <v>102</v>
      </c>
      <c r="F146" s="399">
        <v>19.170000000000002</v>
      </c>
      <c r="G146" s="400">
        <v>5.63</v>
      </c>
      <c r="H146" s="398">
        <v>4</v>
      </c>
      <c r="I146" s="402">
        <f t="shared" si="40"/>
        <v>0</v>
      </c>
      <c r="J146" s="403">
        <f t="shared" si="41"/>
        <v>0</v>
      </c>
      <c r="K146" s="398">
        <f t="shared" si="36"/>
        <v>4</v>
      </c>
      <c r="L146" s="131">
        <f t="shared" si="37"/>
        <v>22.52</v>
      </c>
      <c r="M146" s="131">
        <f t="shared" si="37"/>
        <v>0</v>
      </c>
      <c r="N146" s="131">
        <f t="shared" si="37"/>
        <v>0</v>
      </c>
      <c r="O146" s="131">
        <f t="shared" si="37"/>
        <v>22.52</v>
      </c>
      <c r="P146" s="407">
        <f t="shared" si="38"/>
        <v>0</v>
      </c>
      <c r="Q146" s="525"/>
      <c r="S146" s="189">
        <v>0</v>
      </c>
      <c r="T146" s="189">
        <v>2</v>
      </c>
      <c r="BT146" s="525"/>
      <c r="BU146" s="523">
        <v>0</v>
      </c>
      <c r="BV146" s="523"/>
      <c r="BW146" s="523"/>
      <c r="BX146" s="523"/>
      <c r="BY146" s="523"/>
      <c r="BZ146" s="523"/>
      <c r="CA146" s="523"/>
      <c r="CB146" s="523"/>
      <c r="CC146" s="523"/>
      <c r="CD146" s="523"/>
      <c r="CE146" s="523"/>
      <c r="CF146" s="523"/>
      <c r="CG146" s="523"/>
      <c r="CH146" s="523"/>
      <c r="CI146" s="523">
        <f t="shared" si="39"/>
        <v>0</v>
      </c>
    </row>
    <row r="147" spans="1:87" x14ac:dyDescent="0.2">
      <c r="A147" s="125" t="s">
        <v>1549</v>
      </c>
      <c r="B147" s="126">
        <v>89605</v>
      </c>
      <c r="C147" s="126" t="s">
        <v>1324</v>
      </c>
      <c r="D147" s="127" t="s">
        <v>1550</v>
      </c>
      <c r="E147" s="128" t="s">
        <v>102</v>
      </c>
      <c r="F147" s="137">
        <v>98.11</v>
      </c>
      <c r="G147" s="130">
        <v>11.65</v>
      </c>
      <c r="H147" s="128">
        <v>2</v>
      </c>
      <c r="I147" s="133">
        <f t="shared" si="40"/>
        <v>0</v>
      </c>
      <c r="J147" s="374">
        <f t="shared" si="41"/>
        <v>0</v>
      </c>
      <c r="K147" s="128">
        <f t="shared" si="36"/>
        <v>2</v>
      </c>
      <c r="L147" s="131">
        <f t="shared" si="37"/>
        <v>23.3</v>
      </c>
      <c r="M147" s="131">
        <f t="shared" si="37"/>
        <v>0</v>
      </c>
      <c r="N147" s="131">
        <f t="shared" si="37"/>
        <v>0</v>
      </c>
      <c r="O147" s="131">
        <f t="shared" si="37"/>
        <v>23.3</v>
      </c>
      <c r="P147" s="136">
        <f t="shared" si="38"/>
        <v>0</v>
      </c>
      <c r="Q147" s="525"/>
      <c r="S147" s="189">
        <v>0</v>
      </c>
      <c r="T147" s="189">
        <v>2</v>
      </c>
      <c r="BT147" s="525"/>
      <c r="BU147" s="523">
        <v>0</v>
      </c>
      <c r="BV147" s="523"/>
      <c r="BW147" s="523"/>
      <c r="BX147" s="523"/>
      <c r="BY147" s="523"/>
      <c r="BZ147" s="523"/>
      <c r="CA147" s="523"/>
      <c r="CB147" s="523"/>
      <c r="CC147" s="523"/>
      <c r="CD147" s="523"/>
      <c r="CE147" s="523"/>
      <c r="CF147" s="523"/>
      <c r="CG147" s="523"/>
      <c r="CH147" s="523"/>
      <c r="CI147" s="523">
        <f t="shared" si="39"/>
        <v>0</v>
      </c>
    </row>
    <row r="148" spans="1:87" x14ac:dyDescent="0.2">
      <c r="A148" s="125" t="s">
        <v>1551</v>
      </c>
      <c r="B148" s="126">
        <v>90375</v>
      </c>
      <c r="C148" s="126" t="s">
        <v>1324</v>
      </c>
      <c r="D148" s="127" t="s">
        <v>1552</v>
      </c>
      <c r="E148" s="128" t="s">
        <v>102</v>
      </c>
      <c r="F148" s="137">
        <v>174.65</v>
      </c>
      <c r="G148" s="130">
        <v>6.61</v>
      </c>
      <c r="H148" s="128">
        <v>2</v>
      </c>
      <c r="I148" s="133">
        <f t="shared" si="40"/>
        <v>0</v>
      </c>
      <c r="J148" s="374">
        <f t="shared" si="41"/>
        <v>0</v>
      </c>
      <c r="K148" s="128">
        <f t="shared" si="36"/>
        <v>2</v>
      </c>
      <c r="L148" s="131">
        <f t="shared" si="37"/>
        <v>13.22</v>
      </c>
      <c r="M148" s="131">
        <f t="shared" si="37"/>
        <v>0</v>
      </c>
      <c r="N148" s="131">
        <f t="shared" si="37"/>
        <v>0</v>
      </c>
      <c r="O148" s="131">
        <f t="shared" si="37"/>
        <v>13.22</v>
      </c>
      <c r="P148" s="136">
        <f t="shared" si="38"/>
        <v>0</v>
      </c>
      <c r="Q148" s="525"/>
      <c r="S148" s="189">
        <v>0</v>
      </c>
      <c r="T148" s="189">
        <v>4</v>
      </c>
      <c r="BT148" s="525"/>
      <c r="BU148" s="523">
        <v>0</v>
      </c>
      <c r="BV148" s="523"/>
      <c r="BW148" s="523"/>
      <c r="BX148" s="523"/>
      <c r="BY148" s="523"/>
      <c r="BZ148" s="523"/>
      <c r="CA148" s="523"/>
      <c r="CB148" s="523"/>
      <c r="CC148" s="523"/>
      <c r="CD148" s="523"/>
      <c r="CE148" s="523"/>
      <c r="CF148" s="523"/>
      <c r="CG148" s="523"/>
      <c r="CH148" s="523"/>
      <c r="CI148" s="523">
        <f t="shared" si="39"/>
        <v>0</v>
      </c>
    </row>
    <row r="149" spans="1:87" x14ac:dyDescent="0.2">
      <c r="A149" s="125" t="s">
        <v>1553</v>
      </c>
      <c r="B149" s="126">
        <v>90375</v>
      </c>
      <c r="C149" s="126" t="s">
        <v>1324</v>
      </c>
      <c r="D149" s="127" t="s">
        <v>1554</v>
      </c>
      <c r="E149" s="128" t="s">
        <v>102</v>
      </c>
      <c r="F149" s="138"/>
      <c r="G149" s="130">
        <v>6.61</v>
      </c>
      <c r="H149" s="128">
        <v>4</v>
      </c>
      <c r="I149" s="133">
        <f t="shared" si="40"/>
        <v>0</v>
      </c>
      <c r="J149" s="374">
        <f t="shared" si="41"/>
        <v>0</v>
      </c>
      <c r="K149" s="128">
        <f t="shared" si="36"/>
        <v>4</v>
      </c>
      <c r="L149" s="131">
        <f t="shared" si="37"/>
        <v>26.44</v>
      </c>
      <c r="M149" s="131">
        <f t="shared" si="37"/>
        <v>0</v>
      </c>
      <c r="N149" s="131">
        <f t="shared" si="37"/>
        <v>0</v>
      </c>
      <c r="O149" s="131">
        <f t="shared" si="37"/>
        <v>26.44</v>
      </c>
      <c r="P149" s="136">
        <f t="shared" si="38"/>
        <v>0</v>
      </c>
      <c r="Q149" s="525"/>
      <c r="S149" s="189">
        <v>0</v>
      </c>
      <c r="T149" s="189">
        <v>6</v>
      </c>
      <c r="BT149" s="525"/>
      <c r="BU149" s="523">
        <v>0</v>
      </c>
      <c r="BV149" s="523"/>
      <c r="BW149" s="523"/>
      <c r="BX149" s="523"/>
      <c r="BY149" s="523"/>
      <c r="BZ149" s="523"/>
      <c r="CA149" s="523"/>
      <c r="CB149" s="523"/>
      <c r="CC149" s="523"/>
      <c r="CD149" s="523"/>
      <c r="CE149" s="523"/>
      <c r="CF149" s="523"/>
      <c r="CG149" s="523"/>
      <c r="CH149" s="523"/>
      <c r="CI149" s="523">
        <f t="shared" si="39"/>
        <v>0</v>
      </c>
    </row>
    <row r="150" spans="1:87" x14ac:dyDescent="0.2">
      <c r="A150" s="125" t="s">
        <v>1555</v>
      </c>
      <c r="B150" s="126">
        <v>89375</v>
      </c>
      <c r="C150" s="126" t="s">
        <v>1324</v>
      </c>
      <c r="D150" s="127" t="s">
        <v>1556</v>
      </c>
      <c r="E150" s="128" t="s">
        <v>102</v>
      </c>
      <c r="F150" s="138"/>
      <c r="G150" s="130">
        <v>7.45</v>
      </c>
      <c r="H150" s="128">
        <v>6</v>
      </c>
      <c r="I150" s="133">
        <f t="shared" si="40"/>
        <v>0</v>
      </c>
      <c r="J150" s="374">
        <f t="shared" si="41"/>
        <v>0</v>
      </c>
      <c r="K150" s="128">
        <f t="shared" si="36"/>
        <v>6</v>
      </c>
      <c r="L150" s="131">
        <f t="shared" si="37"/>
        <v>44.7</v>
      </c>
      <c r="M150" s="131">
        <f t="shared" si="37"/>
        <v>0</v>
      </c>
      <c r="N150" s="131">
        <f t="shared" si="37"/>
        <v>0</v>
      </c>
      <c r="O150" s="131">
        <f t="shared" si="37"/>
        <v>44.7</v>
      </c>
      <c r="P150" s="136">
        <f t="shared" si="38"/>
        <v>0</v>
      </c>
      <c r="Q150" s="525"/>
      <c r="S150" s="189">
        <v>0</v>
      </c>
      <c r="T150" s="189">
        <v>2</v>
      </c>
      <c r="BT150" s="525"/>
      <c r="BU150" s="523">
        <v>0</v>
      </c>
      <c r="BV150" s="523"/>
      <c r="BW150" s="523"/>
      <c r="BX150" s="523"/>
      <c r="BY150" s="523"/>
      <c r="BZ150" s="523"/>
      <c r="CA150" s="523"/>
      <c r="CB150" s="523"/>
      <c r="CC150" s="523"/>
      <c r="CD150" s="523"/>
      <c r="CE150" s="523"/>
      <c r="CF150" s="523"/>
      <c r="CG150" s="523"/>
      <c r="CH150" s="523"/>
      <c r="CI150" s="523">
        <f t="shared" si="39"/>
        <v>0</v>
      </c>
    </row>
    <row r="151" spans="1:87" s="514" customFormat="1" x14ac:dyDescent="0.2">
      <c r="A151" s="125" t="s">
        <v>1557</v>
      </c>
      <c r="B151" s="126">
        <v>89594</v>
      </c>
      <c r="C151" s="126" t="s">
        <v>1324</v>
      </c>
      <c r="D151" s="127" t="s">
        <v>1558</v>
      </c>
      <c r="E151" s="128" t="s">
        <v>102</v>
      </c>
      <c r="F151" s="137">
        <v>33.909999999999997</v>
      </c>
      <c r="G151" s="130">
        <v>22.48</v>
      </c>
      <c r="H151" s="128">
        <v>2</v>
      </c>
      <c r="I151" s="133">
        <f t="shared" si="40"/>
        <v>0</v>
      </c>
      <c r="J151" s="374">
        <f t="shared" si="41"/>
        <v>0</v>
      </c>
      <c r="K151" s="128">
        <f t="shared" si="36"/>
        <v>2</v>
      </c>
      <c r="L151" s="131">
        <f t="shared" si="37"/>
        <v>44.96</v>
      </c>
      <c r="M151" s="131">
        <f t="shared" si="37"/>
        <v>0</v>
      </c>
      <c r="N151" s="131">
        <f t="shared" si="37"/>
        <v>0</v>
      </c>
      <c r="O151" s="131">
        <f t="shared" si="37"/>
        <v>44.96</v>
      </c>
      <c r="P151" s="136">
        <f t="shared" si="38"/>
        <v>0</v>
      </c>
      <c r="Q151" s="525"/>
      <c r="S151" s="190">
        <v>0</v>
      </c>
      <c r="T151" s="190">
        <v>34</v>
      </c>
      <c r="BT151" s="525"/>
      <c r="BU151" s="523">
        <v>0</v>
      </c>
      <c r="BV151" s="523"/>
      <c r="BW151" s="523"/>
      <c r="BX151" s="523"/>
      <c r="BY151" s="523"/>
      <c r="BZ151" s="523"/>
      <c r="CA151" s="523"/>
      <c r="CB151" s="523"/>
      <c r="CC151" s="523"/>
      <c r="CD151" s="523"/>
      <c r="CE151" s="523"/>
      <c r="CF151" s="523"/>
      <c r="CG151" s="523"/>
      <c r="CH151" s="523"/>
      <c r="CI151" s="523">
        <f t="shared" si="39"/>
        <v>0</v>
      </c>
    </row>
    <row r="152" spans="1:87" x14ac:dyDescent="0.2">
      <c r="A152" s="449" t="s">
        <v>290</v>
      </c>
      <c r="B152" s="450"/>
      <c r="C152" s="450"/>
      <c r="D152" s="451" t="s">
        <v>1559</v>
      </c>
      <c r="E152" s="465"/>
      <c r="F152" s="468"/>
      <c r="G152" s="465"/>
      <c r="H152" s="465"/>
      <c r="I152" s="465"/>
      <c r="J152" s="465"/>
      <c r="K152" s="465"/>
      <c r="L152" s="452">
        <f>SUM(L153:L167)</f>
        <v>2836.4</v>
      </c>
      <c r="M152" s="452">
        <f>SUM(M153:M167)</f>
        <v>0</v>
      </c>
      <c r="N152" s="452">
        <f>SUM(N153:N167)</f>
        <v>0</v>
      </c>
      <c r="O152" s="452">
        <f>SUM(O153:O167)</f>
        <v>2836.4</v>
      </c>
      <c r="P152" s="459">
        <f t="shared" si="38"/>
        <v>0</v>
      </c>
      <c r="Q152" s="525"/>
      <c r="S152" s="189">
        <v>0</v>
      </c>
      <c r="T152" s="189">
        <v>0</v>
      </c>
      <c r="BT152" s="525"/>
      <c r="BU152" s="523"/>
      <c r="BV152" s="523"/>
      <c r="BW152" s="523"/>
      <c r="BX152" s="523"/>
      <c r="BY152" s="523"/>
      <c r="BZ152" s="523"/>
      <c r="CA152" s="523"/>
      <c r="CB152" s="523"/>
      <c r="CC152" s="523"/>
      <c r="CD152" s="523"/>
      <c r="CE152" s="523"/>
      <c r="CF152" s="523"/>
      <c r="CG152" s="523"/>
      <c r="CH152" s="523"/>
      <c r="CI152" s="523">
        <f t="shared" si="39"/>
        <v>0</v>
      </c>
    </row>
    <row r="153" spans="1:87" x14ac:dyDescent="0.2">
      <c r="A153" s="125" t="s">
        <v>1560</v>
      </c>
      <c r="B153" s="126">
        <v>89353</v>
      </c>
      <c r="C153" s="126" t="s">
        <v>1324</v>
      </c>
      <c r="D153" s="127" t="s">
        <v>1561</v>
      </c>
      <c r="E153" s="128" t="s">
        <v>102</v>
      </c>
      <c r="F153" s="137">
        <v>9.81</v>
      </c>
      <c r="G153" s="130">
        <v>30.67</v>
      </c>
      <c r="H153" s="128">
        <v>1</v>
      </c>
      <c r="I153" s="133">
        <f t="shared" si="40"/>
        <v>0</v>
      </c>
      <c r="J153" s="374">
        <f t="shared" si="41"/>
        <v>0</v>
      </c>
      <c r="K153" s="128">
        <f t="shared" si="36"/>
        <v>1</v>
      </c>
      <c r="L153" s="131">
        <f t="shared" ref="L153:O167" si="42">ROUND(H153*$G153,2)</f>
        <v>30.67</v>
      </c>
      <c r="M153" s="131">
        <f t="shared" si="42"/>
        <v>0</v>
      </c>
      <c r="N153" s="131">
        <f t="shared" si="42"/>
        <v>0</v>
      </c>
      <c r="O153" s="131">
        <f t="shared" si="42"/>
        <v>30.67</v>
      </c>
      <c r="P153" s="136">
        <f t="shared" si="38"/>
        <v>0</v>
      </c>
      <c r="Q153" s="525"/>
      <c r="S153" s="189">
        <v>0</v>
      </c>
      <c r="T153" s="189">
        <v>0</v>
      </c>
      <c r="BT153" s="525"/>
      <c r="BU153" s="523">
        <v>0</v>
      </c>
      <c r="BV153" s="523"/>
      <c r="BW153" s="523"/>
      <c r="BX153" s="523"/>
      <c r="BY153" s="523"/>
      <c r="BZ153" s="523"/>
      <c r="CA153" s="523"/>
      <c r="CB153" s="523"/>
      <c r="CC153" s="523"/>
      <c r="CD153" s="523"/>
      <c r="CE153" s="523"/>
      <c r="CF153" s="523"/>
      <c r="CG153" s="523"/>
      <c r="CH153" s="523"/>
      <c r="CI153" s="523">
        <f t="shared" si="39"/>
        <v>0</v>
      </c>
    </row>
    <row r="154" spans="1:87" x14ac:dyDescent="0.2">
      <c r="A154" s="125" t="s">
        <v>1562</v>
      </c>
      <c r="B154" s="126" t="s">
        <v>1563</v>
      </c>
      <c r="C154" s="126" t="s">
        <v>1324</v>
      </c>
      <c r="D154" s="127" t="s">
        <v>1564</v>
      </c>
      <c r="E154" s="128" t="s">
        <v>102</v>
      </c>
      <c r="F154" s="137">
        <v>12.72</v>
      </c>
      <c r="G154" s="130">
        <v>86.64</v>
      </c>
      <c r="H154" s="128">
        <v>2</v>
      </c>
      <c r="I154" s="133">
        <f t="shared" si="40"/>
        <v>0</v>
      </c>
      <c r="J154" s="374">
        <f t="shared" si="41"/>
        <v>0</v>
      </c>
      <c r="K154" s="128">
        <f t="shared" si="36"/>
        <v>2</v>
      </c>
      <c r="L154" s="131">
        <f t="shared" si="42"/>
        <v>173.28</v>
      </c>
      <c r="M154" s="131">
        <f t="shared" si="42"/>
        <v>0</v>
      </c>
      <c r="N154" s="131">
        <f t="shared" si="42"/>
        <v>0</v>
      </c>
      <c r="O154" s="131">
        <f t="shared" si="42"/>
        <v>173.28</v>
      </c>
      <c r="P154" s="136">
        <f t="shared" si="38"/>
        <v>0</v>
      </c>
      <c r="Q154" s="525"/>
      <c r="S154" s="189">
        <v>0</v>
      </c>
      <c r="T154" s="189">
        <v>0</v>
      </c>
      <c r="BT154" s="525"/>
      <c r="BU154" s="523">
        <v>0</v>
      </c>
      <c r="BV154" s="523"/>
      <c r="BW154" s="523"/>
      <c r="BX154" s="523"/>
      <c r="BY154" s="523"/>
      <c r="BZ154" s="523"/>
      <c r="CA154" s="523"/>
      <c r="CB154" s="523"/>
      <c r="CC154" s="523"/>
      <c r="CD154" s="523"/>
      <c r="CE154" s="523"/>
      <c r="CF154" s="523"/>
      <c r="CG154" s="523"/>
      <c r="CH154" s="523"/>
      <c r="CI154" s="523">
        <f t="shared" si="39"/>
        <v>0</v>
      </c>
    </row>
    <row r="155" spans="1:87" x14ac:dyDescent="0.2">
      <c r="A155" s="125" t="s">
        <v>1565</v>
      </c>
      <c r="B155" s="126" t="s">
        <v>1566</v>
      </c>
      <c r="C155" s="126" t="s">
        <v>1324</v>
      </c>
      <c r="D155" s="127" t="s">
        <v>1567</v>
      </c>
      <c r="E155" s="128" t="s">
        <v>102</v>
      </c>
      <c r="F155" s="138"/>
      <c r="G155" s="130">
        <v>52.59</v>
      </c>
      <c r="H155" s="128">
        <v>2</v>
      </c>
      <c r="I155" s="133">
        <f t="shared" si="40"/>
        <v>0</v>
      </c>
      <c r="J155" s="374">
        <f t="shared" si="41"/>
        <v>0</v>
      </c>
      <c r="K155" s="128">
        <f t="shared" si="36"/>
        <v>2</v>
      </c>
      <c r="L155" s="131">
        <f t="shared" si="42"/>
        <v>105.18</v>
      </c>
      <c r="M155" s="131">
        <f t="shared" si="42"/>
        <v>0</v>
      </c>
      <c r="N155" s="131">
        <f t="shared" si="42"/>
        <v>0</v>
      </c>
      <c r="O155" s="131">
        <f t="shared" si="42"/>
        <v>105.18</v>
      </c>
      <c r="P155" s="136">
        <f t="shared" si="38"/>
        <v>0</v>
      </c>
      <c r="Q155" s="525"/>
      <c r="S155" s="189">
        <v>0</v>
      </c>
      <c r="T155" s="189">
        <v>0</v>
      </c>
      <c r="BT155" s="525"/>
      <c r="BU155" s="523">
        <v>0</v>
      </c>
      <c r="BV155" s="523"/>
      <c r="BW155" s="523"/>
      <c r="BX155" s="523"/>
      <c r="BY155" s="523"/>
      <c r="BZ155" s="523"/>
      <c r="CA155" s="523"/>
      <c r="CB155" s="523"/>
      <c r="CC155" s="523"/>
      <c r="CD155" s="523"/>
      <c r="CE155" s="523"/>
      <c r="CF155" s="523"/>
      <c r="CG155" s="523"/>
      <c r="CH155" s="523"/>
      <c r="CI155" s="523">
        <f t="shared" si="39"/>
        <v>0</v>
      </c>
    </row>
    <row r="156" spans="1:87" x14ac:dyDescent="0.2">
      <c r="A156" s="125" t="s">
        <v>1568</v>
      </c>
      <c r="B156" s="126" t="s">
        <v>1569</v>
      </c>
      <c r="C156" s="126" t="s">
        <v>1324</v>
      </c>
      <c r="D156" s="127" t="s">
        <v>1570</v>
      </c>
      <c r="E156" s="128" t="s">
        <v>102</v>
      </c>
      <c r="F156" s="138"/>
      <c r="G156" s="130">
        <v>120.21</v>
      </c>
      <c r="H156" s="128">
        <v>2</v>
      </c>
      <c r="I156" s="133">
        <f t="shared" si="40"/>
        <v>0</v>
      </c>
      <c r="J156" s="374">
        <f t="shared" si="41"/>
        <v>0</v>
      </c>
      <c r="K156" s="128">
        <f t="shared" si="36"/>
        <v>2</v>
      </c>
      <c r="L156" s="131">
        <f t="shared" si="42"/>
        <v>240.42</v>
      </c>
      <c r="M156" s="131">
        <f t="shared" si="42"/>
        <v>0</v>
      </c>
      <c r="N156" s="131">
        <f t="shared" si="42"/>
        <v>0</v>
      </c>
      <c r="O156" s="131">
        <f t="shared" si="42"/>
        <v>240.42</v>
      </c>
      <c r="P156" s="136">
        <f t="shared" si="38"/>
        <v>0</v>
      </c>
      <c r="Q156" s="525"/>
      <c r="S156" s="189">
        <v>0</v>
      </c>
      <c r="T156" s="189">
        <v>0</v>
      </c>
      <c r="BT156" s="525"/>
      <c r="BU156" s="523">
        <v>0</v>
      </c>
      <c r="BV156" s="523"/>
      <c r="BW156" s="523"/>
      <c r="BX156" s="523"/>
      <c r="BY156" s="523"/>
      <c r="BZ156" s="523"/>
      <c r="CA156" s="523"/>
      <c r="CB156" s="523"/>
      <c r="CC156" s="523"/>
      <c r="CD156" s="523"/>
      <c r="CE156" s="523"/>
      <c r="CF156" s="523"/>
      <c r="CG156" s="523"/>
      <c r="CH156" s="523"/>
      <c r="CI156" s="523">
        <f t="shared" si="39"/>
        <v>0</v>
      </c>
    </row>
    <row r="157" spans="1:87" x14ac:dyDescent="0.2">
      <c r="A157" s="125" t="s">
        <v>1571</v>
      </c>
      <c r="B157" s="126" t="s">
        <v>1572</v>
      </c>
      <c r="C157" s="126" t="s">
        <v>1324</v>
      </c>
      <c r="D157" s="127" t="s">
        <v>1573</v>
      </c>
      <c r="E157" s="128" t="s">
        <v>102</v>
      </c>
      <c r="F157" s="129"/>
      <c r="G157" s="130">
        <v>67.349999999999994</v>
      </c>
      <c r="H157" s="128">
        <v>2</v>
      </c>
      <c r="I157" s="133">
        <f t="shared" si="40"/>
        <v>0</v>
      </c>
      <c r="J157" s="374">
        <f t="shared" si="41"/>
        <v>0</v>
      </c>
      <c r="K157" s="128">
        <f t="shared" si="36"/>
        <v>2</v>
      </c>
      <c r="L157" s="131">
        <f t="shared" si="42"/>
        <v>134.69999999999999</v>
      </c>
      <c r="M157" s="131">
        <f t="shared" si="42"/>
        <v>0</v>
      </c>
      <c r="N157" s="131">
        <f t="shared" si="42"/>
        <v>0</v>
      </c>
      <c r="O157" s="131">
        <f t="shared" si="42"/>
        <v>134.69999999999999</v>
      </c>
      <c r="P157" s="136">
        <f t="shared" si="38"/>
        <v>0</v>
      </c>
      <c r="Q157" s="525"/>
      <c r="S157" s="189">
        <v>0</v>
      </c>
      <c r="T157" s="189">
        <v>0</v>
      </c>
      <c r="BT157" s="525"/>
      <c r="BU157" s="523">
        <v>0</v>
      </c>
      <c r="BV157" s="523"/>
      <c r="BW157" s="523"/>
      <c r="BX157" s="523"/>
      <c r="BY157" s="523"/>
      <c r="BZ157" s="523"/>
      <c r="CA157" s="523"/>
      <c r="CB157" s="523"/>
      <c r="CC157" s="523"/>
      <c r="CD157" s="523"/>
      <c r="CE157" s="523"/>
      <c r="CF157" s="523"/>
      <c r="CG157" s="523"/>
      <c r="CH157" s="523"/>
      <c r="CI157" s="523">
        <f t="shared" si="39"/>
        <v>0</v>
      </c>
    </row>
    <row r="158" spans="1:87" x14ac:dyDescent="0.2">
      <c r="A158" s="125" t="s">
        <v>1574</v>
      </c>
      <c r="B158" s="126">
        <v>89987</v>
      </c>
      <c r="C158" s="126" t="s">
        <v>1324</v>
      </c>
      <c r="D158" s="127" t="s">
        <v>1575</v>
      </c>
      <c r="E158" s="128" t="s">
        <v>102</v>
      </c>
      <c r="F158" s="137">
        <v>8.41</v>
      </c>
      <c r="G158" s="130">
        <v>35.92</v>
      </c>
      <c r="H158" s="128">
        <v>2</v>
      </c>
      <c r="I158" s="133">
        <f t="shared" si="40"/>
        <v>0</v>
      </c>
      <c r="J158" s="374">
        <f t="shared" si="41"/>
        <v>0</v>
      </c>
      <c r="K158" s="128">
        <f t="shared" si="36"/>
        <v>2</v>
      </c>
      <c r="L158" s="131">
        <f t="shared" si="42"/>
        <v>71.84</v>
      </c>
      <c r="M158" s="131">
        <f t="shared" si="42"/>
        <v>0</v>
      </c>
      <c r="N158" s="131">
        <f t="shared" si="42"/>
        <v>0</v>
      </c>
      <c r="O158" s="131">
        <f t="shared" si="42"/>
        <v>71.84</v>
      </c>
      <c r="P158" s="136">
        <f t="shared" si="38"/>
        <v>0</v>
      </c>
      <c r="Q158" s="525"/>
      <c r="S158" s="189">
        <v>0</v>
      </c>
      <c r="T158" s="189">
        <v>0</v>
      </c>
      <c r="BT158" s="525"/>
      <c r="BU158" s="523">
        <v>0</v>
      </c>
      <c r="BV158" s="523"/>
      <c r="BW158" s="523"/>
      <c r="BX158" s="523"/>
      <c r="BY158" s="523"/>
      <c r="BZ158" s="523"/>
      <c r="CA158" s="523"/>
      <c r="CB158" s="523"/>
      <c r="CC158" s="523"/>
      <c r="CD158" s="523"/>
      <c r="CE158" s="523"/>
      <c r="CF158" s="523"/>
      <c r="CG158" s="523"/>
      <c r="CH158" s="523"/>
      <c r="CI158" s="523">
        <f t="shared" si="39"/>
        <v>0</v>
      </c>
    </row>
    <row r="159" spans="1:87" x14ac:dyDescent="0.2">
      <c r="A159" s="125" t="s">
        <v>1576</v>
      </c>
      <c r="B159" s="126">
        <v>89985</v>
      </c>
      <c r="C159" s="126" t="s">
        <v>1324</v>
      </c>
      <c r="D159" s="127" t="s">
        <v>1577</v>
      </c>
      <c r="E159" s="128" t="s">
        <v>102</v>
      </c>
      <c r="F159" s="137">
        <v>9.49</v>
      </c>
      <c r="G159" s="130">
        <v>64.02</v>
      </c>
      <c r="H159" s="128">
        <v>8</v>
      </c>
      <c r="I159" s="133">
        <f t="shared" si="40"/>
        <v>0</v>
      </c>
      <c r="J159" s="374">
        <f t="shared" si="41"/>
        <v>0</v>
      </c>
      <c r="K159" s="128">
        <f t="shared" si="36"/>
        <v>8</v>
      </c>
      <c r="L159" s="131">
        <f t="shared" si="42"/>
        <v>512.16</v>
      </c>
      <c r="M159" s="131">
        <f t="shared" si="42"/>
        <v>0</v>
      </c>
      <c r="N159" s="131">
        <f t="shared" si="42"/>
        <v>0</v>
      </c>
      <c r="O159" s="131">
        <f t="shared" si="42"/>
        <v>512.16</v>
      </c>
      <c r="P159" s="136">
        <f t="shared" si="38"/>
        <v>0</v>
      </c>
      <c r="Q159" s="525"/>
      <c r="S159" s="189">
        <v>0</v>
      </c>
      <c r="T159" s="189">
        <v>12</v>
      </c>
      <c r="BT159" s="525"/>
      <c r="BU159" s="523">
        <v>0</v>
      </c>
      <c r="BV159" s="523"/>
      <c r="BW159" s="523"/>
      <c r="BX159" s="523"/>
      <c r="BY159" s="523"/>
      <c r="BZ159" s="523"/>
      <c r="CA159" s="523"/>
      <c r="CB159" s="523"/>
      <c r="CC159" s="523"/>
      <c r="CD159" s="523"/>
      <c r="CE159" s="523"/>
      <c r="CF159" s="523"/>
      <c r="CG159" s="523"/>
      <c r="CH159" s="523"/>
      <c r="CI159" s="523">
        <f t="shared" si="39"/>
        <v>0</v>
      </c>
    </row>
    <row r="160" spans="1:87" x14ac:dyDescent="0.2">
      <c r="A160" s="125" t="s">
        <v>1578</v>
      </c>
      <c r="B160" s="126">
        <v>89538</v>
      </c>
      <c r="C160" s="126" t="s">
        <v>1324</v>
      </c>
      <c r="D160" s="127" t="s">
        <v>1579</v>
      </c>
      <c r="E160" s="128" t="s">
        <v>102</v>
      </c>
      <c r="F160" s="137">
        <v>6.56</v>
      </c>
      <c r="G160" s="130">
        <v>2.75</v>
      </c>
      <c r="H160" s="128">
        <v>12</v>
      </c>
      <c r="I160" s="133">
        <f t="shared" si="40"/>
        <v>0</v>
      </c>
      <c r="J160" s="374">
        <f t="shared" si="41"/>
        <v>0</v>
      </c>
      <c r="K160" s="128">
        <f t="shared" si="36"/>
        <v>12</v>
      </c>
      <c r="L160" s="131">
        <f t="shared" si="42"/>
        <v>33</v>
      </c>
      <c r="M160" s="131">
        <f t="shared" si="42"/>
        <v>0</v>
      </c>
      <c r="N160" s="131">
        <f t="shared" si="42"/>
        <v>0</v>
      </c>
      <c r="O160" s="131">
        <f t="shared" si="42"/>
        <v>33</v>
      </c>
      <c r="P160" s="136">
        <f t="shared" si="38"/>
        <v>0</v>
      </c>
      <c r="Q160" s="525"/>
      <c r="S160" s="189">
        <v>0</v>
      </c>
      <c r="T160" s="189">
        <v>4</v>
      </c>
      <c r="BT160" s="525"/>
      <c r="BU160" s="523">
        <v>0</v>
      </c>
      <c r="BV160" s="523"/>
      <c r="BW160" s="523"/>
      <c r="BX160" s="523"/>
      <c r="BY160" s="523"/>
      <c r="BZ160" s="523"/>
      <c r="CA160" s="523"/>
      <c r="CB160" s="523"/>
      <c r="CC160" s="523"/>
      <c r="CD160" s="523"/>
      <c r="CE160" s="523"/>
      <c r="CF160" s="523"/>
      <c r="CG160" s="523"/>
      <c r="CH160" s="523"/>
      <c r="CI160" s="523">
        <f t="shared" si="39"/>
        <v>0</v>
      </c>
    </row>
    <row r="161" spans="1:87" x14ac:dyDescent="0.2">
      <c r="A161" s="125" t="s">
        <v>1580</v>
      </c>
      <c r="B161" s="126">
        <v>89553</v>
      </c>
      <c r="C161" s="126" t="s">
        <v>1324</v>
      </c>
      <c r="D161" s="127" t="s">
        <v>1581</v>
      </c>
      <c r="E161" s="128" t="s">
        <v>102</v>
      </c>
      <c r="F161" s="138"/>
      <c r="G161" s="130">
        <v>4.01</v>
      </c>
      <c r="H161" s="128">
        <v>4</v>
      </c>
      <c r="I161" s="133">
        <f t="shared" si="40"/>
        <v>0</v>
      </c>
      <c r="J161" s="374">
        <f t="shared" si="41"/>
        <v>0</v>
      </c>
      <c r="K161" s="128">
        <f t="shared" si="36"/>
        <v>4</v>
      </c>
      <c r="L161" s="131">
        <f t="shared" si="42"/>
        <v>16.04</v>
      </c>
      <c r="M161" s="131">
        <f t="shared" si="42"/>
        <v>0</v>
      </c>
      <c r="N161" s="131">
        <f t="shared" si="42"/>
        <v>0</v>
      </c>
      <c r="O161" s="131">
        <f t="shared" si="42"/>
        <v>16.04</v>
      </c>
      <c r="P161" s="136">
        <f t="shared" si="38"/>
        <v>0</v>
      </c>
      <c r="Q161" s="525"/>
      <c r="S161" s="189">
        <v>0</v>
      </c>
      <c r="T161" s="189">
        <v>4</v>
      </c>
      <c r="BT161" s="525"/>
      <c r="BU161" s="523">
        <v>0</v>
      </c>
      <c r="BV161" s="523"/>
      <c r="BW161" s="523"/>
      <c r="BX161" s="523"/>
      <c r="BY161" s="523"/>
      <c r="BZ161" s="523"/>
      <c r="CA161" s="523"/>
      <c r="CB161" s="523"/>
      <c r="CC161" s="523"/>
      <c r="CD161" s="523"/>
      <c r="CE161" s="523"/>
      <c r="CF161" s="523"/>
      <c r="CG161" s="523"/>
      <c r="CH161" s="523"/>
      <c r="CI161" s="523">
        <f t="shared" si="39"/>
        <v>0</v>
      </c>
    </row>
    <row r="162" spans="1:87" x14ac:dyDescent="0.2">
      <c r="A162" s="125" t="s">
        <v>1582</v>
      </c>
      <c r="B162" s="126">
        <v>89570</v>
      </c>
      <c r="C162" s="126" t="s">
        <v>1324</v>
      </c>
      <c r="D162" s="127" t="s">
        <v>1583</v>
      </c>
      <c r="E162" s="128" t="s">
        <v>102</v>
      </c>
      <c r="F162" s="137">
        <v>8.41</v>
      </c>
      <c r="G162" s="130">
        <v>6.66</v>
      </c>
      <c r="H162" s="128">
        <v>4</v>
      </c>
      <c r="I162" s="133">
        <f t="shared" si="40"/>
        <v>0</v>
      </c>
      <c r="J162" s="374">
        <f t="shared" si="41"/>
        <v>0</v>
      </c>
      <c r="K162" s="128">
        <f t="shared" si="36"/>
        <v>4</v>
      </c>
      <c r="L162" s="131">
        <f t="shared" si="42"/>
        <v>26.64</v>
      </c>
      <c r="M162" s="131">
        <f t="shared" si="42"/>
        <v>0</v>
      </c>
      <c r="N162" s="131">
        <f t="shared" si="42"/>
        <v>0</v>
      </c>
      <c r="O162" s="131">
        <f t="shared" si="42"/>
        <v>26.64</v>
      </c>
      <c r="P162" s="136">
        <f t="shared" si="38"/>
        <v>0</v>
      </c>
      <c r="Q162" s="525"/>
      <c r="S162" s="189">
        <v>0</v>
      </c>
      <c r="T162" s="189">
        <v>4</v>
      </c>
      <c r="BT162" s="525"/>
      <c r="BU162" s="523">
        <v>0</v>
      </c>
      <c r="BV162" s="523"/>
      <c r="BW162" s="523"/>
      <c r="BX162" s="523"/>
      <c r="BY162" s="523"/>
      <c r="BZ162" s="523"/>
      <c r="CA162" s="523"/>
      <c r="CB162" s="523"/>
      <c r="CC162" s="523"/>
      <c r="CD162" s="523"/>
      <c r="CE162" s="523"/>
      <c r="CF162" s="523"/>
      <c r="CG162" s="523"/>
      <c r="CH162" s="523"/>
      <c r="CI162" s="523">
        <f t="shared" si="39"/>
        <v>0</v>
      </c>
    </row>
    <row r="163" spans="1:87" x14ac:dyDescent="0.2">
      <c r="A163" s="125" t="s">
        <v>1584</v>
      </c>
      <c r="B163" s="126">
        <v>89596</v>
      </c>
      <c r="C163" s="126" t="s">
        <v>1324</v>
      </c>
      <c r="D163" s="127" t="s">
        <v>1585</v>
      </c>
      <c r="E163" s="128" t="s">
        <v>102</v>
      </c>
      <c r="F163" s="138"/>
      <c r="G163" s="130">
        <v>7.49</v>
      </c>
      <c r="H163" s="128">
        <v>4</v>
      </c>
      <c r="I163" s="133">
        <f t="shared" si="40"/>
        <v>0</v>
      </c>
      <c r="J163" s="374">
        <f t="shared" si="41"/>
        <v>0</v>
      </c>
      <c r="K163" s="128">
        <f t="shared" si="36"/>
        <v>4</v>
      </c>
      <c r="L163" s="131">
        <f t="shared" si="42"/>
        <v>29.96</v>
      </c>
      <c r="M163" s="131">
        <f t="shared" si="42"/>
        <v>0</v>
      </c>
      <c r="N163" s="131">
        <f t="shared" si="42"/>
        <v>0</v>
      </c>
      <c r="O163" s="131">
        <f t="shared" si="42"/>
        <v>29.96</v>
      </c>
      <c r="P163" s="136">
        <f t="shared" si="38"/>
        <v>0</v>
      </c>
      <c r="Q163" s="525"/>
      <c r="S163" s="189">
        <v>0</v>
      </c>
      <c r="T163" s="189">
        <v>10</v>
      </c>
      <c r="BT163" s="525"/>
      <c r="BU163" s="523">
        <v>0</v>
      </c>
      <c r="BV163" s="523"/>
      <c r="BW163" s="523"/>
      <c r="BX163" s="523"/>
      <c r="BY163" s="523"/>
      <c r="BZ163" s="523"/>
      <c r="CA163" s="523"/>
      <c r="CB163" s="523"/>
      <c r="CC163" s="523"/>
      <c r="CD163" s="523"/>
      <c r="CE163" s="523"/>
      <c r="CF163" s="523"/>
      <c r="CG163" s="523"/>
      <c r="CH163" s="523"/>
      <c r="CI163" s="523">
        <f t="shared" si="39"/>
        <v>0</v>
      </c>
    </row>
    <row r="164" spans="1:87" x14ac:dyDescent="0.2">
      <c r="A164" s="125" t="s">
        <v>1586</v>
      </c>
      <c r="B164" s="126">
        <v>86884</v>
      </c>
      <c r="C164" s="126" t="s">
        <v>1324</v>
      </c>
      <c r="D164" s="127" t="s">
        <v>1587</v>
      </c>
      <c r="E164" s="128" t="s">
        <v>102</v>
      </c>
      <c r="F164" s="137">
        <v>6.56</v>
      </c>
      <c r="G164" s="130">
        <v>6.05</v>
      </c>
      <c r="H164" s="128">
        <v>10</v>
      </c>
      <c r="I164" s="133">
        <f t="shared" si="40"/>
        <v>0</v>
      </c>
      <c r="J164" s="374">
        <f t="shared" si="41"/>
        <v>0</v>
      </c>
      <c r="K164" s="128">
        <f t="shared" si="36"/>
        <v>10</v>
      </c>
      <c r="L164" s="131">
        <f t="shared" si="42"/>
        <v>60.5</v>
      </c>
      <c r="M164" s="131">
        <f t="shared" si="42"/>
        <v>0</v>
      </c>
      <c r="N164" s="131">
        <f t="shared" si="42"/>
        <v>0</v>
      </c>
      <c r="O164" s="131">
        <f t="shared" si="42"/>
        <v>60.5</v>
      </c>
      <c r="P164" s="136">
        <f t="shared" si="38"/>
        <v>0</v>
      </c>
      <c r="Q164" s="525"/>
      <c r="S164" s="189">
        <v>0</v>
      </c>
      <c r="T164" s="189">
        <v>0</v>
      </c>
      <c r="BT164" s="525"/>
      <c r="BU164" s="523">
        <v>0</v>
      </c>
      <c r="BV164" s="523"/>
      <c r="BW164" s="523"/>
      <c r="BX164" s="523"/>
      <c r="BY164" s="523"/>
      <c r="BZ164" s="523"/>
      <c r="CA164" s="523"/>
      <c r="CB164" s="523"/>
      <c r="CC164" s="523"/>
      <c r="CD164" s="523"/>
      <c r="CE164" s="523"/>
      <c r="CF164" s="523"/>
      <c r="CG164" s="523"/>
      <c r="CH164" s="523"/>
      <c r="CI164" s="523">
        <f t="shared" si="39"/>
        <v>0</v>
      </c>
    </row>
    <row r="165" spans="1:87" x14ac:dyDescent="0.2">
      <c r="A165" s="125" t="s">
        <v>1588</v>
      </c>
      <c r="B165" s="126">
        <v>72789</v>
      </c>
      <c r="C165" s="126" t="s">
        <v>1324</v>
      </c>
      <c r="D165" s="127" t="s">
        <v>1589</v>
      </c>
      <c r="E165" s="128" t="s">
        <v>102</v>
      </c>
      <c r="F165" s="137">
        <v>9.49</v>
      </c>
      <c r="G165" s="130">
        <v>16.59</v>
      </c>
      <c r="H165" s="128">
        <v>3</v>
      </c>
      <c r="I165" s="133">
        <f t="shared" si="40"/>
        <v>0</v>
      </c>
      <c r="J165" s="374">
        <f t="shared" si="41"/>
        <v>0</v>
      </c>
      <c r="K165" s="128">
        <f t="shared" si="36"/>
        <v>3</v>
      </c>
      <c r="L165" s="131">
        <f t="shared" si="42"/>
        <v>49.77</v>
      </c>
      <c r="M165" s="131">
        <f t="shared" si="42"/>
        <v>0</v>
      </c>
      <c r="N165" s="131">
        <f t="shared" si="42"/>
        <v>0</v>
      </c>
      <c r="O165" s="131">
        <f t="shared" si="42"/>
        <v>49.77</v>
      </c>
      <c r="P165" s="136">
        <f t="shared" si="38"/>
        <v>0</v>
      </c>
      <c r="Q165" s="525"/>
      <c r="S165" s="189">
        <v>0</v>
      </c>
      <c r="T165" s="189">
        <v>0</v>
      </c>
      <c r="BT165" s="525"/>
      <c r="BU165" s="523">
        <v>0</v>
      </c>
      <c r="BV165" s="523"/>
      <c r="BW165" s="523"/>
      <c r="BX165" s="523"/>
      <c r="BY165" s="523"/>
      <c r="BZ165" s="523"/>
      <c r="CA165" s="523"/>
      <c r="CB165" s="523"/>
      <c r="CC165" s="523"/>
      <c r="CD165" s="523"/>
      <c r="CE165" s="523"/>
      <c r="CF165" s="523"/>
      <c r="CG165" s="523"/>
      <c r="CH165" s="523"/>
      <c r="CI165" s="523">
        <f t="shared" si="39"/>
        <v>0</v>
      </c>
    </row>
    <row r="166" spans="1:87" x14ac:dyDescent="0.2">
      <c r="A166" s="125" t="s">
        <v>1590</v>
      </c>
      <c r="B166" s="126">
        <v>72792</v>
      </c>
      <c r="C166" s="126" t="s">
        <v>1324</v>
      </c>
      <c r="D166" s="127" t="s">
        <v>1591</v>
      </c>
      <c r="E166" s="128" t="s">
        <v>102</v>
      </c>
      <c r="F166" s="138"/>
      <c r="G166" s="130">
        <v>32.79</v>
      </c>
      <c r="H166" s="128">
        <v>2</v>
      </c>
      <c r="I166" s="133">
        <f t="shared" si="40"/>
        <v>0</v>
      </c>
      <c r="J166" s="374">
        <f t="shared" si="41"/>
        <v>0</v>
      </c>
      <c r="K166" s="128">
        <f t="shared" si="36"/>
        <v>2</v>
      </c>
      <c r="L166" s="131">
        <f t="shared" si="42"/>
        <v>65.58</v>
      </c>
      <c r="M166" s="131">
        <f t="shared" si="42"/>
        <v>0</v>
      </c>
      <c r="N166" s="131">
        <f t="shared" si="42"/>
        <v>0</v>
      </c>
      <c r="O166" s="131">
        <f t="shared" si="42"/>
        <v>65.58</v>
      </c>
      <c r="P166" s="136">
        <f t="shared" si="38"/>
        <v>0</v>
      </c>
      <c r="Q166" s="525"/>
      <c r="S166" s="189">
        <v>0</v>
      </c>
      <c r="T166" s="189">
        <v>0</v>
      </c>
      <c r="BT166" s="525"/>
      <c r="BU166" s="523">
        <v>0</v>
      </c>
      <c r="BV166" s="523"/>
      <c r="BW166" s="523"/>
      <c r="BX166" s="523"/>
      <c r="BY166" s="523"/>
      <c r="BZ166" s="523"/>
      <c r="CA166" s="523"/>
      <c r="CB166" s="523"/>
      <c r="CC166" s="523"/>
      <c r="CD166" s="523"/>
      <c r="CE166" s="523"/>
      <c r="CF166" s="523"/>
      <c r="CG166" s="523"/>
      <c r="CH166" s="523"/>
      <c r="CI166" s="523">
        <f t="shared" si="39"/>
        <v>0</v>
      </c>
    </row>
    <row r="167" spans="1:87" x14ac:dyDescent="0.2">
      <c r="A167" s="125" t="s">
        <v>1592</v>
      </c>
      <c r="B167" s="126" t="s">
        <v>2007</v>
      </c>
      <c r="C167" s="126" t="s">
        <v>1339</v>
      </c>
      <c r="D167" s="127" t="s">
        <v>1593</v>
      </c>
      <c r="E167" s="128" t="s">
        <v>102</v>
      </c>
      <c r="F167" s="137">
        <v>13.87</v>
      </c>
      <c r="G167" s="130">
        <v>1286.6600000000001</v>
      </c>
      <c r="H167" s="128">
        <v>1</v>
      </c>
      <c r="I167" s="133">
        <f t="shared" si="40"/>
        <v>0</v>
      </c>
      <c r="J167" s="374">
        <f t="shared" si="41"/>
        <v>0</v>
      </c>
      <c r="K167" s="128">
        <f t="shared" si="36"/>
        <v>1</v>
      </c>
      <c r="L167" s="131">
        <f t="shared" si="42"/>
        <v>1286.6600000000001</v>
      </c>
      <c r="M167" s="131">
        <f t="shared" si="42"/>
        <v>0</v>
      </c>
      <c r="N167" s="131">
        <f t="shared" si="42"/>
        <v>0</v>
      </c>
      <c r="O167" s="131">
        <f t="shared" si="42"/>
        <v>1286.6600000000001</v>
      </c>
      <c r="P167" s="136">
        <f t="shared" si="38"/>
        <v>0</v>
      </c>
      <c r="Q167" s="525"/>
      <c r="S167" s="189">
        <v>0</v>
      </c>
      <c r="T167" s="189">
        <v>0</v>
      </c>
      <c r="BT167" s="525"/>
      <c r="BU167" s="523">
        <v>0</v>
      </c>
      <c r="BV167" s="523"/>
      <c r="BW167" s="523"/>
      <c r="BX167" s="523"/>
      <c r="BY167" s="523"/>
      <c r="BZ167" s="523"/>
      <c r="CA167" s="523"/>
      <c r="CB167" s="523"/>
      <c r="CC167" s="523"/>
      <c r="CD167" s="523"/>
      <c r="CE167" s="523"/>
      <c r="CF167" s="523"/>
      <c r="CG167" s="523"/>
      <c r="CH167" s="523"/>
      <c r="CI167" s="523">
        <f t="shared" si="39"/>
        <v>0</v>
      </c>
    </row>
    <row r="168" spans="1:87" s="514" customFormat="1" x14ac:dyDescent="0.2">
      <c r="A168" s="412">
        <v>13</v>
      </c>
      <c r="B168" s="413"/>
      <c r="C168" s="413"/>
      <c r="D168" s="414" t="s">
        <v>1594</v>
      </c>
      <c r="E168" s="415"/>
      <c r="F168" s="415"/>
      <c r="G168" s="415"/>
      <c r="H168" s="415"/>
      <c r="I168" s="415"/>
      <c r="J168" s="415"/>
      <c r="K168" s="415"/>
      <c r="L168" s="416">
        <f>SUM(L169,L181)</f>
        <v>16232.49</v>
      </c>
      <c r="M168" s="416">
        <f>SUM(M169,M181)</f>
        <v>0</v>
      </c>
      <c r="N168" s="416">
        <f>SUM(N169,N181)</f>
        <v>0</v>
      </c>
      <c r="O168" s="416">
        <f>SUM(O169,O181)</f>
        <v>16232.49</v>
      </c>
      <c r="P168" s="423">
        <f t="shared" si="38"/>
        <v>0</v>
      </c>
      <c r="Q168" s="525"/>
      <c r="S168" s="190">
        <v>0</v>
      </c>
      <c r="T168" s="190">
        <v>0</v>
      </c>
      <c r="BT168" s="525"/>
      <c r="BU168" s="523"/>
      <c r="BV168" s="523"/>
      <c r="BW168" s="523"/>
      <c r="BX168" s="523"/>
      <c r="BY168" s="523"/>
      <c r="BZ168" s="523"/>
      <c r="CA168" s="523"/>
      <c r="CB168" s="523"/>
      <c r="CC168" s="523"/>
      <c r="CD168" s="523"/>
      <c r="CE168" s="523"/>
      <c r="CF168" s="523"/>
      <c r="CG168" s="523"/>
      <c r="CH168" s="523"/>
      <c r="CI168" s="523">
        <f t="shared" si="39"/>
        <v>0</v>
      </c>
    </row>
    <row r="169" spans="1:87" x14ac:dyDescent="0.2">
      <c r="A169" s="449" t="s">
        <v>306</v>
      </c>
      <c r="B169" s="450"/>
      <c r="C169" s="450"/>
      <c r="D169" s="451" t="s">
        <v>1516</v>
      </c>
      <c r="E169" s="452"/>
      <c r="F169" s="452"/>
      <c r="G169" s="452"/>
      <c r="H169" s="452"/>
      <c r="I169" s="452"/>
      <c r="J169" s="452"/>
      <c r="K169" s="452"/>
      <c r="L169" s="470">
        <f>SUM(L171:L180)</f>
        <v>2433.5100000000002</v>
      </c>
      <c r="M169" s="470">
        <f>SUM(M171:M180)</f>
        <v>0</v>
      </c>
      <c r="N169" s="470">
        <f>SUM(N171:N180)</f>
        <v>0</v>
      </c>
      <c r="O169" s="470">
        <f>SUM(O171:O180)</f>
        <v>2433.5100000000002</v>
      </c>
      <c r="P169" s="459">
        <f t="shared" si="38"/>
        <v>0</v>
      </c>
      <c r="Q169" s="525"/>
      <c r="S169" s="189">
        <v>0</v>
      </c>
      <c r="T169" s="189">
        <v>47.5</v>
      </c>
      <c r="BT169" s="525"/>
      <c r="BU169" s="523"/>
      <c r="BV169" s="523"/>
      <c r="BW169" s="523"/>
      <c r="BX169" s="523"/>
      <c r="BY169" s="523"/>
      <c r="BZ169" s="523"/>
      <c r="CA169" s="523"/>
      <c r="CB169" s="523"/>
      <c r="CC169" s="523"/>
      <c r="CD169" s="523"/>
      <c r="CE169" s="523"/>
      <c r="CF169" s="523"/>
      <c r="CG169" s="523"/>
      <c r="CH169" s="523"/>
      <c r="CI169" s="523">
        <f t="shared" si="39"/>
        <v>0</v>
      </c>
    </row>
    <row r="170" spans="1:87" x14ac:dyDescent="0.2">
      <c r="A170" s="125" t="s">
        <v>1595</v>
      </c>
      <c r="B170" s="126">
        <v>89711</v>
      </c>
      <c r="C170" s="126" t="s">
        <v>1324</v>
      </c>
      <c r="D170" s="127" t="s">
        <v>1596</v>
      </c>
      <c r="E170" s="128" t="s">
        <v>81</v>
      </c>
      <c r="F170" s="138"/>
      <c r="G170" s="130">
        <v>13.04</v>
      </c>
      <c r="H170" s="128">
        <v>0</v>
      </c>
      <c r="I170" s="133">
        <f t="shared" si="40"/>
        <v>0</v>
      </c>
      <c r="J170" s="374">
        <f t="shared" si="41"/>
        <v>0</v>
      </c>
      <c r="K170" s="128">
        <f t="shared" si="36"/>
        <v>0</v>
      </c>
      <c r="L170" s="131">
        <f t="shared" ref="L170:O180" si="43">ROUND(H170*$G170,2)</f>
        <v>0</v>
      </c>
      <c r="M170" s="131">
        <f t="shared" si="43"/>
        <v>0</v>
      </c>
      <c r="N170" s="131">
        <f t="shared" si="43"/>
        <v>0</v>
      </c>
      <c r="O170" s="131">
        <f t="shared" si="43"/>
        <v>0</v>
      </c>
      <c r="P170" s="136">
        <v>1</v>
      </c>
      <c r="Q170" s="525"/>
      <c r="S170" s="189">
        <v>0</v>
      </c>
      <c r="T170" s="189">
        <v>21.5</v>
      </c>
      <c r="BT170" s="525"/>
      <c r="BU170" s="523">
        <v>0</v>
      </c>
      <c r="BV170" s="523"/>
      <c r="BW170" s="523"/>
      <c r="BX170" s="523"/>
      <c r="BY170" s="523"/>
      <c r="BZ170" s="523"/>
      <c r="CA170" s="523"/>
      <c r="CB170" s="523"/>
      <c r="CC170" s="523"/>
      <c r="CD170" s="523"/>
      <c r="CE170" s="523"/>
      <c r="CF170" s="523"/>
      <c r="CG170" s="523"/>
      <c r="CH170" s="523"/>
      <c r="CI170" s="523">
        <f t="shared" si="39"/>
        <v>0</v>
      </c>
    </row>
    <row r="171" spans="1:87" x14ac:dyDescent="0.2">
      <c r="A171" s="125" t="s">
        <v>1597</v>
      </c>
      <c r="B171" s="126">
        <v>89712</v>
      </c>
      <c r="C171" s="126" t="s">
        <v>1324</v>
      </c>
      <c r="D171" s="127" t="s">
        <v>1598</v>
      </c>
      <c r="E171" s="128" t="s">
        <v>81</v>
      </c>
      <c r="F171" s="138"/>
      <c r="G171" s="130">
        <v>18.98</v>
      </c>
      <c r="H171" s="128">
        <v>21.5</v>
      </c>
      <c r="I171" s="133">
        <f t="shared" si="40"/>
        <v>0</v>
      </c>
      <c r="J171" s="374">
        <f t="shared" si="41"/>
        <v>0</v>
      </c>
      <c r="K171" s="128">
        <f t="shared" si="36"/>
        <v>21.5</v>
      </c>
      <c r="L171" s="131">
        <f t="shared" si="43"/>
        <v>408.07</v>
      </c>
      <c r="M171" s="131">
        <f t="shared" si="43"/>
        <v>0</v>
      </c>
      <c r="N171" s="131">
        <f t="shared" si="43"/>
        <v>0</v>
      </c>
      <c r="O171" s="131">
        <f t="shared" si="43"/>
        <v>408.07</v>
      </c>
      <c r="P171" s="136">
        <f t="shared" si="38"/>
        <v>0</v>
      </c>
      <c r="Q171" s="525"/>
      <c r="S171" s="189">
        <v>0</v>
      </c>
      <c r="T171" s="189">
        <v>36</v>
      </c>
      <c r="BT171" s="525"/>
      <c r="BU171" s="523">
        <v>0</v>
      </c>
      <c r="BV171" s="523"/>
      <c r="BW171" s="523"/>
      <c r="BX171" s="523"/>
      <c r="BY171" s="523"/>
      <c r="BZ171" s="523"/>
      <c r="CA171" s="523"/>
      <c r="CB171" s="523"/>
      <c r="CC171" s="523"/>
      <c r="CD171" s="523"/>
      <c r="CE171" s="523"/>
      <c r="CF171" s="523"/>
      <c r="CG171" s="523"/>
      <c r="CH171" s="523"/>
      <c r="CI171" s="523">
        <f t="shared" si="39"/>
        <v>0</v>
      </c>
    </row>
    <row r="172" spans="1:87" x14ac:dyDescent="0.2">
      <c r="A172" s="125" t="s">
        <v>1599</v>
      </c>
      <c r="B172" s="126">
        <v>89714</v>
      </c>
      <c r="C172" s="126" t="s">
        <v>1324</v>
      </c>
      <c r="D172" s="127" t="s">
        <v>1600</v>
      </c>
      <c r="E172" s="128" t="s">
        <v>81</v>
      </c>
      <c r="F172" s="137">
        <v>224.11</v>
      </c>
      <c r="G172" s="130">
        <v>36.869999999999997</v>
      </c>
      <c r="H172" s="128">
        <v>36</v>
      </c>
      <c r="I172" s="133">
        <f t="shared" si="40"/>
        <v>0</v>
      </c>
      <c r="J172" s="374">
        <f t="shared" si="41"/>
        <v>0</v>
      </c>
      <c r="K172" s="128">
        <f t="shared" si="36"/>
        <v>36</v>
      </c>
      <c r="L172" s="131">
        <f t="shared" si="43"/>
        <v>1327.32</v>
      </c>
      <c r="M172" s="131">
        <f t="shared" si="43"/>
        <v>0</v>
      </c>
      <c r="N172" s="131">
        <f t="shared" si="43"/>
        <v>0</v>
      </c>
      <c r="O172" s="131">
        <f t="shared" si="43"/>
        <v>1327.32</v>
      </c>
      <c r="P172" s="136">
        <f t="shared" si="38"/>
        <v>0</v>
      </c>
      <c r="Q172" s="525"/>
      <c r="S172" s="189">
        <v>0</v>
      </c>
      <c r="T172" s="189">
        <v>7</v>
      </c>
      <c r="BT172" s="525"/>
      <c r="BU172" s="523">
        <v>0</v>
      </c>
      <c r="BV172" s="523"/>
      <c r="BW172" s="523"/>
      <c r="BX172" s="523"/>
      <c r="BY172" s="523"/>
      <c r="BZ172" s="523"/>
      <c r="CA172" s="523"/>
      <c r="CB172" s="523"/>
      <c r="CC172" s="523"/>
      <c r="CD172" s="523"/>
      <c r="CE172" s="523"/>
      <c r="CF172" s="523"/>
      <c r="CG172" s="523"/>
      <c r="CH172" s="523"/>
      <c r="CI172" s="523">
        <f t="shared" si="39"/>
        <v>0</v>
      </c>
    </row>
    <row r="173" spans="1:87" x14ac:dyDescent="0.2">
      <c r="A173" s="125" t="s">
        <v>1601</v>
      </c>
      <c r="B173" s="126">
        <v>89726</v>
      </c>
      <c r="C173" s="126" t="s">
        <v>1324</v>
      </c>
      <c r="D173" s="127" t="s">
        <v>1602</v>
      </c>
      <c r="E173" s="128" t="s">
        <v>102</v>
      </c>
      <c r="F173" s="137">
        <v>312.5</v>
      </c>
      <c r="G173" s="130">
        <v>6.33</v>
      </c>
      <c r="H173" s="128">
        <v>7</v>
      </c>
      <c r="I173" s="133">
        <f t="shared" si="40"/>
        <v>0</v>
      </c>
      <c r="J173" s="374">
        <f t="shared" si="41"/>
        <v>0</v>
      </c>
      <c r="K173" s="128">
        <f t="shared" si="36"/>
        <v>7</v>
      </c>
      <c r="L173" s="131">
        <f t="shared" si="43"/>
        <v>44.31</v>
      </c>
      <c r="M173" s="131">
        <f t="shared" si="43"/>
        <v>0</v>
      </c>
      <c r="N173" s="131">
        <f t="shared" si="43"/>
        <v>0</v>
      </c>
      <c r="O173" s="131">
        <f t="shared" si="43"/>
        <v>44.31</v>
      </c>
      <c r="P173" s="136">
        <f t="shared" si="38"/>
        <v>0</v>
      </c>
      <c r="Q173" s="525"/>
      <c r="S173" s="189">
        <v>0</v>
      </c>
      <c r="T173" s="189">
        <v>6</v>
      </c>
      <c r="BT173" s="525"/>
      <c r="BU173" s="523">
        <v>0</v>
      </c>
      <c r="BV173" s="523"/>
      <c r="BW173" s="523"/>
      <c r="BX173" s="523"/>
      <c r="BY173" s="523"/>
      <c r="BZ173" s="523"/>
      <c r="CA173" s="523"/>
      <c r="CB173" s="523"/>
      <c r="CC173" s="523"/>
      <c r="CD173" s="523"/>
      <c r="CE173" s="523"/>
      <c r="CF173" s="523"/>
      <c r="CG173" s="523"/>
      <c r="CH173" s="523"/>
      <c r="CI173" s="523">
        <f t="shared" si="39"/>
        <v>0</v>
      </c>
    </row>
    <row r="174" spans="1:87" x14ac:dyDescent="0.2">
      <c r="A174" s="125" t="s">
        <v>1603</v>
      </c>
      <c r="B174" s="126">
        <v>89744</v>
      </c>
      <c r="C174" s="126" t="s">
        <v>1324</v>
      </c>
      <c r="D174" s="127" t="s">
        <v>1604</v>
      </c>
      <c r="E174" s="128" t="s">
        <v>102</v>
      </c>
      <c r="F174" s="137">
        <v>323.14</v>
      </c>
      <c r="G174" s="130">
        <v>16.600000000000001</v>
      </c>
      <c r="H174" s="128">
        <v>6</v>
      </c>
      <c r="I174" s="133">
        <f t="shared" si="40"/>
        <v>0</v>
      </c>
      <c r="J174" s="374">
        <f t="shared" si="41"/>
        <v>0</v>
      </c>
      <c r="K174" s="128">
        <f t="shared" si="36"/>
        <v>6</v>
      </c>
      <c r="L174" s="131">
        <f t="shared" si="43"/>
        <v>99.6</v>
      </c>
      <c r="M174" s="131">
        <f t="shared" si="43"/>
        <v>0</v>
      </c>
      <c r="N174" s="131">
        <f t="shared" si="43"/>
        <v>0</v>
      </c>
      <c r="O174" s="131">
        <f t="shared" si="43"/>
        <v>99.6</v>
      </c>
      <c r="P174" s="136">
        <f t="shared" si="38"/>
        <v>0</v>
      </c>
      <c r="Q174" s="525"/>
      <c r="S174" s="189">
        <v>0</v>
      </c>
      <c r="T174" s="189">
        <v>10</v>
      </c>
      <c r="BT174" s="525"/>
      <c r="BU174" s="523">
        <v>0</v>
      </c>
      <c r="BV174" s="523"/>
      <c r="BW174" s="523"/>
      <c r="BX174" s="523"/>
      <c r="BY174" s="523"/>
      <c r="BZ174" s="523"/>
      <c r="CA174" s="523"/>
      <c r="CB174" s="523"/>
      <c r="CC174" s="523"/>
      <c r="CD174" s="523"/>
      <c r="CE174" s="523"/>
      <c r="CF174" s="523"/>
      <c r="CG174" s="523"/>
      <c r="CH174" s="523"/>
      <c r="CI174" s="523">
        <f t="shared" si="39"/>
        <v>0</v>
      </c>
    </row>
    <row r="175" spans="1:87" x14ac:dyDescent="0.2">
      <c r="A175" s="125" t="s">
        <v>1605</v>
      </c>
      <c r="B175" s="126">
        <v>89724</v>
      </c>
      <c r="C175" s="126" t="s">
        <v>1324</v>
      </c>
      <c r="D175" s="127" t="s">
        <v>1606</v>
      </c>
      <c r="E175" s="128" t="s">
        <v>102</v>
      </c>
      <c r="F175" s="137">
        <v>224.11</v>
      </c>
      <c r="G175" s="130">
        <v>5.6</v>
      </c>
      <c r="H175" s="128">
        <v>10</v>
      </c>
      <c r="I175" s="133">
        <f t="shared" si="40"/>
        <v>0</v>
      </c>
      <c r="J175" s="374">
        <f t="shared" si="41"/>
        <v>0</v>
      </c>
      <c r="K175" s="128">
        <f t="shared" si="36"/>
        <v>10</v>
      </c>
      <c r="L175" s="131">
        <f t="shared" si="43"/>
        <v>56</v>
      </c>
      <c r="M175" s="131">
        <f t="shared" si="43"/>
        <v>0</v>
      </c>
      <c r="N175" s="131">
        <f t="shared" si="43"/>
        <v>0</v>
      </c>
      <c r="O175" s="131">
        <f t="shared" si="43"/>
        <v>56</v>
      </c>
      <c r="P175" s="136">
        <f t="shared" si="38"/>
        <v>0</v>
      </c>
      <c r="Q175" s="525"/>
      <c r="S175" s="189">
        <v>0</v>
      </c>
      <c r="T175" s="189">
        <v>6</v>
      </c>
      <c r="BT175" s="525"/>
      <c r="BU175" s="523">
        <v>0</v>
      </c>
      <c r="BV175" s="523"/>
      <c r="BW175" s="523"/>
      <c r="BX175" s="523"/>
      <c r="BY175" s="523"/>
      <c r="BZ175" s="523"/>
      <c r="CA175" s="523"/>
      <c r="CB175" s="523"/>
      <c r="CC175" s="523"/>
      <c r="CD175" s="523"/>
      <c r="CE175" s="523"/>
      <c r="CF175" s="523"/>
      <c r="CG175" s="523"/>
      <c r="CH175" s="523"/>
      <c r="CI175" s="523">
        <f t="shared" si="39"/>
        <v>0</v>
      </c>
    </row>
    <row r="176" spans="1:87" x14ac:dyDescent="0.2">
      <c r="A176" s="125" t="s">
        <v>1607</v>
      </c>
      <c r="B176" s="126">
        <v>89827</v>
      </c>
      <c r="C176" s="126" t="s">
        <v>1324</v>
      </c>
      <c r="D176" s="127" t="s">
        <v>1608</v>
      </c>
      <c r="E176" s="128" t="s">
        <v>102</v>
      </c>
      <c r="F176" s="137">
        <v>33.93</v>
      </c>
      <c r="G176" s="130">
        <v>10.23</v>
      </c>
      <c r="H176" s="128">
        <v>6</v>
      </c>
      <c r="I176" s="133">
        <f t="shared" si="40"/>
        <v>0</v>
      </c>
      <c r="J176" s="374">
        <f t="shared" si="41"/>
        <v>0</v>
      </c>
      <c r="K176" s="128">
        <f t="shared" si="36"/>
        <v>6</v>
      </c>
      <c r="L176" s="131">
        <f t="shared" si="43"/>
        <v>61.38</v>
      </c>
      <c r="M176" s="131">
        <f t="shared" si="43"/>
        <v>0</v>
      </c>
      <c r="N176" s="131">
        <f t="shared" si="43"/>
        <v>0</v>
      </c>
      <c r="O176" s="131">
        <f t="shared" si="43"/>
        <v>61.38</v>
      </c>
      <c r="P176" s="136">
        <f t="shared" si="38"/>
        <v>0</v>
      </c>
      <c r="Q176" s="525"/>
      <c r="S176" s="189">
        <v>0</v>
      </c>
      <c r="T176" s="189">
        <v>5</v>
      </c>
      <c r="BT176" s="525"/>
      <c r="BU176" s="523">
        <v>0</v>
      </c>
      <c r="BV176" s="523"/>
      <c r="BW176" s="523"/>
      <c r="BX176" s="523"/>
      <c r="BY176" s="523"/>
      <c r="BZ176" s="523"/>
      <c r="CA176" s="523"/>
      <c r="CB176" s="523"/>
      <c r="CC176" s="523"/>
      <c r="CD176" s="523"/>
      <c r="CE176" s="523"/>
      <c r="CF176" s="523"/>
      <c r="CG176" s="523"/>
      <c r="CH176" s="523"/>
      <c r="CI176" s="523">
        <f t="shared" si="39"/>
        <v>0</v>
      </c>
    </row>
    <row r="177" spans="1:87" x14ac:dyDescent="0.2">
      <c r="A177" s="125" t="s">
        <v>1609</v>
      </c>
      <c r="B177" s="126">
        <v>89834</v>
      </c>
      <c r="C177" s="126" t="s">
        <v>1324</v>
      </c>
      <c r="D177" s="127" t="s">
        <v>1610</v>
      </c>
      <c r="E177" s="128" t="s">
        <v>102</v>
      </c>
      <c r="F177" s="137">
        <v>33.93</v>
      </c>
      <c r="G177" s="130">
        <v>25.46</v>
      </c>
      <c r="H177" s="128">
        <v>5</v>
      </c>
      <c r="I177" s="133">
        <f t="shared" si="40"/>
        <v>0</v>
      </c>
      <c r="J177" s="374">
        <f t="shared" si="41"/>
        <v>0</v>
      </c>
      <c r="K177" s="128">
        <f t="shared" si="36"/>
        <v>5</v>
      </c>
      <c r="L177" s="131">
        <f t="shared" si="43"/>
        <v>127.3</v>
      </c>
      <c r="M177" s="131">
        <f t="shared" si="43"/>
        <v>0</v>
      </c>
      <c r="N177" s="131">
        <f t="shared" si="43"/>
        <v>0</v>
      </c>
      <c r="O177" s="131">
        <f t="shared" si="43"/>
        <v>127.3</v>
      </c>
      <c r="P177" s="136">
        <f t="shared" si="38"/>
        <v>0</v>
      </c>
      <c r="Q177" s="525"/>
      <c r="S177" s="189">
        <v>0</v>
      </c>
      <c r="T177" s="189">
        <v>5</v>
      </c>
      <c r="BT177" s="525"/>
      <c r="BU177" s="523">
        <v>0</v>
      </c>
      <c r="BV177" s="523"/>
      <c r="BW177" s="523"/>
      <c r="BX177" s="523"/>
      <c r="BY177" s="523"/>
      <c r="BZ177" s="523"/>
      <c r="CA177" s="523"/>
      <c r="CB177" s="523"/>
      <c r="CC177" s="523"/>
      <c r="CD177" s="523"/>
      <c r="CE177" s="523"/>
      <c r="CF177" s="523"/>
      <c r="CG177" s="523"/>
      <c r="CH177" s="523"/>
      <c r="CI177" s="523">
        <f t="shared" si="39"/>
        <v>0</v>
      </c>
    </row>
    <row r="178" spans="1:87" x14ac:dyDescent="0.2">
      <c r="A178" s="125" t="s">
        <v>1611</v>
      </c>
      <c r="B178" s="126">
        <v>89797</v>
      </c>
      <c r="C178" s="126" t="s">
        <v>1324</v>
      </c>
      <c r="D178" s="127" t="s">
        <v>1612</v>
      </c>
      <c r="E178" s="128" t="s">
        <v>102</v>
      </c>
      <c r="F178" s="137">
        <v>33.93</v>
      </c>
      <c r="G178" s="130">
        <v>31.16</v>
      </c>
      <c r="H178" s="128">
        <v>5</v>
      </c>
      <c r="I178" s="133">
        <f t="shared" si="40"/>
        <v>0</v>
      </c>
      <c r="J178" s="374">
        <f t="shared" si="41"/>
        <v>0</v>
      </c>
      <c r="K178" s="128">
        <f t="shared" si="36"/>
        <v>5</v>
      </c>
      <c r="L178" s="131">
        <f t="shared" si="43"/>
        <v>155.80000000000001</v>
      </c>
      <c r="M178" s="131">
        <f t="shared" si="43"/>
        <v>0</v>
      </c>
      <c r="N178" s="131">
        <f t="shared" si="43"/>
        <v>0</v>
      </c>
      <c r="O178" s="131">
        <f t="shared" si="43"/>
        <v>155.80000000000001</v>
      </c>
      <c r="P178" s="136">
        <f t="shared" si="38"/>
        <v>0</v>
      </c>
      <c r="Q178" s="525"/>
      <c r="S178" s="189">
        <v>0</v>
      </c>
      <c r="T178" s="189">
        <v>1</v>
      </c>
      <c r="BT178" s="525"/>
      <c r="BU178" s="523">
        <v>0</v>
      </c>
      <c r="BV178" s="523"/>
      <c r="BW178" s="523"/>
      <c r="BX178" s="523"/>
      <c r="BY178" s="523"/>
      <c r="BZ178" s="523"/>
      <c r="CA178" s="523"/>
      <c r="CB178" s="523"/>
      <c r="CC178" s="523"/>
      <c r="CD178" s="523"/>
      <c r="CE178" s="523"/>
      <c r="CF178" s="523"/>
      <c r="CG178" s="523"/>
      <c r="CH178" s="523"/>
      <c r="CI178" s="523">
        <f t="shared" si="39"/>
        <v>0</v>
      </c>
    </row>
    <row r="179" spans="1:87" x14ac:dyDescent="0.2">
      <c r="A179" s="125" t="s">
        <v>1613</v>
      </c>
      <c r="B179" s="126">
        <v>89852</v>
      </c>
      <c r="C179" s="126" t="s">
        <v>1324</v>
      </c>
      <c r="D179" s="127" t="s">
        <v>1614</v>
      </c>
      <c r="E179" s="128" t="s">
        <v>102</v>
      </c>
      <c r="F179" s="137">
        <v>33.93</v>
      </c>
      <c r="G179" s="130">
        <v>27.17</v>
      </c>
      <c r="H179" s="128">
        <v>1</v>
      </c>
      <c r="I179" s="133">
        <f t="shared" si="40"/>
        <v>0</v>
      </c>
      <c r="J179" s="374">
        <f t="shared" si="41"/>
        <v>0</v>
      </c>
      <c r="K179" s="128">
        <f t="shared" si="36"/>
        <v>1</v>
      </c>
      <c r="L179" s="131">
        <f t="shared" si="43"/>
        <v>27.17</v>
      </c>
      <c r="M179" s="131">
        <f t="shared" si="43"/>
        <v>0</v>
      </c>
      <c r="N179" s="131">
        <f t="shared" si="43"/>
        <v>0</v>
      </c>
      <c r="O179" s="131">
        <f t="shared" si="43"/>
        <v>27.17</v>
      </c>
      <c r="P179" s="136">
        <f t="shared" si="38"/>
        <v>0</v>
      </c>
      <c r="Q179" s="525"/>
      <c r="S179" s="189">
        <v>0</v>
      </c>
      <c r="T179" s="189">
        <v>16</v>
      </c>
      <c r="BT179" s="525"/>
      <c r="BU179" s="523">
        <v>0</v>
      </c>
      <c r="BV179" s="523"/>
      <c r="BW179" s="523"/>
      <c r="BX179" s="523"/>
      <c r="BY179" s="523"/>
      <c r="BZ179" s="523"/>
      <c r="CA179" s="523"/>
      <c r="CB179" s="523"/>
      <c r="CC179" s="523"/>
      <c r="CD179" s="523"/>
      <c r="CE179" s="523"/>
      <c r="CF179" s="523"/>
      <c r="CG179" s="523"/>
      <c r="CH179" s="523"/>
      <c r="CI179" s="523">
        <f t="shared" si="39"/>
        <v>0</v>
      </c>
    </row>
    <row r="180" spans="1:87" s="514" customFormat="1" x14ac:dyDescent="0.2">
      <c r="A180" s="125" t="s">
        <v>1615</v>
      </c>
      <c r="B180" s="126">
        <v>89728</v>
      </c>
      <c r="C180" s="126" t="s">
        <v>1324</v>
      </c>
      <c r="D180" s="127" t="s">
        <v>1616</v>
      </c>
      <c r="E180" s="128" t="s">
        <v>102</v>
      </c>
      <c r="F180" s="137">
        <v>33.93</v>
      </c>
      <c r="G180" s="130">
        <v>7.91</v>
      </c>
      <c r="H180" s="128">
        <v>16</v>
      </c>
      <c r="I180" s="133">
        <f t="shared" si="40"/>
        <v>0</v>
      </c>
      <c r="J180" s="374">
        <f t="shared" si="41"/>
        <v>0</v>
      </c>
      <c r="K180" s="128">
        <f t="shared" si="36"/>
        <v>16</v>
      </c>
      <c r="L180" s="131">
        <f t="shared" si="43"/>
        <v>126.56</v>
      </c>
      <c r="M180" s="131">
        <f t="shared" si="43"/>
        <v>0</v>
      </c>
      <c r="N180" s="131">
        <f t="shared" si="43"/>
        <v>0</v>
      </c>
      <c r="O180" s="131">
        <f t="shared" si="43"/>
        <v>126.56</v>
      </c>
      <c r="P180" s="136">
        <f t="shared" si="38"/>
        <v>0</v>
      </c>
      <c r="Q180" s="525"/>
      <c r="S180" s="190">
        <v>0</v>
      </c>
      <c r="T180" s="190">
        <v>0</v>
      </c>
      <c r="BT180" s="525"/>
      <c r="BU180" s="523">
        <v>0</v>
      </c>
      <c r="BV180" s="523"/>
      <c r="BW180" s="523"/>
      <c r="BX180" s="523"/>
      <c r="BY180" s="523"/>
      <c r="BZ180" s="523"/>
      <c r="CA180" s="523"/>
      <c r="CB180" s="523"/>
      <c r="CC180" s="523"/>
      <c r="CD180" s="523"/>
      <c r="CE180" s="523"/>
      <c r="CF180" s="523"/>
      <c r="CG180" s="523"/>
      <c r="CH180" s="523"/>
      <c r="CI180" s="523">
        <f t="shared" si="39"/>
        <v>0</v>
      </c>
    </row>
    <row r="181" spans="1:87" x14ac:dyDescent="0.2">
      <c r="A181" s="449" t="s">
        <v>309</v>
      </c>
      <c r="B181" s="450"/>
      <c r="C181" s="450"/>
      <c r="D181" s="451" t="s">
        <v>1617</v>
      </c>
      <c r="E181" s="465"/>
      <c r="F181" s="465"/>
      <c r="G181" s="465"/>
      <c r="H181" s="465"/>
      <c r="I181" s="465"/>
      <c r="J181" s="465"/>
      <c r="K181" s="465"/>
      <c r="L181" s="452">
        <f>SUM(L182:L189)</f>
        <v>13798.98</v>
      </c>
      <c r="M181" s="452">
        <f>SUM(M182:M189)</f>
        <v>0</v>
      </c>
      <c r="N181" s="452">
        <f>SUM(N182:N189)</f>
        <v>0</v>
      </c>
      <c r="O181" s="452">
        <f>SUM(O182:O189)</f>
        <v>13798.98</v>
      </c>
      <c r="P181" s="459">
        <f t="shared" si="38"/>
        <v>0</v>
      </c>
      <c r="Q181" s="525"/>
      <c r="S181" s="189">
        <v>0</v>
      </c>
      <c r="T181" s="189">
        <v>0</v>
      </c>
      <c r="BT181" s="525"/>
      <c r="BU181" s="523"/>
      <c r="BV181" s="523"/>
      <c r="BW181" s="523"/>
      <c r="BX181" s="523"/>
      <c r="BY181" s="523"/>
      <c r="BZ181" s="523"/>
      <c r="CA181" s="523"/>
      <c r="CB181" s="523"/>
      <c r="CC181" s="523"/>
      <c r="CD181" s="523"/>
      <c r="CE181" s="523"/>
      <c r="CF181" s="523"/>
      <c r="CG181" s="523"/>
      <c r="CH181" s="523"/>
      <c r="CI181" s="523">
        <f t="shared" si="39"/>
        <v>0</v>
      </c>
    </row>
    <row r="182" spans="1:87" x14ac:dyDescent="0.2">
      <c r="A182" s="125" t="s">
        <v>1618</v>
      </c>
      <c r="B182" s="126" t="s">
        <v>2007</v>
      </c>
      <c r="C182" s="126" t="s">
        <v>1339</v>
      </c>
      <c r="D182" s="127" t="s">
        <v>1619</v>
      </c>
      <c r="E182" s="128" t="s">
        <v>102</v>
      </c>
      <c r="F182" s="137">
        <v>190.09</v>
      </c>
      <c r="G182" s="130">
        <v>46.81</v>
      </c>
      <c r="H182" s="128">
        <v>6</v>
      </c>
      <c r="I182" s="116">
        <f t="shared" si="40"/>
        <v>0</v>
      </c>
      <c r="J182" s="374">
        <f t="shared" si="41"/>
        <v>0</v>
      </c>
      <c r="K182" s="137">
        <f t="shared" si="36"/>
        <v>6</v>
      </c>
      <c r="L182" s="131">
        <f t="shared" ref="L182:O189" si="44">ROUND(H182*$G182,2)</f>
        <v>280.86</v>
      </c>
      <c r="M182" s="131">
        <f t="shared" si="44"/>
        <v>0</v>
      </c>
      <c r="N182" s="131">
        <f t="shared" si="44"/>
        <v>0</v>
      </c>
      <c r="O182" s="131">
        <f t="shared" si="44"/>
        <v>280.86</v>
      </c>
      <c r="P182" s="136">
        <f t="shared" si="38"/>
        <v>0</v>
      </c>
      <c r="Q182" s="525"/>
      <c r="S182" s="189">
        <v>0</v>
      </c>
      <c r="T182" s="189">
        <v>0</v>
      </c>
      <c r="BT182" s="525"/>
      <c r="BU182" s="523">
        <v>0</v>
      </c>
      <c r="BV182" s="523"/>
      <c r="BW182" s="523"/>
      <c r="BX182" s="523"/>
      <c r="BY182" s="523"/>
      <c r="BZ182" s="523"/>
      <c r="CA182" s="523"/>
      <c r="CB182" s="523"/>
      <c r="CC182" s="523"/>
      <c r="CD182" s="523"/>
      <c r="CE182" s="523"/>
      <c r="CF182" s="523"/>
      <c r="CG182" s="523"/>
      <c r="CH182" s="523"/>
      <c r="CI182" s="523">
        <f t="shared" si="39"/>
        <v>0</v>
      </c>
    </row>
    <row r="183" spans="1:87" x14ac:dyDescent="0.2">
      <c r="A183" s="125" t="s">
        <v>1620</v>
      </c>
      <c r="B183" s="126" t="s">
        <v>1621</v>
      </c>
      <c r="C183" s="126" t="s">
        <v>1324</v>
      </c>
      <c r="D183" s="127" t="s">
        <v>1622</v>
      </c>
      <c r="E183" s="128" t="s">
        <v>102</v>
      </c>
      <c r="F183" s="137">
        <v>222.14</v>
      </c>
      <c r="G183" s="130">
        <v>367.21</v>
      </c>
      <c r="H183" s="128">
        <v>2</v>
      </c>
      <c r="I183" s="116">
        <f t="shared" si="40"/>
        <v>0</v>
      </c>
      <c r="J183" s="374">
        <f t="shared" si="41"/>
        <v>0</v>
      </c>
      <c r="K183" s="137">
        <f t="shared" si="36"/>
        <v>2</v>
      </c>
      <c r="L183" s="131">
        <f t="shared" si="44"/>
        <v>734.42</v>
      </c>
      <c r="M183" s="131">
        <f t="shared" si="44"/>
        <v>0</v>
      </c>
      <c r="N183" s="131">
        <f t="shared" si="44"/>
        <v>0</v>
      </c>
      <c r="O183" s="131">
        <f t="shared" si="44"/>
        <v>734.42</v>
      </c>
      <c r="P183" s="136">
        <f t="shared" si="38"/>
        <v>0</v>
      </c>
      <c r="Q183" s="525"/>
      <c r="S183" s="189">
        <v>0</v>
      </c>
      <c r="T183" s="189">
        <v>0</v>
      </c>
      <c r="BT183" s="525"/>
      <c r="BU183" s="523">
        <v>0</v>
      </c>
      <c r="BV183" s="523"/>
      <c r="BW183" s="523"/>
      <c r="BX183" s="523"/>
      <c r="BY183" s="523"/>
      <c r="BZ183" s="523"/>
      <c r="CA183" s="523"/>
      <c r="CB183" s="523"/>
      <c r="CC183" s="523"/>
      <c r="CD183" s="523"/>
      <c r="CE183" s="523"/>
      <c r="CF183" s="523"/>
      <c r="CG183" s="523"/>
      <c r="CH183" s="523"/>
      <c r="CI183" s="523">
        <f t="shared" si="39"/>
        <v>0</v>
      </c>
    </row>
    <row r="184" spans="1:87" x14ac:dyDescent="0.2">
      <c r="A184" s="125" t="s">
        <v>1623</v>
      </c>
      <c r="B184" s="126">
        <v>89710</v>
      </c>
      <c r="C184" s="126" t="s">
        <v>1324</v>
      </c>
      <c r="D184" s="127" t="s">
        <v>1624</v>
      </c>
      <c r="E184" s="128" t="s">
        <v>102</v>
      </c>
      <c r="F184" s="137">
        <v>474.97</v>
      </c>
      <c r="G184" s="130">
        <v>7.75</v>
      </c>
      <c r="H184" s="128">
        <v>6</v>
      </c>
      <c r="I184" s="116">
        <f t="shared" si="40"/>
        <v>0</v>
      </c>
      <c r="J184" s="374">
        <f t="shared" si="41"/>
        <v>0</v>
      </c>
      <c r="K184" s="137">
        <f t="shared" si="36"/>
        <v>6</v>
      </c>
      <c r="L184" s="131">
        <f t="shared" si="44"/>
        <v>46.5</v>
      </c>
      <c r="M184" s="131">
        <f t="shared" si="44"/>
        <v>0</v>
      </c>
      <c r="N184" s="131">
        <f t="shared" si="44"/>
        <v>0</v>
      </c>
      <c r="O184" s="131">
        <f t="shared" si="44"/>
        <v>46.5</v>
      </c>
      <c r="P184" s="136">
        <f t="shared" si="38"/>
        <v>0</v>
      </c>
      <c r="Q184" s="525"/>
      <c r="S184" s="189">
        <v>0</v>
      </c>
      <c r="T184" s="189">
        <v>0</v>
      </c>
      <c r="BT184" s="525"/>
      <c r="BU184" s="523">
        <v>0</v>
      </c>
      <c r="BV184" s="523"/>
      <c r="BW184" s="523"/>
      <c r="BX184" s="523"/>
      <c r="BY184" s="523"/>
      <c r="BZ184" s="523"/>
      <c r="CA184" s="523"/>
      <c r="CB184" s="523"/>
      <c r="CC184" s="523"/>
      <c r="CD184" s="523"/>
      <c r="CE184" s="523"/>
      <c r="CF184" s="523"/>
      <c r="CG184" s="523"/>
      <c r="CH184" s="523"/>
      <c r="CI184" s="523">
        <f t="shared" si="39"/>
        <v>0</v>
      </c>
    </row>
    <row r="185" spans="1:87" x14ac:dyDescent="0.2">
      <c r="A185" s="125" t="s">
        <v>1625</v>
      </c>
      <c r="B185" s="126">
        <v>89798</v>
      </c>
      <c r="C185" s="126" t="s">
        <v>1324</v>
      </c>
      <c r="D185" s="127" t="s">
        <v>1626</v>
      </c>
      <c r="E185" s="128" t="s">
        <v>81</v>
      </c>
      <c r="F185" s="137">
        <v>891.52</v>
      </c>
      <c r="G185" s="130">
        <v>6.93</v>
      </c>
      <c r="H185" s="128">
        <v>8</v>
      </c>
      <c r="I185" s="116">
        <f t="shared" si="40"/>
        <v>0</v>
      </c>
      <c r="J185" s="374">
        <f t="shared" si="41"/>
        <v>0</v>
      </c>
      <c r="K185" s="137">
        <f t="shared" si="36"/>
        <v>8</v>
      </c>
      <c r="L185" s="131">
        <f t="shared" si="44"/>
        <v>55.44</v>
      </c>
      <c r="M185" s="131">
        <f t="shared" si="44"/>
        <v>0</v>
      </c>
      <c r="N185" s="131">
        <f t="shared" si="44"/>
        <v>0</v>
      </c>
      <c r="O185" s="131">
        <f t="shared" si="44"/>
        <v>55.44</v>
      </c>
      <c r="P185" s="136">
        <f t="shared" si="38"/>
        <v>0</v>
      </c>
      <c r="Q185" s="525"/>
      <c r="S185" s="189">
        <v>0</v>
      </c>
      <c r="T185" s="189">
        <v>0</v>
      </c>
      <c r="BT185" s="525"/>
      <c r="BU185" s="523">
        <v>0</v>
      </c>
      <c r="BV185" s="523"/>
      <c r="BW185" s="523"/>
      <c r="BX185" s="523"/>
      <c r="BY185" s="523"/>
      <c r="BZ185" s="523"/>
      <c r="CA185" s="523"/>
      <c r="CB185" s="523"/>
      <c r="CC185" s="523"/>
      <c r="CD185" s="523"/>
      <c r="CE185" s="523"/>
      <c r="CF185" s="523"/>
      <c r="CG185" s="523"/>
      <c r="CH185" s="523"/>
      <c r="CI185" s="523">
        <f t="shared" si="39"/>
        <v>0</v>
      </c>
    </row>
    <row r="186" spans="1:87" x14ac:dyDescent="0.2">
      <c r="A186" s="125" t="s">
        <v>1627</v>
      </c>
      <c r="B186" s="126">
        <v>86882</v>
      </c>
      <c r="C186" s="126" t="s">
        <v>1324</v>
      </c>
      <c r="D186" s="127" t="s">
        <v>1628</v>
      </c>
      <c r="E186" s="128" t="s">
        <v>102</v>
      </c>
      <c r="F186" s="137">
        <v>179</v>
      </c>
      <c r="G186" s="130">
        <v>13.42</v>
      </c>
      <c r="H186" s="128">
        <v>8</v>
      </c>
      <c r="I186" s="116">
        <f t="shared" si="40"/>
        <v>0</v>
      </c>
      <c r="J186" s="374">
        <f t="shared" si="41"/>
        <v>0</v>
      </c>
      <c r="K186" s="137">
        <f t="shared" si="36"/>
        <v>8</v>
      </c>
      <c r="L186" s="131">
        <f t="shared" si="44"/>
        <v>107.36</v>
      </c>
      <c r="M186" s="131">
        <f t="shared" si="44"/>
        <v>0</v>
      </c>
      <c r="N186" s="131">
        <f t="shared" si="44"/>
        <v>0</v>
      </c>
      <c r="O186" s="131">
        <f t="shared" si="44"/>
        <v>107.36</v>
      </c>
      <c r="P186" s="136">
        <f t="shared" si="38"/>
        <v>0</v>
      </c>
      <c r="Q186" s="525"/>
      <c r="S186" s="189">
        <v>0</v>
      </c>
      <c r="T186" s="189">
        <v>0</v>
      </c>
      <c r="BT186" s="525"/>
      <c r="BU186" s="523">
        <v>0</v>
      </c>
      <c r="BV186" s="523"/>
      <c r="BW186" s="523"/>
      <c r="BX186" s="523"/>
      <c r="BY186" s="523"/>
      <c r="BZ186" s="523"/>
      <c r="CA186" s="523"/>
      <c r="CB186" s="523"/>
      <c r="CC186" s="523"/>
      <c r="CD186" s="523"/>
      <c r="CE186" s="523"/>
      <c r="CF186" s="523"/>
      <c r="CG186" s="523"/>
      <c r="CH186" s="523"/>
      <c r="CI186" s="523">
        <f t="shared" si="39"/>
        <v>0</v>
      </c>
    </row>
    <row r="187" spans="1:87" x14ac:dyDescent="0.2">
      <c r="A187" s="125" t="s">
        <v>1629</v>
      </c>
      <c r="B187" s="126" t="s">
        <v>1630</v>
      </c>
      <c r="C187" s="126" t="s">
        <v>1324</v>
      </c>
      <c r="D187" s="127" t="s">
        <v>1631</v>
      </c>
      <c r="E187" s="128" t="s">
        <v>102</v>
      </c>
      <c r="F187" s="137">
        <v>144</v>
      </c>
      <c r="G187" s="130">
        <v>57.87</v>
      </c>
      <c r="H187" s="128">
        <v>8</v>
      </c>
      <c r="I187" s="116">
        <f t="shared" si="40"/>
        <v>0</v>
      </c>
      <c r="J187" s="374">
        <f t="shared" si="41"/>
        <v>0</v>
      </c>
      <c r="K187" s="137">
        <f t="shared" si="36"/>
        <v>8</v>
      </c>
      <c r="L187" s="131">
        <f t="shared" si="44"/>
        <v>462.96</v>
      </c>
      <c r="M187" s="131">
        <f t="shared" si="44"/>
        <v>0</v>
      </c>
      <c r="N187" s="131">
        <f t="shared" si="44"/>
        <v>0</v>
      </c>
      <c r="O187" s="131">
        <f t="shared" si="44"/>
        <v>462.96</v>
      </c>
      <c r="P187" s="136">
        <f t="shared" si="38"/>
        <v>0</v>
      </c>
      <c r="Q187" s="525"/>
      <c r="S187" s="189">
        <v>0</v>
      </c>
      <c r="T187" s="189">
        <v>0</v>
      </c>
      <c r="BT187" s="525"/>
      <c r="BU187" s="523">
        <v>0</v>
      </c>
      <c r="BV187" s="523"/>
      <c r="BW187" s="523"/>
      <c r="BX187" s="523"/>
      <c r="BY187" s="523"/>
      <c r="BZ187" s="523"/>
      <c r="CA187" s="523"/>
      <c r="CB187" s="523"/>
      <c r="CC187" s="523"/>
      <c r="CD187" s="523"/>
      <c r="CE187" s="523"/>
      <c r="CF187" s="523"/>
      <c r="CG187" s="523"/>
      <c r="CH187" s="523"/>
      <c r="CI187" s="523">
        <f t="shared" si="39"/>
        <v>0</v>
      </c>
    </row>
    <row r="188" spans="1:87" x14ac:dyDescent="0.2">
      <c r="A188" s="125" t="s">
        <v>1632</v>
      </c>
      <c r="B188" s="126" t="s">
        <v>1633</v>
      </c>
      <c r="C188" s="126" t="s">
        <v>1324</v>
      </c>
      <c r="D188" s="127" t="s">
        <v>1634</v>
      </c>
      <c r="E188" s="128" t="s">
        <v>102</v>
      </c>
      <c r="F188" s="137">
        <v>201.25</v>
      </c>
      <c r="G188" s="130">
        <v>3019.34</v>
      </c>
      <c r="H188" s="128">
        <v>1</v>
      </c>
      <c r="I188" s="116">
        <f t="shared" si="40"/>
        <v>0</v>
      </c>
      <c r="J188" s="374">
        <f t="shared" si="41"/>
        <v>0</v>
      </c>
      <c r="K188" s="137">
        <f t="shared" si="36"/>
        <v>1</v>
      </c>
      <c r="L188" s="131">
        <f t="shared" si="44"/>
        <v>3019.34</v>
      </c>
      <c r="M188" s="131">
        <f t="shared" si="44"/>
        <v>0</v>
      </c>
      <c r="N188" s="131">
        <f t="shared" si="44"/>
        <v>0</v>
      </c>
      <c r="O188" s="131">
        <f t="shared" si="44"/>
        <v>3019.34</v>
      </c>
      <c r="P188" s="136">
        <f t="shared" si="38"/>
        <v>0</v>
      </c>
      <c r="Q188" s="525"/>
      <c r="S188" s="189">
        <v>0</v>
      </c>
      <c r="T188" s="189">
        <v>0</v>
      </c>
      <c r="BT188" s="525"/>
      <c r="BU188" s="523">
        <v>0</v>
      </c>
      <c r="BV188" s="523"/>
      <c r="BW188" s="523"/>
      <c r="BX188" s="523"/>
      <c r="BY188" s="523"/>
      <c r="BZ188" s="523"/>
      <c r="CA188" s="523"/>
      <c r="CB188" s="523"/>
      <c r="CC188" s="523"/>
      <c r="CD188" s="523"/>
      <c r="CE188" s="523"/>
      <c r="CF188" s="523"/>
      <c r="CG188" s="523"/>
      <c r="CH188" s="523"/>
      <c r="CI188" s="523">
        <f t="shared" si="39"/>
        <v>0</v>
      </c>
    </row>
    <row r="189" spans="1:87" s="514" customFormat="1" x14ac:dyDescent="0.2">
      <c r="A189" s="125" t="s">
        <v>1635</v>
      </c>
      <c r="B189" s="126" t="s">
        <v>1636</v>
      </c>
      <c r="C189" s="126" t="s">
        <v>1324</v>
      </c>
      <c r="D189" s="127" t="s">
        <v>1637</v>
      </c>
      <c r="E189" s="128" t="s">
        <v>102</v>
      </c>
      <c r="F189" s="137">
        <v>356.72</v>
      </c>
      <c r="G189" s="130">
        <v>9092.1</v>
      </c>
      <c r="H189" s="128">
        <v>1</v>
      </c>
      <c r="I189" s="116">
        <f t="shared" si="40"/>
        <v>0</v>
      </c>
      <c r="J189" s="374">
        <f t="shared" si="41"/>
        <v>0</v>
      </c>
      <c r="K189" s="137">
        <f t="shared" si="36"/>
        <v>1</v>
      </c>
      <c r="L189" s="131">
        <f t="shared" si="44"/>
        <v>9092.1</v>
      </c>
      <c r="M189" s="131">
        <f t="shared" si="44"/>
        <v>0</v>
      </c>
      <c r="N189" s="131">
        <f t="shared" si="44"/>
        <v>0</v>
      </c>
      <c r="O189" s="131">
        <f t="shared" si="44"/>
        <v>9092.1</v>
      </c>
      <c r="P189" s="136">
        <f t="shared" si="38"/>
        <v>0</v>
      </c>
      <c r="Q189" s="525"/>
      <c r="S189" s="190">
        <v>0</v>
      </c>
      <c r="T189" s="190">
        <v>0</v>
      </c>
      <c r="BT189" s="525"/>
      <c r="BU189" s="523">
        <v>0</v>
      </c>
      <c r="BV189" s="523"/>
      <c r="BW189" s="523"/>
      <c r="BX189" s="523"/>
      <c r="BY189" s="523"/>
      <c r="BZ189" s="523"/>
      <c r="CA189" s="523"/>
      <c r="CB189" s="523"/>
      <c r="CC189" s="523"/>
      <c r="CD189" s="523"/>
      <c r="CE189" s="523"/>
      <c r="CF189" s="523"/>
      <c r="CG189" s="523"/>
      <c r="CH189" s="523"/>
      <c r="CI189" s="523">
        <f t="shared" si="39"/>
        <v>0</v>
      </c>
    </row>
    <row r="190" spans="1:87" x14ac:dyDescent="0.2">
      <c r="A190" s="412">
        <v>14</v>
      </c>
      <c r="B190" s="413"/>
      <c r="C190" s="413"/>
      <c r="D190" s="414" t="s">
        <v>656</v>
      </c>
      <c r="E190" s="415"/>
      <c r="F190" s="415"/>
      <c r="G190" s="415"/>
      <c r="H190" s="415"/>
      <c r="I190" s="415"/>
      <c r="J190" s="415"/>
      <c r="K190" s="415"/>
      <c r="L190" s="416">
        <f>SUM(L191:L193)</f>
        <v>11646.28</v>
      </c>
      <c r="M190" s="416">
        <f>SUM(M191:M193)</f>
        <v>0</v>
      </c>
      <c r="N190" s="416">
        <f>SUM(N191:N193)</f>
        <v>0</v>
      </c>
      <c r="O190" s="416">
        <f>SUM(O191:O193)</f>
        <v>11646.28</v>
      </c>
      <c r="P190" s="423">
        <f t="shared" si="38"/>
        <v>0</v>
      </c>
      <c r="Q190" s="525"/>
      <c r="S190" s="189">
        <v>0</v>
      </c>
      <c r="T190" s="189">
        <v>0</v>
      </c>
      <c r="BT190" s="525"/>
      <c r="BU190" s="523"/>
      <c r="BV190" s="523"/>
      <c r="BW190" s="523"/>
      <c r="BX190" s="523"/>
      <c r="BY190" s="523"/>
      <c r="BZ190" s="523"/>
      <c r="CA190" s="523"/>
      <c r="CB190" s="523"/>
      <c r="CC190" s="523"/>
      <c r="CD190" s="523"/>
      <c r="CE190" s="523"/>
      <c r="CF190" s="523"/>
      <c r="CG190" s="523"/>
      <c r="CH190" s="523"/>
      <c r="CI190" s="523">
        <f t="shared" si="39"/>
        <v>0</v>
      </c>
    </row>
    <row r="191" spans="1:87" x14ac:dyDescent="0.2">
      <c r="A191" s="125" t="s">
        <v>355</v>
      </c>
      <c r="B191" s="126">
        <v>83688</v>
      </c>
      <c r="C191" s="126" t="s">
        <v>1324</v>
      </c>
      <c r="D191" s="127" t="s">
        <v>1638</v>
      </c>
      <c r="E191" s="128" t="s">
        <v>81</v>
      </c>
      <c r="F191" s="137">
        <v>415</v>
      </c>
      <c r="G191" s="130">
        <v>141.97999999999999</v>
      </c>
      <c r="H191" s="128">
        <v>76.400000000000006</v>
      </c>
      <c r="I191" s="116">
        <f t="shared" si="40"/>
        <v>0</v>
      </c>
      <c r="J191" s="374">
        <f t="shared" si="41"/>
        <v>0</v>
      </c>
      <c r="K191" s="137">
        <f t="shared" si="36"/>
        <v>76.400000000000006</v>
      </c>
      <c r="L191" s="131">
        <f t="shared" ref="L191:O193" si="45">ROUND(H191*$G191,2)</f>
        <v>10847.27</v>
      </c>
      <c r="M191" s="131">
        <f t="shared" si="45"/>
        <v>0</v>
      </c>
      <c r="N191" s="131">
        <f t="shared" si="45"/>
        <v>0</v>
      </c>
      <c r="O191" s="131">
        <f t="shared" si="45"/>
        <v>10847.27</v>
      </c>
      <c r="P191" s="136">
        <f t="shared" si="38"/>
        <v>0</v>
      </c>
      <c r="Q191" s="525"/>
      <c r="S191" s="189">
        <v>0</v>
      </c>
      <c r="T191" s="189">
        <v>0</v>
      </c>
      <c r="BT191" s="525"/>
      <c r="BU191" s="523">
        <v>0</v>
      </c>
      <c r="BV191" s="523"/>
      <c r="BW191" s="523"/>
      <c r="BX191" s="523"/>
      <c r="BY191" s="523"/>
      <c r="BZ191" s="523"/>
      <c r="CA191" s="523"/>
      <c r="CB191" s="523"/>
      <c r="CC191" s="523"/>
      <c r="CD191" s="523"/>
      <c r="CE191" s="523"/>
      <c r="CF191" s="523"/>
      <c r="CG191" s="523"/>
      <c r="CH191" s="523"/>
      <c r="CI191" s="523">
        <f t="shared" si="39"/>
        <v>0</v>
      </c>
    </row>
    <row r="192" spans="1:87" x14ac:dyDescent="0.2">
      <c r="A192" s="125" t="s">
        <v>1639</v>
      </c>
      <c r="B192" s="126" t="s">
        <v>2007</v>
      </c>
      <c r="C192" s="126" t="s">
        <v>1339</v>
      </c>
      <c r="D192" s="127" t="s">
        <v>1640</v>
      </c>
      <c r="E192" s="128" t="s">
        <v>102</v>
      </c>
      <c r="F192" s="137">
        <v>63.04</v>
      </c>
      <c r="G192" s="130">
        <v>76.84</v>
      </c>
      <c r="H192" s="128">
        <v>8</v>
      </c>
      <c r="I192" s="116">
        <f t="shared" si="40"/>
        <v>0</v>
      </c>
      <c r="J192" s="374">
        <f t="shared" si="41"/>
        <v>0</v>
      </c>
      <c r="K192" s="137">
        <f t="shared" si="36"/>
        <v>8</v>
      </c>
      <c r="L192" s="131">
        <f t="shared" si="45"/>
        <v>614.72</v>
      </c>
      <c r="M192" s="131">
        <f t="shared" si="45"/>
        <v>0</v>
      </c>
      <c r="N192" s="131">
        <f t="shared" si="45"/>
        <v>0</v>
      </c>
      <c r="O192" s="131">
        <f t="shared" si="45"/>
        <v>614.72</v>
      </c>
      <c r="P192" s="136">
        <f t="shared" si="38"/>
        <v>0</v>
      </c>
      <c r="Q192" s="525"/>
      <c r="S192" s="189">
        <v>0</v>
      </c>
      <c r="T192" s="189">
        <v>0</v>
      </c>
      <c r="BT192" s="525"/>
      <c r="BU192" s="523">
        <v>0</v>
      </c>
      <c r="BV192" s="523"/>
      <c r="BW192" s="523"/>
      <c r="BX192" s="523"/>
      <c r="BY192" s="523"/>
      <c r="BZ192" s="523"/>
      <c r="CA192" s="523"/>
      <c r="CB192" s="523"/>
      <c r="CC192" s="523"/>
      <c r="CD192" s="523"/>
      <c r="CE192" s="523"/>
      <c r="CF192" s="523"/>
      <c r="CG192" s="523"/>
      <c r="CH192" s="523"/>
      <c r="CI192" s="523">
        <f t="shared" si="39"/>
        <v>0</v>
      </c>
    </row>
    <row r="193" spans="1:87" s="514" customFormat="1" x14ac:dyDescent="0.2">
      <c r="A193" s="125" t="s">
        <v>1641</v>
      </c>
      <c r="B193" s="126">
        <v>88549</v>
      </c>
      <c r="C193" s="126" t="s">
        <v>1324</v>
      </c>
      <c r="D193" s="127" t="s">
        <v>1642</v>
      </c>
      <c r="E193" s="128" t="s">
        <v>48</v>
      </c>
      <c r="F193" s="172"/>
      <c r="G193" s="130">
        <v>98.55</v>
      </c>
      <c r="H193" s="128">
        <v>1.87</v>
      </c>
      <c r="I193" s="116">
        <f t="shared" si="40"/>
        <v>0</v>
      </c>
      <c r="J193" s="374">
        <f t="shared" si="41"/>
        <v>0</v>
      </c>
      <c r="K193" s="137">
        <f t="shared" si="36"/>
        <v>1.87</v>
      </c>
      <c r="L193" s="131">
        <f t="shared" si="45"/>
        <v>184.29</v>
      </c>
      <c r="M193" s="131">
        <f t="shared" si="45"/>
        <v>0</v>
      </c>
      <c r="N193" s="131">
        <f t="shared" si="45"/>
        <v>0</v>
      </c>
      <c r="O193" s="131">
        <f t="shared" si="45"/>
        <v>184.29</v>
      </c>
      <c r="P193" s="136">
        <f t="shared" si="38"/>
        <v>0</v>
      </c>
      <c r="Q193" s="525"/>
      <c r="S193" s="190">
        <v>0</v>
      </c>
      <c r="T193" s="190">
        <v>0</v>
      </c>
      <c r="BT193" s="525"/>
      <c r="BU193" s="523">
        <v>0</v>
      </c>
      <c r="BV193" s="523"/>
      <c r="BW193" s="523"/>
      <c r="BX193" s="523"/>
      <c r="BY193" s="523"/>
      <c r="BZ193" s="523"/>
      <c r="CA193" s="523"/>
      <c r="CB193" s="523"/>
      <c r="CC193" s="523"/>
      <c r="CD193" s="523"/>
      <c r="CE193" s="523"/>
      <c r="CF193" s="523"/>
      <c r="CG193" s="523"/>
      <c r="CH193" s="523"/>
      <c r="CI193" s="523">
        <f t="shared" si="39"/>
        <v>0</v>
      </c>
    </row>
    <row r="194" spans="1:87" x14ac:dyDescent="0.2">
      <c r="A194" s="412">
        <v>15</v>
      </c>
      <c r="B194" s="413"/>
      <c r="C194" s="413"/>
      <c r="D194" s="414" t="s">
        <v>1643</v>
      </c>
      <c r="E194" s="415"/>
      <c r="F194" s="415"/>
      <c r="G194" s="415"/>
      <c r="H194" s="415"/>
      <c r="I194" s="415"/>
      <c r="J194" s="415"/>
      <c r="K194" s="415"/>
      <c r="L194" s="416">
        <f>SUM(L195:L207)</f>
        <v>7636.1200000000017</v>
      </c>
      <c r="M194" s="416">
        <f>SUM(M195:M207)</f>
        <v>0</v>
      </c>
      <c r="N194" s="416">
        <f>SUM(N195:N207)</f>
        <v>0</v>
      </c>
      <c r="O194" s="416">
        <f>SUM(O195:O207)</f>
        <v>7636.1200000000017</v>
      </c>
      <c r="P194" s="423">
        <f t="shared" si="38"/>
        <v>0</v>
      </c>
      <c r="Q194" s="525"/>
      <c r="S194" s="189">
        <v>0</v>
      </c>
      <c r="T194" s="189">
        <v>0</v>
      </c>
      <c r="BT194" s="525"/>
      <c r="BU194" s="523"/>
      <c r="BV194" s="523"/>
      <c r="BW194" s="523"/>
      <c r="BX194" s="523"/>
      <c r="BY194" s="523"/>
      <c r="BZ194" s="523"/>
      <c r="CA194" s="523"/>
      <c r="CB194" s="523"/>
      <c r="CC194" s="523"/>
      <c r="CD194" s="523"/>
      <c r="CE194" s="523"/>
      <c r="CF194" s="523"/>
      <c r="CG194" s="523"/>
      <c r="CH194" s="523"/>
      <c r="CI194" s="523">
        <f t="shared" si="39"/>
        <v>0</v>
      </c>
    </row>
    <row r="195" spans="1:87" x14ac:dyDescent="0.2">
      <c r="A195" s="125" t="s">
        <v>494</v>
      </c>
      <c r="B195" s="126">
        <v>6021</v>
      </c>
      <c r="C195" s="126" t="s">
        <v>1324</v>
      </c>
      <c r="D195" s="127" t="s">
        <v>1644</v>
      </c>
      <c r="E195" s="128" t="s">
        <v>102</v>
      </c>
      <c r="F195" s="129"/>
      <c r="G195" s="130">
        <v>330.33</v>
      </c>
      <c r="H195" s="128">
        <v>6</v>
      </c>
      <c r="I195" s="116">
        <f t="shared" si="40"/>
        <v>0</v>
      </c>
      <c r="J195" s="374">
        <f t="shared" si="41"/>
        <v>0</v>
      </c>
      <c r="K195" s="137">
        <f t="shared" ref="K195:K258" si="46">H195-J195</f>
        <v>6</v>
      </c>
      <c r="L195" s="131">
        <f t="shared" ref="L195:O207" si="47">ROUND(H195*$G195,2)</f>
        <v>1981.98</v>
      </c>
      <c r="M195" s="131">
        <f t="shared" si="47"/>
        <v>0</v>
      </c>
      <c r="N195" s="131">
        <f t="shared" si="47"/>
        <v>0</v>
      </c>
      <c r="O195" s="131">
        <f t="shared" si="47"/>
        <v>1981.98</v>
      </c>
      <c r="P195" s="136">
        <f t="shared" si="38"/>
        <v>0</v>
      </c>
      <c r="Q195" s="525"/>
      <c r="S195" s="189">
        <v>0</v>
      </c>
      <c r="T195" s="189">
        <v>0</v>
      </c>
      <c r="BT195" s="525"/>
      <c r="BU195" s="523">
        <v>0</v>
      </c>
      <c r="BV195" s="523"/>
      <c r="BW195" s="523"/>
      <c r="BX195" s="523"/>
      <c r="BY195" s="523"/>
      <c r="BZ195" s="523"/>
      <c r="CA195" s="523"/>
      <c r="CB195" s="523"/>
      <c r="CC195" s="523"/>
      <c r="CD195" s="523"/>
      <c r="CE195" s="523"/>
      <c r="CF195" s="523"/>
      <c r="CG195" s="523"/>
      <c r="CH195" s="523"/>
      <c r="CI195" s="523">
        <f t="shared" si="39"/>
        <v>0</v>
      </c>
    </row>
    <row r="196" spans="1:87" ht="25.5" x14ac:dyDescent="0.2">
      <c r="A196" s="125" t="s">
        <v>496</v>
      </c>
      <c r="B196" s="126">
        <v>40729</v>
      </c>
      <c r="C196" s="126" t="s">
        <v>1324</v>
      </c>
      <c r="D196" s="127" t="s">
        <v>1645</v>
      </c>
      <c r="E196" s="128" t="s">
        <v>102</v>
      </c>
      <c r="F196" s="129"/>
      <c r="G196" s="130">
        <v>204.63</v>
      </c>
      <c r="H196" s="128">
        <v>6</v>
      </c>
      <c r="I196" s="116">
        <f t="shared" si="40"/>
        <v>0</v>
      </c>
      <c r="J196" s="374">
        <f t="shared" si="41"/>
        <v>0</v>
      </c>
      <c r="K196" s="137">
        <f t="shared" si="46"/>
        <v>6</v>
      </c>
      <c r="L196" s="131">
        <f t="shared" si="47"/>
        <v>1227.78</v>
      </c>
      <c r="M196" s="131">
        <f t="shared" si="47"/>
        <v>0</v>
      </c>
      <c r="N196" s="131">
        <f t="shared" si="47"/>
        <v>0</v>
      </c>
      <c r="O196" s="131">
        <f t="shared" si="47"/>
        <v>1227.78</v>
      </c>
      <c r="P196" s="136">
        <f t="shared" si="38"/>
        <v>0</v>
      </c>
      <c r="Q196" s="525"/>
      <c r="S196" s="189">
        <v>0</v>
      </c>
      <c r="T196" s="189">
        <v>0</v>
      </c>
      <c r="BT196" s="525"/>
      <c r="BU196" s="523">
        <v>0</v>
      </c>
      <c r="BV196" s="523"/>
      <c r="BW196" s="523"/>
      <c r="BX196" s="523"/>
      <c r="BY196" s="523"/>
      <c r="BZ196" s="523"/>
      <c r="CA196" s="523"/>
      <c r="CB196" s="523"/>
      <c r="CC196" s="523"/>
      <c r="CD196" s="523"/>
      <c r="CE196" s="523"/>
      <c r="CF196" s="523"/>
      <c r="CG196" s="523"/>
      <c r="CH196" s="523"/>
      <c r="CI196" s="523">
        <f t="shared" si="39"/>
        <v>0</v>
      </c>
    </row>
    <row r="197" spans="1:87" x14ac:dyDescent="0.2">
      <c r="A197" s="125" t="s">
        <v>498</v>
      </c>
      <c r="B197" s="126">
        <v>86901</v>
      </c>
      <c r="C197" s="126" t="s">
        <v>1324</v>
      </c>
      <c r="D197" s="127" t="s">
        <v>1646</v>
      </c>
      <c r="E197" s="128" t="s">
        <v>102</v>
      </c>
      <c r="F197" s="137">
        <v>11.27</v>
      </c>
      <c r="G197" s="130">
        <v>102.4</v>
      </c>
      <c r="H197" s="128">
        <v>6</v>
      </c>
      <c r="I197" s="116">
        <f t="shared" si="40"/>
        <v>0</v>
      </c>
      <c r="J197" s="374">
        <f t="shared" si="41"/>
        <v>0</v>
      </c>
      <c r="K197" s="137">
        <f t="shared" si="46"/>
        <v>6</v>
      </c>
      <c r="L197" s="131">
        <f t="shared" si="47"/>
        <v>614.4</v>
      </c>
      <c r="M197" s="131">
        <f t="shared" si="47"/>
        <v>0</v>
      </c>
      <c r="N197" s="131">
        <f t="shared" si="47"/>
        <v>0</v>
      </c>
      <c r="O197" s="131">
        <f t="shared" si="47"/>
        <v>614.4</v>
      </c>
      <c r="P197" s="136">
        <f t="shared" si="38"/>
        <v>0</v>
      </c>
      <c r="Q197" s="525"/>
      <c r="S197" s="189">
        <v>0</v>
      </c>
      <c r="T197" s="189">
        <v>0</v>
      </c>
      <c r="BT197" s="525"/>
      <c r="BU197" s="523">
        <v>0</v>
      </c>
      <c r="BV197" s="523"/>
      <c r="BW197" s="523"/>
      <c r="BX197" s="523"/>
      <c r="BY197" s="523"/>
      <c r="BZ197" s="523"/>
      <c r="CA197" s="523"/>
      <c r="CB197" s="523"/>
      <c r="CC197" s="523"/>
      <c r="CD197" s="523"/>
      <c r="CE197" s="523"/>
      <c r="CF197" s="523"/>
      <c r="CG197" s="523"/>
      <c r="CH197" s="523"/>
      <c r="CI197" s="523">
        <f t="shared" si="39"/>
        <v>0</v>
      </c>
    </row>
    <row r="198" spans="1:87" ht="25.5" x14ac:dyDescent="0.2">
      <c r="A198" s="125" t="s">
        <v>500</v>
      </c>
      <c r="B198" s="126">
        <v>86942</v>
      </c>
      <c r="C198" s="126" t="s">
        <v>1324</v>
      </c>
      <c r="D198" s="127" t="s">
        <v>1647</v>
      </c>
      <c r="E198" s="128" t="s">
        <v>102</v>
      </c>
      <c r="F198" s="137">
        <v>11.89</v>
      </c>
      <c r="G198" s="130">
        <v>160.06</v>
      </c>
      <c r="H198" s="128">
        <v>2</v>
      </c>
      <c r="I198" s="116">
        <f t="shared" si="40"/>
        <v>0</v>
      </c>
      <c r="J198" s="374">
        <f t="shared" si="41"/>
        <v>0</v>
      </c>
      <c r="K198" s="137">
        <f t="shared" si="46"/>
        <v>2</v>
      </c>
      <c r="L198" s="131">
        <f t="shared" si="47"/>
        <v>320.12</v>
      </c>
      <c r="M198" s="131">
        <f t="shared" si="47"/>
        <v>0</v>
      </c>
      <c r="N198" s="131">
        <f t="shared" si="47"/>
        <v>0</v>
      </c>
      <c r="O198" s="131">
        <f t="shared" si="47"/>
        <v>320.12</v>
      </c>
      <c r="P198" s="136">
        <f t="shared" si="38"/>
        <v>0</v>
      </c>
      <c r="Q198" s="525"/>
      <c r="S198" s="189">
        <v>0</v>
      </c>
      <c r="T198" s="189">
        <v>0</v>
      </c>
      <c r="BT198" s="525"/>
      <c r="BU198" s="523">
        <v>0</v>
      </c>
      <c r="BV198" s="523"/>
      <c r="BW198" s="523"/>
      <c r="BX198" s="523"/>
      <c r="BY198" s="523"/>
      <c r="BZ198" s="523"/>
      <c r="CA198" s="523"/>
      <c r="CB198" s="523"/>
      <c r="CC198" s="523"/>
      <c r="CD198" s="523"/>
      <c r="CE198" s="523"/>
      <c r="CF198" s="523"/>
      <c r="CG198" s="523"/>
      <c r="CH198" s="523"/>
      <c r="CI198" s="523">
        <f t="shared" si="39"/>
        <v>0</v>
      </c>
    </row>
    <row r="199" spans="1:87" ht="25.5" x14ac:dyDescent="0.2">
      <c r="A199" s="125" t="s">
        <v>502</v>
      </c>
      <c r="B199" s="126" t="s">
        <v>2007</v>
      </c>
      <c r="C199" s="126" t="s">
        <v>1339</v>
      </c>
      <c r="D199" s="127" t="s">
        <v>1648</v>
      </c>
      <c r="E199" s="128" t="s">
        <v>102</v>
      </c>
      <c r="F199" s="137">
        <v>28.56</v>
      </c>
      <c r="G199" s="130">
        <v>223.26</v>
      </c>
      <c r="H199" s="128">
        <v>2</v>
      </c>
      <c r="I199" s="116">
        <f t="shared" si="40"/>
        <v>0</v>
      </c>
      <c r="J199" s="374">
        <f t="shared" si="41"/>
        <v>0</v>
      </c>
      <c r="K199" s="137">
        <f t="shared" si="46"/>
        <v>2</v>
      </c>
      <c r="L199" s="131">
        <f t="shared" si="47"/>
        <v>446.52</v>
      </c>
      <c r="M199" s="131">
        <f t="shared" si="47"/>
        <v>0</v>
      </c>
      <c r="N199" s="131">
        <f t="shared" si="47"/>
        <v>0</v>
      </c>
      <c r="O199" s="131">
        <f t="shared" si="47"/>
        <v>446.52</v>
      </c>
      <c r="P199" s="136">
        <f t="shared" si="38"/>
        <v>0</v>
      </c>
      <c r="Q199" s="525"/>
      <c r="S199" s="189">
        <v>0</v>
      </c>
      <c r="T199" s="189">
        <v>0</v>
      </c>
      <c r="BT199" s="525"/>
      <c r="BU199" s="523">
        <v>0</v>
      </c>
      <c r="BV199" s="523"/>
      <c r="BW199" s="523"/>
      <c r="BX199" s="523"/>
      <c r="BY199" s="523"/>
      <c r="BZ199" s="523"/>
      <c r="CA199" s="523"/>
      <c r="CB199" s="523"/>
      <c r="CC199" s="523"/>
      <c r="CD199" s="523"/>
      <c r="CE199" s="523"/>
      <c r="CF199" s="523"/>
      <c r="CG199" s="523"/>
      <c r="CH199" s="523"/>
      <c r="CI199" s="523">
        <f t="shared" si="39"/>
        <v>0</v>
      </c>
    </row>
    <row r="200" spans="1:87" ht="25.5" x14ac:dyDescent="0.2">
      <c r="A200" s="125" t="s">
        <v>504</v>
      </c>
      <c r="B200" s="126">
        <v>86906</v>
      </c>
      <c r="C200" s="126" t="s">
        <v>1324</v>
      </c>
      <c r="D200" s="127" t="s">
        <v>1649</v>
      </c>
      <c r="E200" s="128" t="s">
        <v>102</v>
      </c>
      <c r="F200" s="137">
        <v>35.53</v>
      </c>
      <c r="G200" s="130">
        <v>39.97</v>
      </c>
      <c r="H200" s="128">
        <v>8</v>
      </c>
      <c r="I200" s="116">
        <f t="shared" si="40"/>
        <v>0</v>
      </c>
      <c r="J200" s="374">
        <f t="shared" si="41"/>
        <v>0</v>
      </c>
      <c r="K200" s="137">
        <f t="shared" si="46"/>
        <v>8</v>
      </c>
      <c r="L200" s="131">
        <f t="shared" si="47"/>
        <v>319.76</v>
      </c>
      <c r="M200" s="131">
        <f t="shared" si="47"/>
        <v>0</v>
      </c>
      <c r="N200" s="131">
        <f t="shared" si="47"/>
        <v>0</v>
      </c>
      <c r="O200" s="131">
        <f t="shared" si="47"/>
        <v>319.76</v>
      </c>
      <c r="P200" s="136">
        <f t="shared" si="38"/>
        <v>0</v>
      </c>
      <c r="Q200" s="525"/>
      <c r="S200" s="189">
        <v>0</v>
      </c>
      <c r="T200" s="189">
        <v>0</v>
      </c>
      <c r="BT200" s="525"/>
      <c r="BU200" s="523">
        <v>0</v>
      </c>
      <c r="BV200" s="523"/>
      <c r="BW200" s="523"/>
      <c r="BX200" s="523"/>
      <c r="BY200" s="523"/>
      <c r="BZ200" s="523"/>
      <c r="CA200" s="523"/>
      <c r="CB200" s="523"/>
      <c r="CC200" s="523"/>
      <c r="CD200" s="523"/>
      <c r="CE200" s="523"/>
      <c r="CF200" s="523"/>
      <c r="CG200" s="523"/>
      <c r="CH200" s="523"/>
      <c r="CI200" s="523">
        <f t="shared" si="39"/>
        <v>0</v>
      </c>
    </row>
    <row r="201" spans="1:87" x14ac:dyDescent="0.2">
      <c r="A201" s="125" t="s">
        <v>506</v>
      </c>
      <c r="B201" s="126">
        <v>86914</v>
      </c>
      <c r="C201" s="126" t="s">
        <v>1324</v>
      </c>
      <c r="D201" s="127" t="s">
        <v>1650</v>
      </c>
      <c r="E201" s="128" t="s">
        <v>102</v>
      </c>
      <c r="F201" s="137">
        <v>47.11</v>
      </c>
      <c r="G201" s="130">
        <v>31.02</v>
      </c>
      <c r="H201" s="128">
        <v>2</v>
      </c>
      <c r="I201" s="116">
        <f t="shared" si="40"/>
        <v>0</v>
      </c>
      <c r="J201" s="374">
        <f t="shared" si="41"/>
        <v>0</v>
      </c>
      <c r="K201" s="137">
        <f t="shared" si="46"/>
        <v>2</v>
      </c>
      <c r="L201" s="131">
        <f t="shared" si="47"/>
        <v>62.04</v>
      </c>
      <c r="M201" s="131">
        <f t="shared" si="47"/>
        <v>0</v>
      </c>
      <c r="N201" s="131">
        <f t="shared" si="47"/>
        <v>0</v>
      </c>
      <c r="O201" s="131">
        <f t="shared" si="47"/>
        <v>62.04</v>
      </c>
      <c r="P201" s="136">
        <f t="shared" si="38"/>
        <v>0</v>
      </c>
      <c r="Q201" s="525"/>
      <c r="S201" s="189">
        <v>0</v>
      </c>
      <c r="T201" s="189">
        <v>0</v>
      </c>
      <c r="BT201" s="525"/>
      <c r="BU201" s="523">
        <v>0</v>
      </c>
      <c r="BV201" s="523"/>
      <c r="BW201" s="523"/>
      <c r="BX201" s="523"/>
      <c r="BY201" s="523"/>
      <c r="BZ201" s="523"/>
      <c r="CA201" s="523"/>
      <c r="CB201" s="523"/>
      <c r="CC201" s="523"/>
      <c r="CD201" s="523"/>
      <c r="CE201" s="523"/>
      <c r="CF201" s="523"/>
      <c r="CG201" s="523"/>
      <c r="CH201" s="523"/>
      <c r="CI201" s="523">
        <f t="shared" si="39"/>
        <v>0</v>
      </c>
    </row>
    <row r="202" spans="1:87" ht="25.5" x14ac:dyDescent="0.2">
      <c r="A202" s="125" t="s">
        <v>508</v>
      </c>
      <c r="B202" s="126">
        <v>9535</v>
      </c>
      <c r="C202" s="126" t="s">
        <v>1324</v>
      </c>
      <c r="D202" s="127" t="s">
        <v>1651</v>
      </c>
      <c r="E202" s="128" t="s">
        <v>102</v>
      </c>
      <c r="F202" s="129"/>
      <c r="G202" s="130">
        <v>30.06</v>
      </c>
      <c r="H202" s="128">
        <v>6</v>
      </c>
      <c r="I202" s="116">
        <f t="shared" si="40"/>
        <v>0</v>
      </c>
      <c r="J202" s="374">
        <f t="shared" si="41"/>
        <v>0</v>
      </c>
      <c r="K202" s="137">
        <f t="shared" si="46"/>
        <v>6</v>
      </c>
      <c r="L202" s="131">
        <f t="shared" si="47"/>
        <v>180.36</v>
      </c>
      <c r="M202" s="131">
        <f t="shared" si="47"/>
        <v>0</v>
      </c>
      <c r="N202" s="131">
        <f t="shared" si="47"/>
        <v>0</v>
      </c>
      <c r="O202" s="131">
        <f t="shared" si="47"/>
        <v>180.36</v>
      </c>
      <c r="P202" s="136">
        <f t="shared" si="38"/>
        <v>0</v>
      </c>
      <c r="Q202" s="525"/>
      <c r="S202" s="189">
        <v>0</v>
      </c>
      <c r="T202" s="189">
        <v>0</v>
      </c>
      <c r="BT202" s="525"/>
      <c r="BU202" s="523">
        <v>0</v>
      </c>
      <c r="BV202" s="523"/>
      <c r="BW202" s="523"/>
      <c r="BX202" s="523"/>
      <c r="BY202" s="523"/>
      <c r="BZ202" s="523"/>
      <c r="CA202" s="523"/>
      <c r="CB202" s="523"/>
      <c r="CC202" s="523"/>
      <c r="CD202" s="523"/>
      <c r="CE202" s="523"/>
      <c r="CF202" s="523"/>
      <c r="CG202" s="523"/>
      <c r="CH202" s="523"/>
      <c r="CI202" s="523">
        <f t="shared" si="39"/>
        <v>0</v>
      </c>
    </row>
    <row r="203" spans="1:87" ht="25.5" x14ac:dyDescent="0.2">
      <c r="A203" s="125" t="s">
        <v>511</v>
      </c>
      <c r="B203" s="126" t="s">
        <v>2007</v>
      </c>
      <c r="C203" s="126" t="s">
        <v>1339</v>
      </c>
      <c r="D203" s="127" t="s">
        <v>1652</v>
      </c>
      <c r="E203" s="128" t="s">
        <v>102</v>
      </c>
      <c r="F203" s="137">
        <v>5.09</v>
      </c>
      <c r="G203" s="130">
        <v>141.72</v>
      </c>
      <c r="H203" s="128">
        <v>6</v>
      </c>
      <c r="I203" s="116">
        <f t="shared" si="40"/>
        <v>0</v>
      </c>
      <c r="J203" s="374">
        <f t="shared" si="41"/>
        <v>0</v>
      </c>
      <c r="K203" s="137">
        <f t="shared" si="46"/>
        <v>6</v>
      </c>
      <c r="L203" s="131">
        <f t="shared" si="47"/>
        <v>850.32</v>
      </c>
      <c r="M203" s="131">
        <f t="shared" si="47"/>
        <v>0</v>
      </c>
      <c r="N203" s="131">
        <f t="shared" si="47"/>
        <v>0</v>
      </c>
      <c r="O203" s="131">
        <f t="shared" si="47"/>
        <v>850.32</v>
      </c>
      <c r="P203" s="136">
        <f t="shared" si="38"/>
        <v>0</v>
      </c>
      <c r="Q203" s="525"/>
      <c r="S203" s="189">
        <v>0</v>
      </c>
      <c r="T203" s="189">
        <v>0</v>
      </c>
      <c r="BT203" s="525"/>
      <c r="BU203" s="523">
        <v>0</v>
      </c>
      <c r="BV203" s="523"/>
      <c r="BW203" s="523"/>
      <c r="BX203" s="523"/>
      <c r="BY203" s="523"/>
      <c r="BZ203" s="523"/>
      <c r="CA203" s="523"/>
      <c r="CB203" s="523"/>
      <c r="CC203" s="523"/>
      <c r="CD203" s="523"/>
      <c r="CE203" s="523"/>
      <c r="CF203" s="523"/>
      <c r="CG203" s="523"/>
      <c r="CH203" s="523"/>
      <c r="CI203" s="523">
        <f t="shared" si="39"/>
        <v>0</v>
      </c>
    </row>
    <row r="204" spans="1:87" x14ac:dyDescent="0.2">
      <c r="A204" s="125" t="s">
        <v>513</v>
      </c>
      <c r="B204" s="126" t="s">
        <v>2007</v>
      </c>
      <c r="C204" s="126" t="s">
        <v>1339</v>
      </c>
      <c r="D204" s="127" t="s">
        <v>1653</v>
      </c>
      <c r="E204" s="128" t="s">
        <v>102</v>
      </c>
      <c r="F204" s="137">
        <v>6.77</v>
      </c>
      <c r="G204" s="130">
        <v>39.700000000000003</v>
      </c>
      <c r="H204" s="128">
        <v>4</v>
      </c>
      <c r="I204" s="116">
        <f t="shared" si="40"/>
        <v>0</v>
      </c>
      <c r="J204" s="374">
        <f t="shared" si="41"/>
        <v>0</v>
      </c>
      <c r="K204" s="137">
        <f t="shared" si="46"/>
        <v>4</v>
      </c>
      <c r="L204" s="131">
        <f t="shared" si="47"/>
        <v>158.80000000000001</v>
      </c>
      <c r="M204" s="131">
        <f t="shared" si="47"/>
        <v>0</v>
      </c>
      <c r="N204" s="131">
        <f t="shared" si="47"/>
        <v>0</v>
      </c>
      <c r="O204" s="131">
        <f t="shared" si="47"/>
        <v>158.80000000000001</v>
      </c>
      <c r="P204" s="136">
        <f t="shared" si="38"/>
        <v>0</v>
      </c>
      <c r="Q204" s="525"/>
      <c r="S204" s="189">
        <v>0</v>
      </c>
      <c r="T204" s="189">
        <v>0</v>
      </c>
      <c r="BT204" s="525"/>
      <c r="BU204" s="523">
        <v>0</v>
      </c>
      <c r="BV204" s="523"/>
      <c r="BW204" s="523"/>
      <c r="BX204" s="523"/>
      <c r="BY204" s="523"/>
      <c r="BZ204" s="523"/>
      <c r="CA204" s="523"/>
      <c r="CB204" s="523"/>
      <c r="CC204" s="523"/>
      <c r="CD204" s="523"/>
      <c r="CE204" s="523"/>
      <c r="CF204" s="523"/>
      <c r="CG204" s="523"/>
      <c r="CH204" s="523"/>
      <c r="CI204" s="523">
        <f t="shared" si="39"/>
        <v>0</v>
      </c>
    </row>
    <row r="205" spans="1:87" x14ac:dyDescent="0.2">
      <c r="A205" s="125" t="s">
        <v>515</v>
      </c>
      <c r="B205" s="126" t="s">
        <v>2007</v>
      </c>
      <c r="C205" s="126" t="s">
        <v>1339</v>
      </c>
      <c r="D205" s="127" t="s">
        <v>1654</v>
      </c>
      <c r="E205" s="128" t="s">
        <v>102</v>
      </c>
      <c r="F205" s="137">
        <v>10.76</v>
      </c>
      <c r="G205" s="130">
        <v>30.45</v>
      </c>
      <c r="H205" s="128">
        <v>4</v>
      </c>
      <c r="I205" s="116">
        <f t="shared" si="40"/>
        <v>0</v>
      </c>
      <c r="J205" s="374">
        <f t="shared" si="41"/>
        <v>0</v>
      </c>
      <c r="K205" s="137">
        <f t="shared" si="46"/>
        <v>4</v>
      </c>
      <c r="L205" s="131">
        <f t="shared" si="47"/>
        <v>121.8</v>
      </c>
      <c r="M205" s="131">
        <f t="shared" si="47"/>
        <v>0</v>
      </c>
      <c r="N205" s="131">
        <f t="shared" si="47"/>
        <v>0</v>
      </c>
      <c r="O205" s="131">
        <f t="shared" si="47"/>
        <v>121.8</v>
      </c>
      <c r="P205" s="136">
        <f t="shared" ref="P205:P268" si="48">N205/L205</f>
        <v>0</v>
      </c>
      <c r="Q205" s="525"/>
      <c r="S205" s="189">
        <v>0</v>
      </c>
      <c r="T205" s="189">
        <v>0</v>
      </c>
      <c r="BT205" s="525"/>
      <c r="BU205" s="523">
        <v>0</v>
      </c>
      <c r="BV205" s="523"/>
      <c r="BW205" s="523"/>
      <c r="BX205" s="523"/>
      <c r="BY205" s="523"/>
      <c r="BZ205" s="523"/>
      <c r="CA205" s="523"/>
      <c r="CB205" s="523"/>
      <c r="CC205" s="523"/>
      <c r="CD205" s="523"/>
      <c r="CE205" s="523"/>
      <c r="CF205" s="523"/>
      <c r="CG205" s="523"/>
      <c r="CH205" s="523"/>
      <c r="CI205" s="523">
        <f t="shared" si="39"/>
        <v>0</v>
      </c>
    </row>
    <row r="206" spans="1:87" ht="25.5" x14ac:dyDescent="0.2">
      <c r="A206" s="125" t="s">
        <v>517</v>
      </c>
      <c r="B206" s="126" t="s">
        <v>2007</v>
      </c>
      <c r="C206" s="126" t="s">
        <v>1339</v>
      </c>
      <c r="D206" s="127" t="s">
        <v>1655</v>
      </c>
      <c r="E206" s="128" t="s">
        <v>102</v>
      </c>
      <c r="F206" s="137">
        <v>42.01</v>
      </c>
      <c r="G206" s="130">
        <v>32.1</v>
      </c>
      <c r="H206" s="128">
        <v>6</v>
      </c>
      <c r="I206" s="116">
        <f t="shared" si="40"/>
        <v>0</v>
      </c>
      <c r="J206" s="374">
        <f t="shared" si="41"/>
        <v>0</v>
      </c>
      <c r="K206" s="137">
        <f t="shared" si="46"/>
        <v>6</v>
      </c>
      <c r="L206" s="131">
        <f t="shared" si="47"/>
        <v>192.6</v>
      </c>
      <c r="M206" s="131">
        <f t="shared" si="47"/>
        <v>0</v>
      </c>
      <c r="N206" s="131">
        <f t="shared" si="47"/>
        <v>0</v>
      </c>
      <c r="O206" s="131">
        <f t="shared" si="47"/>
        <v>192.6</v>
      </c>
      <c r="P206" s="136">
        <f t="shared" si="48"/>
        <v>0</v>
      </c>
      <c r="Q206" s="525"/>
      <c r="S206" s="189">
        <v>0</v>
      </c>
      <c r="T206" s="189">
        <v>0</v>
      </c>
      <c r="BT206" s="525"/>
      <c r="BU206" s="523">
        <v>0</v>
      </c>
      <c r="BV206" s="523"/>
      <c r="BW206" s="523"/>
      <c r="BX206" s="523"/>
      <c r="BY206" s="523"/>
      <c r="BZ206" s="523"/>
      <c r="CA206" s="523"/>
      <c r="CB206" s="523"/>
      <c r="CC206" s="523"/>
      <c r="CD206" s="523"/>
      <c r="CE206" s="523"/>
      <c r="CF206" s="523"/>
      <c r="CG206" s="523"/>
      <c r="CH206" s="523"/>
      <c r="CI206" s="523">
        <f t="shared" si="39"/>
        <v>0</v>
      </c>
    </row>
    <row r="207" spans="1:87" s="514" customFormat="1" x14ac:dyDescent="0.2">
      <c r="A207" s="125" t="s">
        <v>519</v>
      </c>
      <c r="B207" s="126" t="s">
        <v>2007</v>
      </c>
      <c r="C207" s="126" t="s">
        <v>1339</v>
      </c>
      <c r="D207" s="127" t="s">
        <v>1656</v>
      </c>
      <c r="E207" s="128" t="s">
        <v>102</v>
      </c>
      <c r="F207" s="137">
        <v>19.79</v>
      </c>
      <c r="G207" s="130">
        <v>579.82000000000005</v>
      </c>
      <c r="H207" s="128">
        <v>2</v>
      </c>
      <c r="I207" s="116">
        <f t="shared" si="40"/>
        <v>0</v>
      </c>
      <c r="J207" s="374">
        <f t="shared" si="41"/>
        <v>0</v>
      </c>
      <c r="K207" s="137">
        <f t="shared" si="46"/>
        <v>2</v>
      </c>
      <c r="L207" s="131">
        <f t="shared" si="47"/>
        <v>1159.6400000000001</v>
      </c>
      <c r="M207" s="131">
        <f t="shared" si="47"/>
        <v>0</v>
      </c>
      <c r="N207" s="131">
        <f t="shared" si="47"/>
        <v>0</v>
      </c>
      <c r="O207" s="131">
        <f t="shared" si="47"/>
        <v>1159.6400000000001</v>
      </c>
      <c r="P207" s="136">
        <f t="shared" si="48"/>
        <v>0</v>
      </c>
      <c r="Q207" s="525"/>
      <c r="S207" s="190">
        <v>0</v>
      </c>
      <c r="T207" s="190">
        <v>0</v>
      </c>
      <c r="BT207" s="525"/>
      <c r="BU207" s="523">
        <v>0</v>
      </c>
      <c r="BV207" s="523"/>
      <c r="BW207" s="523"/>
      <c r="BX207" s="523"/>
      <c r="BY207" s="523"/>
      <c r="BZ207" s="523"/>
      <c r="CA207" s="523"/>
      <c r="CB207" s="523"/>
      <c r="CC207" s="523"/>
      <c r="CD207" s="523"/>
      <c r="CE207" s="523"/>
      <c r="CF207" s="523"/>
      <c r="CG207" s="523"/>
      <c r="CH207" s="523"/>
      <c r="CI207" s="523">
        <f t="shared" ref="CI207:CI270" si="49">SUM(BU207:CH207)</f>
        <v>0</v>
      </c>
    </row>
    <row r="208" spans="1:87" x14ac:dyDescent="0.2">
      <c r="A208" s="412">
        <v>16</v>
      </c>
      <c r="B208" s="413"/>
      <c r="C208" s="413"/>
      <c r="D208" s="414" t="s">
        <v>1657</v>
      </c>
      <c r="E208" s="415"/>
      <c r="F208" s="415"/>
      <c r="G208" s="415"/>
      <c r="H208" s="415"/>
      <c r="I208" s="415"/>
      <c r="J208" s="415"/>
      <c r="K208" s="415"/>
      <c r="L208" s="416">
        <f>SUM(L209:L213)</f>
        <v>792.22</v>
      </c>
      <c r="M208" s="416">
        <f>SUM(M209:M213)</f>
        <v>0</v>
      </c>
      <c r="N208" s="416">
        <f>SUM(N209:N213)</f>
        <v>0</v>
      </c>
      <c r="O208" s="416">
        <f>SUM(O209:O213)</f>
        <v>792.22</v>
      </c>
      <c r="P208" s="423">
        <f t="shared" si="48"/>
        <v>0</v>
      </c>
      <c r="Q208" s="525"/>
      <c r="S208" s="189">
        <v>0</v>
      </c>
      <c r="T208" s="189">
        <v>0</v>
      </c>
      <c r="BT208" s="525"/>
      <c r="BU208" s="523"/>
      <c r="BV208" s="523"/>
      <c r="BW208" s="523"/>
      <c r="BX208" s="523"/>
      <c r="BY208" s="523"/>
      <c r="BZ208" s="523"/>
      <c r="CA208" s="523"/>
      <c r="CB208" s="523"/>
      <c r="CC208" s="523"/>
      <c r="CD208" s="523"/>
      <c r="CE208" s="523"/>
      <c r="CF208" s="523"/>
      <c r="CG208" s="523"/>
      <c r="CH208" s="523"/>
      <c r="CI208" s="523">
        <f t="shared" si="49"/>
        <v>0</v>
      </c>
    </row>
    <row r="209" spans="1:87" x14ac:dyDescent="0.2">
      <c r="A209" s="125" t="s">
        <v>616</v>
      </c>
      <c r="B209" s="126" t="s">
        <v>2007</v>
      </c>
      <c r="C209" s="126" t="s">
        <v>1339</v>
      </c>
      <c r="D209" s="127" t="s">
        <v>1658</v>
      </c>
      <c r="E209" s="128" t="s">
        <v>102</v>
      </c>
      <c r="F209" s="137">
        <v>40.08</v>
      </c>
      <c r="G209" s="130">
        <v>109.5</v>
      </c>
      <c r="H209" s="128">
        <v>2</v>
      </c>
      <c r="I209" s="116">
        <f t="shared" ref="I209:I272" si="50">BU209</f>
        <v>0</v>
      </c>
      <c r="J209" s="374">
        <f t="shared" ref="J209:J272" si="51">CI209</f>
        <v>0</v>
      </c>
      <c r="K209" s="137">
        <f t="shared" si="46"/>
        <v>2</v>
      </c>
      <c r="L209" s="131">
        <f t="shared" ref="L209:O213" si="52">ROUND(H209*$G209,2)</f>
        <v>219</v>
      </c>
      <c r="M209" s="131">
        <f t="shared" si="52"/>
        <v>0</v>
      </c>
      <c r="N209" s="131">
        <f t="shared" si="52"/>
        <v>0</v>
      </c>
      <c r="O209" s="131">
        <f t="shared" si="52"/>
        <v>219</v>
      </c>
      <c r="P209" s="136">
        <f t="shared" si="48"/>
        <v>0</v>
      </c>
      <c r="Q209" s="525"/>
      <c r="S209" s="189">
        <v>0</v>
      </c>
      <c r="T209" s="189">
        <v>0</v>
      </c>
      <c r="BT209" s="525"/>
      <c r="BU209" s="523">
        <v>0</v>
      </c>
      <c r="BV209" s="523"/>
      <c r="BW209" s="523"/>
      <c r="BX209" s="523"/>
      <c r="BY209" s="523"/>
      <c r="BZ209" s="523"/>
      <c r="CA209" s="523"/>
      <c r="CB209" s="523"/>
      <c r="CC209" s="523"/>
      <c r="CD209" s="523"/>
      <c r="CE209" s="523"/>
      <c r="CF209" s="523"/>
      <c r="CG209" s="523"/>
      <c r="CH209" s="523"/>
      <c r="CI209" s="523">
        <f t="shared" si="49"/>
        <v>0</v>
      </c>
    </row>
    <row r="210" spans="1:87" x14ac:dyDescent="0.2">
      <c r="A210" s="125" t="s">
        <v>618</v>
      </c>
      <c r="B210" s="126" t="s">
        <v>2007</v>
      </c>
      <c r="C210" s="126" t="s">
        <v>1339</v>
      </c>
      <c r="D210" s="127" t="s">
        <v>1659</v>
      </c>
      <c r="E210" s="128" t="s">
        <v>102</v>
      </c>
      <c r="F210" s="137">
        <v>199.75</v>
      </c>
      <c r="G210" s="130">
        <v>227.16</v>
      </c>
      <c r="H210" s="128">
        <v>2</v>
      </c>
      <c r="I210" s="116">
        <f t="shared" si="50"/>
        <v>0</v>
      </c>
      <c r="J210" s="374">
        <f t="shared" si="51"/>
        <v>0</v>
      </c>
      <c r="K210" s="137">
        <f t="shared" si="46"/>
        <v>2</v>
      </c>
      <c r="L210" s="131">
        <f t="shared" si="52"/>
        <v>454.32</v>
      </c>
      <c r="M210" s="131">
        <f t="shared" si="52"/>
        <v>0</v>
      </c>
      <c r="N210" s="131">
        <f t="shared" si="52"/>
        <v>0</v>
      </c>
      <c r="O210" s="131">
        <f t="shared" si="52"/>
        <v>454.32</v>
      </c>
      <c r="P210" s="136">
        <f t="shared" si="48"/>
        <v>0</v>
      </c>
      <c r="Q210" s="525"/>
      <c r="S210" s="189">
        <v>0</v>
      </c>
      <c r="T210" s="189">
        <v>0</v>
      </c>
      <c r="BT210" s="525"/>
      <c r="BU210" s="523">
        <v>0</v>
      </c>
      <c r="BV210" s="523"/>
      <c r="BW210" s="523"/>
      <c r="BX210" s="523"/>
      <c r="BY210" s="523"/>
      <c r="BZ210" s="523"/>
      <c r="CA210" s="523"/>
      <c r="CB210" s="523"/>
      <c r="CC210" s="523"/>
      <c r="CD210" s="523"/>
      <c r="CE210" s="523"/>
      <c r="CF210" s="523"/>
      <c r="CG210" s="523"/>
      <c r="CH210" s="523"/>
      <c r="CI210" s="523">
        <f t="shared" si="49"/>
        <v>0</v>
      </c>
    </row>
    <row r="211" spans="1:87" x14ac:dyDescent="0.2">
      <c r="A211" s="125" t="s">
        <v>620</v>
      </c>
      <c r="B211" s="126" t="s">
        <v>2007</v>
      </c>
      <c r="C211" s="126" t="s">
        <v>1339</v>
      </c>
      <c r="D211" s="127" t="s">
        <v>1660</v>
      </c>
      <c r="E211" s="128" t="s">
        <v>102</v>
      </c>
      <c r="F211" s="129"/>
      <c r="G211" s="130">
        <v>27.98</v>
      </c>
      <c r="H211" s="128">
        <v>2</v>
      </c>
      <c r="I211" s="116">
        <f t="shared" si="50"/>
        <v>0</v>
      </c>
      <c r="J211" s="374">
        <f t="shared" si="51"/>
        <v>0</v>
      </c>
      <c r="K211" s="137">
        <f t="shared" si="46"/>
        <v>2</v>
      </c>
      <c r="L211" s="131">
        <f t="shared" si="52"/>
        <v>55.96</v>
      </c>
      <c r="M211" s="131">
        <f t="shared" si="52"/>
        <v>0</v>
      </c>
      <c r="N211" s="131">
        <f t="shared" si="52"/>
        <v>0</v>
      </c>
      <c r="O211" s="131">
        <f t="shared" si="52"/>
        <v>55.96</v>
      </c>
      <c r="P211" s="136">
        <f t="shared" si="48"/>
        <v>0</v>
      </c>
      <c r="Q211" s="525"/>
      <c r="S211" s="189">
        <v>0</v>
      </c>
      <c r="T211" s="189">
        <v>0</v>
      </c>
      <c r="BT211" s="525"/>
      <c r="BU211" s="523">
        <v>0</v>
      </c>
      <c r="BV211" s="523"/>
      <c r="BW211" s="523"/>
      <c r="BX211" s="523"/>
      <c r="BY211" s="523"/>
      <c r="BZ211" s="523"/>
      <c r="CA211" s="523"/>
      <c r="CB211" s="523"/>
      <c r="CC211" s="523"/>
      <c r="CD211" s="523"/>
      <c r="CE211" s="523"/>
      <c r="CF211" s="523"/>
      <c r="CG211" s="523"/>
      <c r="CH211" s="523"/>
      <c r="CI211" s="523">
        <f t="shared" si="49"/>
        <v>0</v>
      </c>
    </row>
    <row r="212" spans="1:87" x14ac:dyDescent="0.2">
      <c r="A212" s="125" t="s">
        <v>1661</v>
      </c>
      <c r="B212" s="126" t="s">
        <v>2007</v>
      </c>
      <c r="C212" s="126" t="s">
        <v>1339</v>
      </c>
      <c r="D212" s="127" t="s">
        <v>1662</v>
      </c>
      <c r="E212" s="128" t="s">
        <v>102</v>
      </c>
      <c r="F212" s="137">
        <v>3.37</v>
      </c>
      <c r="G212" s="130">
        <v>16.36</v>
      </c>
      <c r="H212" s="128">
        <v>2</v>
      </c>
      <c r="I212" s="116">
        <f t="shared" si="50"/>
        <v>0</v>
      </c>
      <c r="J212" s="374">
        <f t="shared" si="51"/>
        <v>0</v>
      </c>
      <c r="K212" s="137">
        <f t="shared" si="46"/>
        <v>2</v>
      </c>
      <c r="L212" s="131">
        <f t="shared" si="52"/>
        <v>32.72</v>
      </c>
      <c r="M212" s="131">
        <f t="shared" si="52"/>
        <v>0</v>
      </c>
      <c r="N212" s="131">
        <f t="shared" si="52"/>
        <v>0</v>
      </c>
      <c r="O212" s="131">
        <f t="shared" si="52"/>
        <v>32.72</v>
      </c>
      <c r="P212" s="136">
        <f t="shared" si="48"/>
        <v>0</v>
      </c>
      <c r="Q212" s="525"/>
      <c r="S212" s="189">
        <v>0</v>
      </c>
      <c r="T212" s="189">
        <v>0</v>
      </c>
      <c r="BT212" s="525"/>
      <c r="BU212" s="523">
        <v>0</v>
      </c>
      <c r="BV212" s="523"/>
      <c r="BW212" s="523"/>
      <c r="BX212" s="523"/>
      <c r="BY212" s="523"/>
      <c r="BZ212" s="523"/>
      <c r="CA212" s="523"/>
      <c r="CB212" s="523"/>
      <c r="CC212" s="523"/>
      <c r="CD212" s="523"/>
      <c r="CE212" s="523"/>
      <c r="CF212" s="523"/>
      <c r="CG212" s="523"/>
      <c r="CH212" s="523"/>
      <c r="CI212" s="523">
        <f t="shared" si="49"/>
        <v>0</v>
      </c>
    </row>
    <row r="213" spans="1:87" s="194" customFormat="1" x14ac:dyDescent="0.2">
      <c r="A213" s="125" t="s">
        <v>1663</v>
      </c>
      <c r="B213" s="126" t="s">
        <v>2007</v>
      </c>
      <c r="C213" s="126" t="s">
        <v>1339</v>
      </c>
      <c r="D213" s="127" t="s">
        <v>1664</v>
      </c>
      <c r="E213" s="128" t="s">
        <v>102</v>
      </c>
      <c r="F213" s="137">
        <v>10.220000000000001</v>
      </c>
      <c r="G213" s="130">
        <v>15.11</v>
      </c>
      <c r="H213" s="128">
        <v>2</v>
      </c>
      <c r="I213" s="116">
        <f t="shared" si="50"/>
        <v>0</v>
      </c>
      <c r="J213" s="374">
        <f t="shared" si="51"/>
        <v>0</v>
      </c>
      <c r="K213" s="137">
        <f t="shared" si="46"/>
        <v>2</v>
      </c>
      <c r="L213" s="131">
        <f t="shared" si="52"/>
        <v>30.22</v>
      </c>
      <c r="M213" s="131">
        <f t="shared" si="52"/>
        <v>0</v>
      </c>
      <c r="N213" s="131">
        <f t="shared" si="52"/>
        <v>0</v>
      </c>
      <c r="O213" s="131">
        <f t="shared" si="52"/>
        <v>30.22</v>
      </c>
      <c r="P213" s="136">
        <f t="shared" si="48"/>
        <v>0</v>
      </c>
      <c r="Q213" s="525"/>
      <c r="S213" s="195">
        <v>0</v>
      </c>
      <c r="T213" s="195">
        <v>0</v>
      </c>
      <c r="BT213" s="525"/>
      <c r="BU213" s="523">
        <v>0</v>
      </c>
      <c r="BV213" s="523"/>
      <c r="BW213" s="523"/>
      <c r="BX213" s="523"/>
      <c r="BY213" s="523"/>
      <c r="BZ213" s="523"/>
      <c r="CA213" s="523"/>
      <c r="CB213" s="523"/>
      <c r="CC213" s="523"/>
      <c r="CD213" s="523"/>
      <c r="CE213" s="523"/>
      <c r="CF213" s="523"/>
      <c r="CG213" s="523"/>
      <c r="CH213" s="523"/>
      <c r="CI213" s="523">
        <f t="shared" si="49"/>
        <v>0</v>
      </c>
    </row>
    <row r="214" spans="1:87" s="514" customFormat="1" x14ac:dyDescent="0.2">
      <c r="A214" s="425">
        <v>17</v>
      </c>
      <c r="B214" s="414"/>
      <c r="C214" s="414"/>
      <c r="D214" s="414" t="s">
        <v>1665</v>
      </c>
      <c r="E214" s="415"/>
      <c r="F214" s="415"/>
      <c r="G214" s="415"/>
      <c r="H214" s="415"/>
      <c r="I214" s="415"/>
      <c r="J214" s="415"/>
      <c r="K214" s="415"/>
      <c r="L214" s="435">
        <f>SUM(L215,L225,L247,L252)</f>
        <v>20098.660000000003</v>
      </c>
      <c r="M214" s="435">
        <f>SUM(M215,M225,M247,M252)</f>
        <v>0</v>
      </c>
      <c r="N214" s="435">
        <f>SUM(N215,N225,N247,N252)</f>
        <v>0</v>
      </c>
      <c r="O214" s="435">
        <f>SUM(O215,O225,O247,O252)</f>
        <v>20098.660000000003</v>
      </c>
      <c r="P214" s="437">
        <f t="shared" si="48"/>
        <v>0</v>
      </c>
      <c r="Q214" s="525"/>
      <c r="S214" s="190">
        <v>0</v>
      </c>
      <c r="T214" s="190">
        <v>0</v>
      </c>
      <c r="BT214" s="525"/>
      <c r="BU214" s="523"/>
      <c r="BV214" s="523"/>
      <c r="BW214" s="523"/>
      <c r="BX214" s="523"/>
      <c r="BY214" s="523"/>
      <c r="BZ214" s="523"/>
      <c r="CA214" s="523"/>
      <c r="CB214" s="523"/>
      <c r="CC214" s="523"/>
      <c r="CD214" s="523"/>
      <c r="CE214" s="523"/>
      <c r="CF214" s="523"/>
      <c r="CG214" s="523"/>
      <c r="CH214" s="523"/>
      <c r="CI214" s="523">
        <f t="shared" si="49"/>
        <v>0</v>
      </c>
    </row>
    <row r="215" spans="1:87" x14ac:dyDescent="0.2">
      <c r="A215" s="449" t="s">
        <v>625</v>
      </c>
      <c r="B215" s="450"/>
      <c r="C215" s="450"/>
      <c r="D215" s="451" t="s">
        <v>1666</v>
      </c>
      <c r="E215" s="452"/>
      <c r="F215" s="452"/>
      <c r="G215" s="452"/>
      <c r="H215" s="452"/>
      <c r="I215" s="452"/>
      <c r="J215" s="452"/>
      <c r="K215" s="452"/>
      <c r="L215" s="452">
        <f>SUM(L216:L224)</f>
        <v>1711.6100000000001</v>
      </c>
      <c r="M215" s="452">
        <f>SUM(M216:M224)</f>
        <v>0</v>
      </c>
      <c r="N215" s="452">
        <f>SUM(N216:N224)</f>
        <v>0</v>
      </c>
      <c r="O215" s="452">
        <f>SUM(O216:O224)</f>
        <v>1711.6100000000001</v>
      </c>
      <c r="P215" s="459">
        <f t="shared" si="48"/>
        <v>0</v>
      </c>
      <c r="Q215" s="525"/>
      <c r="S215" s="189">
        <v>0</v>
      </c>
      <c r="T215" s="189">
        <v>0</v>
      </c>
      <c r="BT215" s="525"/>
      <c r="BU215" s="523"/>
      <c r="BV215" s="523"/>
      <c r="BW215" s="523"/>
      <c r="BX215" s="523"/>
      <c r="BY215" s="523"/>
      <c r="BZ215" s="523"/>
      <c r="CA215" s="523"/>
      <c r="CB215" s="523"/>
      <c r="CC215" s="523"/>
      <c r="CD215" s="523"/>
      <c r="CE215" s="523"/>
      <c r="CF215" s="523"/>
      <c r="CG215" s="523"/>
      <c r="CH215" s="523"/>
      <c r="CI215" s="523">
        <f t="shared" si="49"/>
        <v>0</v>
      </c>
    </row>
    <row r="216" spans="1:87" x14ac:dyDescent="0.2">
      <c r="A216" s="125" t="s">
        <v>1667</v>
      </c>
      <c r="B216" s="126">
        <v>83463</v>
      </c>
      <c r="C216" s="126" t="s">
        <v>1324</v>
      </c>
      <c r="D216" s="127" t="s">
        <v>1668</v>
      </c>
      <c r="E216" s="128" t="s">
        <v>102</v>
      </c>
      <c r="F216" s="137">
        <v>12.73</v>
      </c>
      <c r="G216" s="130">
        <v>211.62</v>
      </c>
      <c r="H216" s="128">
        <v>1</v>
      </c>
      <c r="I216" s="116">
        <f t="shared" si="50"/>
        <v>0</v>
      </c>
      <c r="J216" s="374">
        <f t="shared" si="51"/>
        <v>0</v>
      </c>
      <c r="K216" s="137">
        <f t="shared" si="46"/>
        <v>1</v>
      </c>
      <c r="L216" s="131">
        <f t="shared" ref="L216:O224" si="53">ROUND(H216*$G216,2)</f>
        <v>211.62</v>
      </c>
      <c r="M216" s="131">
        <f t="shared" si="53"/>
        <v>0</v>
      </c>
      <c r="N216" s="131">
        <f t="shared" si="53"/>
        <v>0</v>
      </c>
      <c r="O216" s="131">
        <f t="shared" si="53"/>
        <v>211.62</v>
      </c>
      <c r="P216" s="136">
        <f t="shared" si="48"/>
        <v>0</v>
      </c>
      <c r="Q216" s="525"/>
      <c r="S216" s="189">
        <v>0</v>
      </c>
      <c r="T216" s="189">
        <v>0</v>
      </c>
      <c r="BT216" s="525"/>
      <c r="BU216" s="523">
        <v>0</v>
      </c>
      <c r="BV216" s="523"/>
      <c r="BW216" s="523"/>
      <c r="BX216" s="523"/>
      <c r="BY216" s="523"/>
      <c r="BZ216" s="523"/>
      <c r="CA216" s="523"/>
      <c r="CB216" s="523"/>
      <c r="CC216" s="523"/>
      <c r="CD216" s="523"/>
      <c r="CE216" s="523"/>
      <c r="CF216" s="523"/>
      <c r="CG216" s="523"/>
      <c r="CH216" s="523"/>
      <c r="CI216" s="523">
        <f t="shared" si="49"/>
        <v>0</v>
      </c>
    </row>
    <row r="217" spans="1:87" x14ac:dyDescent="0.2">
      <c r="A217" s="125" t="s">
        <v>1669</v>
      </c>
      <c r="B217" s="126" t="s">
        <v>1670</v>
      </c>
      <c r="C217" s="126" t="s">
        <v>1324</v>
      </c>
      <c r="D217" s="127" t="s">
        <v>1671</v>
      </c>
      <c r="E217" s="128" t="s">
        <v>102</v>
      </c>
      <c r="F217" s="137">
        <v>8.5299999999999994</v>
      </c>
      <c r="G217" s="130">
        <v>332.47</v>
      </c>
      <c r="H217" s="128">
        <v>1</v>
      </c>
      <c r="I217" s="116">
        <f t="shared" si="50"/>
        <v>0</v>
      </c>
      <c r="J217" s="374">
        <f t="shared" si="51"/>
        <v>0</v>
      </c>
      <c r="K217" s="137">
        <f t="shared" si="46"/>
        <v>1</v>
      </c>
      <c r="L217" s="131">
        <f t="shared" si="53"/>
        <v>332.47</v>
      </c>
      <c r="M217" s="131">
        <f t="shared" si="53"/>
        <v>0</v>
      </c>
      <c r="N217" s="131">
        <f t="shared" si="53"/>
        <v>0</v>
      </c>
      <c r="O217" s="131">
        <f t="shared" si="53"/>
        <v>332.47</v>
      </c>
      <c r="P217" s="136">
        <f t="shared" si="48"/>
        <v>0</v>
      </c>
      <c r="Q217" s="525"/>
      <c r="S217" s="189">
        <v>0</v>
      </c>
      <c r="T217" s="189">
        <v>0</v>
      </c>
      <c r="BT217" s="525"/>
      <c r="BU217" s="523">
        <v>0</v>
      </c>
      <c r="BV217" s="523"/>
      <c r="BW217" s="523"/>
      <c r="BX217" s="523"/>
      <c r="BY217" s="523"/>
      <c r="BZ217" s="523"/>
      <c r="CA217" s="523"/>
      <c r="CB217" s="523"/>
      <c r="CC217" s="523"/>
      <c r="CD217" s="523"/>
      <c r="CE217" s="523"/>
      <c r="CF217" s="523"/>
      <c r="CG217" s="523"/>
      <c r="CH217" s="523"/>
      <c r="CI217" s="523">
        <f t="shared" si="49"/>
        <v>0</v>
      </c>
    </row>
    <row r="218" spans="1:87" x14ac:dyDescent="0.2">
      <c r="A218" s="125" t="s">
        <v>1672</v>
      </c>
      <c r="B218" s="126" t="s">
        <v>1673</v>
      </c>
      <c r="C218" s="126" t="s">
        <v>1343</v>
      </c>
      <c r="D218" s="127" t="s">
        <v>1674</v>
      </c>
      <c r="E218" s="128" t="s">
        <v>102</v>
      </c>
      <c r="F218" s="137">
        <v>22.59</v>
      </c>
      <c r="G218" s="130">
        <v>65.62</v>
      </c>
      <c r="H218" s="128">
        <v>1</v>
      </c>
      <c r="I218" s="116">
        <f t="shared" si="50"/>
        <v>0</v>
      </c>
      <c r="J218" s="374">
        <f t="shared" si="51"/>
        <v>0</v>
      </c>
      <c r="K218" s="137">
        <f t="shared" si="46"/>
        <v>1</v>
      </c>
      <c r="L218" s="131">
        <f t="shared" si="53"/>
        <v>65.62</v>
      </c>
      <c r="M218" s="131">
        <f t="shared" si="53"/>
        <v>0</v>
      </c>
      <c r="N218" s="131">
        <f t="shared" si="53"/>
        <v>0</v>
      </c>
      <c r="O218" s="131">
        <f t="shared" si="53"/>
        <v>65.62</v>
      </c>
      <c r="P218" s="136">
        <f t="shared" si="48"/>
        <v>0</v>
      </c>
      <c r="Q218" s="525"/>
      <c r="S218" s="189">
        <v>0</v>
      </c>
      <c r="T218" s="189">
        <v>0</v>
      </c>
      <c r="BT218" s="525"/>
      <c r="BU218" s="523">
        <v>0</v>
      </c>
      <c r="BV218" s="523"/>
      <c r="BW218" s="523"/>
      <c r="BX218" s="523"/>
      <c r="BY218" s="523"/>
      <c r="BZ218" s="523"/>
      <c r="CA218" s="523"/>
      <c r="CB218" s="523"/>
      <c r="CC218" s="523"/>
      <c r="CD218" s="523"/>
      <c r="CE218" s="523"/>
      <c r="CF218" s="523"/>
      <c r="CG218" s="523"/>
      <c r="CH218" s="523"/>
      <c r="CI218" s="523">
        <f t="shared" si="49"/>
        <v>0</v>
      </c>
    </row>
    <row r="219" spans="1:87" x14ac:dyDescent="0.2">
      <c r="A219" s="125" t="s">
        <v>1675</v>
      </c>
      <c r="B219" s="126" t="s">
        <v>1676</v>
      </c>
      <c r="C219" s="126" t="s">
        <v>1324</v>
      </c>
      <c r="D219" s="127" t="s">
        <v>1677</v>
      </c>
      <c r="E219" s="128" t="s">
        <v>102</v>
      </c>
      <c r="F219" s="129"/>
      <c r="G219" s="130">
        <v>11.27</v>
      </c>
      <c r="H219" s="128">
        <v>7</v>
      </c>
      <c r="I219" s="116">
        <f t="shared" si="50"/>
        <v>0</v>
      </c>
      <c r="J219" s="374">
        <f t="shared" si="51"/>
        <v>0</v>
      </c>
      <c r="K219" s="137">
        <f t="shared" si="46"/>
        <v>7</v>
      </c>
      <c r="L219" s="131">
        <f t="shared" si="53"/>
        <v>78.89</v>
      </c>
      <c r="M219" s="131">
        <f t="shared" si="53"/>
        <v>0</v>
      </c>
      <c r="N219" s="131">
        <f t="shared" si="53"/>
        <v>0</v>
      </c>
      <c r="O219" s="131">
        <f t="shared" si="53"/>
        <v>78.89</v>
      </c>
      <c r="P219" s="136">
        <f t="shared" si="48"/>
        <v>0</v>
      </c>
      <c r="Q219" s="525"/>
      <c r="S219" s="189">
        <v>0</v>
      </c>
      <c r="T219" s="189">
        <v>0</v>
      </c>
      <c r="BT219" s="525"/>
      <c r="BU219" s="523">
        <v>0</v>
      </c>
      <c r="BV219" s="523"/>
      <c r="BW219" s="523"/>
      <c r="BX219" s="523"/>
      <c r="BY219" s="523"/>
      <c r="BZ219" s="523"/>
      <c r="CA219" s="523"/>
      <c r="CB219" s="523"/>
      <c r="CC219" s="523"/>
      <c r="CD219" s="523"/>
      <c r="CE219" s="523"/>
      <c r="CF219" s="523"/>
      <c r="CG219" s="523"/>
      <c r="CH219" s="523"/>
      <c r="CI219" s="523">
        <f t="shared" si="49"/>
        <v>0</v>
      </c>
    </row>
    <row r="220" spans="1:87" x14ac:dyDescent="0.2">
      <c r="A220" s="125" t="s">
        <v>1678</v>
      </c>
      <c r="B220" s="126" t="s">
        <v>1676</v>
      </c>
      <c r="C220" s="126" t="s">
        <v>1324</v>
      </c>
      <c r="D220" s="127" t="s">
        <v>1679</v>
      </c>
      <c r="E220" s="128" t="s">
        <v>102</v>
      </c>
      <c r="F220" s="137">
        <v>4.09</v>
      </c>
      <c r="G220" s="130">
        <v>11.27</v>
      </c>
      <c r="H220" s="128">
        <v>5</v>
      </c>
      <c r="I220" s="116">
        <f t="shared" si="50"/>
        <v>0</v>
      </c>
      <c r="J220" s="374">
        <f t="shared" si="51"/>
        <v>0</v>
      </c>
      <c r="K220" s="137">
        <f t="shared" si="46"/>
        <v>5</v>
      </c>
      <c r="L220" s="131">
        <f t="shared" si="53"/>
        <v>56.35</v>
      </c>
      <c r="M220" s="131">
        <f t="shared" si="53"/>
        <v>0</v>
      </c>
      <c r="N220" s="131">
        <f t="shared" si="53"/>
        <v>0</v>
      </c>
      <c r="O220" s="131">
        <f t="shared" si="53"/>
        <v>56.35</v>
      </c>
      <c r="P220" s="136">
        <f t="shared" si="48"/>
        <v>0</v>
      </c>
      <c r="Q220" s="525"/>
      <c r="S220" s="189">
        <v>0</v>
      </c>
      <c r="T220" s="189">
        <v>0</v>
      </c>
      <c r="BT220" s="525"/>
      <c r="BU220" s="523">
        <v>0</v>
      </c>
      <c r="BV220" s="523"/>
      <c r="BW220" s="523"/>
      <c r="BX220" s="523"/>
      <c r="BY220" s="523"/>
      <c r="BZ220" s="523"/>
      <c r="CA220" s="523"/>
      <c r="CB220" s="523"/>
      <c r="CC220" s="523"/>
      <c r="CD220" s="523"/>
      <c r="CE220" s="523"/>
      <c r="CF220" s="523"/>
      <c r="CG220" s="523"/>
      <c r="CH220" s="523"/>
      <c r="CI220" s="523">
        <f t="shared" si="49"/>
        <v>0</v>
      </c>
    </row>
    <row r="221" spans="1:87" x14ac:dyDescent="0.2">
      <c r="A221" s="125" t="s">
        <v>1680</v>
      </c>
      <c r="B221" s="126" t="s">
        <v>1676</v>
      </c>
      <c r="C221" s="126" t="s">
        <v>1324</v>
      </c>
      <c r="D221" s="127" t="s">
        <v>1681</v>
      </c>
      <c r="E221" s="128" t="s">
        <v>102</v>
      </c>
      <c r="F221" s="137">
        <v>5.71</v>
      </c>
      <c r="G221" s="130">
        <v>11.27</v>
      </c>
      <c r="H221" s="128">
        <v>8</v>
      </c>
      <c r="I221" s="116">
        <f t="shared" si="50"/>
        <v>0</v>
      </c>
      <c r="J221" s="374">
        <f t="shared" si="51"/>
        <v>0</v>
      </c>
      <c r="K221" s="137">
        <f t="shared" si="46"/>
        <v>8</v>
      </c>
      <c r="L221" s="131">
        <f t="shared" si="53"/>
        <v>90.16</v>
      </c>
      <c r="M221" s="131">
        <f t="shared" si="53"/>
        <v>0</v>
      </c>
      <c r="N221" s="131">
        <f t="shared" si="53"/>
        <v>0</v>
      </c>
      <c r="O221" s="131">
        <f t="shared" si="53"/>
        <v>90.16</v>
      </c>
      <c r="P221" s="136">
        <f t="shared" si="48"/>
        <v>0</v>
      </c>
      <c r="Q221" s="525"/>
      <c r="S221" s="189">
        <v>0</v>
      </c>
      <c r="T221" s="189">
        <v>0</v>
      </c>
      <c r="BT221" s="525"/>
      <c r="BU221" s="523">
        <v>0</v>
      </c>
      <c r="BV221" s="523"/>
      <c r="BW221" s="523"/>
      <c r="BX221" s="523"/>
      <c r="BY221" s="523"/>
      <c r="BZ221" s="523"/>
      <c r="CA221" s="523"/>
      <c r="CB221" s="523"/>
      <c r="CC221" s="523"/>
      <c r="CD221" s="523"/>
      <c r="CE221" s="523"/>
      <c r="CF221" s="523"/>
      <c r="CG221" s="523"/>
      <c r="CH221" s="523"/>
      <c r="CI221" s="523">
        <f t="shared" si="49"/>
        <v>0</v>
      </c>
    </row>
    <row r="222" spans="1:87" x14ac:dyDescent="0.2">
      <c r="A222" s="125" t="s">
        <v>1682</v>
      </c>
      <c r="B222" s="126" t="s">
        <v>1683</v>
      </c>
      <c r="C222" s="126" t="s">
        <v>1324</v>
      </c>
      <c r="D222" s="127" t="s">
        <v>1684</v>
      </c>
      <c r="E222" s="128" t="s">
        <v>102</v>
      </c>
      <c r="F222" s="137">
        <v>8.99</v>
      </c>
      <c r="G222" s="130">
        <v>97.76</v>
      </c>
      <c r="H222" s="128">
        <v>2</v>
      </c>
      <c r="I222" s="116">
        <f t="shared" si="50"/>
        <v>0</v>
      </c>
      <c r="J222" s="374">
        <f t="shared" si="51"/>
        <v>0</v>
      </c>
      <c r="K222" s="137">
        <f t="shared" si="46"/>
        <v>2</v>
      </c>
      <c r="L222" s="131">
        <f t="shared" si="53"/>
        <v>195.52</v>
      </c>
      <c r="M222" s="131">
        <f t="shared" si="53"/>
        <v>0</v>
      </c>
      <c r="N222" s="131">
        <f t="shared" si="53"/>
        <v>0</v>
      </c>
      <c r="O222" s="131">
        <f t="shared" si="53"/>
        <v>195.52</v>
      </c>
      <c r="P222" s="136">
        <f t="shared" si="48"/>
        <v>0</v>
      </c>
      <c r="Q222" s="525"/>
      <c r="S222" s="189">
        <v>0</v>
      </c>
      <c r="T222" s="189">
        <v>0</v>
      </c>
      <c r="BT222" s="525"/>
      <c r="BU222" s="523">
        <v>0</v>
      </c>
      <c r="BV222" s="523"/>
      <c r="BW222" s="523"/>
      <c r="BX222" s="523"/>
      <c r="BY222" s="523"/>
      <c r="BZ222" s="523"/>
      <c r="CA222" s="523"/>
      <c r="CB222" s="523"/>
      <c r="CC222" s="523"/>
      <c r="CD222" s="523"/>
      <c r="CE222" s="523"/>
      <c r="CF222" s="523"/>
      <c r="CG222" s="523"/>
      <c r="CH222" s="523"/>
      <c r="CI222" s="523">
        <f t="shared" si="49"/>
        <v>0</v>
      </c>
    </row>
    <row r="223" spans="1:87" x14ac:dyDescent="0.2">
      <c r="A223" s="125" t="s">
        <v>1685</v>
      </c>
      <c r="B223" s="126" t="s">
        <v>1686</v>
      </c>
      <c r="C223" s="126" t="s">
        <v>1324</v>
      </c>
      <c r="D223" s="127" t="s">
        <v>1687</v>
      </c>
      <c r="E223" s="128" t="s">
        <v>102</v>
      </c>
      <c r="F223" s="137">
        <v>23.78</v>
      </c>
      <c r="G223" s="130">
        <v>276.94</v>
      </c>
      <c r="H223" s="128">
        <v>1</v>
      </c>
      <c r="I223" s="116">
        <f t="shared" si="50"/>
        <v>0</v>
      </c>
      <c r="J223" s="374">
        <f t="shared" si="51"/>
        <v>0</v>
      </c>
      <c r="K223" s="137">
        <f t="shared" si="46"/>
        <v>1</v>
      </c>
      <c r="L223" s="131">
        <f t="shared" si="53"/>
        <v>276.94</v>
      </c>
      <c r="M223" s="131">
        <f t="shared" si="53"/>
        <v>0</v>
      </c>
      <c r="N223" s="131">
        <f t="shared" si="53"/>
        <v>0</v>
      </c>
      <c r="O223" s="131">
        <f t="shared" si="53"/>
        <v>276.94</v>
      </c>
      <c r="P223" s="136">
        <f t="shared" si="48"/>
        <v>0</v>
      </c>
      <c r="Q223" s="525"/>
      <c r="S223" s="189">
        <v>0</v>
      </c>
      <c r="T223" s="189">
        <v>0</v>
      </c>
      <c r="BT223" s="525"/>
      <c r="BU223" s="523">
        <v>0</v>
      </c>
      <c r="BV223" s="523"/>
      <c r="BW223" s="523"/>
      <c r="BX223" s="523"/>
      <c r="BY223" s="523"/>
      <c r="BZ223" s="523"/>
      <c r="CA223" s="523"/>
      <c r="CB223" s="523"/>
      <c r="CC223" s="523"/>
      <c r="CD223" s="523"/>
      <c r="CE223" s="523"/>
      <c r="CF223" s="523"/>
      <c r="CG223" s="523"/>
      <c r="CH223" s="523"/>
      <c r="CI223" s="523">
        <f t="shared" si="49"/>
        <v>0</v>
      </c>
    </row>
    <row r="224" spans="1:87" s="517" customFormat="1" ht="25.5" x14ac:dyDescent="0.2">
      <c r="A224" s="125" t="s">
        <v>1688</v>
      </c>
      <c r="B224" s="126" t="s">
        <v>2007</v>
      </c>
      <c r="C224" s="126" t="s">
        <v>1339</v>
      </c>
      <c r="D224" s="127" t="s">
        <v>1689</v>
      </c>
      <c r="E224" s="128" t="s">
        <v>102</v>
      </c>
      <c r="F224" s="137">
        <v>72.209999999999994</v>
      </c>
      <c r="G224" s="130">
        <v>101.01</v>
      </c>
      <c r="H224" s="128">
        <v>4</v>
      </c>
      <c r="I224" s="116">
        <f t="shared" si="50"/>
        <v>0</v>
      </c>
      <c r="J224" s="374">
        <f t="shared" si="51"/>
        <v>0</v>
      </c>
      <c r="K224" s="137">
        <f t="shared" si="46"/>
        <v>4</v>
      </c>
      <c r="L224" s="131">
        <f t="shared" si="53"/>
        <v>404.04</v>
      </c>
      <c r="M224" s="131">
        <f t="shared" si="53"/>
        <v>0</v>
      </c>
      <c r="N224" s="131">
        <f t="shared" si="53"/>
        <v>0</v>
      </c>
      <c r="O224" s="131">
        <f t="shared" si="53"/>
        <v>404.04</v>
      </c>
      <c r="P224" s="136">
        <f t="shared" si="48"/>
        <v>0</v>
      </c>
      <c r="Q224" s="525"/>
      <c r="S224" s="191">
        <v>0</v>
      </c>
      <c r="T224" s="191">
        <v>0</v>
      </c>
      <c r="BT224" s="525"/>
      <c r="BU224" s="523">
        <v>0</v>
      </c>
      <c r="BV224" s="523"/>
      <c r="BW224" s="523"/>
      <c r="BX224" s="523"/>
      <c r="BY224" s="523"/>
      <c r="BZ224" s="523"/>
      <c r="CA224" s="523"/>
      <c r="CB224" s="523"/>
      <c r="CC224" s="523"/>
      <c r="CD224" s="523"/>
      <c r="CE224" s="523"/>
      <c r="CF224" s="523"/>
      <c r="CG224" s="523"/>
      <c r="CH224" s="523"/>
      <c r="CI224" s="523">
        <f t="shared" si="49"/>
        <v>0</v>
      </c>
    </row>
    <row r="225" spans="1:87" s="110" customFormat="1" x14ac:dyDescent="0.2">
      <c r="A225" s="449" t="s">
        <v>631</v>
      </c>
      <c r="B225" s="450"/>
      <c r="C225" s="450"/>
      <c r="D225" s="451" t="s">
        <v>1690</v>
      </c>
      <c r="E225" s="452"/>
      <c r="F225" s="452">
        <f>SUM(F226:F246)</f>
        <v>274.84000000000003</v>
      </c>
      <c r="G225" s="468"/>
      <c r="H225" s="452"/>
      <c r="I225" s="452">
        <f t="shared" si="50"/>
        <v>0</v>
      </c>
      <c r="J225" s="457">
        <f t="shared" si="51"/>
        <v>0</v>
      </c>
      <c r="K225" s="527">
        <f t="shared" si="46"/>
        <v>0</v>
      </c>
      <c r="L225" s="452">
        <f>SUM(L226:L246)</f>
        <v>3741.5200000000004</v>
      </c>
      <c r="M225" s="452">
        <f>SUM(M226:M246)</f>
        <v>0</v>
      </c>
      <c r="N225" s="452">
        <f>SUM(N226:N246)</f>
        <v>0</v>
      </c>
      <c r="O225" s="452">
        <f>SUM(O226:O246)</f>
        <v>3741.5200000000004</v>
      </c>
      <c r="P225" s="459">
        <f t="shared" si="48"/>
        <v>0</v>
      </c>
      <c r="Q225" s="525"/>
      <c r="S225" s="192">
        <v>28</v>
      </c>
      <c r="T225" s="192">
        <v>0</v>
      </c>
      <c r="BT225" s="525"/>
      <c r="BU225" s="523"/>
      <c r="BV225" s="523"/>
      <c r="BW225" s="523"/>
      <c r="BX225" s="523"/>
      <c r="BY225" s="523"/>
      <c r="BZ225" s="523"/>
      <c r="CA225" s="523"/>
      <c r="CB225" s="523"/>
      <c r="CC225" s="523"/>
      <c r="CD225" s="523"/>
      <c r="CE225" s="523"/>
      <c r="CF225" s="523"/>
      <c r="CG225" s="523"/>
      <c r="CH225" s="523"/>
      <c r="CI225" s="523">
        <f t="shared" si="49"/>
        <v>0</v>
      </c>
    </row>
    <row r="226" spans="1:87" s="110" customFormat="1" x14ac:dyDescent="0.2">
      <c r="A226" s="379" t="s">
        <v>1691</v>
      </c>
      <c r="B226" s="380">
        <v>91854</v>
      </c>
      <c r="C226" s="380" t="s">
        <v>1324</v>
      </c>
      <c r="D226" s="381" t="s">
        <v>1692</v>
      </c>
      <c r="E226" s="382" t="s">
        <v>81</v>
      </c>
      <c r="F226" s="137">
        <v>6.88</v>
      </c>
      <c r="G226" s="383">
        <v>6.16</v>
      </c>
      <c r="H226" s="382">
        <v>28</v>
      </c>
      <c r="I226" s="392">
        <f t="shared" si="50"/>
        <v>0</v>
      </c>
      <c r="J226" s="374">
        <f t="shared" si="51"/>
        <v>0</v>
      </c>
      <c r="K226" s="508">
        <f t="shared" si="46"/>
        <v>28</v>
      </c>
      <c r="L226" s="131">
        <f t="shared" ref="L226:O246" si="54">ROUND(H226*$G226,2)</f>
        <v>172.48</v>
      </c>
      <c r="M226" s="131">
        <f t="shared" si="54"/>
        <v>0</v>
      </c>
      <c r="N226" s="131">
        <f t="shared" si="54"/>
        <v>0</v>
      </c>
      <c r="O226" s="131">
        <f t="shared" si="54"/>
        <v>172.48</v>
      </c>
      <c r="P226" s="388">
        <f t="shared" si="48"/>
        <v>0</v>
      </c>
      <c r="Q226" s="525"/>
      <c r="S226" s="192">
        <v>18</v>
      </c>
      <c r="T226" s="192">
        <v>0</v>
      </c>
      <c r="BT226" s="525"/>
      <c r="BU226" s="523">
        <v>0</v>
      </c>
      <c r="BV226" s="523"/>
      <c r="BW226" s="523"/>
      <c r="BX226" s="523"/>
      <c r="BY226" s="523"/>
      <c r="BZ226" s="523"/>
      <c r="CA226" s="523"/>
      <c r="CB226" s="523"/>
      <c r="CC226" s="523"/>
      <c r="CD226" s="523"/>
      <c r="CE226" s="523"/>
      <c r="CF226" s="523"/>
      <c r="CG226" s="523"/>
      <c r="CH226" s="523"/>
      <c r="CI226" s="523">
        <f t="shared" si="49"/>
        <v>0</v>
      </c>
    </row>
    <row r="227" spans="1:87" x14ac:dyDescent="0.2">
      <c r="A227" s="379" t="s">
        <v>1693</v>
      </c>
      <c r="B227" s="380">
        <v>91856</v>
      </c>
      <c r="C227" s="380" t="s">
        <v>1324</v>
      </c>
      <c r="D227" s="381" t="s">
        <v>1694</v>
      </c>
      <c r="E227" s="382" t="s">
        <v>81</v>
      </c>
      <c r="F227" s="137">
        <v>9.86</v>
      </c>
      <c r="G227" s="383">
        <v>7.73</v>
      </c>
      <c r="H227" s="382">
        <v>18</v>
      </c>
      <c r="I227" s="392">
        <f t="shared" si="50"/>
        <v>0</v>
      </c>
      <c r="J227" s="374">
        <f t="shared" si="51"/>
        <v>0</v>
      </c>
      <c r="K227" s="508">
        <f t="shared" si="46"/>
        <v>18</v>
      </c>
      <c r="L227" s="131">
        <f t="shared" si="54"/>
        <v>139.13999999999999</v>
      </c>
      <c r="M227" s="131">
        <f t="shared" si="54"/>
        <v>0</v>
      </c>
      <c r="N227" s="131">
        <f t="shared" si="54"/>
        <v>0</v>
      </c>
      <c r="O227" s="131">
        <f t="shared" si="54"/>
        <v>139.13999999999999</v>
      </c>
      <c r="P227" s="388">
        <f t="shared" si="48"/>
        <v>0</v>
      </c>
      <c r="Q227" s="525"/>
      <c r="S227" s="189">
        <v>0</v>
      </c>
      <c r="T227" s="189">
        <v>0</v>
      </c>
      <c r="BT227" s="525"/>
      <c r="BU227" s="523">
        <v>0</v>
      </c>
      <c r="BV227" s="523"/>
      <c r="BW227" s="523"/>
      <c r="BX227" s="523"/>
      <c r="BY227" s="523"/>
      <c r="BZ227" s="523"/>
      <c r="CA227" s="523"/>
      <c r="CB227" s="523"/>
      <c r="CC227" s="523"/>
      <c r="CD227" s="523"/>
      <c r="CE227" s="523"/>
      <c r="CF227" s="523"/>
      <c r="CG227" s="523"/>
      <c r="CH227" s="523"/>
      <c r="CI227" s="523">
        <f t="shared" si="49"/>
        <v>0</v>
      </c>
    </row>
    <row r="228" spans="1:87" x14ac:dyDescent="0.2">
      <c r="A228" s="125" t="s">
        <v>1695</v>
      </c>
      <c r="B228" s="126">
        <v>91873</v>
      </c>
      <c r="C228" s="126" t="s">
        <v>1324</v>
      </c>
      <c r="D228" s="127" t="s">
        <v>1696</v>
      </c>
      <c r="E228" s="128" t="s">
        <v>81</v>
      </c>
      <c r="F228" s="137">
        <v>10.4</v>
      </c>
      <c r="G228" s="130">
        <v>12.57</v>
      </c>
      <c r="H228" s="128">
        <v>18</v>
      </c>
      <c r="I228" s="116">
        <f t="shared" si="50"/>
        <v>0</v>
      </c>
      <c r="J228" s="374">
        <f t="shared" si="51"/>
        <v>0</v>
      </c>
      <c r="K228" s="137">
        <f t="shared" si="46"/>
        <v>18</v>
      </c>
      <c r="L228" s="131">
        <f t="shared" si="54"/>
        <v>226.26</v>
      </c>
      <c r="M228" s="131">
        <f t="shared" si="54"/>
        <v>0</v>
      </c>
      <c r="N228" s="131">
        <f t="shared" si="54"/>
        <v>0</v>
      </c>
      <c r="O228" s="131">
        <f t="shared" si="54"/>
        <v>226.26</v>
      </c>
      <c r="P228" s="136">
        <f t="shared" si="48"/>
        <v>0</v>
      </c>
      <c r="Q228" s="525"/>
      <c r="S228" s="189">
        <v>0</v>
      </c>
      <c r="T228" s="189">
        <v>0</v>
      </c>
      <c r="BT228" s="525"/>
      <c r="BU228" s="523">
        <v>0</v>
      </c>
      <c r="BV228" s="523"/>
      <c r="BW228" s="523"/>
      <c r="BX228" s="523"/>
      <c r="BY228" s="523"/>
      <c r="BZ228" s="523"/>
      <c r="CA228" s="523"/>
      <c r="CB228" s="523"/>
      <c r="CC228" s="523"/>
      <c r="CD228" s="523"/>
      <c r="CE228" s="523"/>
      <c r="CF228" s="523"/>
      <c r="CG228" s="523"/>
      <c r="CH228" s="523"/>
      <c r="CI228" s="523">
        <f t="shared" si="49"/>
        <v>0</v>
      </c>
    </row>
    <row r="229" spans="1:87" x14ac:dyDescent="0.2">
      <c r="A229" s="125" t="s">
        <v>1697</v>
      </c>
      <c r="B229" s="126">
        <v>72308</v>
      </c>
      <c r="C229" s="126" t="s">
        <v>1324</v>
      </c>
      <c r="D229" s="127" t="s">
        <v>1698</v>
      </c>
      <c r="E229" s="128" t="s">
        <v>81</v>
      </c>
      <c r="F229" s="137">
        <v>9.6</v>
      </c>
      <c r="G229" s="130">
        <v>14.39</v>
      </c>
      <c r="H229" s="128">
        <v>82</v>
      </c>
      <c r="I229" s="116">
        <f t="shared" si="50"/>
        <v>0</v>
      </c>
      <c r="J229" s="374">
        <f t="shared" si="51"/>
        <v>0</v>
      </c>
      <c r="K229" s="137">
        <f t="shared" si="46"/>
        <v>82</v>
      </c>
      <c r="L229" s="131">
        <f t="shared" si="54"/>
        <v>1179.98</v>
      </c>
      <c r="M229" s="131">
        <f t="shared" si="54"/>
        <v>0</v>
      </c>
      <c r="N229" s="131">
        <f t="shared" si="54"/>
        <v>0</v>
      </c>
      <c r="O229" s="131">
        <f t="shared" si="54"/>
        <v>1179.98</v>
      </c>
      <c r="P229" s="136">
        <f t="shared" si="48"/>
        <v>0</v>
      </c>
      <c r="Q229" s="525"/>
      <c r="S229" s="189">
        <v>0</v>
      </c>
      <c r="T229" s="189">
        <v>0</v>
      </c>
      <c r="BT229" s="525"/>
      <c r="BU229" s="523">
        <v>0</v>
      </c>
      <c r="BV229" s="523"/>
      <c r="BW229" s="523"/>
      <c r="BX229" s="523"/>
      <c r="BY229" s="523"/>
      <c r="BZ229" s="523"/>
      <c r="CA229" s="523"/>
      <c r="CB229" s="523"/>
      <c r="CC229" s="523"/>
      <c r="CD229" s="523"/>
      <c r="CE229" s="523"/>
      <c r="CF229" s="523"/>
      <c r="CG229" s="523"/>
      <c r="CH229" s="523"/>
      <c r="CI229" s="523">
        <f t="shared" si="49"/>
        <v>0</v>
      </c>
    </row>
    <row r="230" spans="1:87" x14ac:dyDescent="0.2">
      <c r="A230" s="125" t="s">
        <v>1699</v>
      </c>
      <c r="B230" s="126">
        <v>72309</v>
      </c>
      <c r="C230" s="126" t="s">
        <v>1324</v>
      </c>
      <c r="D230" s="127" t="s">
        <v>1700</v>
      </c>
      <c r="E230" s="128" t="s">
        <v>81</v>
      </c>
      <c r="F230" s="137">
        <v>7.38</v>
      </c>
      <c r="G230" s="130">
        <v>22.92</v>
      </c>
      <c r="H230" s="128">
        <v>13</v>
      </c>
      <c r="I230" s="116">
        <f t="shared" si="50"/>
        <v>0</v>
      </c>
      <c r="J230" s="374">
        <f t="shared" si="51"/>
        <v>0</v>
      </c>
      <c r="K230" s="137">
        <f t="shared" si="46"/>
        <v>13</v>
      </c>
      <c r="L230" s="131">
        <f t="shared" si="54"/>
        <v>297.95999999999998</v>
      </c>
      <c r="M230" s="131">
        <f t="shared" si="54"/>
        <v>0</v>
      </c>
      <c r="N230" s="131">
        <f t="shared" si="54"/>
        <v>0</v>
      </c>
      <c r="O230" s="131">
        <f t="shared" si="54"/>
        <v>297.95999999999998</v>
      </c>
      <c r="P230" s="136">
        <f t="shared" si="48"/>
        <v>0</v>
      </c>
      <c r="Q230" s="525"/>
      <c r="S230" s="189">
        <v>0</v>
      </c>
      <c r="T230" s="189">
        <v>0</v>
      </c>
      <c r="BT230" s="525"/>
      <c r="BU230" s="523">
        <v>0</v>
      </c>
      <c r="BV230" s="523"/>
      <c r="BW230" s="523"/>
      <c r="BX230" s="523"/>
      <c r="BY230" s="523"/>
      <c r="BZ230" s="523"/>
      <c r="CA230" s="523"/>
      <c r="CB230" s="523"/>
      <c r="CC230" s="523"/>
      <c r="CD230" s="523"/>
      <c r="CE230" s="523"/>
      <c r="CF230" s="523"/>
      <c r="CG230" s="523"/>
      <c r="CH230" s="523"/>
      <c r="CI230" s="523">
        <f t="shared" si="49"/>
        <v>0</v>
      </c>
    </row>
    <row r="231" spans="1:87" x14ac:dyDescent="0.2">
      <c r="A231" s="125" t="s">
        <v>2011</v>
      </c>
      <c r="B231" s="126" t="s">
        <v>2012</v>
      </c>
      <c r="C231" s="126" t="s">
        <v>1324</v>
      </c>
      <c r="D231" s="127" t="s">
        <v>1702</v>
      </c>
      <c r="E231" s="128" t="s">
        <v>81</v>
      </c>
      <c r="F231" s="129"/>
      <c r="G231" s="130">
        <v>24.94</v>
      </c>
      <c r="H231" s="128">
        <v>30</v>
      </c>
      <c r="I231" s="116">
        <f t="shared" si="50"/>
        <v>0</v>
      </c>
      <c r="J231" s="374">
        <f t="shared" si="51"/>
        <v>0</v>
      </c>
      <c r="K231" s="137">
        <f t="shared" si="46"/>
        <v>30</v>
      </c>
      <c r="L231" s="131">
        <f t="shared" si="54"/>
        <v>748.2</v>
      </c>
      <c r="M231" s="131">
        <f t="shared" si="54"/>
        <v>0</v>
      </c>
      <c r="N231" s="131">
        <f t="shared" si="54"/>
        <v>0</v>
      </c>
      <c r="O231" s="131">
        <f t="shared" si="54"/>
        <v>748.2</v>
      </c>
      <c r="P231" s="136">
        <f t="shared" si="48"/>
        <v>0</v>
      </c>
      <c r="Q231" s="525"/>
      <c r="S231" s="189">
        <v>0</v>
      </c>
      <c r="T231" s="189">
        <v>0</v>
      </c>
      <c r="BT231" s="525"/>
      <c r="BU231" s="523">
        <v>0</v>
      </c>
      <c r="BV231" s="523"/>
      <c r="BW231" s="523"/>
      <c r="BX231" s="523"/>
      <c r="BY231" s="523"/>
      <c r="BZ231" s="523"/>
      <c r="CA231" s="523"/>
      <c r="CB231" s="523"/>
      <c r="CC231" s="523"/>
      <c r="CD231" s="523"/>
      <c r="CE231" s="523"/>
      <c r="CF231" s="523"/>
      <c r="CG231" s="523"/>
      <c r="CH231" s="523"/>
      <c r="CI231" s="523">
        <f t="shared" si="49"/>
        <v>0</v>
      </c>
    </row>
    <row r="232" spans="1:87" x14ac:dyDescent="0.2">
      <c r="A232" s="125" t="s">
        <v>1703</v>
      </c>
      <c r="B232" s="126" t="s">
        <v>1704</v>
      </c>
      <c r="C232" s="126" t="s">
        <v>1324</v>
      </c>
      <c r="D232" s="127" t="s">
        <v>1705</v>
      </c>
      <c r="E232" s="128" t="s">
        <v>102</v>
      </c>
      <c r="F232" s="137">
        <v>3.06</v>
      </c>
      <c r="G232" s="130">
        <v>23.12</v>
      </c>
      <c r="H232" s="128">
        <v>5</v>
      </c>
      <c r="I232" s="116">
        <f t="shared" si="50"/>
        <v>0</v>
      </c>
      <c r="J232" s="374">
        <f t="shared" si="51"/>
        <v>0</v>
      </c>
      <c r="K232" s="137">
        <f t="shared" si="46"/>
        <v>5</v>
      </c>
      <c r="L232" s="131">
        <f t="shared" si="54"/>
        <v>115.6</v>
      </c>
      <c r="M232" s="131">
        <f t="shared" si="54"/>
        <v>0</v>
      </c>
      <c r="N232" s="131">
        <f t="shared" si="54"/>
        <v>0</v>
      </c>
      <c r="O232" s="131">
        <f t="shared" si="54"/>
        <v>115.6</v>
      </c>
      <c r="P232" s="136">
        <f t="shared" si="48"/>
        <v>0</v>
      </c>
      <c r="Q232" s="525"/>
      <c r="S232" s="189">
        <v>0</v>
      </c>
      <c r="T232" s="189">
        <v>0</v>
      </c>
      <c r="BT232" s="525"/>
      <c r="BU232" s="523">
        <v>0</v>
      </c>
      <c r="BV232" s="523"/>
      <c r="BW232" s="523"/>
      <c r="BX232" s="523"/>
      <c r="BY232" s="523"/>
      <c r="BZ232" s="523"/>
      <c r="CA232" s="523"/>
      <c r="CB232" s="523"/>
      <c r="CC232" s="523"/>
      <c r="CD232" s="523"/>
      <c r="CE232" s="523"/>
      <c r="CF232" s="523"/>
      <c r="CG232" s="523"/>
      <c r="CH232" s="523"/>
      <c r="CI232" s="523">
        <f t="shared" si="49"/>
        <v>0</v>
      </c>
    </row>
    <row r="233" spans="1:87" x14ac:dyDescent="0.2">
      <c r="A233" s="125" t="s">
        <v>1706</v>
      </c>
      <c r="B233" s="126" t="s">
        <v>1707</v>
      </c>
      <c r="C233" s="126" t="s">
        <v>1324</v>
      </c>
      <c r="D233" s="127" t="s">
        <v>1708</v>
      </c>
      <c r="E233" s="128" t="s">
        <v>102</v>
      </c>
      <c r="F233" s="137">
        <v>4.18</v>
      </c>
      <c r="G233" s="130">
        <v>25.34</v>
      </c>
      <c r="H233" s="128">
        <v>5</v>
      </c>
      <c r="I233" s="116">
        <f t="shared" si="50"/>
        <v>0</v>
      </c>
      <c r="J233" s="374">
        <f t="shared" si="51"/>
        <v>0</v>
      </c>
      <c r="K233" s="137">
        <f t="shared" si="46"/>
        <v>5</v>
      </c>
      <c r="L233" s="131">
        <f t="shared" si="54"/>
        <v>126.7</v>
      </c>
      <c r="M233" s="131">
        <f t="shared" si="54"/>
        <v>0</v>
      </c>
      <c r="N233" s="131">
        <f t="shared" si="54"/>
        <v>0</v>
      </c>
      <c r="O233" s="131">
        <f t="shared" si="54"/>
        <v>126.7</v>
      </c>
      <c r="P233" s="136">
        <f t="shared" si="48"/>
        <v>0</v>
      </c>
      <c r="Q233" s="525"/>
      <c r="S233" s="189">
        <v>0</v>
      </c>
      <c r="T233" s="189">
        <v>0</v>
      </c>
      <c r="BT233" s="525"/>
      <c r="BU233" s="523">
        <v>0</v>
      </c>
      <c r="BV233" s="523"/>
      <c r="BW233" s="523"/>
      <c r="BX233" s="523"/>
      <c r="BY233" s="523"/>
      <c r="BZ233" s="523"/>
      <c r="CA233" s="523"/>
      <c r="CB233" s="523"/>
      <c r="CC233" s="523"/>
      <c r="CD233" s="523"/>
      <c r="CE233" s="523"/>
      <c r="CF233" s="523"/>
      <c r="CG233" s="523"/>
      <c r="CH233" s="523"/>
      <c r="CI233" s="523">
        <f t="shared" si="49"/>
        <v>0</v>
      </c>
    </row>
    <row r="234" spans="1:87" x14ac:dyDescent="0.2">
      <c r="A234" s="125" t="s">
        <v>1709</v>
      </c>
      <c r="B234" s="126" t="s">
        <v>1704</v>
      </c>
      <c r="C234" s="126" t="s">
        <v>1324</v>
      </c>
      <c r="D234" s="127" t="s">
        <v>1710</v>
      </c>
      <c r="E234" s="128" t="s">
        <v>102</v>
      </c>
      <c r="F234" s="137">
        <v>6.7</v>
      </c>
      <c r="G234" s="130">
        <v>25.88</v>
      </c>
      <c r="H234" s="128">
        <v>4</v>
      </c>
      <c r="I234" s="116">
        <f t="shared" si="50"/>
        <v>0</v>
      </c>
      <c r="J234" s="374">
        <f t="shared" si="51"/>
        <v>0</v>
      </c>
      <c r="K234" s="137">
        <f t="shared" si="46"/>
        <v>4</v>
      </c>
      <c r="L234" s="131">
        <f t="shared" si="54"/>
        <v>103.52</v>
      </c>
      <c r="M234" s="131">
        <f t="shared" si="54"/>
        <v>0</v>
      </c>
      <c r="N234" s="131">
        <f t="shared" si="54"/>
        <v>0</v>
      </c>
      <c r="O234" s="131">
        <f t="shared" si="54"/>
        <v>103.52</v>
      </c>
      <c r="P234" s="136">
        <f t="shared" si="48"/>
        <v>0</v>
      </c>
      <c r="Q234" s="525"/>
      <c r="S234" s="189">
        <v>0</v>
      </c>
      <c r="T234" s="189">
        <v>0</v>
      </c>
      <c r="BT234" s="525"/>
      <c r="BU234" s="523">
        <v>0</v>
      </c>
      <c r="BV234" s="523"/>
      <c r="BW234" s="523"/>
      <c r="BX234" s="523"/>
      <c r="BY234" s="523"/>
      <c r="BZ234" s="523"/>
      <c r="CA234" s="523"/>
      <c r="CB234" s="523"/>
      <c r="CC234" s="523"/>
      <c r="CD234" s="523"/>
      <c r="CE234" s="523"/>
      <c r="CF234" s="523"/>
      <c r="CG234" s="523"/>
      <c r="CH234" s="523"/>
      <c r="CI234" s="523">
        <f t="shared" si="49"/>
        <v>0</v>
      </c>
    </row>
    <row r="235" spans="1:87" x14ac:dyDescent="0.2">
      <c r="A235" s="125" t="s">
        <v>1711</v>
      </c>
      <c r="B235" s="126" t="s">
        <v>1712</v>
      </c>
      <c r="C235" s="126" t="s">
        <v>1324</v>
      </c>
      <c r="D235" s="127" t="s">
        <v>1713</v>
      </c>
      <c r="E235" s="128" t="s">
        <v>102</v>
      </c>
      <c r="F235" s="137">
        <v>12.3</v>
      </c>
      <c r="G235" s="130">
        <v>26.28</v>
      </c>
      <c r="H235" s="128">
        <v>1</v>
      </c>
      <c r="I235" s="116">
        <f t="shared" si="50"/>
        <v>0</v>
      </c>
      <c r="J235" s="374">
        <f t="shared" si="51"/>
        <v>0</v>
      </c>
      <c r="K235" s="137">
        <f t="shared" si="46"/>
        <v>1</v>
      </c>
      <c r="L235" s="131">
        <f t="shared" si="54"/>
        <v>26.28</v>
      </c>
      <c r="M235" s="131">
        <f t="shared" si="54"/>
        <v>0</v>
      </c>
      <c r="N235" s="131">
        <f t="shared" si="54"/>
        <v>0</v>
      </c>
      <c r="O235" s="131">
        <f t="shared" si="54"/>
        <v>26.28</v>
      </c>
      <c r="P235" s="136">
        <f t="shared" si="48"/>
        <v>0</v>
      </c>
      <c r="Q235" s="525"/>
      <c r="S235" s="189">
        <v>0</v>
      </c>
      <c r="T235" s="189">
        <v>0</v>
      </c>
      <c r="BT235" s="525"/>
      <c r="BU235" s="523">
        <v>0</v>
      </c>
      <c r="BV235" s="523"/>
      <c r="BW235" s="523"/>
      <c r="BX235" s="523"/>
      <c r="BY235" s="523"/>
      <c r="BZ235" s="523"/>
      <c r="CA235" s="523"/>
      <c r="CB235" s="523"/>
      <c r="CC235" s="523"/>
      <c r="CD235" s="523"/>
      <c r="CE235" s="523"/>
      <c r="CF235" s="523"/>
      <c r="CG235" s="523"/>
      <c r="CH235" s="523"/>
      <c r="CI235" s="523">
        <f t="shared" si="49"/>
        <v>0</v>
      </c>
    </row>
    <row r="236" spans="1:87" x14ac:dyDescent="0.2">
      <c r="A236" s="125" t="s">
        <v>1714</v>
      </c>
      <c r="B236" s="126" t="s">
        <v>1715</v>
      </c>
      <c r="C236" s="126" t="s">
        <v>1343</v>
      </c>
      <c r="D236" s="127" t="s">
        <v>1716</v>
      </c>
      <c r="E236" s="128" t="s">
        <v>102</v>
      </c>
      <c r="F236" s="137">
        <v>33.06</v>
      </c>
      <c r="G236" s="130">
        <v>1.94</v>
      </c>
      <c r="H236" s="128">
        <v>50</v>
      </c>
      <c r="I236" s="116">
        <f t="shared" si="50"/>
        <v>0</v>
      </c>
      <c r="J236" s="374">
        <f t="shared" si="51"/>
        <v>0</v>
      </c>
      <c r="K236" s="137">
        <f t="shared" si="46"/>
        <v>50</v>
      </c>
      <c r="L236" s="131">
        <f t="shared" si="54"/>
        <v>97</v>
      </c>
      <c r="M236" s="131">
        <f t="shared" si="54"/>
        <v>0</v>
      </c>
      <c r="N236" s="131">
        <f t="shared" si="54"/>
        <v>0</v>
      </c>
      <c r="O236" s="131">
        <f t="shared" si="54"/>
        <v>97</v>
      </c>
      <c r="P236" s="136">
        <f t="shared" si="48"/>
        <v>0</v>
      </c>
      <c r="Q236" s="525"/>
      <c r="S236" s="189">
        <v>0</v>
      </c>
      <c r="T236" s="189">
        <v>0</v>
      </c>
      <c r="BT236" s="525"/>
      <c r="BU236" s="523">
        <v>0</v>
      </c>
      <c r="BV236" s="523"/>
      <c r="BW236" s="523"/>
      <c r="BX236" s="523"/>
      <c r="BY236" s="523"/>
      <c r="BZ236" s="523"/>
      <c r="CA236" s="523"/>
      <c r="CB236" s="523"/>
      <c r="CC236" s="523"/>
      <c r="CD236" s="523"/>
      <c r="CE236" s="523"/>
      <c r="CF236" s="523"/>
      <c r="CG236" s="523"/>
      <c r="CH236" s="523"/>
      <c r="CI236" s="523">
        <f t="shared" si="49"/>
        <v>0</v>
      </c>
    </row>
    <row r="237" spans="1:87" x14ac:dyDescent="0.2">
      <c r="A237" s="125" t="s">
        <v>1717</v>
      </c>
      <c r="B237" s="126" t="s">
        <v>1715</v>
      </c>
      <c r="C237" s="126" t="s">
        <v>1343</v>
      </c>
      <c r="D237" s="127" t="s">
        <v>1718</v>
      </c>
      <c r="E237" s="128" t="s">
        <v>102</v>
      </c>
      <c r="F237" s="137">
        <v>4.53</v>
      </c>
      <c r="G237" s="130">
        <v>2.19</v>
      </c>
      <c r="H237" s="128">
        <v>4</v>
      </c>
      <c r="I237" s="116">
        <f t="shared" si="50"/>
        <v>0</v>
      </c>
      <c r="J237" s="374">
        <f t="shared" si="51"/>
        <v>0</v>
      </c>
      <c r="K237" s="137">
        <f t="shared" si="46"/>
        <v>4</v>
      </c>
      <c r="L237" s="131">
        <f t="shared" si="54"/>
        <v>8.76</v>
      </c>
      <c r="M237" s="131">
        <f t="shared" si="54"/>
        <v>0</v>
      </c>
      <c r="N237" s="131">
        <f t="shared" si="54"/>
        <v>0</v>
      </c>
      <c r="O237" s="131">
        <f t="shared" si="54"/>
        <v>8.76</v>
      </c>
      <c r="P237" s="136">
        <f t="shared" si="48"/>
        <v>0</v>
      </c>
      <c r="Q237" s="525"/>
      <c r="S237" s="189">
        <v>0</v>
      </c>
      <c r="T237" s="189">
        <v>0</v>
      </c>
      <c r="BT237" s="525"/>
      <c r="BU237" s="523">
        <v>0</v>
      </c>
      <c r="BV237" s="523"/>
      <c r="BW237" s="523"/>
      <c r="BX237" s="523"/>
      <c r="BY237" s="523"/>
      <c r="BZ237" s="523"/>
      <c r="CA237" s="523"/>
      <c r="CB237" s="523"/>
      <c r="CC237" s="523"/>
      <c r="CD237" s="523"/>
      <c r="CE237" s="523"/>
      <c r="CF237" s="523"/>
      <c r="CG237" s="523"/>
      <c r="CH237" s="523"/>
      <c r="CI237" s="523">
        <f t="shared" si="49"/>
        <v>0</v>
      </c>
    </row>
    <row r="238" spans="1:87" x14ac:dyDescent="0.2">
      <c r="A238" s="125" t="s">
        <v>1719</v>
      </c>
      <c r="B238" s="126" t="s">
        <v>1715</v>
      </c>
      <c r="C238" s="126" t="s">
        <v>1343</v>
      </c>
      <c r="D238" s="127" t="s">
        <v>1720</v>
      </c>
      <c r="E238" s="128" t="s">
        <v>102</v>
      </c>
      <c r="F238" s="129"/>
      <c r="G238" s="130">
        <v>2.4</v>
      </c>
      <c r="H238" s="128">
        <v>4</v>
      </c>
      <c r="I238" s="116">
        <f t="shared" si="50"/>
        <v>0</v>
      </c>
      <c r="J238" s="374">
        <f t="shared" si="51"/>
        <v>0</v>
      </c>
      <c r="K238" s="129">
        <f t="shared" si="46"/>
        <v>4</v>
      </c>
      <c r="L238" s="131">
        <f t="shared" si="54"/>
        <v>9.6</v>
      </c>
      <c r="M238" s="131">
        <f t="shared" si="54"/>
        <v>0</v>
      </c>
      <c r="N238" s="131">
        <f t="shared" si="54"/>
        <v>0</v>
      </c>
      <c r="O238" s="131">
        <f t="shared" si="54"/>
        <v>9.6</v>
      </c>
      <c r="P238" s="136">
        <f t="shared" si="48"/>
        <v>0</v>
      </c>
      <c r="Q238" s="525"/>
      <c r="S238" s="189">
        <v>0</v>
      </c>
      <c r="T238" s="189">
        <v>0</v>
      </c>
      <c r="BT238" s="525"/>
      <c r="BU238" s="523">
        <v>0</v>
      </c>
      <c r="BV238" s="523"/>
      <c r="BW238" s="523"/>
      <c r="BX238" s="523"/>
      <c r="BY238" s="523"/>
      <c r="BZ238" s="523"/>
      <c r="CA238" s="523"/>
      <c r="CB238" s="523"/>
      <c r="CC238" s="523"/>
      <c r="CD238" s="523"/>
      <c r="CE238" s="523"/>
      <c r="CF238" s="523"/>
      <c r="CG238" s="523"/>
      <c r="CH238" s="523"/>
      <c r="CI238" s="523">
        <f t="shared" si="49"/>
        <v>0</v>
      </c>
    </row>
    <row r="239" spans="1:87" x14ac:dyDescent="0.2">
      <c r="A239" s="125" t="s">
        <v>1721</v>
      </c>
      <c r="B239" s="126">
        <v>73542</v>
      </c>
      <c r="C239" s="126" t="s">
        <v>1324</v>
      </c>
      <c r="D239" s="127" t="s">
        <v>1722</v>
      </c>
      <c r="E239" s="128" t="s">
        <v>1723</v>
      </c>
      <c r="F239" s="137">
        <v>5.76</v>
      </c>
      <c r="G239" s="130">
        <v>0.73</v>
      </c>
      <c r="H239" s="128">
        <v>15</v>
      </c>
      <c r="I239" s="116">
        <f t="shared" si="50"/>
        <v>0</v>
      </c>
      <c r="J239" s="374">
        <f t="shared" si="51"/>
        <v>0</v>
      </c>
      <c r="K239" s="137">
        <f t="shared" si="46"/>
        <v>15</v>
      </c>
      <c r="L239" s="131">
        <f t="shared" si="54"/>
        <v>10.95</v>
      </c>
      <c r="M239" s="131">
        <f t="shared" si="54"/>
        <v>0</v>
      </c>
      <c r="N239" s="131">
        <f t="shared" si="54"/>
        <v>0</v>
      </c>
      <c r="O239" s="131">
        <f t="shared" si="54"/>
        <v>10.95</v>
      </c>
      <c r="P239" s="136">
        <f t="shared" si="48"/>
        <v>0</v>
      </c>
      <c r="Q239" s="525"/>
      <c r="S239" s="189">
        <v>0</v>
      </c>
      <c r="T239" s="189">
        <v>0</v>
      </c>
      <c r="BT239" s="525"/>
      <c r="BU239" s="523">
        <v>0</v>
      </c>
      <c r="BV239" s="523"/>
      <c r="BW239" s="523"/>
      <c r="BX239" s="523"/>
      <c r="BY239" s="523"/>
      <c r="BZ239" s="523"/>
      <c r="CA239" s="523"/>
      <c r="CB239" s="523"/>
      <c r="CC239" s="523"/>
      <c r="CD239" s="523"/>
      <c r="CE239" s="523"/>
      <c r="CF239" s="523"/>
      <c r="CG239" s="523"/>
      <c r="CH239" s="523"/>
      <c r="CI239" s="523">
        <f t="shared" si="49"/>
        <v>0</v>
      </c>
    </row>
    <row r="240" spans="1:87" x14ac:dyDescent="0.2">
      <c r="A240" s="125" t="s">
        <v>1724</v>
      </c>
      <c r="B240" s="126">
        <v>84158</v>
      </c>
      <c r="C240" s="126" t="s">
        <v>1324</v>
      </c>
      <c r="D240" s="127" t="s">
        <v>1725</v>
      </c>
      <c r="E240" s="128" t="s">
        <v>1723</v>
      </c>
      <c r="F240" s="137">
        <v>8.1999999999999993</v>
      </c>
      <c r="G240" s="130">
        <v>1.42</v>
      </c>
      <c r="H240" s="128">
        <v>2</v>
      </c>
      <c r="I240" s="116">
        <f t="shared" si="50"/>
        <v>0</v>
      </c>
      <c r="J240" s="374">
        <f t="shared" si="51"/>
        <v>0</v>
      </c>
      <c r="K240" s="137">
        <f t="shared" si="46"/>
        <v>2</v>
      </c>
      <c r="L240" s="131">
        <f t="shared" si="54"/>
        <v>2.84</v>
      </c>
      <c r="M240" s="131">
        <f t="shared" si="54"/>
        <v>0</v>
      </c>
      <c r="N240" s="131">
        <f t="shared" si="54"/>
        <v>0</v>
      </c>
      <c r="O240" s="131">
        <f t="shared" si="54"/>
        <v>2.84</v>
      </c>
      <c r="P240" s="136">
        <f t="shared" si="48"/>
        <v>0</v>
      </c>
      <c r="Q240" s="525"/>
      <c r="S240" s="189">
        <v>0</v>
      </c>
      <c r="T240" s="189">
        <v>0</v>
      </c>
      <c r="BT240" s="525"/>
      <c r="BU240" s="523">
        <v>0</v>
      </c>
      <c r="BV240" s="523"/>
      <c r="BW240" s="523"/>
      <c r="BX240" s="523"/>
      <c r="BY240" s="523"/>
      <c r="BZ240" s="523"/>
      <c r="CA240" s="523"/>
      <c r="CB240" s="523"/>
      <c r="CC240" s="523"/>
      <c r="CD240" s="523"/>
      <c r="CE240" s="523"/>
      <c r="CF240" s="523"/>
      <c r="CG240" s="523"/>
      <c r="CH240" s="523"/>
      <c r="CI240" s="523">
        <f t="shared" si="49"/>
        <v>0</v>
      </c>
    </row>
    <row r="241" spans="1:87" x14ac:dyDescent="0.2">
      <c r="A241" s="125" t="s">
        <v>1726</v>
      </c>
      <c r="B241" s="126">
        <v>84159</v>
      </c>
      <c r="C241" s="126" t="s">
        <v>1324</v>
      </c>
      <c r="D241" s="127" t="s">
        <v>1727</v>
      </c>
      <c r="E241" s="128" t="s">
        <v>1723</v>
      </c>
      <c r="F241" s="137">
        <v>13.75</v>
      </c>
      <c r="G241" s="130">
        <v>3.16</v>
      </c>
      <c r="H241" s="128">
        <v>1</v>
      </c>
      <c r="I241" s="116">
        <f t="shared" si="50"/>
        <v>0</v>
      </c>
      <c r="J241" s="374">
        <f t="shared" si="51"/>
        <v>0</v>
      </c>
      <c r="K241" s="137">
        <f t="shared" si="46"/>
        <v>1</v>
      </c>
      <c r="L241" s="131">
        <f t="shared" si="54"/>
        <v>3.16</v>
      </c>
      <c r="M241" s="131">
        <f t="shared" si="54"/>
        <v>0</v>
      </c>
      <c r="N241" s="131">
        <f t="shared" si="54"/>
        <v>0</v>
      </c>
      <c r="O241" s="131">
        <f t="shared" si="54"/>
        <v>3.16</v>
      </c>
      <c r="P241" s="136">
        <f t="shared" si="48"/>
        <v>0</v>
      </c>
      <c r="Q241" s="525"/>
      <c r="S241" s="189">
        <v>0</v>
      </c>
      <c r="T241" s="189">
        <v>0</v>
      </c>
      <c r="BT241" s="525"/>
      <c r="BU241" s="523">
        <v>0</v>
      </c>
      <c r="BV241" s="523"/>
      <c r="BW241" s="523"/>
      <c r="BX241" s="523"/>
      <c r="BY241" s="523"/>
      <c r="BZ241" s="523"/>
      <c r="CA241" s="523"/>
      <c r="CB241" s="523"/>
      <c r="CC241" s="523"/>
      <c r="CD241" s="523"/>
      <c r="CE241" s="523"/>
      <c r="CF241" s="523"/>
      <c r="CG241" s="523"/>
      <c r="CH241" s="523"/>
      <c r="CI241" s="523">
        <f t="shared" si="49"/>
        <v>0</v>
      </c>
    </row>
    <row r="242" spans="1:87" x14ac:dyDescent="0.2">
      <c r="A242" s="125" t="s">
        <v>1728</v>
      </c>
      <c r="B242" s="126">
        <v>92695</v>
      </c>
      <c r="C242" s="126" t="s">
        <v>1324</v>
      </c>
      <c r="D242" s="127" t="s">
        <v>1729</v>
      </c>
      <c r="E242" s="128" t="s">
        <v>102</v>
      </c>
      <c r="F242" s="137">
        <v>27.72</v>
      </c>
      <c r="G242" s="130">
        <v>14</v>
      </c>
      <c r="H242" s="128">
        <v>15</v>
      </c>
      <c r="I242" s="116">
        <f t="shared" si="50"/>
        <v>0</v>
      </c>
      <c r="J242" s="374">
        <f t="shared" si="51"/>
        <v>0</v>
      </c>
      <c r="K242" s="137">
        <f t="shared" si="46"/>
        <v>15</v>
      </c>
      <c r="L242" s="131">
        <f t="shared" si="54"/>
        <v>210</v>
      </c>
      <c r="M242" s="131">
        <f t="shared" si="54"/>
        <v>0</v>
      </c>
      <c r="N242" s="131">
        <f t="shared" si="54"/>
        <v>0</v>
      </c>
      <c r="O242" s="131">
        <f t="shared" si="54"/>
        <v>210</v>
      </c>
      <c r="P242" s="136">
        <f t="shared" si="48"/>
        <v>0</v>
      </c>
      <c r="Q242" s="525"/>
      <c r="S242" s="189">
        <v>0</v>
      </c>
      <c r="T242" s="189">
        <v>0</v>
      </c>
      <c r="BT242" s="525"/>
      <c r="BU242" s="523">
        <v>0</v>
      </c>
      <c r="BV242" s="523"/>
      <c r="BW242" s="523"/>
      <c r="BX242" s="523"/>
      <c r="BY242" s="523"/>
      <c r="BZ242" s="523"/>
      <c r="CA242" s="523"/>
      <c r="CB242" s="523"/>
      <c r="CC242" s="523"/>
      <c r="CD242" s="523"/>
      <c r="CE242" s="523"/>
      <c r="CF242" s="523"/>
      <c r="CG242" s="523"/>
      <c r="CH242" s="523"/>
      <c r="CI242" s="523">
        <f t="shared" si="49"/>
        <v>0</v>
      </c>
    </row>
    <row r="243" spans="1:87" x14ac:dyDescent="0.2">
      <c r="A243" s="125" t="s">
        <v>1730</v>
      </c>
      <c r="B243" s="126">
        <v>92697</v>
      </c>
      <c r="C243" s="126" t="s">
        <v>1324</v>
      </c>
      <c r="D243" s="127" t="s">
        <v>1731</v>
      </c>
      <c r="E243" s="128" t="s">
        <v>102</v>
      </c>
      <c r="F243" s="137">
        <v>71.03</v>
      </c>
      <c r="G243" s="130">
        <v>22.66</v>
      </c>
      <c r="H243" s="128">
        <v>2</v>
      </c>
      <c r="I243" s="116">
        <f t="shared" si="50"/>
        <v>0</v>
      </c>
      <c r="J243" s="374">
        <f t="shared" si="51"/>
        <v>0</v>
      </c>
      <c r="K243" s="137">
        <f t="shared" si="46"/>
        <v>2</v>
      </c>
      <c r="L243" s="131">
        <f t="shared" si="54"/>
        <v>45.32</v>
      </c>
      <c r="M243" s="131">
        <f t="shared" si="54"/>
        <v>0</v>
      </c>
      <c r="N243" s="131">
        <f t="shared" si="54"/>
        <v>0</v>
      </c>
      <c r="O243" s="131">
        <f t="shared" si="54"/>
        <v>45.32</v>
      </c>
      <c r="P243" s="136">
        <f t="shared" si="48"/>
        <v>0</v>
      </c>
      <c r="Q243" s="525"/>
      <c r="S243" s="189">
        <v>0</v>
      </c>
      <c r="T243" s="189">
        <v>0</v>
      </c>
      <c r="BT243" s="525"/>
      <c r="BU243" s="523">
        <v>0</v>
      </c>
      <c r="BV243" s="523"/>
      <c r="BW243" s="523"/>
      <c r="BX243" s="523"/>
      <c r="BY243" s="523"/>
      <c r="BZ243" s="523"/>
      <c r="CA243" s="523"/>
      <c r="CB243" s="523"/>
      <c r="CC243" s="523"/>
      <c r="CD243" s="523"/>
      <c r="CE243" s="523"/>
      <c r="CF243" s="523"/>
      <c r="CG243" s="523"/>
      <c r="CH243" s="523"/>
      <c r="CI243" s="523">
        <f t="shared" si="49"/>
        <v>0</v>
      </c>
    </row>
    <row r="244" spans="1:87" x14ac:dyDescent="0.2">
      <c r="A244" s="125" t="s">
        <v>1732</v>
      </c>
      <c r="B244" s="126">
        <v>92662</v>
      </c>
      <c r="C244" s="126" t="s">
        <v>1324</v>
      </c>
      <c r="D244" s="127" t="s">
        <v>1733</v>
      </c>
      <c r="E244" s="128" t="s">
        <v>102</v>
      </c>
      <c r="F244" s="137">
        <v>12.99</v>
      </c>
      <c r="G244" s="130">
        <v>22.38</v>
      </c>
      <c r="H244" s="128">
        <v>1</v>
      </c>
      <c r="I244" s="116">
        <f t="shared" si="50"/>
        <v>0</v>
      </c>
      <c r="J244" s="374">
        <f t="shared" si="51"/>
        <v>0</v>
      </c>
      <c r="K244" s="137">
        <f t="shared" si="46"/>
        <v>1</v>
      </c>
      <c r="L244" s="131">
        <f t="shared" si="54"/>
        <v>22.38</v>
      </c>
      <c r="M244" s="131">
        <f t="shared" si="54"/>
        <v>0</v>
      </c>
      <c r="N244" s="131">
        <f t="shared" si="54"/>
        <v>0</v>
      </c>
      <c r="O244" s="131">
        <f t="shared" si="54"/>
        <v>22.38</v>
      </c>
      <c r="P244" s="136">
        <f t="shared" si="48"/>
        <v>0</v>
      </c>
      <c r="Q244" s="525"/>
      <c r="S244" s="189">
        <v>0</v>
      </c>
      <c r="T244" s="189">
        <v>0</v>
      </c>
      <c r="BT244" s="525"/>
      <c r="BU244" s="523">
        <v>0</v>
      </c>
      <c r="BV244" s="523"/>
      <c r="BW244" s="523"/>
      <c r="BX244" s="523"/>
      <c r="BY244" s="523"/>
      <c r="BZ244" s="523"/>
      <c r="CA244" s="523"/>
      <c r="CB244" s="523"/>
      <c r="CC244" s="523"/>
      <c r="CD244" s="523"/>
      <c r="CE244" s="523"/>
      <c r="CF244" s="523"/>
      <c r="CG244" s="523"/>
      <c r="CH244" s="523"/>
      <c r="CI244" s="523">
        <f t="shared" si="49"/>
        <v>0</v>
      </c>
    </row>
    <row r="245" spans="1:87" x14ac:dyDescent="0.2">
      <c r="A245" s="125" t="s">
        <v>1734</v>
      </c>
      <c r="B245" s="126">
        <v>92868</v>
      </c>
      <c r="C245" s="126" t="s">
        <v>1324</v>
      </c>
      <c r="D245" s="127" t="s">
        <v>1735</v>
      </c>
      <c r="E245" s="128" t="s">
        <v>102</v>
      </c>
      <c r="F245" s="137">
        <v>14.25</v>
      </c>
      <c r="G245" s="130">
        <v>9.5299999999999994</v>
      </c>
      <c r="H245" s="128">
        <v>16</v>
      </c>
      <c r="I245" s="116">
        <f t="shared" si="50"/>
        <v>0</v>
      </c>
      <c r="J245" s="374">
        <f t="shared" si="51"/>
        <v>0</v>
      </c>
      <c r="K245" s="137">
        <f t="shared" si="46"/>
        <v>16</v>
      </c>
      <c r="L245" s="131">
        <f t="shared" si="54"/>
        <v>152.47999999999999</v>
      </c>
      <c r="M245" s="131">
        <f t="shared" si="54"/>
        <v>0</v>
      </c>
      <c r="N245" s="131">
        <f t="shared" si="54"/>
        <v>0</v>
      </c>
      <c r="O245" s="131">
        <f t="shared" si="54"/>
        <v>152.47999999999999</v>
      </c>
      <c r="P245" s="136">
        <f t="shared" si="48"/>
        <v>0</v>
      </c>
      <c r="Q245" s="525"/>
      <c r="S245" s="189">
        <v>0</v>
      </c>
      <c r="T245" s="189">
        <v>0</v>
      </c>
      <c r="BT245" s="525"/>
      <c r="BU245" s="523">
        <v>0</v>
      </c>
      <c r="BV245" s="523"/>
      <c r="BW245" s="523"/>
      <c r="BX245" s="523"/>
      <c r="BY245" s="523"/>
      <c r="BZ245" s="523"/>
      <c r="CA245" s="523"/>
      <c r="CB245" s="523"/>
      <c r="CC245" s="523"/>
      <c r="CD245" s="523"/>
      <c r="CE245" s="523"/>
      <c r="CF245" s="523"/>
      <c r="CG245" s="523"/>
      <c r="CH245" s="523"/>
      <c r="CI245" s="523">
        <f t="shared" si="49"/>
        <v>0</v>
      </c>
    </row>
    <row r="246" spans="1:87" s="514" customFormat="1" ht="25.5" x14ac:dyDescent="0.2">
      <c r="A246" s="125" t="s">
        <v>1736</v>
      </c>
      <c r="B246" s="126">
        <v>92865</v>
      </c>
      <c r="C246" s="126" t="s">
        <v>1324</v>
      </c>
      <c r="D246" s="127" t="s">
        <v>1737</v>
      </c>
      <c r="E246" s="128" t="s">
        <v>102</v>
      </c>
      <c r="F246" s="137">
        <v>13.19</v>
      </c>
      <c r="G246" s="130">
        <v>6.13</v>
      </c>
      <c r="H246" s="128">
        <v>7</v>
      </c>
      <c r="I246" s="116">
        <f t="shared" si="50"/>
        <v>0</v>
      </c>
      <c r="J246" s="374">
        <f t="shared" si="51"/>
        <v>0</v>
      </c>
      <c r="K246" s="137">
        <f t="shared" si="46"/>
        <v>7</v>
      </c>
      <c r="L246" s="131">
        <f t="shared" si="54"/>
        <v>42.91</v>
      </c>
      <c r="M246" s="131">
        <f t="shared" si="54"/>
        <v>0</v>
      </c>
      <c r="N246" s="131">
        <f t="shared" si="54"/>
        <v>0</v>
      </c>
      <c r="O246" s="131">
        <f t="shared" si="54"/>
        <v>42.91</v>
      </c>
      <c r="P246" s="136">
        <f t="shared" si="48"/>
        <v>0</v>
      </c>
      <c r="Q246" s="525"/>
      <c r="S246" s="190">
        <v>0</v>
      </c>
      <c r="T246" s="190">
        <v>0</v>
      </c>
      <c r="BT246" s="525"/>
      <c r="BU246" s="523">
        <v>0</v>
      </c>
      <c r="BV246" s="523"/>
      <c r="BW246" s="523"/>
      <c r="BX246" s="523"/>
      <c r="BY246" s="523"/>
      <c r="BZ246" s="523"/>
      <c r="CA246" s="523"/>
      <c r="CB246" s="523"/>
      <c r="CC246" s="523"/>
      <c r="CD246" s="523"/>
      <c r="CE246" s="523"/>
      <c r="CF246" s="523"/>
      <c r="CG246" s="523"/>
      <c r="CH246" s="523"/>
      <c r="CI246" s="523">
        <f t="shared" si="49"/>
        <v>0</v>
      </c>
    </row>
    <row r="247" spans="1:87" x14ac:dyDescent="0.2">
      <c r="A247" s="449" t="s">
        <v>634</v>
      </c>
      <c r="B247" s="450"/>
      <c r="C247" s="450"/>
      <c r="D247" s="451" t="s">
        <v>1738</v>
      </c>
      <c r="E247" s="452"/>
      <c r="F247" s="452"/>
      <c r="G247" s="452"/>
      <c r="H247" s="452"/>
      <c r="I247" s="452"/>
      <c r="J247" s="452"/>
      <c r="K247" s="452"/>
      <c r="L247" s="452">
        <f>SUM(L248:L251)</f>
        <v>4345.79</v>
      </c>
      <c r="M247" s="452">
        <f>SUM(M248:M251)</f>
        <v>0</v>
      </c>
      <c r="N247" s="452">
        <f>SUM(N248:N251)</f>
        <v>0</v>
      </c>
      <c r="O247" s="452">
        <f>SUM(O248:O251)</f>
        <v>4345.79</v>
      </c>
      <c r="P247" s="459">
        <f t="shared" si="48"/>
        <v>0</v>
      </c>
      <c r="Q247" s="525"/>
      <c r="S247" s="189">
        <v>0</v>
      </c>
      <c r="T247" s="189">
        <v>0</v>
      </c>
      <c r="BT247" s="525"/>
      <c r="BU247" s="523"/>
      <c r="BV247" s="523"/>
      <c r="BW247" s="523"/>
      <c r="BX247" s="523"/>
      <c r="BY247" s="523"/>
      <c r="BZ247" s="523"/>
      <c r="CA247" s="523"/>
      <c r="CB247" s="523"/>
      <c r="CC247" s="523"/>
      <c r="CD247" s="523"/>
      <c r="CE247" s="523"/>
      <c r="CF247" s="523"/>
      <c r="CG247" s="523"/>
      <c r="CH247" s="523"/>
      <c r="CI247" s="523">
        <f t="shared" si="49"/>
        <v>0</v>
      </c>
    </row>
    <row r="248" spans="1:87" x14ac:dyDescent="0.2">
      <c r="A248" s="125" t="s">
        <v>1739</v>
      </c>
      <c r="B248" s="126">
        <v>91926</v>
      </c>
      <c r="C248" s="126" t="s">
        <v>1324</v>
      </c>
      <c r="D248" s="127" t="s">
        <v>1740</v>
      </c>
      <c r="E248" s="128" t="s">
        <v>81</v>
      </c>
      <c r="F248" s="137">
        <v>26.32</v>
      </c>
      <c r="G248" s="130">
        <v>2.31</v>
      </c>
      <c r="H248" s="128">
        <v>190</v>
      </c>
      <c r="I248" s="116">
        <f t="shared" si="50"/>
        <v>0</v>
      </c>
      <c r="J248" s="374">
        <f t="shared" si="51"/>
        <v>0</v>
      </c>
      <c r="K248" s="137">
        <f t="shared" si="46"/>
        <v>190</v>
      </c>
      <c r="L248" s="131">
        <f t="shared" ref="L248:O251" si="55">ROUND(H248*$G248,2)</f>
        <v>438.9</v>
      </c>
      <c r="M248" s="131">
        <f t="shared" si="55"/>
        <v>0</v>
      </c>
      <c r="N248" s="131">
        <f t="shared" si="55"/>
        <v>0</v>
      </c>
      <c r="O248" s="131">
        <f t="shared" si="55"/>
        <v>438.9</v>
      </c>
      <c r="P248" s="136">
        <f t="shared" si="48"/>
        <v>0</v>
      </c>
      <c r="Q248" s="525"/>
      <c r="S248" s="189">
        <v>0</v>
      </c>
      <c r="T248" s="189">
        <v>0</v>
      </c>
      <c r="BT248" s="525"/>
      <c r="BU248" s="523">
        <v>0</v>
      </c>
      <c r="BV248" s="523"/>
      <c r="BW248" s="523"/>
      <c r="BX248" s="523"/>
      <c r="BY248" s="523"/>
      <c r="BZ248" s="523"/>
      <c r="CA248" s="523"/>
      <c r="CB248" s="523"/>
      <c r="CC248" s="523"/>
      <c r="CD248" s="523"/>
      <c r="CE248" s="523"/>
      <c r="CF248" s="523"/>
      <c r="CG248" s="523"/>
      <c r="CH248" s="523"/>
      <c r="CI248" s="523">
        <f t="shared" si="49"/>
        <v>0</v>
      </c>
    </row>
    <row r="249" spans="1:87" x14ac:dyDescent="0.2">
      <c r="A249" s="125" t="s">
        <v>1741</v>
      </c>
      <c r="B249" s="126">
        <v>91928</v>
      </c>
      <c r="C249" s="126" t="s">
        <v>1324</v>
      </c>
      <c r="D249" s="127" t="s">
        <v>1742</v>
      </c>
      <c r="E249" s="128" t="s">
        <v>81</v>
      </c>
      <c r="F249" s="137">
        <v>61.2</v>
      </c>
      <c r="G249" s="130">
        <v>3.64</v>
      </c>
      <c r="H249" s="128">
        <v>820</v>
      </c>
      <c r="I249" s="116">
        <f t="shared" si="50"/>
        <v>0</v>
      </c>
      <c r="J249" s="374">
        <f t="shared" si="51"/>
        <v>0</v>
      </c>
      <c r="K249" s="137">
        <f t="shared" si="46"/>
        <v>820</v>
      </c>
      <c r="L249" s="131">
        <f t="shared" si="55"/>
        <v>2984.8</v>
      </c>
      <c r="M249" s="131">
        <f t="shared" si="55"/>
        <v>0</v>
      </c>
      <c r="N249" s="131">
        <f t="shared" si="55"/>
        <v>0</v>
      </c>
      <c r="O249" s="131">
        <f t="shared" si="55"/>
        <v>2984.8</v>
      </c>
      <c r="P249" s="136">
        <f t="shared" si="48"/>
        <v>0</v>
      </c>
      <c r="Q249" s="525"/>
      <c r="S249" s="189">
        <v>0</v>
      </c>
      <c r="T249" s="189">
        <v>0</v>
      </c>
      <c r="BT249" s="525"/>
      <c r="BU249" s="523">
        <v>0</v>
      </c>
      <c r="BV249" s="523"/>
      <c r="BW249" s="523"/>
      <c r="BX249" s="523"/>
      <c r="BY249" s="523"/>
      <c r="BZ249" s="523"/>
      <c r="CA249" s="523"/>
      <c r="CB249" s="523"/>
      <c r="CC249" s="523"/>
      <c r="CD249" s="523"/>
      <c r="CE249" s="523"/>
      <c r="CF249" s="523"/>
      <c r="CG249" s="523"/>
      <c r="CH249" s="523"/>
      <c r="CI249" s="523">
        <f t="shared" si="49"/>
        <v>0</v>
      </c>
    </row>
    <row r="250" spans="1:87" x14ac:dyDescent="0.2">
      <c r="A250" s="125" t="s">
        <v>1743</v>
      </c>
      <c r="B250" s="126">
        <v>91934</v>
      </c>
      <c r="C250" s="126" t="s">
        <v>1324</v>
      </c>
      <c r="D250" s="127" t="s">
        <v>1744</v>
      </c>
      <c r="E250" s="128" t="s">
        <v>81</v>
      </c>
      <c r="F250" s="129"/>
      <c r="G250" s="130">
        <v>12.3</v>
      </c>
      <c r="H250" s="128">
        <v>14</v>
      </c>
      <c r="I250" s="116">
        <f t="shared" si="50"/>
        <v>0</v>
      </c>
      <c r="J250" s="374">
        <f t="shared" si="51"/>
        <v>0</v>
      </c>
      <c r="K250" s="137">
        <f t="shared" si="46"/>
        <v>14</v>
      </c>
      <c r="L250" s="131">
        <f t="shared" si="55"/>
        <v>172.2</v>
      </c>
      <c r="M250" s="131">
        <f t="shared" si="55"/>
        <v>0</v>
      </c>
      <c r="N250" s="131">
        <f t="shared" si="55"/>
        <v>0</v>
      </c>
      <c r="O250" s="131">
        <f t="shared" si="55"/>
        <v>172.2</v>
      </c>
      <c r="P250" s="136">
        <f t="shared" si="48"/>
        <v>0</v>
      </c>
      <c r="Q250" s="525"/>
      <c r="S250" s="189">
        <v>0</v>
      </c>
      <c r="T250" s="189">
        <v>0</v>
      </c>
      <c r="BT250" s="525"/>
      <c r="BU250" s="523">
        <v>0</v>
      </c>
      <c r="BV250" s="523"/>
      <c r="BW250" s="523"/>
      <c r="BX250" s="523"/>
      <c r="BY250" s="523"/>
      <c r="BZ250" s="523"/>
      <c r="CA250" s="523"/>
      <c r="CB250" s="523"/>
      <c r="CC250" s="523"/>
      <c r="CD250" s="523"/>
      <c r="CE250" s="523"/>
      <c r="CF250" s="523"/>
      <c r="CG250" s="523"/>
      <c r="CH250" s="523"/>
      <c r="CI250" s="523">
        <f t="shared" si="49"/>
        <v>0</v>
      </c>
    </row>
    <row r="251" spans="1:87" s="514" customFormat="1" x14ac:dyDescent="0.2">
      <c r="A251" s="125" t="s">
        <v>1745</v>
      </c>
      <c r="B251" s="126">
        <v>92985</v>
      </c>
      <c r="C251" s="126" t="s">
        <v>1324</v>
      </c>
      <c r="D251" s="127" t="s">
        <v>1746</v>
      </c>
      <c r="E251" s="128" t="s">
        <v>81</v>
      </c>
      <c r="F251" s="137">
        <v>8.39</v>
      </c>
      <c r="G251" s="130">
        <v>18.29</v>
      </c>
      <c r="H251" s="128">
        <v>41</v>
      </c>
      <c r="I251" s="116">
        <f t="shared" si="50"/>
        <v>0</v>
      </c>
      <c r="J251" s="374">
        <f t="shared" si="51"/>
        <v>0</v>
      </c>
      <c r="K251" s="137">
        <f t="shared" si="46"/>
        <v>41</v>
      </c>
      <c r="L251" s="131">
        <f t="shared" si="55"/>
        <v>749.89</v>
      </c>
      <c r="M251" s="131">
        <f t="shared" si="55"/>
        <v>0</v>
      </c>
      <c r="N251" s="131">
        <f t="shared" si="55"/>
        <v>0</v>
      </c>
      <c r="O251" s="131">
        <f t="shared" si="55"/>
        <v>749.89</v>
      </c>
      <c r="P251" s="136">
        <f t="shared" si="48"/>
        <v>0</v>
      </c>
      <c r="Q251" s="525"/>
      <c r="S251" s="190">
        <v>0</v>
      </c>
      <c r="T251" s="190">
        <v>0</v>
      </c>
      <c r="BT251" s="525"/>
      <c r="BU251" s="523">
        <v>0</v>
      </c>
      <c r="BV251" s="523"/>
      <c r="BW251" s="523"/>
      <c r="BX251" s="523"/>
      <c r="BY251" s="523"/>
      <c r="BZ251" s="523"/>
      <c r="CA251" s="523"/>
      <c r="CB251" s="523"/>
      <c r="CC251" s="523"/>
      <c r="CD251" s="523"/>
      <c r="CE251" s="523"/>
      <c r="CF251" s="523"/>
      <c r="CG251" s="523"/>
      <c r="CH251" s="523"/>
      <c r="CI251" s="523">
        <f t="shared" si="49"/>
        <v>0</v>
      </c>
    </row>
    <row r="252" spans="1:87" x14ac:dyDescent="0.2">
      <c r="A252" s="449" t="s">
        <v>640</v>
      </c>
      <c r="B252" s="450"/>
      <c r="C252" s="450"/>
      <c r="D252" s="451" t="s">
        <v>1747</v>
      </c>
      <c r="E252" s="452"/>
      <c r="F252" s="452"/>
      <c r="G252" s="452"/>
      <c r="H252" s="452"/>
      <c r="I252" s="452"/>
      <c r="J252" s="452"/>
      <c r="K252" s="452"/>
      <c r="L252" s="452">
        <f>SUM(L253:L258)</f>
        <v>10299.74</v>
      </c>
      <c r="M252" s="452">
        <f>SUM(M253:M258)</f>
        <v>0</v>
      </c>
      <c r="N252" s="452">
        <f>SUM(N253:N258)</f>
        <v>0</v>
      </c>
      <c r="O252" s="452">
        <f>SUM(O253:O258)</f>
        <v>10299.74</v>
      </c>
      <c r="P252" s="459">
        <f t="shared" si="48"/>
        <v>0</v>
      </c>
      <c r="Q252" s="525"/>
      <c r="S252" s="189">
        <v>0</v>
      </c>
      <c r="T252" s="189">
        <v>0</v>
      </c>
      <c r="BT252" s="525"/>
      <c r="BU252" s="523"/>
      <c r="BV252" s="523"/>
      <c r="BW252" s="523"/>
      <c r="BX252" s="523"/>
      <c r="BY252" s="523"/>
      <c r="BZ252" s="523"/>
      <c r="CA252" s="523"/>
      <c r="CB252" s="523"/>
      <c r="CC252" s="523"/>
      <c r="CD252" s="523"/>
      <c r="CE252" s="523"/>
      <c r="CF252" s="523"/>
      <c r="CG252" s="523"/>
      <c r="CH252" s="523"/>
      <c r="CI252" s="523">
        <f t="shared" si="49"/>
        <v>0</v>
      </c>
    </row>
    <row r="253" spans="1:87" x14ac:dyDescent="0.2">
      <c r="A253" s="125" t="s">
        <v>1748</v>
      </c>
      <c r="B253" s="126">
        <v>92000</v>
      </c>
      <c r="C253" s="126" t="s">
        <v>1324</v>
      </c>
      <c r="D253" s="127" t="s">
        <v>1749</v>
      </c>
      <c r="E253" s="128" t="s">
        <v>102</v>
      </c>
      <c r="F253" s="137">
        <v>21.53</v>
      </c>
      <c r="G253" s="130">
        <v>20.07</v>
      </c>
      <c r="H253" s="128">
        <v>4</v>
      </c>
      <c r="I253" s="116">
        <f t="shared" si="50"/>
        <v>0</v>
      </c>
      <c r="J253" s="374">
        <f t="shared" si="51"/>
        <v>0</v>
      </c>
      <c r="K253" s="137">
        <f t="shared" si="46"/>
        <v>4</v>
      </c>
      <c r="L253" s="131">
        <f t="shared" ref="L253:O258" si="56">ROUND(H253*$G253,2)</f>
        <v>80.28</v>
      </c>
      <c r="M253" s="131">
        <f t="shared" si="56"/>
        <v>0</v>
      </c>
      <c r="N253" s="131">
        <f t="shared" si="56"/>
        <v>0</v>
      </c>
      <c r="O253" s="131">
        <f t="shared" si="56"/>
        <v>80.28</v>
      </c>
      <c r="P253" s="136">
        <f t="shared" si="48"/>
        <v>0</v>
      </c>
      <c r="Q253" s="525"/>
      <c r="S253" s="189">
        <v>0</v>
      </c>
      <c r="T253" s="189">
        <v>0</v>
      </c>
      <c r="BT253" s="525"/>
      <c r="BU253" s="523">
        <v>0</v>
      </c>
      <c r="BV253" s="523"/>
      <c r="BW253" s="523"/>
      <c r="BX253" s="523"/>
      <c r="BY253" s="523"/>
      <c r="BZ253" s="523"/>
      <c r="CA253" s="523"/>
      <c r="CB253" s="523"/>
      <c r="CC253" s="523"/>
      <c r="CD253" s="523"/>
      <c r="CE253" s="523"/>
      <c r="CF253" s="523"/>
      <c r="CG253" s="523"/>
      <c r="CH253" s="523"/>
      <c r="CI253" s="523">
        <f t="shared" si="49"/>
        <v>0</v>
      </c>
    </row>
    <row r="254" spans="1:87" x14ac:dyDescent="0.2">
      <c r="A254" s="125" t="s">
        <v>1750</v>
      </c>
      <c r="B254" s="126">
        <v>92001</v>
      </c>
      <c r="C254" s="126" t="s">
        <v>1324</v>
      </c>
      <c r="D254" s="127" t="s">
        <v>1751</v>
      </c>
      <c r="E254" s="128" t="s">
        <v>102</v>
      </c>
      <c r="F254" s="137">
        <v>133.13999999999999</v>
      </c>
      <c r="G254" s="130">
        <v>21.83</v>
      </c>
      <c r="H254" s="128">
        <v>1</v>
      </c>
      <c r="I254" s="116">
        <f t="shared" si="50"/>
        <v>0</v>
      </c>
      <c r="J254" s="374">
        <f t="shared" si="51"/>
        <v>0</v>
      </c>
      <c r="K254" s="137">
        <f t="shared" si="46"/>
        <v>1</v>
      </c>
      <c r="L254" s="131">
        <f t="shared" si="56"/>
        <v>21.83</v>
      </c>
      <c r="M254" s="131">
        <f t="shared" si="56"/>
        <v>0</v>
      </c>
      <c r="N254" s="131">
        <f t="shared" si="56"/>
        <v>0</v>
      </c>
      <c r="O254" s="131">
        <f t="shared" si="56"/>
        <v>21.83</v>
      </c>
      <c r="P254" s="136">
        <f t="shared" si="48"/>
        <v>0</v>
      </c>
      <c r="Q254" s="525"/>
      <c r="S254" s="189">
        <v>0</v>
      </c>
      <c r="T254" s="189">
        <v>0</v>
      </c>
      <c r="BT254" s="525"/>
      <c r="BU254" s="523">
        <v>0</v>
      </c>
      <c r="BV254" s="523"/>
      <c r="BW254" s="523"/>
      <c r="BX254" s="523"/>
      <c r="BY254" s="523"/>
      <c r="BZ254" s="523"/>
      <c r="CA254" s="523"/>
      <c r="CB254" s="523"/>
      <c r="CC254" s="523"/>
      <c r="CD254" s="523"/>
      <c r="CE254" s="523"/>
      <c r="CF254" s="523"/>
      <c r="CG254" s="523"/>
      <c r="CH254" s="523"/>
      <c r="CI254" s="523">
        <f t="shared" si="49"/>
        <v>0</v>
      </c>
    </row>
    <row r="255" spans="1:87" ht="25.5" x14ac:dyDescent="0.2">
      <c r="A255" s="125" t="s">
        <v>1752</v>
      </c>
      <c r="B255" s="126">
        <v>91953</v>
      </c>
      <c r="C255" s="126" t="s">
        <v>1324</v>
      </c>
      <c r="D255" s="127" t="s">
        <v>1753</v>
      </c>
      <c r="E255" s="128" t="s">
        <v>102</v>
      </c>
      <c r="F255" s="129"/>
      <c r="G255" s="130">
        <v>18.98</v>
      </c>
      <c r="H255" s="128">
        <v>7</v>
      </c>
      <c r="I255" s="116">
        <f t="shared" si="50"/>
        <v>0</v>
      </c>
      <c r="J255" s="374">
        <f t="shared" si="51"/>
        <v>0</v>
      </c>
      <c r="K255" s="137">
        <f t="shared" si="46"/>
        <v>7</v>
      </c>
      <c r="L255" s="131">
        <f t="shared" si="56"/>
        <v>132.86000000000001</v>
      </c>
      <c r="M255" s="131">
        <f t="shared" si="56"/>
        <v>0</v>
      </c>
      <c r="N255" s="131">
        <f t="shared" si="56"/>
        <v>0</v>
      </c>
      <c r="O255" s="131">
        <f t="shared" si="56"/>
        <v>132.86000000000001</v>
      </c>
      <c r="P255" s="136">
        <f t="shared" si="48"/>
        <v>0</v>
      </c>
      <c r="Q255" s="525"/>
      <c r="S255" s="189">
        <v>0</v>
      </c>
      <c r="T255" s="189">
        <v>0</v>
      </c>
      <c r="BT255" s="525"/>
      <c r="BU255" s="523">
        <v>0</v>
      </c>
      <c r="BV255" s="523"/>
      <c r="BW255" s="523"/>
      <c r="BX255" s="523"/>
      <c r="BY255" s="523"/>
      <c r="BZ255" s="523"/>
      <c r="CA255" s="523"/>
      <c r="CB255" s="523"/>
      <c r="CC255" s="523"/>
      <c r="CD255" s="523"/>
      <c r="CE255" s="523"/>
      <c r="CF255" s="523"/>
      <c r="CG255" s="523"/>
      <c r="CH255" s="523"/>
      <c r="CI255" s="523">
        <f t="shared" si="49"/>
        <v>0</v>
      </c>
    </row>
    <row r="256" spans="1:87" x14ac:dyDescent="0.2">
      <c r="A256" s="125" t="s">
        <v>1754</v>
      </c>
      <c r="B256" s="126" t="s">
        <v>1755</v>
      </c>
      <c r="C256" s="126" t="s">
        <v>1324</v>
      </c>
      <c r="D256" s="127" t="s">
        <v>1756</v>
      </c>
      <c r="E256" s="128" t="s">
        <v>102</v>
      </c>
      <c r="F256" s="137">
        <v>1.81</v>
      </c>
      <c r="G256" s="130">
        <v>133.31</v>
      </c>
      <c r="H256" s="128">
        <v>1</v>
      </c>
      <c r="I256" s="116">
        <f t="shared" si="50"/>
        <v>0</v>
      </c>
      <c r="J256" s="374">
        <f t="shared" si="51"/>
        <v>0</v>
      </c>
      <c r="K256" s="137">
        <f t="shared" si="46"/>
        <v>1</v>
      </c>
      <c r="L256" s="131">
        <f t="shared" si="56"/>
        <v>133.31</v>
      </c>
      <c r="M256" s="131">
        <f t="shared" si="56"/>
        <v>0</v>
      </c>
      <c r="N256" s="131">
        <f t="shared" si="56"/>
        <v>0</v>
      </c>
      <c r="O256" s="131">
        <f t="shared" si="56"/>
        <v>133.31</v>
      </c>
      <c r="P256" s="136">
        <f t="shared" si="48"/>
        <v>0</v>
      </c>
      <c r="Q256" s="525"/>
      <c r="S256" s="189">
        <v>0</v>
      </c>
      <c r="T256" s="189">
        <v>0</v>
      </c>
      <c r="BT256" s="525"/>
      <c r="BU256" s="523">
        <v>0</v>
      </c>
      <c r="BV256" s="523"/>
      <c r="BW256" s="523"/>
      <c r="BX256" s="523"/>
      <c r="BY256" s="523"/>
      <c r="BZ256" s="523"/>
      <c r="CA256" s="523"/>
      <c r="CB256" s="523"/>
      <c r="CC256" s="523"/>
      <c r="CD256" s="523"/>
      <c r="CE256" s="523"/>
      <c r="CF256" s="523"/>
      <c r="CG256" s="523"/>
      <c r="CH256" s="523"/>
      <c r="CI256" s="523">
        <f t="shared" si="49"/>
        <v>0</v>
      </c>
    </row>
    <row r="257" spans="1:87" x14ac:dyDescent="0.2">
      <c r="A257" s="125" t="s">
        <v>1757</v>
      </c>
      <c r="B257" s="126" t="s">
        <v>1758</v>
      </c>
      <c r="C257" s="126" t="s">
        <v>1324</v>
      </c>
      <c r="D257" s="127" t="s">
        <v>1759</v>
      </c>
      <c r="E257" s="128" t="s">
        <v>102</v>
      </c>
      <c r="F257" s="137">
        <v>2.93</v>
      </c>
      <c r="G257" s="130">
        <v>156.31</v>
      </c>
      <c r="H257" s="128">
        <v>6</v>
      </c>
      <c r="I257" s="116">
        <f t="shared" si="50"/>
        <v>0</v>
      </c>
      <c r="J257" s="374">
        <f t="shared" si="51"/>
        <v>0</v>
      </c>
      <c r="K257" s="137">
        <f t="shared" si="46"/>
        <v>6</v>
      </c>
      <c r="L257" s="131">
        <f t="shared" si="56"/>
        <v>937.86</v>
      </c>
      <c r="M257" s="131">
        <f t="shared" si="56"/>
        <v>0</v>
      </c>
      <c r="N257" s="131">
        <f t="shared" si="56"/>
        <v>0</v>
      </c>
      <c r="O257" s="131">
        <f t="shared" si="56"/>
        <v>937.86</v>
      </c>
      <c r="P257" s="136">
        <f t="shared" si="48"/>
        <v>0</v>
      </c>
      <c r="Q257" s="525"/>
      <c r="S257" s="189">
        <v>0</v>
      </c>
      <c r="T257" s="189">
        <v>0</v>
      </c>
      <c r="BT257" s="525"/>
      <c r="BU257" s="523">
        <v>0</v>
      </c>
      <c r="BV257" s="523"/>
      <c r="BW257" s="523"/>
      <c r="BX257" s="523"/>
      <c r="BY257" s="523"/>
      <c r="BZ257" s="523"/>
      <c r="CA257" s="523"/>
      <c r="CB257" s="523"/>
      <c r="CC257" s="523"/>
      <c r="CD257" s="523"/>
      <c r="CE257" s="523"/>
      <c r="CF257" s="523"/>
      <c r="CG257" s="523"/>
      <c r="CH257" s="523"/>
      <c r="CI257" s="523">
        <f t="shared" si="49"/>
        <v>0</v>
      </c>
    </row>
    <row r="258" spans="1:87" ht="25.5" x14ac:dyDescent="0.2">
      <c r="A258" s="125" t="s">
        <v>1760</v>
      </c>
      <c r="B258" s="126" t="s">
        <v>2007</v>
      </c>
      <c r="C258" s="126" t="s">
        <v>1339</v>
      </c>
      <c r="D258" s="127" t="s">
        <v>1761</v>
      </c>
      <c r="E258" s="128" t="s">
        <v>102</v>
      </c>
      <c r="F258" s="137">
        <v>4.1100000000000003</v>
      </c>
      <c r="G258" s="130">
        <v>449.68</v>
      </c>
      <c r="H258" s="128">
        <v>20</v>
      </c>
      <c r="I258" s="116">
        <f t="shared" si="50"/>
        <v>0</v>
      </c>
      <c r="J258" s="374">
        <f t="shared" si="51"/>
        <v>0</v>
      </c>
      <c r="K258" s="137">
        <f t="shared" si="46"/>
        <v>20</v>
      </c>
      <c r="L258" s="131">
        <f t="shared" si="56"/>
        <v>8993.6</v>
      </c>
      <c r="M258" s="131">
        <f t="shared" si="56"/>
        <v>0</v>
      </c>
      <c r="N258" s="131">
        <f t="shared" si="56"/>
        <v>0</v>
      </c>
      <c r="O258" s="131">
        <f t="shared" si="56"/>
        <v>8993.6</v>
      </c>
      <c r="P258" s="136">
        <f t="shared" si="48"/>
        <v>0</v>
      </c>
      <c r="Q258" s="525"/>
      <c r="S258" s="189">
        <v>0</v>
      </c>
      <c r="T258" s="189">
        <v>0</v>
      </c>
      <c r="BT258" s="525"/>
      <c r="BU258" s="523">
        <v>0</v>
      </c>
      <c r="BV258" s="523"/>
      <c r="BW258" s="523"/>
      <c r="BX258" s="523"/>
      <c r="BY258" s="523"/>
      <c r="BZ258" s="523"/>
      <c r="CA258" s="523"/>
      <c r="CB258" s="523"/>
      <c r="CC258" s="523"/>
      <c r="CD258" s="523"/>
      <c r="CE258" s="523"/>
      <c r="CF258" s="523"/>
      <c r="CG258" s="523"/>
      <c r="CH258" s="523"/>
      <c r="CI258" s="523">
        <f t="shared" si="49"/>
        <v>0</v>
      </c>
    </row>
    <row r="259" spans="1:87" x14ac:dyDescent="0.2">
      <c r="A259" s="412">
        <v>18</v>
      </c>
      <c r="B259" s="413"/>
      <c r="C259" s="413"/>
      <c r="D259" s="414" t="s">
        <v>1762</v>
      </c>
      <c r="E259" s="415"/>
      <c r="F259" s="415"/>
      <c r="G259" s="415"/>
      <c r="H259" s="415"/>
      <c r="I259" s="415"/>
      <c r="J259" s="415"/>
      <c r="K259" s="415"/>
      <c r="L259" s="416">
        <f>SUM(L260:L267)</f>
        <v>7237.1900000000014</v>
      </c>
      <c r="M259" s="416">
        <f>SUM(M260:M267)</f>
        <v>0</v>
      </c>
      <c r="N259" s="416">
        <f>SUM(N260:N267)</f>
        <v>0</v>
      </c>
      <c r="O259" s="416">
        <f>SUM(O260:O267)</f>
        <v>7237.1900000000014</v>
      </c>
      <c r="P259" s="423">
        <f t="shared" si="48"/>
        <v>0</v>
      </c>
      <c r="Q259" s="525"/>
      <c r="S259" s="189">
        <v>0</v>
      </c>
      <c r="T259" s="189">
        <v>0</v>
      </c>
      <c r="BT259" s="525"/>
      <c r="BU259" s="523"/>
      <c r="BV259" s="523"/>
      <c r="BW259" s="523"/>
      <c r="BX259" s="523"/>
      <c r="BY259" s="523"/>
      <c r="BZ259" s="523"/>
      <c r="CA259" s="523"/>
      <c r="CB259" s="523"/>
      <c r="CC259" s="523"/>
      <c r="CD259" s="523"/>
      <c r="CE259" s="523"/>
      <c r="CF259" s="523"/>
      <c r="CG259" s="523"/>
      <c r="CH259" s="523"/>
      <c r="CI259" s="523">
        <f t="shared" si="49"/>
        <v>0</v>
      </c>
    </row>
    <row r="260" spans="1:87" ht="25.5" x14ac:dyDescent="0.2">
      <c r="A260" s="125" t="s">
        <v>657</v>
      </c>
      <c r="B260" s="126" t="s">
        <v>2007</v>
      </c>
      <c r="C260" s="126" t="s">
        <v>1339</v>
      </c>
      <c r="D260" s="127" t="s">
        <v>1763</v>
      </c>
      <c r="E260" s="128" t="s">
        <v>102</v>
      </c>
      <c r="F260" s="129"/>
      <c r="G260" s="130">
        <v>205.82</v>
      </c>
      <c r="H260" s="128">
        <v>7</v>
      </c>
      <c r="I260" s="116">
        <f t="shared" si="50"/>
        <v>0</v>
      </c>
      <c r="J260" s="374">
        <f t="shared" si="51"/>
        <v>0</v>
      </c>
      <c r="K260" s="137">
        <f t="shared" ref="K260:K284" si="57">H260-J260</f>
        <v>7</v>
      </c>
      <c r="L260" s="131">
        <f t="shared" ref="L260:O267" si="58">ROUND(H260*$G260,2)</f>
        <v>1440.74</v>
      </c>
      <c r="M260" s="131">
        <f t="shared" si="58"/>
        <v>0</v>
      </c>
      <c r="N260" s="131">
        <f t="shared" si="58"/>
        <v>0</v>
      </c>
      <c r="O260" s="131">
        <f t="shared" si="58"/>
        <v>1440.74</v>
      </c>
      <c r="P260" s="136">
        <f t="shared" si="48"/>
        <v>0</v>
      </c>
      <c r="Q260" s="525"/>
      <c r="S260" s="189">
        <v>0</v>
      </c>
      <c r="T260" s="189">
        <v>0</v>
      </c>
      <c r="BT260" s="525"/>
      <c r="BU260" s="523">
        <v>0</v>
      </c>
      <c r="BV260" s="523"/>
      <c r="BW260" s="523"/>
      <c r="BX260" s="523"/>
      <c r="BY260" s="523"/>
      <c r="BZ260" s="523"/>
      <c r="CA260" s="523"/>
      <c r="CB260" s="523"/>
      <c r="CC260" s="523"/>
      <c r="CD260" s="523"/>
      <c r="CE260" s="523"/>
      <c r="CF260" s="523"/>
      <c r="CG260" s="523"/>
      <c r="CH260" s="523"/>
      <c r="CI260" s="523">
        <f t="shared" si="49"/>
        <v>0</v>
      </c>
    </row>
    <row r="261" spans="1:87" x14ac:dyDescent="0.2">
      <c r="A261" s="125" t="s">
        <v>664</v>
      </c>
      <c r="B261" s="126" t="s">
        <v>2007</v>
      </c>
      <c r="C261" s="126" t="s">
        <v>1339</v>
      </c>
      <c r="D261" s="127" t="s">
        <v>1764</v>
      </c>
      <c r="E261" s="128" t="s">
        <v>102</v>
      </c>
      <c r="F261" s="137">
        <v>179.19</v>
      </c>
      <c r="G261" s="130">
        <v>232.41</v>
      </c>
      <c r="H261" s="128">
        <v>1</v>
      </c>
      <c r="I261" s="116">
        <f t="shared" si="50"/>
        <v>0</v>
      </c>
      <c r="J261" s="374">
        <f t="shared" si="51"/>
        <v>0</v>
      </c>
      <c r="K261" s="137">
        <f t="shared" si="57"/>
        <v>1</v>
      </c>
      <c r="L261" s="131">
        <f t="shared" si="58"/>
        <v>232.41</v>
      </c>
      <c r="M261" s="131">
        <f t="shared" si="58"/>
        <v>0</v>
      </c>
      <c r="N261" s="131">
        <f t="shared" si="58"/>
        <v>0</v>
      </c>
      <c r="O261" s="131">
        <f t="shared" si="58"/>
        <v>232.41</v>
      </c>
      <c r="P261" s="136">
        <f t="shared" si="48"/>
        <v>0</v>
      </c>
      <c r="Q261" s="525"/>
      <c r="S261" s="189">
        <v>0</v>
      </c>
      <c r="T261" s="189">
        <v>0</v>
      </c>
      <c r="BT261" s="525"/>
      <c r="BU261" s="523">
        <v>0</v>
      </c>
      <c r="BV261" s="523"/>
      <c r="BW261" s="523"/>
      <c r="BX261" s="523"/>
      <c r="BY261" s="523"/>
      <c r="BZ261" s="523"/>
      <c r="CA261" s="523"/>
      <c r="CB261" s="523"/>
      <c r="CC261" s="523"/>
      <c r="CD261" s="523"/>
      <c r="CE261" s="523"/>
      <c r="CF261" s="523"/>
      <c r="CG261" s="523"/>
      <c r="CH261" s="523"/>
      <c r="CI261" s="523">
        <f t="shared" si="49"/>
        <v>0</v>
      </c>
    </row>
    <row r="262" spans="1:87" x14ac:dyDescent="0.2">
      <c r="A262" s="125" t="s">
        <v>668</v>
      </c>
      <c r="B262" s="126">
        <v>72929</v>
      </c>
      <c r="C262" s="126" t="s">
        <v>1324</v>
      </c>
      <c r="D262" s="127" t="s">
        <v>1765</v>
      </c>
      <c r="E262" s="128" t="s">
        <v>81</v>
      </c>
      <c r="F262" s="137">
        <v>212.03</v>
      </c>
      <c r="G262" s="130">
        <v>22.1</v>
      </c>
      <c r="H262" s="128">
        <v>39.200000000000003</v>
      </c>
      <c r="I262" s="116">
        <f t="shared" si="50"/>
        <v>0</v>
      </c>
      <c r="J262" s="374">
        <f t="shared" si="51"/>
        <v>0</v>
      </c>
      <c r="K262" s="137">
        <f t="shared" si="57"/>
        <v>39.200000000000003</v>
      </c>
      <c r="L262" s="131">
        <f t="shared" si="58"/>
        <v>866.32</v>
      </c>
      <c r="M262" s="131">
        <f t="shared" si="58"/>
        <v>0</v>
      </c>
      <c r="N262" s="131">
        <f t="shared" si="58"/>
        <v>0</v>
      </c>
      <c r="O262" s="131">
        <f t="shared" si="58"/>
        <v>866.32</v>
      </c>
      <c r="P262" s="136">
        <f t="shared" si="48"/>
        <v>0</v>
      </c>
      <c r="Q262" s="525"/>
      <c r="S262" s="189">
        <v>0</v>
      </c>
      <c r="T262" s="189">
        <v>0</v>
      </c>
      <c r="BT262" s="525"/>
      <c r="BU262" s="523">
        <v>0</v>
      </c>
      <c r="BV262" s="523"/>
      <c r="BW262" s="523"/>
      <c r="BX262" s="523"/>
      <c r="BY262" s="523"/>
      <c r="BZ262" s="523"/>
      <c r="CA262" s="523"/>
      <c r="CB262" s="523"/>
      <c r="CC262" s="523"/>
      <c r="CD262" s="523"/>
      <c r="CE262" s="523"/>
      <c r="CF262" s="523"/>
      <c r="CG262" s="523"/>
      <c r="CH262" s="523"/>
      <c r="CI262" s="523">
        <f t="shared" si="49"/>
        <v>0</v>
      </c>
    </row>
    <row r="263" spans="1:87" x14ac:dyDescent="0.2">
      <c r="A263" s="125" t="s">
        <v>671</v>
      </c>
      <c r="B263" s="126">
        <v>72930</v>
      </c>
      <c r="C263" s="126" t="s">
        <v>1324</v>
      </c>
      <c r="D263" s="127" t="s">
        <v>1766</v>
      </c>
      <c r="E263" s="128" t="s">
        <v>81</v>
      </c>
      <c r="F263" s="137">
        <v>101.58</v>
      </c>
      <c r="G263" s="130">
        <v>31.35</v>
      </c>
      <c r="H263" s="128">
        <v>126.32</v>
      </c>
      <c r="I263" s="116">
        <f t="shared" si="50"/>
        <v>0</v>
      </c>
      <c r="J263" s="374">
        <f t="shared" si="51"/>
        <v>0</v>
      </c>
      <c r="K263" s="137">
        <f t="shared" si="57"/>
        <v>126.32</v>
      </c>
      <c r="L263" s="131">
        <f t="shared" si="58"/>
        <v>3960.13</v>
      </c>
      <c r="M263" s="131">
        <f t="shared" si="58"/>
        <v>0</v>
      </c>
      <c r="N263" s="131">
        <f t="shared" si="58"/>
        <v>0</v>
      </c>
      <c r="O263" s="131">
        <f t="shared" si="58"/>
        <v>3960.13</v>
      </c>
      <c r="P263" s="136">
        <f t="shared" si="48"/>
        <v>0</v>
      </c>
      <c r="Q263" s="525"/>
      <c r="S263" s="189">
        <v>0</v>
      </c>
      <c r="T263" s="189">
        <v>0</v>
      </c>
      <c r="BT263" s="525"/>
      <c r="BU263" s="523">
        <v>0</v>
      </c>
      <c r="BV263" s="523"/>
      <c r="BW263" s="523"/>
      <c r="BX263" s="523"/>
      <c r="BY263" s="523"/>
      <c r="BZ263" s="523"/>
      <c r="CA263" s="523"/>
      <c r="CB263" s="523"/>
      <c r="CC263" s="523"/>
      <c r="CD263" s="523"/>
      <c r="CE263" s="523"/>
      <c r="CF263" s="523"/>
      <c r="CG263" s="523"/>
      <c r="CH263" s="523"/>
      <c r="CI263" s="523">
        <f t="shared" si="49"/>
        <v>0</v>
      </c>
    </row>
    <row r="264" spans="1:87" x14ac:dyDescent="0.2">
      <c r="A264" s="125" t="s">
        <v>679</v>
      </c>
      <c r="B264" s="126">
        <v>93008</v>
      </c>
      <c r="C264" s="126" t="s">
        <v>1324</v>
      </c>
      <c r="D264" s="127" t="s">
        <v>1767</v>
      </c>
      <c r="E264" s="128" t="s">
        <v>81</v>
      </c>
      <c r="F264" s="137">
        <v>412.2</v>
      </c>
      <c r="G264" s="130">
        <v>9.83</v>
      </c>
      <c r="H264" s="128">
        <v>21</v>
      </c>
      <c r="I264" s="116">
        <f t="shared" si="50"/>
        <v>0</v>
      </c>
      <c r="J264" s="374">
        <f t="shared" si="51"/>
        <v>0</v>
      </c>
      <c r="K264" s="137">
        <f t="shared" si="57"/>
        <v>21</v>
      </c>
      <c r="L264" s="131">
        <f t="shared" si="58"/>
        <v>206.43</v>
      </c>
      <c r="M264" s="131">
        <f t="shared" si="58"/>
        <v>0</v>
      </c>
      <c r="N264" s="131">
        <f t="shared" si="58"/>
        <v>0</v>
      </c>
      <c r="O264" s="131">
        <f t="shared" si="58"/>
        <v>206.43</v>
      </c>
      <c r="P264" s="136">
        <f t="shared" si="48"/>
        <v>0</v>
      </c>
      <c r="Q264" s="525"/>
      <c r="S264" s="189">
        <v>0</v>
      </c>
      <c r="T264" s="189">
        <v>0</v>
      </c>
      <c r="BT264" s="525"/>
      <c r="BU264" s="523">
        <v>0</v>
      </c>
      <c r="BV264" s="523"/>
      <c r="BW264" s="523"/>
      <c r="BX264" s="523"/>
      <c r="BY264" s="523"/>
      <c r="BZ264" s="523"/>
      <c r="CA264" s="523"/>
      <c r="CB264" s="523"/>
      <c r="CC264" s="523"/>
      <c r="CD264" s="523"/>
      <c r="CE264" s="523"/>
      <c r="CF264" s="523"/>
      <c r="CG264" s="523"/>
      <c r="CH264" s="523"/>
      <c r="CI264" s="523">
        <f t="shared" si="49"/>
        <v>0</v>
      </c>
    </row>
    <row r="265" spans="1:87" x14ac:dyDescent="0.2">
      <c r="A265" s="125" t="s">
        <v>1768</v>
      </c>
      <c r="B265" s="126" t="s">
        <v>2007</v>
      </c>
      <c r="C265" s="126" t="s">
        <v>1769</v>
      </c>
      <c r="D265" s="127" t="s">
        <v>1770</v>
      </c>
      <c r="E265" s="128" t="s">
        <v>102</v>
      </c>
      <c r="F265" s="137">
        <v>348.66</v>
      </c>
      <c r="G265" s="130">
        <v>38.299999999999997</v>
      </c>
      <c r="H265" s="128">
        <v>7</v>
      </c>
      <c r="I265" s="116">
        <f t="shared" si="50"/>
        <v>0</v>
      </c>
      <c r="J265" s="374">
        <f t="shared" si="51"/>
        <v>0</v>
      </c>
      <c r="K265" s="137">
        <f t="shared" si="57"/>
        <v>7</v>
      </c>
      <c r="L265" s="131">
        <f t="shared" si="58"/>
        <v>268.10000000000002</v>
      </c>
      <c r="M265" s="131">
        <f t="shared" si="58"/>
        <v>0</v>
      </c>
      <c r="N265" s="131">
        <f t="shared" si="58"/>
        <v>0</v>
      </c>
      <c r="O265" s="131">
        <f t="shared" si="58"/>
        <v>268.10000000000002</v>
      </c>
      <c r="P265" s="136">
        <f t="shared" si="48"/>
        <v>0</v>
      </c>
      <c r="Q265" s="525"/>
      <c r="S265" s="189">
        <v>0</v>
      </c>
      <c r="T265" s="189">
        <v>0</v>
      </c>
      <c r="BT265" s="525"/>
      <c r="BU265" s="523">
        <v>0</v>
      </c>
      <c r="BV265" s="523"/>
      <c r="BW265" s="523"/>
      <c r="BX265" s="523"/>
      <c r="BY265" s="523"/>
      <c r="BZ265" s="523"/>
      <c r="CA265" s="523"/>
      <c r="CB265" s="523"/>
      <c r="CC265" s="523"/>
      <c r="CD265" s="523"/>
      <c r="CE265" s="523"/>
      <c r="CF265" s="523"/>
      <c r="CG265" s="523"/>
      <c r="CH265" s="523"/>
      <c r="CI265" s="523">
        <f t="shared" si="49"/>
        <v>0</v>
      </c>
    </row>
    <row r="266" spans="1:87" x14ac:dyDescent="0.2">
      <c r="A266" s="125" t="s">
        <v>1771</v>
      </c>
      <c r="B266" s="126" t="s">
        <v>2007</v>
      </c>
      <c r="C266" s="126" t="s">
        <v>1769</v>
      </c>
      <c r="D266" s="127" t="s">
        <v>1772</v>
      </c>
      <c r="E266" s="128" t="s">
        <v>102</v>
      </c>
      <c r="F266" s="137">
        <v>153.37</v>
      </c>
      <c r="G266" s="130">
        <v>24.49</v>
      </c>
      <c r="H266" s="128">
        <v>7</v>
      </c>
      <c r="I266" s="116">
        <f t="shared" si="50"/>
        <v>0</v>
      </c>
      <c r="J266" s="374">
        <f t="shared" si="51"/>
        <v>0</v>
      </c>
      <c r="K266" s="137">
        <f t="shared" si="57"/>
        <v>7</v>
      </c>
      <c r="L266" s="131">
        <f t="shared" si="58"/>
        <v>171.43</v>
      </c>
      <c r="M266" s="131">
        <f t="shared" si="58"/>
        <v>0</v>
      </c>
      <c r="N266" s="131">
        <f t="shared" si="58"/>
        <v>0</v>
      </c>
      <c r="O266" s="131">
        <f t="shared" si="58"/>
        <v>171.43</v>
      </c>
      <c r="P266" s="136">
        <f t="shared" si="48"/>
        <v>0</v>
      </c>
      <c r="Q266" s="525"/>
      <c r="S266" s="189">
        <v>0</v>
      </c>
      <c r="T266" s="189">
        <v>0</v>
      </c>
      <c r="BT266" s="525"/>
      <c r="BU266" s="523">
        <v>0</v>
      </c>
      <c r="BV266" s="523"/>
      <c r="BW266" s="523"/>
      <c r="BX266" s="523"/>
      <c r="BY266" s="523"/>
      <c r="BZ266" s="523"/>
      <c r="CA266" s="523"/>
      <c r="CB266" s="523"/>
      <c r="CC266" s="523"/>
      <c r="CD266" s="523"/>
      <c r="CE266" s="523"/>
      <c r="CF266" s="523"/>
      <c r="CG266" s="523"/>
      <c r="CH266" s="523"/>
      <c r="CI266" s="523">
        <f t="shared" si="49"/>
        <v>0</v>
      </c>
    </row>
    <row r="267" spans="1:87" x14ac:dyDescent="0.2">
      <c r="A267" s="125" t="s">
        <v>1773</v>
      </c>
      <c r="B267" s="126">
        <v>72262</v>
      </c>
      <c r="C267" s="126" t="s">
        <v>1324</v>
      </c>
      <c r="D267" s="127" t="s">
        <v>1774</v>
      </c>
      <c r="E267" s="128" t="s">
        <v>102</v>
      </c>
      <c r="F267" s="137">
        <v>62.01</v>
      </c>
      <c r="G267" s="130">
        <v>13.09</v>
      </c>
      <c r="H267" s="128">
        <v>7</v>
      </c>
      <c r="I267" s="116">
        <f t="shared" si="50"/>
        <v>0</v>
      </c>
      <c r="J267" s="374">
        <f t="shared" si="51"/>
        <v>0</v>
      </c>
      <c r="K267" s="137">
        <f t="shared" si="57"/>
        <v>7</v>
      </c>
      <c r="L267" s="131">
        <f t="shared" si="58"/>
        <v>91.63</v>
      </c>
      <c r="M267" s="131">
        <f t="shared" si="58"/>
        <v>0</v>
      </c>
      <c r="N267" s="131">
        <f t="shared" si="58"/>
        <v>0</v>
      </c>
      <c r="O267" s="131">
        <f t="shared" si="58"/>
        <v>91.63</v>
      </c>
      <c r="P267" s="136">
        <f t="shared" si="48"/>
        <v>0</v>
      </c>
      <c r="Q267" s="525"/>
      <c r="S267" s="189">
        <v>0</v>
      </c>
      <c r="T267" s="189">
        <v>0</v>
      </c>
      <c r="BT267" s="525"/>
      <c r="BU267" s="523">
        <v>0</v>
      </c>
      <c r="BV267" s="523"/>
      <c r="BW267" s="523"/>
      <c r="BX267" s="523"/>
      <c r="BY267" s="523"/>
      <c r="BZ267" s="523"/>
      <c r="CA267" s="523"/>
      <c r="CB267" s="523"/>
      <c r="CC267" s="523"/>
      <c r="CD267" s="523"/>
      <c r="CE267" s="523"/>
      <c r="CF267" s="523"/>
      <c r="CG267" s="523"/>
      <c r="CH267" s="523"/>
      <c r="CI267" s="523">
        <f t="shared" si="49"/>
        <v>0</v>
      </c>
    </row>
    <row r="268" spans="1:87" s="514" customFormat="1" x14ac:dyDescent="0.2">
      <c r="A268" s="412">
        <v>19</v>
      </c>
      <c r="B268" s="413"/>
      <c r="C268" s="413"/>
      <c r="D268" s="414" t="s">
        <v>304</v>
      </c>
      <c r="E268" s="415"/>
      <c r="F268" s="415"/>
      <c r="G268" s="415"/>
      <c r="H268" s="415"/>
      <c r="I268" s="415"/>
      <c r="J268" s="415"/>
      <c r="K268" s="415"/>
      <c r="L268" s="416">
        <f>SUM(L269,L275)</f>
        <v>28168.979999999996</v>
      </c>
      <c r="M268" s="416">
        <f>SUM(M269,M275)</f>
        <v>0</v>
      </c>
      <c r="N268" s="416">
        <f>SUM(N269,N275)</f>
        <v>0</v>
      </c>
      <c r="O268" s="416">
        <f>SUM(O269,O275)</f>
        <v>28168.979999999996</v>
      </c>
      <c r="P268" s="423">
        <f t="shared" si="48"/>
        <v>0</v>
      </c>
      <c r="Q268" s="525"/>
      <c r="S268" s="190">
        <v>0</v>
      </c>
      <c r="T268" s="190">
        <v>0</v>
      </c>
      <c r="BT268" s="525"/>
      <c r="BU268" s="523"/>
      <c r="BV268" s="523"/>
      <c r="BW268" s="523"/>
      <c r="BX268" s="523"/>
      <c r="BY268" s="523"/>
      <c r="BZ268" s="523"/>
      <c r="CA268" s="523"/>
      <c r="CB268" s="523"/>
      <c r="CC268" s="523"/>
      <c r="CD268" s="523"/>
      <c r="CE268" s="523"/>
      <c r="CF268" s="523"/>
      <c r="CG268" s="523"/>
      <c r="CH268" s="523"/>
      <c r="CI268" s="523">
        <f t="shared" si="49"/>
        <v>0</v>
      </c>
    </row>
    <row r="269" spans="1:87" x14ac:dyDescent="0.2">
      <c r="A269" s="449" t="s">
        <v>685</v>
      </c>
      <c r="B269" s="450"/>
      <c r="C269" s="450"/>
      <c r="D269" s="451" t="s">
        <v>1775</v>
      </c>
      <c r="E269" s="452"/>
      <c r="F269" s="452"/>
      <c r="G269" s="452"/>
      <c r="H269" s="452"/>
      <c r="I269" s="452"/>
      <c r="J269" s="452"/>
      <c r="K269" s="452"/>
      <c r="L269" s="452">
        <f>SUM(L270:L274)</f>
        <v>6263.99</v>
      </c>
      <c r="M269" s="452">
        <f>SUM(M270:M274)</f>
        <v>0</v>
      </c>
      <c r="N269" s="452">
        <f>SUM(N270:N274)</f>
        <v>0</v>
      </c>
      <c r="O269" s="452">
        <f>SUM(O270:O274)</f>
        <v>6263.99</v>
      </c>
      <c r="P269" s="459">
        <f t="shared" ref="P269:P283" si="59">N269/L269</f>
        <v>0</v>
      </c>
      <c r="Q269" s="525"/>
      <c r="S269" s="189">
        <v>0</v>
      </c>
      <c r="T269" s="189">
        <v>0</v>
      </c>
      <c r="BT269" s="525"/>
      <c r="BU269" s="523"/>
      <c r="BV269" s="523"/>
      <c r="BW269" s="523"/>
      <c r="BX269" s="523"/>
      <c r="BY269" s="523"/>
      <c r="BZ269" s="523"/>
      <c r="CA269" s="523"/>
      <c r="CB269" s="523"/>
      <c r="CC269" s="523"/>
      <c r="CD269" s="523"/>
      <c r="CE269" s="523"/>
      <c r="CF269" s="523"/>
      <c r="CG269" s="523"/>
      <c r="CH269" s="523"/>
      <c r="CI269" s="523">
        <f t="shared" si="49"/>
        <v>0</v>
      </c>
    </row>
    <row r="270" spans="1:87" x14ac:dyDescent="0.2">
      <c r="A270" s="125" t="s">
        <v>1776</v>
      </c>
      <c r="B270" s="126" t="s">
        <v>2007</v>
      </c>
      <c r="C270" s="126" t="s">
        <v>1339</v>
      </c>
      <c r="D270" s="127" t="s">
        <v>1777</v>
      </c>
      <c r="E270" s="128" t="s">
        <v>14</v>
      </c>
      <c r="F270" s="137">
        <v>224.79</v>
      </c>
      <c r="G270" s="130">
        <v>236.77</v>
      </c>
      <c r="H270" s="128">
        <v>2.5</v>
      </c>
      <c r="I270" s="116">
        <f t="shared" si="50"/>
        <v>0</v>
      </c>
      <c r="J270" s="374">
        <f t="shared" si="51"/>
        <v>0</v>
      </c>
      <c r="K270" s="137">
        <f t="shared" si="57"/>
        <v>2.5</v>
      </c>
      <c r="L270" s="131">
        <f t="shared" ref="L270:O274" si="60">ROUND(H270*$G270,2)</f>
        <v>591.92999999999995</v>
      </c>
      <c r="M270" s="131">
        <f t="shared" si="60"/>
        <v>0</v>
      </c>
      <c r="N270" s="131">
        <f t="shared" si="60"/>
        <v>0</v>
      </c>
      <c r="O270" s="131">
        <f t="shared" si="60"/>
        <v>591.92999999999995</v>
      </c>
      <c r="P270" s="136">
        <f t="shared" si="59"/>
        <v>0</v>
      </c>
      <c r="Q270" s="525"/>
      <c r="S270" s="189">
        <v>0</v>
      </c>
      <c r="T270" s="189">
        <v>0</v>
      </c>
      <c r="BT270" s="525"/>
      <c r="BU270" s="523">
        <v>0</v>
      </c>
      <c r="BV270" s="523"/>
      <c r="BW270" s="523"/>
      <c r="BX270" s="523"/>
      <c r="BY270" s="523"/>
      <c r="BZ270" s="523"/>
      <c r="CA270" s="523"/>
      <c r="CB270" s="523"/>
      <c r="CC270" s="523"/>
      <c r="CD270" s="523"/>
      <c r="CE270" s="523"/>
      <c r="CF270" s="523"/>
      <c r="CG270" s="523"/>
      <c r="CH270" s="523"/>
      <c r="CI270" s="523">
        <f t="shared" si="49"/>
        <v>0</v>
      </c>
    </row>
    <row r="271" spans="1:87" x14ac:dyDescent="0.2">
      <c r="A271" s="125" t="s">
        <v>1778</v>
      </c>
      <c r="B271" s="126" t="s">
        <v>2007</v>
      </c>
      <c r="C271" s="126" t="s">
        <v>1339</v>
      </c>
      <c r="D271" s="127" t="s">
        <v>1779</v>
      </c>
      <c r="E271" s="128" t="s">
        <v>102</v>
      </c>
      <c r="F271" s="137">
        <v>170.36</v>
      </c>
      <c r="G271" s="130">
        <v>1103.49</v>
      </c>
      <c r="H271" s="128">
        <v>1</v>
      </c>
      <c r="I271" s="116">
        <f t="shared" si="50"/>
        <v>0</v>
      </c>
      <c r="J271" s="374">
        <f t="shared" si="51"/>
        <v>0</v>
      </c>
      <c r="K271" s="137">
        <f t="shared" si="57"/>
        <v>1</v>
      </c>
      <c r="L271" s="131">
        <f t="shared" si="60"/>
        <v>1103.49</v>
      </c>
      <c r="M271" s="131">
        <f t="shared" si="60"/>
        <v>0</v>
      </c>
      <c r="N271" s="131">
        <f t="shared" si="60"/>
        <v>0</v>
      </c>
      <c r="O271" s="131">
        <f t="shared" si="60"/>
        <v>1103.49</v>
      </c>
      <c r="P271" s="136">
        <f t="shared" si="59"/>
        <v>0</v>
      </c>
      <c r="Q271" s="525"/>
      <c r="S271" s="189">
        <v>0</v>
      </c>
      <c r="T271" s="189">
        <v>0</v>
      </c>
      <c r="BT271" s="525"/>
      <c r="BU271" s="523">
        <v>0</v>
      </c>
      <c r="BV271" s="523"/>
      <c r="BW271" s="523"/>
      <c r="BX271" s="523"/>
      <c r="BY271" s="523"/>
      <c r="BZ271" s="523"/>
      <c r="CA271" s="523"/>
      <c r="CB271" s="523"/>
      <c r="CC271" s="523"/>
      <c r="CD271" s="523"/>
      <c r="CE271" s="523"/>
      <c r="CF271" s="523"/>
      <c r="CG271" s="523"/>
      <c r="CH271" s="523"/>
      <c r="CI271" s="523">
        <f t="shared" ref="CI271:CI284" si="61">SUM(BU271:CH271)</f>
        <v>0</v>
      </c>
    </row>
    <row r="272" spans="1:87" x14ac:dyDescent="0.2">
      <c r="A272" s="125" t="s">
        <v>1780</v>
      </c>
      <c r="B272" s="126" t="s">
        <v>2007</v>
      </c>
      <c r="C272" s="126" t="s">
        <v>1339</v>
      </c>
      <c r="D272" s="127" t="s">
        <v>1781</v>
      </c>
      <c r="E272" s="128" t="s">
        <v>102</v>
      </c>
      <c r="F272" s="137">
        <v>108</v>
      </c>
      <c r="G272" s="130">
        <v>1841.38</v>
      </c>
      <c r="H272" s="128">
        <v>1</v>
      </c>
      <c r="I272" s="116">
        <f t="shared" si="50"/>
        <v>0</v>
      </c>
      <c r="J272" s="374">
        <f t="shared" si="51"/>
        <v>0</v>
      </c>
      <c r="K272" s="137">
        <f t="shared" si="57"/>
        <v>1</v>
      </c>
      <c r="L272" s="131">
        <f t="shared" si="60"/>
        <v>1841.38</v>
      </c>
      <c r="M272" s="131">
        <f t="shared" si="60"/>
        <v>0</v>
      </c>
      <c r="N272" s="131">
        <f t="shared" si="60"/>
        <v>0</v>
      </c>
      <c r="O272" s="131">
        <f t="shared" si="60"/>
        <v>1841.38</v>
      </c>
      <c r="P272" s="136">
        <f t="shared" si="59"/>
        <v>0</v>
      </c>
      <c r="Q272" s="525"/>
      <c r="S272" s="189">
        <v>0</v>
      </c>
      <c r="T272" s="189">
        <v>0</v>
      </c>
      <c r="BT272" s="525"/>
      <c r="BU272" s="523">
        <v>0</v>
      </c>
      <c r="BV272" s="523"/>
      <c r="BW272" s="523"/>
      <c r="BX272" s="523"/>
      <c r="BY272" s="523"/>
      <c r="BZ272" s="523"/>
      <c r="CA272" s="523"/>
      <c r="CB272" s="523"/>
      <c r="CC272" s="523"/>
      <c r="CD272" s="523"/>
      <c r="CE272" s="523"/>
      <c r="CF272" s="523"/>
      <c r="CG272" s="523"/>
      <c r="CH272" s="523"/>
      <c r="CI272" s="523">
        <f t="shared" si="61"/>
        <v>0</v>
      </c>
    </row>
    <row r="273" spans="1:87" x14ac:dyDescent="0.2">
      <c r="A273" s="125" t="s">
        <v>1782</v>
      </c>
      <c r="B273" s="126" t="s">
        <v>2007</v>
      </c>
      <c r="C273" s="126" t="s">
        <v>1339</v>
      </c>
      <c r="D273" s="127" t="s">
        <v>1783</v>
      </c>
      <c r="E273" s="128" t="s">
        <v>102</v>
      </c>
      <c r="F273" s="137">
        <v>1249</v>
      </c>
      <c r="G273" s="130">
        <v>777.91</v>
      </c>
      <c r="H273" s="128">
        <v>1</v>
      </c>
      <c r="I273" s="116">
        <f t="shared" ref="I273:I284" si="62">BU273</f>
        <v>0</v>
      </c>
      <c r="J273" s="374">
        <f t="shared" ref="J273:J284" si="63">CI273</f>
        <v>0</v>
      </c>
      <c r="K273" s="137">
        <f t="shared" si="57"/>
        <v>1</v>
      </c>
      <c r="L273" s="131">
        <f t="shared" si="60"/>
        <v>777.91</v>
      </c>
      <c r="M273" s="131">
        <f t="shared" si="60"/>
        <v>0</v>
      </c>
      <c r="N273" s="131">
        <f t="shared" si="60"/>
        <v>0</v>
      </c>
      <c r="O273" s="131">
        <f t="shared" si="60"/>
        <v>777.91</v>
      </c>
      <c r="P273" s="136">
        <f t="shared" si="59"/>
        <v>0</v>
      </c>
      <c r="Q273" s="525"/>
      <c r="S273" s="189">
        <v>0</v>
      </c>
      <c r="T273" s="189">
        <v>0</v>
      </c>
      <c r="BT273" s="525"/>
      <c r="BU273" s="523">
        <v>0</v>
      </c>
      <c r="BV273" s="523"/>
      <c r="BW273" s="523"/>
      <c r="BX273" s="523"/>
      <c r="BY273" s="523"/>
      <c r="BZ273" s="523"/>
      <c r="CA273" s="523"/>
      <c r="CB273" s="523"/>
      <c r="CC273" s="523"/>
      <c r="CD273" s="523"/>
      <c r="CE273" s="523"/>
      <c r="CF273" s="523"/>
      <c r="CG273" s="523"/>
      <c r="CH273" s="523"/>
      <c r="CI273" s="523">
        <f t="shared" si="61"/>
        <v>0</v>
      </c>
    </row>
    <row r="274" spans="1:87" s="514" customFormat="1" x14ac:dyDescent="0.2">
      <c r="A274" s="125" t="s">
        <v>1784</v>
      </c>
      <c r="B274" s="126">
        <v>84862</v>
      </c>
      <c r="C274" s="126" t="s">
        <v>1324</v>
      </c>
      <c r="D274" s="127" t="s">
        <v>1785</v>
      </c>
      <c r="E274" s="128" t="s">
        <v>81</v>
      </c>
      <c r="F274" s="137">
        <v>74.2</v>
      </c>
      <c r="G274" s="130">
        <v>203.05</v>
      </c>
      <c r="H274" s="128">
        <v>9.6</v>
      </c>
      <c r="I274" s="116">
        <f t="shared" si="62"/>
        <v>0</v>
      </c>
      <c r="J274" s="374">
        <f t="shared" si="63"/>
        <v>0</v>
      </c>
      <c r="K274" s="137">
        <f t="shared" si="57"/>
        <v>9.6</v>
      </c>
      <c r="L274" s="131">
        <f t="shared" si="60"/>
        <v>1949.28</v>
      </c>
      <c r="M274" s="131">
        <f t="shared" si="60"/>
        <v>0</v>
      </c>
      <c r="N274" s="131">
        <f t="shared" si="60"/>
        <v>0</v>
      </c>
      <c r="O274" s="131">
        <f t="shared" si="60"/>
        <v>1949.28</v>
      </c>
      <c r="P274" s="136">
        <f t="shared" si="59"/>
        <v>0</v>
      </c>
      <c r="Q274" s="525"/>
      <c r="S274" s="190">
        <v>0</v>
      </c>
      <c r="T274" s="190">
        <v>0</v>
      </c>
      <c r="BT274" s="525"/>
      <c r="BU274" s="523">
        <v>0</v>
      </c>
      <c r="BV274" s="523"/>
      <c r="BW274" s="523"/>
      <c r="BX274" s="523"/>
      <c r="BY274" s="523"/>
      <c r="BZ274" s="523"/>
      <c r="CA274" s="523"/>
      <c r="CB274" s="523"/>
      <c r="CC274" s="523"/>
      <c r="CD274" s="523"/>
      <c r="CE274" s="523"/>
      <c r="CF274" s="523"/>
      <c r="CG274" s="523"/>
      <c r="CH274" s="523"/>
      <c r="CI274" s="523">
        <f t="shared" si="61"/>
        <v>0</v>
      </c>
    </row>
    <row r="275" spans="1:87" x14ac:dyDescent="0.2">
      <c r="A275" s="449" t="s">
        <v>691</v>
      </c>
      <c r="B275" s="450"/>
      <c r="C275" s="450"/>
      <c r="D275" s="451" t="s">
        <v>1786</v>
      </c>
      <c r="E275" s="452"/>
      <c r="F275" s="452"/>
      <c r="G275" s="452"/>
      <c r="H275" s="452"/>
      <c r="I275" s="452"/>
      <c r="J275" s="452"/>
      <c r="K275" s="452"/>
      <c r="L275" s="452">
        <f>SUM(L276:L277)</f>
        <v>21904.989999999998</v>
      </c>
      <c r="M275" s="452">
        <f>SUM(M276:M277)</f>
        <v>0</v>
      </c>
      <c r="N275" s="452">
        <f>SUM(N276:N277)</f>
        <v>0</v>
      </c>
      <c r="O275" s="452">
        <f>SUM(O276:O277)</f>
        <v>21904.989999999998</v>
      </c>
      <c r="P275" s="459">
        <f t="shared" si="59"/>
        <v>0</v>
      </c>
      <c r="Q275" s="525"/>
      <c r="S275" s="189">
        <v>0</v>
      </c>
      <c r="T275" s="189">
        <v>0</v>
      </c>
      <c r="BT275" s="525"/>
      <c r="BU275" s="523"/>
      <c r="BV275" s="523"/>
      <c r="BW275" s="523"/>
      <c r="BX275" s="523"/>
      <c r="BY275" s="523"/>
      <c r="BZ275" s="523"/>
      <c r="CA275" s="523"/>
      <c r="CB275" s="523"/>
      <c r="CC275" s="523"/>
      <c r="CD275" s="523"/>
      <c r="CE275" s="523"/>
      <c r="CF275" s="523"/>
      <c r="CG275" s="523"/>
      <c r="CH275" s="523"/>
      <c r="CI275" s="523">
        <f t="shared" si="61"/>
        <v>0</v>
      </c>
    </row>
    <row r="276" spans="1:87" ht="25.5" x14ac:dyDescent="0.2">
      <c r="A276" s="125" t="s">
        <v>1787</v>
      </c>
      <c r="B276" s="126" t="s">
        <v>1788</v>
      </c>
      <c r="C276" s="126" t="s">
        <v>1324</v>
      </c>
      <c r="D276" s="127" t="s">
        <v>1789</v>
      </c>
      <c r="E276" s="128" t="s">
        <v>14</v>
      </c>
      <c r="F276" s="137">
        <v>62.36</v>
      </c>
      <c r="G276" s="130">
        <v>103.67</v>
      </c>
      <c r="H276" s="128">
        <v>201</v>
      </c>
      <c r="I276" s="116">
        <f t="shared" si="62"/>
        <v>0</v>
      </c>
      <c r="J276" s="374">
        <f t="shared" si="63"/>
        <v>0</v>
      </c>
      <c r="K276" s="137">
        <f t="shared" si="57"/>
        <v>201</v>
      </c>
      <c r="L276" s="131">
        <f t="shared" ref="L276:O277" si="64">ROUND(H276*$G276,2)</f>
        <v>20837.669999999998</v>
      </c>
      <c r="M276" s="131">
        <f t="shared" si="64"/>
        <v>0</v>
      </c>
      <c r="N276" s="131">
        <f t="shared" si="64"/>
        <v>0</v>
      </c>
      <c r="O276" s="131">
        <f t="shared" si="64"/>
        <v>20837.669999999998</v>
      </c>
      <c r="P276" s="136">
        <f t="shared" si="59"/>
        <v>0</v>
      </c>
      <c r="Q276" s="525"/>
      <c r="S276" s="189">
        <v>0</v>
      </c>
      <c r="T276" s="189">
        <v>0</v>
      </c>
      <c r="BT276" s="525"/>
      <c r="BU276" s="523">
        <v>0</v>
      </c>
      <c r="BV276" s="523"/>
      <c r="BW276" s="523"/>
      <c r="BX276" s="523"/>
      <c r="BY276" s="523"/>
      <c r="BZ276" s="523"/>
      <c r="CA276" s="523"/>
      <c r="CB276" s="523"/>
      <c r="CC276" s="523"/>
      <c r="CD276" s="523"/>
      <c r="CE276" s="523"/>
      <c r="CF276" s="523"/>
      <c r="CG276" s="523"/>
      <c r="CH276" s="523"/>
      <c r="CI276" s="523">
        <f t="shared" si="61"/>
        <v>0</v>
      </c>
    </row>
    <row r="277" spans="1:87" s="514" customFormat="1" x14ac:dyDescent="0.2">
      <c r="A277" s="125" t="s">
        <v>1790</v>
      </c>
      <c r="B277" s="126" t="s">
        <v>2007</v>
      </c>
      <c r="C277" s="126" t="s">
        <v>1339</v>
      </c>
      <c r="D277" s="127" t="s">
        <v>1791</v>
      </c>
      <c r="E277" s="128" t="s">
        <v>102</v>
      </c>
      <c r="F277" s="137">
        <v>100.46</v>
      </c>
      <c r="G277" s="130">
        <v>266.83</v>
      </c>
      <c r="H277" s="128">
        <v>4</v>
      </c>
      <c r="I277" s="116">
        <f t="shared" si="62"/>
        <v>0</v>
      </c>
      <c r="J277" s="374">
        <f t="shared" si="63"/>
        <v>0</v>
      </c>
      <c r="K277" s="137">
        <f t="shared" si="57"/>
        <v>4</v>
      </c>
      <c r="L277" s="131">
        <f t="shared" si="64"/>
        <v>1067.32</v>
      </c>
      <c r="M277" s="131">
        <f t="shared" si="64"/>
        <v>0</v>
      </c>
      <c r="N277" s="131">
        <f t="shared" si="64"/>
        <v>0</v>
      </c>
      <c r="O277" s="131">
        <f t="shared" si="64"/>
        <v>1067.32</v>
      </c>
      <c r="P277" s="136">
        <f t="shared" si="59"/>
        <v>0</v>
      </c>
      <c r="Q277" s="525"/>
      <c r="S277" s="190">
        <v>0</v>
      </c>
      <c r="T277" s="190">
        <v>0</v>
      </c>
      <c r="BT277" s="525"/>
      <c r="BU277" s="523">
        <v>0</v>
      </c>
      <c r="BV277" s="523"/>
      <c r="BW277" s="523"/>
      <c r="BX277" s="523"/>
      <c r="BY277" s="523"/>
      <c r="BZ277" s="523"/>
      <c r="CA277" s="523"/>
      <c r="CB277" s="523"/>
      <c r="CC277" s="523"/>
      <c r="CD277" s="523"/>
      <c r="CE277" s="523"/>
      <c r="CF277" s="523"/>
      <c r="CG277" s="523"/>
      <c r="CH277" s="523"/>
      <c r="CI277" s="523">
        <f t="shared" si="61"/>
        <v>0</v>
      </c>
    </row>
    <row r="278" spans="1:87" x14ac:dyDescent="0.2">
      <c r="A278" s="412">
        <v>20</v>
      </c>
      <c r="B278" s="413"/>
      <c r="C278" s="413"/>
      <c r="D278" s="414" t="s">
        <v>1232</v>
      </c>
      <c r="E278" s="415"/>
      <c r="F278" s="415"/>
      <c r="G278" s="415"/>
      <c r="H278" s="415"/>
      <c r="I278" s="415"/>
      <c r="J278" s="415"/>
      <c r="K278" s="415"/>
      <c r="L278" s="416">
        <f>SUM(L279:L283)</f>
        <v>4777.13</v>
      </c>
      <c r="M278" s="416">
        <f>SUM(M279:M283)</f>
        <v>0</v>
      </c>
      <c r="N278" s="416">
        <f>SUM(N279:N283)</f>
        <v>0</v>
      </c>
      <c r="O278" s="416">
        <f>SUM(O279:O283)</f>
        <v>4777.13</v>
      </c>
      <c r="P278" s="423">
        <f t="shared" si="59"/>
        <v>0</v>
      </c>
      <c r="Q278" s="525"/>
      <c r="S278" s="189">
        <v>0</v>
      </c>
      <c r="T278" s="189">
        <v>0</v>
      </c>
      <c r="BT278" s="525"/>
      <c r="BU278" s="523"/>
      <c r="BV278" s="523"/>
      <c r="BW278" s="523"/>
      <c r="BX278" s="523"/>
      <c r="BY278" s="523"/>
      <c r="BZ278" s="523"/>
      <c r="CA278" s="523"/>
      <c r="CB278" s="523"/>
      <c r="CC278" s="523"/>
      <c r="CD278" s="523"/>
      <c r="CE278" s="523"/>
      <c r="CF278" s="523"/>
      <c r="CG278" s="523"/>
      <c r="CH278" s="523"/>
      <c r="CI278" s="523">
        <f t="shared" si="61"/>
        <v>0</v>
      </c>
    </row>
    <row r="279" spans="1:87" x14ac:dyDescent="0.2">
      <c r="A279" s="125" t="s">
        <v>719</v>
      </c>
      <c r="B279" s="126" t="s">
        <v>1792</v>
      </c>
      <c r="C279" s="126" t="s">
        <v>1324</v>
      </c>
      <c r="D279" s="127" t="s">
        <v>1793</v>
      </c>
      <c r="E279" s="128" t="s">
        <v>14</v>
      </c>
      <c r="F279" s="137">
        <v>37.18</v>
      </c>
      <c r="G279" s="130">
        <v>4.97</v>
      </c>
      <c r="H279" s="128">
        <v>296.01</v>
      </c>
      <c r="I279" s="116">
        <f t="shared" si="62"/>
        <v>0</v>
      </c>
      <c r="J279" s="374">
        <f t="shared" si="63"/>
        <v>0</v>
      </c>
      <c r="K279" s="137">
        <f t="shared" si="57"/>
        <v>296.01</v>
      </c>
      <c r="L279" s="131">
        <f t="shared" ref="L279:O283" si="65">ROUND(H279*$G279,2)</f>
        <v>1471.17</v>
      </c>
      <c r="M279" s="131">
        <f t="shared" si="65"/>
        <v>0</v>
      </c>
      <c r="N279" s="131">
        <f t="shared" si="65"/>
        <v>0</v>
      </c>
      <c r="O279" s="131">
        <f t="shared" si="65"/>
        <v>1471.17</v>
      </c>
      <c r="P279" s="136">
        <f t="shared" si="59"/>
        <v>0</v>
      </c>
      <c r="Q279" s="525"/>
      <c r="S279" s="189">
        <v>0</v>
      </c>
      <c r="T279" s="189">
        <v>0</v>
      </c>
      <c r="BT279" s="525"/>
      <c r="BU279" s="523">
        <v>0</v>
      </c>
      <c r="BV279" s="523"/>
      <c r="BW279" s="523"/>
      <c r="BX279" s="523"/>
      <c r="BY279" s="523"/>
      <c r="BZ279" s="523"/>
      <c r="CA279" s="523"/>
      <c r="CB279" s="523"/>
      <c r="CC279" s="523"/>
      <c r="CD279" s="523"/>
      <c r="CE279" s="523"/>
      <c r="CF279" s="523"/>
      <c r="CG279" s="523"/>
      <c r="CH279" s="523"/>
      <c r="CI279" s="523">
        <f t="shared" si="61"/>
        <v>0</v>
      </c>
    </row>
    <row r="280" spans="1:87" x14ac:dyDescent="0.2">
      <c r="A280" s="125" t="s">
        <v>726</v>
      </c>
      <c r="B280" s="126" t="s">
        <v>1794</v>
      </c>
      <c r="C280" s="126" t="s">
        <v>1324</v>
      </c>
      <c r="D280" s="127" t="s">
        <v>1795</v>
      </c>
      <c r="E280" s="128" t="s">
        <v>14</v>
      </c>
      <c r="F280" s="137">
        <v>14.42</v>
      </c>
      <c r="G280" s="130">
        <v>9.57</v>
      </c>
      <c r="H280" s="128">
        <v>21.9</v>
      </c>
      <c r="I280" s="116">
        <f t="shared" si="62"/>
        <v>0</v>
      </c>
      <c r="J280" s="374">
        <f t="shared" si="63"/>
        <v>0</v>
      </c>
      <c r="K280" s="137">
        <f t="shared" si="57"/>
        <v>21.9</v>
      </c>
      <c r="L280" s="131">
        <f t="shared" si="65"/>
        <v>209.58</v>
      </c>
      <c r="M280" s="131">
        <f t="shared" si="65"/>
        <v>0</v>
      </c>
      <c r="N280" s="131">
        <f t="shared" si="65"/>
        <v>0</v>
      </c>
      <c r="O280" s="131">
        <f t="shared" si="65"/>
        <v>209.58</v>
      </c>
      <c r="P280" s="136">
        <f t="shared" si="59"/>
        <v>0</v>
      </c>
      <c r="Q280" s="525"/>
      <c r="S280" s="189">
        <v>0</v>
      </c>
      <c r="T280" s="189">
        <v>0</v>
      </c>
      <c r="BT280" s="525"/>
      <c r="BU280" s="523">
        <v>0</v>
      </c>
      <c r="BV280" s="523"/>
      <c r="BW280" s="523"/>
      <c r="BX280" s="523"/>
      <c r="BY280" s="523"/>
      <c r="BZ280" s="523"/>
      <c r="CA280" s="523"/>
      <c r="CB280" s="523"/>
      <c r="CC280" s="523"/>
      <c r="CD280" s="523"/>
      <c r="CE280" s="523"/>
      <c r="CF280" s="523"/>
      <c r="CG280" s="523"/>
      <c r="CH280" s="523"/>
      <c r="CI280" s="523">
        <f t="shared" si="61"/>
        <v>0</v>
      </c>
    </row>
    <row r="281" spans="1:87" x14ac:dyDescent="0.2">
      <c r="A281" s="125" t="s">
        <v>730</v>
      </c>
      <c r="B281" s="126" t="s">
        <v>1796</v>
      </c>
      <c r="C281" s="126" t="s">
        <v>1324</v>
      </c>
      <c r="D281" s="127" t="s">
        <v>1797</v>
      </c>
      <c r="E281" s="128" t="s">
        <v>14</v>
      </c>
      <c r="F281" s="137">
        <v>22.57</v>
      </c>
      <c r="G281" s="130">
        <v>11.45</v>
      </c>
      <c r="H281" s="128">
        <v>64.91</v>
      </c>
      <c r="I281" s="116">
        <f t="shared" si="62"/>
        <v>0</v>
      </c>
      <c r="J281" s="374">
        <f t="shared" si="63"/>
        <v>0</v>
      </c>
      <c r="K281" s="137">
        <f t="shared" si="57"/>
        <v>64.91</v>
      </c>
      <c r="L281" s="131">
        <f t="shared" si="65"/>
        <v>743.22</v>
      </c>
      <c r="M281" s="131">
        <f t="shared" si="65"/>
        <v>0</v>
      </c>
      <c r="N281" s="131">
        <f t="shared" si="65"/>
        <v>0</v>
      </c>
      <c r="O281" s="131">
        <f t="shared" si="65"/>
        <v>743.22</v>
      </c>
      <c r="P281" s="136">
        <f t="shared" si="59"/>
        <v>0</v>
      </c>
      <c r="Q281" s="525"/>
      <c r="S281" s="189">
        <v>0</v>
      </c>
      <c r="T281" s="189">
        <v>0</v>
      </c>
      <c r="BT281" s="525"/>
      <c r="BU281" s="523">
        <v>0</v>
      </c>
      <c r="BV281" s="523"/>
      <c r="BW281" s="523"/>
      <c r="BX281" s="523"/>
      <c r="BY281" s="523"/>
      <c r="BZ281" s="523"/>
      <c r="CA281" s="523"/>
      <c r="CB281" s="523"/>
      <c r="CC281" s="523"/>
      <c r="CD281" s="523"/>
      <c r="CE281" s="523"/>
      <c r="CF281" s="523"/>
      <c r="CG281" s="523"/>
      <c r="CH281" s="523"/>
      <c r="CI281" s="523">
        <f t="shared" si="61"/>
        <v>0</v>
      </c>
    </row>
    <row r="282" spans="1:87" x14ac:dyDescent="0.2">
      <c r="A282" s="125" t="s">
        <v>739</v>
      </c>
      <c r="B282" s="126" t="s">
        <v>1798</v>
      </c>
      <c r="C282" s="126" t="s">
        <v>1324</v>
      </c>
      <c r="D282" s="127" t="s">
        <v>1799</v>
      </c>
      <c r="E282" s="128" t="s">
        <v>14</v>
      </c>
      <c r="F282" s="137">
        <v>26.75</v>
      </c>
      <c r="G282" s="130">
        <v>1.53</v>
      </c>
      <c r="H282" s="128">
        <v>676.67</v>
      </c>
      <c r="I282" s="116">
        <f t="shared" si="62"/>
        <v>0</v>
      </c>
      <c r="J282" s="374">
        <f t="shared" si="63"/>
        <v>0</v>
      </c>
      <c r="K282" s="137">
        <f t="shared" si="57"/>
        <v>676.67</v>
      </c>
      <c r="L282" s="131">
        <f t="shared" si="65"/>
        <v>1035.31</v>
      </c>
      <c r="M282" s="131">
        <f t="shared" si="65"/>
        <v>0</v>
      </c>
      <c r="N282" s="131">
        <f t="shared" si="65"/>
        <v>0</v>
      </c>
      <c r="O282" s="131">
        <f t="shared" si="65"/>
        <v>1035.31</v>
      </c>
      <c r="P282" s="136">
        <f t="shared" si="59"/>
        <v>0</v>
      </c>
      <c r="Q282" s="525"/>
      <c r="S282" s="189">
        <v>0</v>
      </c>
      <c r="T282" s="189">
        <v>0</v>
      </c>
      <c r="BT282" s="525"/>
      <c r="BU282" s="523">
        <v>0</v>
      </c>
      <c r="BV282" s="523"/>
      <c r="BW282" s="523"/>
      <c r="BX282" s="523"/>
      <c r="BY282" s="523"/>
      <c r="BZ282" s="523"/>
      <c r="CA282" s="523"/>
      <c r="CB282" s="523"/>
      <c r="CC282" s="523"/>
      <c r="CD282" s="523"/>
      <c r="CE282" s="523"/>
      <c r="CF282" s="523"/>
      <c r="CG282" s="523"/>
      <c r="CH282" s="523"/>
      <c r="CI282" s="523">
        <f t="shared" si="61"/>
        <v>0</v>
      </c>
    </row>
    <row r="283" spans="1:87" x14ac:dyDescent="0.2">
      <c r="A283" s="125" t="s">
        <v>743</v>
      </c>
      <c r="B283" s="126">
        <v>84122</v>
      </c>
      <c r="C283" s="126" t="s">
        <v>1324</v>
      </c>
      <c r="D283" s="127" t="s">
        <v>1800</v>
      </c>
      <c r="E283" s="128" t="s">
        <v>102</v>
      </c>
      <c r="F283" s="137">
        <v>61.1</v>
      </c>
      <c r="G283" s="130">
        <v>1317.85</v>
      </c>
      <c r="H283" s="128">
        <v>1</v>
      </c>
      <c r="I283" s="116">
        <f t="shared" si="62"/>
        <v>0</v>
      </c>
      <c r="J283" s="374">
        <f t="shared" si="63"/>
        <v>0</v>
      </c>
      <c r="K283" s="137">
        <f t="shared" si="57"/>
        <v>1</v>
      </c>
      <c r="L283" s="131">
        <f t="shared" si="65"/>
        <v>1317.85</v>
      </c>
      <c r="M283" s="131">
        <f t="shared" si="65"/>
        <v>0</v>
      </c>
      <c r="N283" s="131">
        <f t="shared" si="65"/>
        <v>0</v>
      </c>
      <c r="O283" s="131">
        <f t="shared" si="65"/>
        <v>1317.85</v>
      </c>
      <c r="P283" s="136">
        <f t="shared" si="59"/>
        <v>0</v>
      </c>
      <c r="Q283" s="525"/>
      <c r="S283" s="189">
        <v>0</v>
      </c>
      <c r="T283" s="189">
        <v>0</v>
      </c>
      <c r="AE283" s="393"/>
      <c r="BT283" s="525"/>
      <c r="BU283" s="523">
        <v>0</v>
      </c>
      <c r="BV283" s="523"/>
      <c r="BW283" s="523"/>
      <c r="BX283" s="523"/>
      <c r="BY283" s="523"/>
      <c r="BZ283" s="523"/>
      <c r="CA283" s="523"/>
      <c r="CB283" s="523"/>
      <c r="CC283" s="523"/>
      <c r="CD283" s="523"/>
      <c r="CE283" s="523"/>
      <c r="CF283" s="523"/>
      <c r="CG283" s="523"/>
      <c r="CH283" s="523"/>
      <c r="CI283" s="523">
        <f t="shared" si="61"/>
        <v>0</v>
      </c>
    </row>
    <row r="284" spans="1:87" s="67" customFormat="1" ht="13.5" thickBot="1" x14ac:dyDescent="0.25">
      <c r="A284" s="438"/>
      <c r="B284" s="439"/>
      <c r="C284" s="440"/>
      <c r="D284" s="440"/>
      <c r="E284" s="440"/>
      <c r="F284" s="440"/>
      <c r="G284" s="442" t="s">
        <v>1281</v>
      </c>
      <c r="H284" s="441"/>
      <c r="I284" s="444">
        <f t="shared" si="62"/>
        <v>0</v>
      </c>
      <c r="J284" s="445">
        <f t="shared" si="63"/>
        <v>0</v>
      </c>
      <c r="K284" s="440">
        <f t="shared" si="57"/>
        <v>0</v>
      </c>
      <c r="L284" s="443">
        <f>L14+L26+L32+L45+L69+L77+L92+L95+L98+L109+L120+L129+L168+L190+L194+L208+L214+L259+L268+L278</f>
        <v>664297.16</v>
      </c>
      <c r="M284" s="446">
        <f>SUM(M278,M268,M259,M214,M208,M194,M190,M168,M129,M120,M109,M98,M95,M92,M77,M69,M45,M32,M26,M14)</f>
        <v>31571.1</v>
      </c>
      <c r="N284" s="446">
        <f>SUM(N278,N268,N259,N214,N208,N194,N190,N168,N129,N120,N109,N98,N95,N92,N77,N69,N45,N32,N26,N14)</f>
        <v>58172.159999999989</v>
      </c>
      <c r="O284" s="446">
        <f>SUM(O278,O268,O259,O214,O208,O194,O190,O168,O129,O120,O109,O98,O95,O92,O77,O69,O45,O32,O26,O14)</f>
        <v>606124.98999999987</v>
      </c>
      <c r="P284" s="448">
        <f>N284/O284</f>
        <v>9.5973868360055573E-2</v>
      </c>
      <c r="Q284" s="525"/>
      <c r="S284" s="193"/>
      <c r="T284" s="193"/>
      <c r="BT284" s="525"/>
      <c r="BU284" s="523"/>
      <c r="BV284" s="523"/>
      <c r="BW284" s="523"/>
      <c r="BX284" s="523"/>
      <c r="BY284" s="523"/>
      <c r="BZ284" s="523"/>
      <c r="CA284" s="523"/>
      <c r="CB284" s="523"/>
      <c r="CC284" s="523"/>
      <c r="CD284" s="523"/>
      <c r="CE284" s="523"/>
      <c r="CF284" s="523"/>
      <c r="CG284" s="523"/>
      <c r="CH284" s="523"/>
      <c r="CI284" s="523">
        <f t="shared" si="61"/>
        <v>0</v>
      </c>
    </row>
    <row r="285" spans="1:87" x14ac:dyDescent="0.2">
      <c r="A285" s="69"/>
      <c r="B285" s="69"/>
      <c r="C285" s="59"/>
      <c r="D285" s="111"/>
      <c r="E285" s="59"/>
      <c r="F285" s="59"/>
      <c r="G285" s="82"/>
      <c r="H285" s="68"/>
      <c r="I285" s="70"/>
      <c r="J285" s="70"/>
      <c r="K285" s="59"/>
      <c r="L285" s="77"/>
      <c r="M285" s="77"/>
      <c r="N285" s="77"/>
      <c r="O285" s="373"/>
      <c r="P285" s="61"/>
    </row>
    <row r="286" spans="1:87" x14ac:dyDescent="0.2">
      <c r="P286" s="72"/>
    </row>
    <row r="287" spans="1:87" x14ac:dyDescent="0.2">
      <c r="B287" s="71"/>
      <c r="C287" s="66"/>
      <c r="P287" s="72"/>
    </row>
    <row r="288" spans="1:87" x14ac:dyDescent="0.2">
      <c r="B288" s="71"/>
      <c r="C288" s="66"/>
    </row>
    <row r="289" spans="1:15" x14ac:dyDescent="0.2">
      <c r="A289" s="66" t="s">
        <v>1802</v>
      </c>
      <c r="B289" s="71"/>
      <c r="C289" s="66"/>
      <c r="E289" s="66" t="s">
        <v>1297</v>
      </c>
      <c r="J289" s="892" t="s">
        <v>1307</v>
      </c>
      <c r="K289" s="892"/>
      <c r="L289" s="892"/>
      <c r="M289" s="78" t="s">
        <v>1308</v>
      </c>
    </row>
    <row r="290" spans="1:15" x14ac:dyDescent="0.2">
      <c r="A290" s="66" t="s">
        <v>1803</v>
      </c>
      <c r="B290" s="71"/>
      <c r="C290" s="66"/>
      <c r="E290" s="66" t="s">
        <v>1298</v>
      </c>
      <c r="J290" s="892" t="s">
        <v>1305</v>
      </c>
      <c r="K290" s="892"/>
      <c r="L290" s="892"/>
      <c r="M290" s="892" t="s">
        <v>2022</v>
      </c>
      <c r="N290" s="892"/>
      <c r="O290" s="892"/>
    </row>
    <row r="291" spans="1:15" x14ac:dyDescent="0.2">
      <c r="A291" s="66" t="s">
        <v>1804</v>
      </c>
      <c r="B291" s="71"/>
      <c r="C291" s="66"/>
      <c r="E291" s="66" t="s">
        <v>1300</v>
      </c>
      <c r="J291" s="892" t="s">
        <v>1306</v>
      </c>
      <c r="K291" s="892"/>
      <c r="L291" s="892"/>
      <c r="M291" s="892"/>
      <c r="N291" s="892"/>
      <c r="O291" s="892"/>
    </row>
    <row r="292" spans="1:15" x14ac:dyDescent="0.2">
      <c r="A292" s="66" t="s">
        <v>1805</v>
      </c>
      <c r="B292" s="71"/>
      <c r="C292" s="66"/>
      <c r="E292" s="66" t="s">
        <v>1315</v>
      </c>
      <c r="J292" s="892" t="s">
        <v>1301</v>
      </c>
      <c r="K292" s="892"/>
      <c r="L292" s="892"/>
      <c r="M292" s="78" t="s">
        <v>1303</v>
      </c>
    </row>
    <row r="293" spans="1:15" x14ac:dyDescent="0.2">
      <c r="M293" s="78" t="s">
        <v>1304</v>
      </c>
    </row>
  </sheetData>
  <mergeCells count="23">
    <mergeCell ref="A1:D5"/>
    <mergeCell ref="E1:P5"/>
    <mergeCell ref="A7:D7"/>
    <mergeCell ref="E7:G7"/>
    <mergeCell ref="A8:D8"/>
    <mergeCell ref="E8:G8"/>
    <mergeCell ref="A9:D9"/>
    <mergeCell ref="N9:O9"/>
    <mergeCell ref="A11:A12"/>
    <mergeCell ref="B11:B12"/>
    <mergeCell ref="C11:C12"/>
    <mergeCell ref="D11:D12"/>
    <mergeCell ref="E11:E12"/>
    <mergeCell ref="F11:F12"/>
    <mergeCell ref="G11:G12"/>
    <mergeCell ref="H11:K11"/>
    <mergeCell ref="J292:L292"/>
    <mergeCell ref="L11:O11"/>
    <mergeCell ref="J289:L289"/>
    <mergeCell ref="J290:L290"/>
    <mergeCell ref="M290:O290"/>
    <mergeCell ref="J291:L291"/>
    <mergeCell ref="M291:O291"/>
  </mergeCells>
  <conditionalFormatting sqref="A14:E14 F46:G46 H89 O95 F51:G51 I51 K132:K151 H226:H246 H216:H224 F225:H225 A89:E89 L95:M95 A16:E16 H14:H16 H27:H31 A27:E31 A26:D26 A33:E44 A32:D32 H34:H44 H46:H56 A46:E56 A45:D45 A71:E71 H71 H79:H82 A79:E82 A93:E94 A92:D92 H93:H94 H96:H97 A96:E97 A95:D95 A99:E108 A98:D98 H99:H108 H111:H115 A111:E115 A121:E128 A120:D120 H121:H128 H131:H151 A131:E151 A169:E180 A168:D168 H170:H180 K170:K180 A191:E193 A190:D190 H191:I193 A195:E207 A194:D194 H195:I207 A209:E213 A208:D208 H209:I213 I216:I246 A215:E258 A214:D214 A260:E267 A259:D259 H260:I267 H270:I274 A269:E277 A268:D268 A279:E283 A278:D278 I279:I283 H279:H285 A58:E61 A57:D57 H58:H61 H63:H66 A63:E66 A62:D62 A68:E68 A67:D67 H68 A69:D70 H73:H74 A73:E74 A72:D72 A76:E76 A75:D75 H76 A77:D78 A84:E86 A83:D83 H84:H86 A87:D87 A91:E91 A90:D90 H91 A109:D110 A117:E119 A116:D116 H117:H119 A129:D130 A153:E167 A152:D152 H153:H167 K153:K167 H182:I189 A182:E189 A181:D181 H22:H25 A22:E25 L45:O45 L51:O51 L57:O57 L62:O62 L67:O67 L70:O70 L72:O72 L75:O75 L77:O78 L83:O83 L92:O92 L98:O98 L116:O116 L120:O120 L129:O130 L152:O152 L168:O169 L181:O181 L190:O190 L194:O194 L208:O208 K225:O225 L214:O215 L259:O259 L268:O269 L278:O278 H248:I251 F247:O247 H276:I277 F275:O275 F269:K269 H253:I258 F252:O252 F215:K215 F169:K169 L109:O110">
    <cfRule type="expression" dxfId="733" priority="75">
      <formula>$D14&lt;&gt;0</formula>
    </cfRule>
    <cfRule type="expression" dxfId="732" priority="76">
      <formula>$O14=1</formula>
    </cfRule>
  </conditionalFormatting>
  <conditionalFormatting sqref="G14 G39 L39:O39 G33:K33">
    <cfRule type="expression" dxfId="731" priority="77">
      <formula>$D14&lt;&gt;0</formula>
    </cfRule>
    <cfRule type="expression" dxfId="730" priority="78">
      <formula>$O14=1</formula>
    </cfRule>
  </conditionalFormatting>
  <conditionalFormatting sqref="E26">
    <cfRule type="expression" dxfId="729" priority="71">
      <formula>$D26&lt;&gt;0</formula>
    </cfRule>
    <cfRule type="expression" dxfId="728" priority="72">
      <formula>$O26=1</formula>
    </cfRule>
  </conditionalFormatting>
  <conditionalFormatting sqref="G26:J26">
    <cfRule type="expression" dxfId="727" priority="73">
      <formula>$D26&lt;&gt;0</formula>
    </cfRule>
    <cfRule type="expression" dxfId="726" priority="74">
      <formula>$O26=1</formula>
    </cfRule>
  </conditionalFormatting>
  <conditionalFormatting sqref="E32">
    <cfRule type="expression" dxfId="725" priority="67">
      <formula>$D32&lt;&gt;0</formula>
    </cfRule>
    <cfRule type="expression" dxfId="724" priority="68">
      <formula>$O32=1</formula>
    </cfRule>
  </conditionalFormatting>
  <conditionalFormatting sqref="G32:K32">
    <cfRule type="expression" dxfId="723" priority="69">
      <formula>$D32&lt;&gt;0</formula>
    </cfRule>
    <cfRule type="expression" dxfId="722" priority="70">
      <formula>$O32=1</formula>
    </cfRule>
  </conditionalFormatting>
  <conditionalFormatting sqref="E45 H45">
    <cfRule type="expression" dxfId="721" priority="63">
      <formula>$D45&lt;&gt;0</formula>
    </cfRule>
    <cfRule type="expression" dxfId="720" priority="64">
      <formula>$O45=1</formula>
    </cfRule>
  </conditionalFormatting>
  <conditionalFormatting sqref="G45">
    <cfRule type="expression" dxfId="719" priority="65">
      <formula>$D45&lt;&gt;0</formula>
    </cfRule>
    <cfRule type="expression" dxfId="718" priority="66">
      <formula>$O45=1</formula>
    </cfRule>
  </conditionalFormatting>
  <conditionalFormatting sqref="E69:K69">
    <cfRule type="expression" dxfId="717" priority="61">
      <formula>$D69&lt;&gt;0</formula>
    </cfRule>
    <cfRule type="expression" dxfId="716" priority="62">
      <formula>$O69=1</formula>
    </cfRule>
  </conditionalFormatting>
  <conditionalFormatting sqref="E77:K77">
    <cfRule type="expression" dxfId="715" priority="59">
      <formula>$D77&lt;&gt;0</formula>
    </cfRule>
    <cfRule type="expression" dxfId="714" priority="60">
      <formula>$O77=1</formula>
    </cfRule>
  </conditionalFormatting>
  <conditionalFormatting sqref="E92:K92">
    <cfRule type="expression" dxfId="713" priority="57">
      <formula>$D92&lt;&gt;0</formula>
    </cfRule>
    <cfRule type="expression" dxfId="712" priority="58">
      <formula>$O92=1</formula>
    </cfRule>
  </conditionalFormatting>
  <conditionalFormatting sqref="E95:K95">
    <cfRule type="expression" dxfId="711" priority="55">
      <formula>$D95&lt;&gt;0</formula>
    </cfRule>
    <cfRule type="expression" dxfId="710" priority="56">
      <formula>$O95=1</formula>
    </cfRule>
  </conditionalFormatting>
  <conditionalFormatting sqref="E98:K98">
    <cfRule type="expression" dxfId="709" priority="53">
      <formula>$D98&lt;&gt;0</formula>
    </cfRule>
    <cfRule type="expression" dxfId="708" priority="54">
      <formula>$O98=1</formula>
    </cfRule>
  </conditionalFormatting>
  <conditionalFormatting sqref="E109:K109">
    <cfRule type="expression" dxfId="707" priority="51">
      <formula>$D109&lt;&gt;0</formula>
    </cfRule>
    <cfRule type="expression" dxfId="706" priority="52">
      <formula>$O109=1</formula>
    </cfRule>
  </conditionalFormatting>
  <conditionalFormatting sqref="E120:K120">
    <cfRule type="expression" dxfId="705" priority="49">
      <formula>$D120&lt;&gt;0</formula>
    </cfRule>
    <cfRule type="expression" dxfId="704" priority="50">
      <formula>$O120=1</formula>
    </cfRule>
  </conditionalFormatting>
  <conditionalFormatting sqref="E129:K129">
    <cfRule type="expression" dxfId="703" priority="47">
      <formula>$D129&lt;&gt;0</formula>
    </cfRule>
    <cfRule type="expression" dxfId="702" priority="48">
      <formula>$O129=1</formula>
    </cfRule>
  </conditionalFormatting>
  <conditionalFormatting sqref="E168:K168">
    <cfRule type="expression" dxfId="701" priority="45">
      <formula>$D168&lt;&gt;0</formula>
    </cfRule>
    <cfRule type="expression" dxfId="700" priority="46">
      <formula>$O168=1</formula>
    </cfRule>
  </conditionalFormatting>
  <conditionalFormatting sqref="E190:K190">
    <cfRule type="expression" dxfId="699" priority="43">
      <formula>$D190&lt;&gt;0</formula>
    </cfRule>
    <cfRule type="expression" dxfId="698" priority="44">
      <formula>$O190=1</formula>
    </cfRule>
  </conditionalFormatting>
  <conditionalFormatting sqref="E194:K194">
    <cfRule type="expression" dxfId="697" priority="41">
      <formula>$D194&lt;&gt;0</formula>
    </cfRule>
    <cfRule type="expression" dxfId="696" priority="42">
      <formula>$O194=1</formula>
    </cfRule>
  </conditionalFormatting>
  <conditionalFormatting sqref="E208:K208">
    <cfRule type="expression" dxfId="695" priority="39">
      <formula>$D208&lt;&gt;0</formula>
    </cfRule>
    <cfRule type="expression" dxfId="694" priority="40">
      <formula>$O208=1</formula>
    </cfRule>
  </conditionalFormatting>
  <conditionalFormatting sqref="E214:K214">
    <cfRule type="expression" dxfId="693" priority="37">
      <formula>$D214&lt;&gt;0</formula>
    </cfRule>
    <cfRule type="expression" dxfId="692" priority="38">
      <formula>$O214=1</formula>
    </cfRule>
  </conditionalFormatting>
  <conditionalFormatting sqref="E259:K259">
    <cfRule type="expression" dxfId="691" priority="35">
      <formula>$D259&lt;&gt;0</formula>
    </cfRule>
    <cfRule type="expression" dxfId="690" priority="36">
      <formula>$O259=1</formula>
    </cfRule>
  </conditionalFormatting>
  <conditionalFormatting sqref="E268:K268">
    <cfRule type="expression" dxfId="689" priority="33">
      <formula>$D268&lt;&gt;0</formula>
    </cfRule>
    <cfRule type="expression" dxfId="688" priority="34">
      <formula>$O268=1</formula>
    </cfRule>
  </conditionalFormatting>
  <conditionalFormatting sqref="E278:K278">
    <cfRule type="expression" dxfId="687" priority="31">
      <formula>$D278&lt;&gt;0</formula>
    </cfRule>
    <cfRule type="expression" dxfId="686" priority="32">
      <formula>$O278=1</formula>
    </cfRule>
  </conditionalFormatting>
  <conditionalFormatting sqref="E57:I57">
    <cfRule type="expression" dxfId="685" priority="29">
      <formula>$D57&lt;&gt;0</formula>
    </cfRule>
    <cfRule type="expression" dxfId="684" priority="30">
      <formula>$O57=1</formula>
    </cfRule>
  </conditionalFormatting>
  <conditionalFormatting sqref="E62:K62">
    <cfRule type="expression" dxfId="683" priority="27">
      <formula>$D62&lt;&gt;0</formula>
    </cfRule>
    <cfRule type="expression" dxfId="682" priority="28">
      <formula>$O62=1</formula>
    </cfRule>
  </conditionalFormatting>
  <conditionalFormatting sqref="E67:K67">
    <cfRule type="expression" dxfId="681" priority="25">
      <formula>$D67&lt;&gt;0</formula>
    </cfRule>
    <cfRule type="expression" dxfId="680" priority="26">
      <formula>$O67=1</formula>
    </cfRule>
  </conditionalFormatting>
  <conditionalFormatting sqref="E70:K70">
    <cfRule type="expression" dxfId="679" priority="23">
      <formula>$D70&lt;&gt;0</formula>
    </cfRule>
    <cfRule type="expression" dxfId="678" priority="24">
      <formula>$O70=1</formula>
    </cfRule>
  </conditionalFormatting>
  <conditionalFormatting sqref="E72:K72">
    <cfRule type="expression" dxfId="677" priority="21">
      <formula>$D72&lt;&gt;0</formula>
    </cfRule>
    <cfRule type="expression" dxfId="676" priority="22">
      <formula>$O72=1</formula>
    </cfRule>
  </conditionalFormatting>
  <conditionalFormatting sqref="E75:K75">
    <cfRule type="expression" dxfId="675" priority="19">
      <formula>$D75&lt;&gt;0</formula>
    </cfRule>
    <cfRule type="expression" dxfId="674" priority="20">
      <formula>$O75=1</formula>
    </cfRule>
  </conditionalFormatting>
  <conditionalFormatting sqref="E78:K78">
    <cfRule type="expression" dxfId="673" priority="17">
      <formula>$D78&lt;&gt;0</formula>
    </cfRule>
    <cfRule type="expression" dxfId="672" priority="18">
      <formula>$O78=1</formula>
    </cfRule>
  </conditionalFormatting>
  <conditionalFormatting sqref="E83:K83">
    <cfRule type="expression" dxfId="671" priority="15">
      <formula>$D83&lt;&gt;0</formula>
    </cfRule>
    <cfRule type="expression" dxfId="670" priority="16">
      <formula>$O83=1</formula>
    </cfRule>
  </conditionalFormatting>
  <conditionalFormatting sqref="E87:K87">
    <cfRule type="expression" dxfId="669" priority="13">
      <formula>$D87&lt;&gt;0</formula>
    </cfRule>
    <cfRule type="expression" dxfId="668" priority="14">
      <formula>$O87=1</formula>
    </cfRule>
  </conditionalFormatting>
  <conditionalFormatting sqref="E90:K90">
    <cfRule type="expression" dxfId="667" priority="11">
      <formula>$D90&lt;&gt;0</formula>
    </cfRule>
    <cfRule type="expression" dxfId="666" priority="12">
      <formula>$O90=1</formula>
    </cfRule>
  </conditionalFormatting>
  <conditionalFormatting sqref="E110:K110">
    <cfRule type="expression" dxfId="665" priority="9">
      <formula>$D110&lt;&gt;0</formula>
    </cfRule>
    <cfRule type="expression" dxfId="664" priority="10">
      <formula>$O110=1</formula>
    </cfRule>
  </conditionalFormatting>
  <conditionalFormatting sqref="E116:K116">
    <cfRule type="expression" dxfId="663" priority="7">
      <formula>$D116&lt;&gt;0</formula>
    </cfRule>
    <cfRule type="expression" dxfId="662" priority="8">
      <formula>$O116=1</formula>
    </cfRule>
  </conditionalFormatting>
  <conditionalFormatting sqref="E130:K130">
    <cfRule type="expression" dxfId="661" priority="5">
      <formula>$D130&lt;&gt;0</formula>
    </cfRule>
    <cfRule type="expression" dxfId="660" priority="6">
      <formula>$O130=1</formula>
    </cfRule>
  </conditionalFormatting>
  <conditionalFormatting sqref="E152:K152">
    <cfRule type="expression" dxfId="659" priority="3">
      <formula>$D152&lt;&gt;0</formula>
    </cfRule>
    <cfRule type="expression" dxfId="658" priority="4">
      <formula>$O152=1</formula>
    </cfRule>
  </conditionalFormatting>
  <conditionalFormatting sqref="E181:K181">
    <cfRule type="expression" dxfId="657" priority="1">
      <formula>$D181&lt;&gt;0</formula>
    </cfRule>
    <cfRule type="expression" dxfId="656" priority="2">
      <formula>$O181=1</formula>
    </cfRule>
  </conditionalFormatting>
  <printOptions horizontalCentered="1"/>
  <pageMargins left="0.31496062992125984" right="0.31496062992125984" top="0.39370078740157483" bottom="1.1417322834645669" header="0.31496062992125984" footer="0.31496062992125984"/>
  <pageSetup paperSize="9" scale="49" fitToHeight="0" orientation="landscape" r:id="rId1"/>
  <headerFooter>
    <oddFooter xml:space="preserve">&amp;LResp.  
CREA:  
ART:
&amp;CResp. Técnico Fiscalização: Nei Frederico
CREA: 101562139-2
ART: 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18</vt:i4>
      </vt:variant>
      <vt:variant>
        <vt:lpstr>Intervalos Nomeados</vt:lpstr>
      </vt:variant>
      <vt:variant>
        <vt:i4>24</vt:i4>
      </vt:variant>
    </vt:vector>
  </HeadingPairs>
  <TitlesOfParts>
    <vt:vector size="42" baseType="lpstr">
      <vt:lpstr>Table 5</vt:lpstr>
      <vt:lpstr>01</vt:lpstr>
      <vt:lpstr>02</vt:lpstr>
      <vt:lpstr>03</vt:lpstr>
      <vt:lpstr>AD</vt:lpstr>
      <vt:lpstr>04 CORRIGIDA</vt:lpstr>
      <vt:lpstr>05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05 NOVA</vt:lpstr>
      <vt:lpstr>Memoria de calculo</vt:lpstr>
      <vt:lpstr>'04 CORRIGIDA'!Area_de_impressao</vt:lpstr>
      <vt:lpstr>'05'!Area_de_impressao</vt:lpstr>
      <vt:lpstr>'05 NOVA'!Area_de_impressao</vt:lpstr>
      <vt:lpstr>'1'!Area_de_impressao</vt:lpstr>
      <vt:lpstr>'2'!Area_de_impressao</vt:lpstr>
      <vt:lpstr>'3'!Area_de_impressao</vt:lpstr>
      <vt:lpstr>'4'!Area_de_impressao</vt:lpstr>
      <vt:lpstr>'5'!Area_de_impressao</vt:lpstr>
      <vt:lpstr>'6'!Area_de_impressao</vt:lpstr>
      <vt:lpstr>'7'!Area_de_impressao</vt:lpstr>
      <vt:lpstr>'8'!Area_de_impressao</vt:lpstr>
      <vt:lpstr>'9'!Area_de_impressao</vt:lpstr>
      <vt:lpstr>'04 CORRIGIDA'!Titulos_de_impressao</vt:lpstr>
      <vt:lpstr>'05'!Titulos_de_impressao</vt:lpstr>
      <vt:lpstr>'05 NOVA'!Titulos_de_impressao</vt:lpstr>
      <vt:lpstr>'1'!Titulos_de_impressao</vt:lpstr>
      <vt:lpstr>'2'!Titulos_de_impressao</vt:lpstr>
      <vt:lpstr>'3'!Titulos_de_impressao</vt:lpstr>
      <vt:lpstr>'4'!Titulos_de_impressao</vt:lpstr>
      <vt:lpstr>'5'!Titulos_de_impressao</vt:lpstr>
      <vt:lpstr>'6'!Titulos_de_impressao</vt:lpstr>
      <vt:lpstr>'7'!Titulos_de_impressao</vt:lpstr>
      <vt:lpstr>'8'!Titulos_de_impressao</vt:lpstr>
      <vt:lpstr>'9'!Titulos_de_impressao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BDI Aplicado .'. Creches.xls</dc:title>
  <dc:creator>claud</dc:creator>
  <cp:lastModifiedBy>Vinícius</cp:lastModifiedBy>
  <cp:lastPrinted>2020-08-28T11:25:11Z</cp:lastPrinted>
  <dcterms:created xsi:type="dcterms:W3CDTF">2019-01-14T20:14:33Z</dcterms:created>
  <dcterms:modified xsi:type="dcterms:W3CDTF">2020-08-28T11:25:33Z</dcterms:modified>
</cp:coreProperties>
</file>